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7.xml" ContentType="application/vnd.openxmlformats-officedocument.drawing+xml"/>
  <Override PartName="/xl/comments19.xml" ContentType="application/vnd.openxmlformats-officedocument.spreadsheetml.comments+xml"/>
  <Override PartName="/xl/drawings/drawing8.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https://land-p-mlr7.eakte-land.bwl.de:443/vis/4F257DEC-EDE0-47E4-B493-4D164B8B1E0E/webdav/7286/"/>
    </mc:Choice>
  </mc:AlternateContent>
  <workbookProtection workbookAlgorithmName="SHA-512" workbookHashValue="rNDRqfwK2clZL3CkrYAhpMGWcybX9dXtYauKKqCX/16B8JJv50+NIa7AHNVacvywt9FRsWxwXNmn9h2O+GCnXg==" workbookSaltValue="5xezGUCKKuTc1YnV+JPq0Q==" workbookSpinCount="100000" lockStructure="1"/>
  <bookViews>
    <workbookView xWindow="0" yWindow="0" windowWidth="19200" windowHeight="6555" tabRatio="764"/>
  </bookViews>
  <sheets>
    <sheet name="Deckblatt" sheetId="60" r:id="rId1"/>
    <sheet name="Strukturdaten" sheetId="122" r:id="rId2"/>
    <sheet name="Jahresvergleich" sheetId="124" r:id="rId3"/>
    <sheet name="Grafik" sheetId="137" r:id="rId4"/>
    <sheet name="2021" sheetId="145" state="hidden" r:id="rId5"/>
    <sheet name="2020" sheetId="144" state="hidden" r:id="rId6"/>
    <sheet name="2019" sheetId="143" state="hidden" r:id="rId7"/>
    <sheet name="2018" sheetId="142" state="hidden" r:id="rId8"/>
    <sheet name="2017" sheetId="141" state="hidden" r:id="rId9"/>
    <sheet name="2016" sheetId="140" state="hidden" r:id="rId10"/>
    <sheet name="2015" sheetId="138" state="hidden" r:id="rId11"/>
    <sheet name="2014" sheetId="136" state="hidden" r:id="rId12"/>
    <sheet name="2013" sheetId="135" state="hidden" r:id="rId13"/>
    <sheet name="2012" sheetId="134" state="hidden" r:id="rId14"/>
    <sheet name="2011" sheetId="120" state="hidden" r:id="rId15"/>
    <sheet name="2010" sheetId="125" state="hidden" r:id="rId16"/>
    <sheet name="2009" sheetId="127" state="hidden" r:id="rId17"/>
    <sheet name="2008" sheetId="130" state="hidden" r:id="rId18"/>
    <sheet name="2007" sheetId="131" state="hidden" r:id="rId19"/>
    <sheet name="2001" sheetId="132" state="hidden" r:id="rId20"/>
    <sheet name="2022" sheetId="146" state="hidden" r:id="rId21"/>
    <sheet name="Stand der Daten" sheetId="133" r:id="rId22"/>
  </sheets>
  <definedNames>
    <definedName name="_xlnm._FilterDatabase" localSheetId="21" hidden="1">'Stand der Daten'!$A$5:$U$110</definedName>
    <definedName name="Daten" localSheetId="19">'2001'!$B$5:$CL$107</definedName>
    <definedName name="Daten" localSheetId="18">'2007'!$B$5:$CL$107</definedName>
    <definedName name="Daten" localSheetId="17">'2008'!$B$5:$CL$107</definedName>
    <definedName name="Daten" localSheetId="16">'2009'!$B$5:$CL$107</definedName>
    <definedName name="Daten" localSheetId="21">'Stand der Daten'!$B$5:$B$110</definedName>
    <definedName name="Daten2022">'2022'!$B$5:$CL$106</definedName>
    <definedName name="_xlnm.Print_Area" localSheetId="19">'2001'!$B$2:$CL$99</definedName>
    <definedName name="_xlnm.Print_Area" localSheetId="18">'2007'!$B$2:$CL$99</definedName>
    <definedName name="_xlnm.Print_Area" localSheetId="17">'2008'!$B$2:$CL$99</definedName>
    <definedName name="_xlnm.Print_Area" localSheetId="16">'2009'!$B$2:$CL$99</definedName>
    <definedName name="_xlnm.Print_Area" localSheetId="20">'2022'!$B$2:$CL$98</definedName>
    <definedName name="_xlnm.Print_Area" localSheetId="0">Deckblatt!$A$1:$A$39</definedName>
    <definedName name="_xlnm.Print_Area" localSheetId="3">Grafik!$B$3:$H$23</definedName>
    <definedName name="_xlnm.Print_Area" localSheetId="2">Jahresvergleich!$A$1:$E$100</definedName>
    <definedName name="_xlnm.Print_Area" localSheetId="21">'Stand der Daten'!$B$3:$T$104</definedName>
    <definedName name="_xlnm.Print_Area" localSheetId="1">Strukturdaten!$A$1:$G$100</definedName>
    <definedName name="_xlnm.Print_Titles" localSheetId="19">'2001'!$B:$D,'2001'!$2:$4</definedName>
    <definedName name="_xlnm.Print_Titles" localSheetId="18">'2007'!$B:$D,'2007'!$2:$4</definedName>
    <definedName name="_xlnm.Print_Titles" localSheetId="17">'2008'!$B:$D,'2008'!$2:$4</definedName>
    <definedName name="_xlnm.Print_Titles" localSheetId="16">'2009'!$B:$D,'2009'!$2:$4</definedName>
    <definedName name="_xlnm.Print_Titles" localSheetId="20">'2022'!$B:$D,'2022'!$2:$4</definedName>
    <definedName name="_xlnm.Print_Titles" localSheetId="2">Jahresvergleich!$1:$2</definedName>
    <definedName name="_xlnm.Print_Titles" localSheetId="21">'Stand der Daten'!$B:$B,'Stand der Daten'!$2:$4</definedName>
    <definedName name="_xlnm.Print_Titles" localSheetId="1">Strukturdaten!$1:$2</definedName>
  </definedNames>
  <calcPr calcId="162913"/>
</workbook>
</file>

<file path=xl/calcChain.xml><?xml version="1.0" encoding="utf-8"?>
<calcChain xmlns="http://schemas.openxmlformats.org/spreadsheetml/2006/main">
  <c r="CL21" i="146" l="1"/>
  <c r="CK21" i="146"/>
  <c r="CJ21" i="146"/>
  <c r="CI21" i="146"/>
  <c r="CH21" i="146"/>
  <c r="CG21" i="146"/>
  <c r="CF21" i="146"/>
  <c r="CE21" i="146"/>
  <c r="CD21" i="146"/>
  <c r="CC21" i="146"/>
  <c r="CB21" i="146"/>
  <c r="CA21" i="146"/>
  <c r="BZ21" i="146"/>
  <c r="BY21" i="146"/>
  <c r="BX21" i="146"/>
  <c r="BW21" i="146"/>
  <c r="BV21" i="146"/>
  <c r="BU21" i="146"/>
  <c r="BT21" i="146"/>
  <c r="BS21" i="146"/>
  <c r="BR21" i="146"/>
  <c r="BQ21" i="146"/>
  <c r="BP21" i="146"/>
  <c r="BO21" i="146"/>
  <c r="BN21" i="146"/>
  <c r="BM21" i="146"/>
  <c r="BL21" i="146"/>
  <c r="BK21" i="146"/>
  <c r="BJ21" i="146"/>
  <c r="BI21" i="146"/>
  <c r="BH21" i="146"/>
  <c r="BG21" i="146"/>
  <c r="BF21" i="146"/>
  <c r="BE21" i="146"/>
  <c r="BD21" i="146"/>
  <c r="BC21" i="146"/>
  <c r="BB21" i="146"/>
  <c r="BA21" i="146"/>
  <c r="AZ21" i="146"/>
  <c r="AY21" i="146"/>
  <c r="AX21" i="146"/>
  <c r="AW21" i="146"/>
  <c r="AV21" i="146"/>
  <c r="AU21" i="146"/>
  <c r="AT21" i="146"/>
  <c r="AS20" i="146"/>
  <c r="AR20" i="146"/>
  <c r="AQ20" i="146"/>
  <c r="AP20" i="146"/>
  <c r="AO20" i="146"/>
  <c r="AN20" i="146"/>
  <c r="AM20" i="146"/>
  <c r="AL20" i="146"/>
  <c r="AK20" i="146"/>
  <c r="AJ20" i="146"/>
  <c r="AI20" i="146"/>
  <c r="AH20" i="146"/>
  <c r="AG20" i="146"/>
  <c r="AF20" i="146"/>
  <c r="AE20" i="146"/>
  <c r="AD20" i="146"/>
  <c r="AC20" i="146"/>
  <c r="AB20" i="146"/>
  <c r="AA20" i="146"/>
  <c r="Z20" i="146"/>
  <c r="Y20" i="146"/>
  <c r="X20" i="146"/>
  <c r="W20" i="146"/>
  <c r="V20" i="146"/>
  <c r="U20" i="146"/>
  <c r="T20" i="146"/>
  <c r="S20" i="146"/>
  <c r="R20" i="146"/>
  <c r="Q20" i="146"/>
  <c r="P20" i="146"/>
  <c r="O20" i="146"/>
  <c r="N20" i="146"/>
  <c r="M20" i="146"/>
  <c r="L20" i="146"/>
  <c r="K20" i="146"/>
  <c r="I21" i="146"/>
  <c r="H21" i="146"/>
  <c r="G21" i="146"/>
  <c r="F21" i="146"/>
  <c r="K89" i="146" l="1"/>
  <c r="L89" i="146"/>
  <c r="AT127" i="146"/>
  <c r="B54" i="146" l="1"/>
  <c r="CC127" i="146" l="1"/>
  <c r="BM44" i="146"/>
  <c r="BI44" i="146"/>
  <c r="BA44" i="146"/>
  <c r="BA47" i="146"/>
  <c r="P100" i="146" l="1"/>
  <c r="Q51" i="146"/>
  <c r="R52" i="146"/>
  <c r="Q52" i="146"/>
  <c r="A52" i="146"/>
  <c r="K52" i="146"/>
  <c r="L52" i="146"/>
  <c r="M52" i="146"/>
  <c r="N52" i="146"/>
  <c r="O52" i="146"/>
  <c r="P52" i="146"/>
  <c r="S52" i="146"/>
  <c r="T52" i="146"/>
  <c r="U52" i="146"/>
  <c r="V52" i="146"/>
  <c r="W52" i="146"/>
  <c r="X52" i="146"/>
  <c r="Y52" i="146"/>
  <c r="Z52" i="146"/>
  <c r="AA52" i="146"/>
  <c r="AB52" i="146"/>
  <c r="AC52" i="146"/>
  <c r="AD52" i="146"/>
  <c r="AE52" i="146"/>
  <c r="AF52" i="146"/>
  <c r="AG52" i="146"/>
  <c r="AH52" i="146"/>
  <c r="AI52" i="146"/>
  <c r="AJ52" i="146"/>
  <c r="AK52" i="146"/>
  <c r="AL52" i="146"/>
  <c r="AM52" i="146"/>
  <c r="AN52" i="146"/>
  <c r="AO52" i="146"/>
  <c r="AP52" i="146"/>
  <c r="AQ52" i="146"/>
  <c r="AR52" i="146"/>
  <c r="AS52" i="146"/>
  <c r="Q87" i="146" l="1"/>
  <c r="AT82" i="146" l="1"/>
  <c r="AU82" i="146"/>
  <c r="AV82" i="146"/>
  <c r="AT84" i="146"/>
  <c r="AU84" i="146"/>
  <c r="AV84" i="146"/>
  <c r="AT30" i="146" l="1"/>
  <c r="AU30" i="146"/>
  <c r="AV30" i="146"/>
  <c r="AT31" i="146"/>
  <c r="AU31" i="146"/>
  <c r="AV31" i="146"/>
  <c r="AT33" i="146"/>
  <c r="AU33" i="146"/>
  <c r="AV33" i="146"/>
  <c r="AT44" i="146"/>
  <c r="AT107" i="146" s="1"/>
  <c r="AU44" i="146"/>
  <c r="AV44" i="146"/>
  <c r="AU47" i="146"/>
  <c r="AU53" i="146"/>
  <c r="AV53" i="146"/>
  <c r="AT54" i="146"/>
  <c r="AU54" i="146"/>
  <c r="AV54" i="146"/>
  <c r="I18" i="146" l="1"/>
  <c r="H18" i="146"/>
  <c r="G18" i="146"/>
  <c r="F18" i="146"/>
  <c r="I16" i="146"/>
  <c r="H16" i="146"/>
  <c r="G16" i="146"/>
  <c r="F16" i="146"/>
  <c r="V66" i="137"/>
  <c r="A2" i="122"/>
  <c r="D4" i="122" l="1"/>
  <c r="J2" i="124"/>
  <c r="H2" i="124"/>
  <c r="F89" i="122"/>
  <c r="F88" i="122"/>
  <c r="F87" i="122"/>
  <c r="F86" i="122"/>
  <c r="B86" i="122"/>
  <c r="F84" i="122"/>
  <c r="B84" i="122"/>
  <c r="B81" i="122"/>
  <c r="F80" i="122"/>
  <c r="B80" i="122"/>
  <c r="B79" i="122"/>
  <c r="B78" i="122"/>
  <c r="F77" i="122"/>
  <c r="B77" i="122"/>
  <c r="F75" i="122"/>
  <c r="F74" i="122"/>
  <c r="F73" i="122"/>
  <c r="F72" i="122"/>
  <c r="F71" i="122"/>
  <c r="F70" i="122"/>
  <c r="B70" i="122"/>
  <c r="F67" i="122"/>
  <c r="A67" i="122"/>
  <c r="F66" i="122"/>
  <c r="B66" i="122"/>
  <c r="A66" i="122"/>
  <c r="F64" i="122"/>
  <c r="B64" i="122"/>
  <c r="F63" i="122"/>
  <c r="B63" i="122"/>
  <c r="F62" i="122"/>
  <c r="B62" i="122"/>
  <c r="F60" i="122"/>
  <c r="F59" i="122"/>
  <c r="B59" i="122"/>
  <c r="F58" i="122"/>
  <c r="F57" i="122"/>
  <c r="B57" i="122"/>
  <c r="F56" i="122"/>
  <c r="F55" i="122"/>
  <c r="B55" i="122"/>
  <c r="F54" i="122"/>
  <c r="F53" i="122"/>
  <c r="B53" i="122"/>
  <c r="B51" i="122"/>
  <c r="B50" i="122"/>
  <c r="F49" i="122"/>
  <c r="D49" i="122"/>
  <c r="B49" i="122"/>
  <c r="F48" i="122"/>
  <c r="D48" i="122"/>
  <c r="B48" i="122"/>
  <c r="F47" i="122"/>
  <c r="D47" i="122"/>
  <c r="B47" i="122"/>
  <c r="F46" i="122"/>
  <c r="D46" i="122"/>
  <c r="B46" i="122"/>
  <c r="F45" i="122"/>
  <c r="D45" i="122"/>
  <c r="B45" i="122"/>
  <c r="F44" i="122"/>
  <c r="D44" i="122"/>
  <c r="F43" i="122"/>
  <c r="D43" i="122"/>
  <c r="F42" i="122"/>
  <c r="D42" i="122"/>
  <c r="B42" i="122"/>
  <c r="F40" i="122"/>
  <c r="B40" i="122"/>
  <c r="F39" i="122"/>
  <c r="F38" i="122"/>
  <c r="B38" i="122"/>
  <c r="F36" i="122"/>
  <c r="D36" i="122"/>
  <c r="F35" i="122"/>
  <c r="D35" i="122"/>
  <c r="F34" i="122"/>
  <c r="D34" i="122"/>
  <c r="F33" i="122"/>
  <c r="D33" i="122"/>
  <c r="F32" i="122"/>
  <c r="D32" i="122"/>
  <c r="B32" i="122"/>
  <c r="F30" i="122"/>
  <c r="D30" i="122"/>
  <c r="F29" i="122"/>
  <c r="D29" i="122"/>
  <c r="F28" i="122"/>
  <c r="D28" i="122"/>
  <c r="F27" i="122"/>
  <c r="D27" i="122"/>
  <c r="F26" i="122"/>
  <c r="D26" i="122"/>
  <c r="F25" i="122"/>
  <c r="D25" i="122"/>
  <c r="F24" i="122"/>
  <c r="D24" i="122"/>
  <c r="F23" i="122"/>
  <c r="D23" i="122"/>
  <c r="F22" i="122"/>
  <c r="D22" i="122"/>
  <c r="F21" i="122"/>
  <c r="D21" i="122"/>
  <c r="F20" i="122"/>
  <c r="D20" i="122"/>
  <c r="B20" i="122"/>
  <c r="F18" i="122"/>
  <c r="D18" i="122"/>
  <c r="B18" i="122"/>
  <c r="F17" i="122"/>
  <c r="D17" i="122"/>
  <c r="B17" i="122"/>
  <c r="F16" i="122"/>
  <c r="D16" i="122"/>
  <c r="B16" i="122"/>
  <c r="F15" i="122"/>
  <c r="D15" i="122"/>
  <c r="B15" i="122"/>
  <c r="F14" i="122"/>
  <c r="D14" i="122"/>
  <c r="B14" i="122"/>
  <c r="F13" i="122"/>
  <c r="D13" i="122"/>
  <c r="B13" i="122"/>
  <c r="F10" i="122"/>
  <c r="B10" i="122"/>
  <c r="F9" i="122"/>
  <c r="D9" i="122"/>
  <c r="F8" i="122"/>
  <c r="D8" i="122"/>
  <c r="F7" i="122"/>
  <c r="D7" i="122"/>
  <c r="F6" i="122"/>
  <c r="D6" i="122"/>
  <c r="F5" i="122"/>
  <c r="D5" i="122"/>
  <c r="F4" i="122"/>
  <c r="B4" i="122"/>
  <c r="P13" i="146" l="1"/>
  <c r="Q13" i="146"/>
  <c r="AU14" i="146"/>
  <c r="AS137" i="146"/>
  <c r="AR137" i="146"/>
  <c r="AQ137" i="146"/>
  <c r="AP137" i="146"/>
  <c r="AO137" i="146"/>
  <c r="AN137" i="146"/>
  <c r="AM137" i="146"/>
  <c r="AL137" i="146"/>
  <c r="AK137" i="146"/>
  <c r="AJ137" i="146"/>
  <c r="AI137" i="146"/>
  <c r="AH137" i="146"/>
  <c r="AG137" i="146"/>
  <c r="AF137" i="146"/>
  <c r="AE137" i="146"/>
  <c r="AD137" i="146"/>
  <c r="AC137" i="146"/>
  <c r="AB137" i="146"/>
  <c r="AA137" i="146"/>
  <c r="Z137" i="146"/>
  <c r="Y137" i="146"/>
  <c r="X137" i="146"/>
  <c r="W137" i="146"/>
  <c r="V137" i="146"/>
  <c r="U137" i="146"/>
  <c r="T137" i="146"/>
  <c r="S137" i="146"/>
  <c r="R137" i="146"/>
  <c r="Q137" i="146"/>
  <c r="P137" i="146"/>
  <c r="O137" i="146"/>
  <c r="N137" i="146"/>
  <c r="M137" i="146"/>
  <c r="L137" i="146"/>
  <c r="K137" i="146"/>
  <c r="I137" i="146"/>
  <c r="H137" i="146"/>
  <c r="G137" i="146"/>
  <c r="F137" i="146"/>
  <c r="A137" i="146"/>
  <c r="AS136" i="146"/>
  <c r="AR136" i="146"/>
  <c r="AQ136" i="146"/>
  <c r="AP136" i="146"/>
  <c r="AO136" i="146"/>
  <c r="AN136" i="146"/>
  <c r="AM136" i="146"/>
  <c r="AL136" i="146"/>
  <c r="AK136" i="146"/>
  <c r="AJ136" i="146"/>
  <c r="AI136" i="146"/>
  <c r="AH136" i="146"/>
  <c r="AG136" i="146"/>
  <c r="AF136" i="146"/>
  <c r="AE136" i="146"/>
  <c r="AD136" i="146"/>
  <c r="AC136" i="146"/>
  <c r="AB136" i="146"/>
  <c r="AA136" i="146"/>
  <c r="Z136" i="146"/>
  <c r="Y136" i="146"/>
  <c r="X136" i="146"/>
  <c r="W136" i="146"/>
  <c r="V136" i="146"/>
  <c r="U136" i="146"/>
  <c r="T136" i="146"/>
  <c r="S136" i="146"/>
  <c r="R136" i="146"/>
  <c r="Q136" i="146"/>
  <c r="P136" i="146"/>
  <c r="O136" i="146"/>
  <c r="N136" i="146"/>
  <c r="M136" i="146"/>
  <c r="L136" i="146"/>
  <c r="K136" i="146"/>
  <c r="I136" i="146"/>
  <c r="H136" i="146"/>
  <c r="G136" i="146"/>
  <c r="F136" i="146"/>
  <c r="A136" i="146"/>
  <c r="AS130" i="146"/>
  <c r="AR130" i="146"/>
  <c r="AQ130" i="146"/>
  <c r="AP130" i="146"/>
  <c r="AO130" i="146"/>
  <c r="AN130" i="146"/>
  <c r="AM130" i="146"/>
  <c r="AL130" i="146"/>
  <c r="AK130" i="146"/>
  <c r="AJ130" i="146"/>
  <c r="AI130" i="146"/>
  <c r="AH130" i="146"/>
  <c r="AG130" i="146"/>
  <c r="AF130" i="146"/>
  <c r="AE130" i="146"/>
  <c r="AD130" i="146"/>
  <c r="AC130" i="146"/>
  <c r="AB130" i="146"/>
  <c r="AA130" i="146"/>
  <c r="Z130" i="146"/>
  <c r="Y130" i="146"/>
  <c r="X130" i="146"/>
  <c r="W130" i="146"/>
  <c r="V130" i="146"/>
  <c r="U130" i="146"/>
  <c r="T130" i="146"/>
  <c r="S130" i="146"/>
  <c r="R130" i="146"/>
  <c r="Q130" i="146"/>
  <c r="P130" i="146"/>
  <c r="O130" i="146"/>
  <c r="N130" i="146"/>
  <c r="M130" i="146"/>
  <c r="L130" i="146"/>
  <c r="K130" i="146"/>
  <c r="CL127" i="146"/>
  <c r="CK127" i="146"/>
  <c r="CJ127" i="146"/>
  <c r="CI127" i="146"/>
  <c r="CH127" i="146"/>
  <c r="CG127" i="146"/>
  <c r="CF127" i="146"/>
  <c r="CE127" i="146"/>
  <c r="CD127" i="146"/>
  <c r="CB127" i="146"/>
  <c r="CA127" i="146"/>
  <c r="BZ127" i="146"/>
  <c r="BY127" i="146"/>
  <c r="BX127" i="146"/>
  <c r="BW127" i="146"/>
  <c r="BV127" i="146"/>
  <c r="BU127" i="146"/>
  <c r="BT127" i="146"/>
  <c r="BS127" i="146"/>
  <c r="BR127" i="146"/>
  <c r="BQ127" i="146"/>
  <c r="BP127" i="146"/>
  <c r="BO127" i="146"/>
  <c r="BN127" i="146"/>
  <c r="BM127" i="146"/>
  <c r="BL127" i="146"/>
  <c r="BK127" i="146"/>
  <c r="BJ127" i="146"/>
  <c r="BI127" i="146"/>
  <c r="BH127" i="146"/>
  <c r="BG127" i="146"/>
  <c r="BF127" i="146"/>
  <c r="BE127" i="146"/>
  <c r="BD127" i="146"/>
  <c r="BC127" i="146"/>
  <c r="BB127" i="146"/>
  <c r="BA127" i="146"/>
  <c r="AZ127" i="146"/>
  <c r="AY127" i="146"/>
  <c r="AX127" i="146"/>
  <c r="AW127" i="146"/>
  <c r="AV127" i="146"/>
  <c r="AU127" i="146"/>
  <c r="AS126" i="146"/>
  <c r="AS127" i="146" s="1"/>
  <c r="AR126" i="146"/>
  <c r="AQ126" i="146"/>
  <c r="AQ127" i="146" s="1"/>
  <c r="AP126" i="146"/>
  <c r="AO126" i="146"/>
  <c r="AO127" i="146" s="1"/>
  <c r="AN126" i="146"/>
  <c r="AN127" i="146" s="1"/>
  <c r="AM126" i="146"/>
  <c r="AM127" i="146" s="1"/>
  <c r="AL126" i="146"/>
  <c r="AK126" i="146"/>
  <c r="AK127" i="146" s="1"/>
  <c r="AJ126" i="146"/>
  <c r="AI126" i="146"/>
  <c r="AI127" i="146" s="1"/>
  <c r="AH126" i="146"/>
  <c r="AG126" i="146"/>
  <c r="AG127" i="146" s="1"/>
  <c r="AF126" i="146"/>
  <c r="AF127" i="146" s="1"/>
  <c r="AE126" i="146"/>
  <c r="AE127" i="146" s="1"/>
  <c r="AD126" i="146"/>
  <c r="AC126" i="146"/>
  <c r="AC127" i="146" s="1"/>
  <c r="AB126" i="146"/>
  <c r="AA126" i="146"/>
  <c r="AA127" i="146" s="1"/>
  <c r="Z126" i="146"/>
  <c r="Y126" i="146"/>
  <c r="Y127" i="146" s="1"/>
  <c r="X126" i="146"/>
  <c r="X127" i="146" s="1"/>
  <c r="W126" i="146"/>
  <c r="W127" i="146" s="1"/>
  <c r="V126" i="146"/>
  <c r="U126" i="146"/>
  <c r="U127" i="146" s="1"/>
  <c r="T126" i="146"/>
  <c r="S126" i="146"/>
  <c r="R126" i="146"/>
  <c r="Q126" i="146"/>
  <c r="P126" i="146"/>
  <c r="P127" i="146" s="1"/>
  <c r="O126" i="146"/>
  <c r="O127" i="146" s="1"/>
  <c r="N126" i="146"/>
  <c r="M126" i="146"/>
  <c r="M127" i="146" s="1"/>
  <c r="L126" i="146"/>
  <c r="K126" i="146"/>
  <c r="K127" i="146" s="1"/>
  <c r="I126" i="146"/>
  <c r="I127" i="146" s="1"/>
  <c r="H126" i="146"/>
  <c r="H127" i="146" s="1"/>
  <c r="G126" i="146"/>
  <c r="G127" i="146" s="1"/>
  <c r="F126" i="146"/>
  <c r="F127" i="146" s="1"/>
  <c r="AS123" i="146"/>
  <c r="AR123" i="146"/>
  <c r="AQ123" i="146"/>
  <c r="AP123" i="146"/>
  <c r="AO123" i="146"/>
  <c r="AN123" i="146"/>
  <c r="AM123" i="146"/>
  <c r="AL123" i="146"/>
  <c r="AK123" i="146"/>
  <c r="AJ123" i="146"/>
  <c r="AI123" i="146"/>
  <c r="AH123" i="146"/>
  <c r="AG123" i="146"/>
  <c r="AF123" i="146"/>
  <c r="AE123" i="146"/>
  <c r="AD123" i="146"/>
  <c r="AC123" i="146"/>
  <c r="AB123" i="146"/>
  <c r="AA123" i="146"/>
  <c r="Z123" i="146"/>
  <c r="Y123" i="146"/>
  <c r="X123" i="146"/>
  <c r="W123" i="146"/>
  <c r="V123" i="146"/>
  <c r="U123" i="146"/>
  <c r="T123" i="146"/>
  <c r="S123" i="146"/>
  <c r="R123" i="146"/>
  <c r="Q123" i="146"/>
  <c r="P123" i="146"/>
  <c r="O123" i="146"/>
  <c r="N123" i="146"/>
  <c r="M123" i="146"/>
  <c r="L123" i="146"/>
  <c r="K123" i="146"/>
  <c r="AS118" i="146"/>
  <c r="AS21" i="146" s="1"/>
  <c r="AR118" i="146"/>
  <c r="AR21" i="146" s="1"/>
  <c r="AQ118" i="146"/>
  <c r="AQ21" i="146" s="1"/>
  <c r="AP118" i="146"/>
  <c r="AP21" i="146" s="1"/>
  <c r="AO118" i="146"/>
  <c r="AO21" i="146" s="1"/>
  <c r="AN118" i="146"/>
  <c r="AN21" i="146" s="1"/>
  <c r="AM118" i="146"/>
  <c r="AM21" i="146" s="1"/>
  <c r="AL118" i="146"/>
  <c r="AL21" i="146" s="1"/>
  <c r="AK118" i="146"/>
  <c r="AK21" i="146" s="1"/>
  <c r="AJ118" i="146"/>
  <c r="AJ21" i="146" s="1"/>
  <c r="AI118" i="146"/>
  <c r="AI21" i="146" s="1"/>
  <c r="AH118" i="146"/>
  <c r="AH21" i="146" s="1"/>
  <c r="AG118" i="146"/>
  <c r="AG21" i="146" s="1"/>
  <c r="AF118" i="146"/>
  <c r="AF21" i="146" s="1"/>
  <c r="AE118" i="146"/>
  <c r="AE21" i="146" s="1"/>
  <c r="AD118" i="146"/>
  <c r="AD21" i="146" s="1"/>
  <c r="AC118" i="146"/>
  <c r="AC21" i="146" s="1"/>
  <c r="AB118" i="146"/>
  <c r="AB21" i="146" s="1"/>
  <c r="AA118" i="146"/>
  <c r="AA21" i="146" s="1"/>
  <c r="Z118" i="146"/>
  <c r="Z21" i="146" s="1"/>
  <c r="Y118" i="146"/>
  <c r="Y21" i="146" s="1"/>
  <c r="X118" i="146"/>
  <c r="X21" i="146" s="1"/>
  <c r="W118" i="146"/>
  <c r="W21" i="146" s="1"/>
  <c r="V118" i="146"/>
  <c r="V21" i="146" s="1"/>
  <c r="U118" i="146"/>
  <c r="U21" i="146" s="1"/>
  <c r="T118" i="146"/>
  <c r="T21" i="146" s="1"/>
  <c r="S118" i="146"/>
  <c r="S21" i="146" s="1"/>
  <c r="R118" i="146"/>
  <c r="R21" i="146" s="1"/>
  <c r="Q118" i="146"/>
  <c r="Q21" i="146" s="1"/>
  <c r="P118" i="146"/>
  <c r="P21" i="146" s="1"/>
  <c r="O118" i="146"/>
  <c r="O21" i="146" s="1"/>
  <c r="N118" i="146"/>
  <c r="N21" i="146" s="1"/>
  <c r="M118" i="146"/>
  <c r="M21" i="146" s="1"/>
  <c r="L118" i="146"/>
  <c r="L21" i="146" s="1"/>
  <c r="K118" i="146"/>
  <c r="K21" i="146" s="1"/>
  <c r="AS117" i="146"/>
  <c r="AR117" i="146"/>
  <c r="AQ117" i="146"/>
  <c r="AP117" i="146"/>
  <c r="AO117" i="146"/>
  <c r="AN117" i="146"/>
  <c r="AM117" i="146"/>
  <c r="AL117" i="146"/>
  <c r="AK117" i="146"/>
  <c r="AJ117" i="146"/>
  <c r="AI117" i="146"/>
  <c r="AH117" i="146"/>
  <c r="AG117" i="146"/>
  <c r="AF117" i="146"/>
  <c r="AE117" i="146"/>
  <c r="AD117" i="146"/>
  <c r="AC117" i="146"/>
  <c r="AB117" i="146"/>
  <c r="AA117" i="146"/>
  <c r="Z117" i="146"/>
  <c r="Y117" i="146"/>
  <c r="X117" i="146"/>
  <c r="W117" i="146"/>
  <c r="V117" i="146"/>
  <c r="U117" i="146"/>
  <c r="T117" i="146"/>
  <c r="S117" i="146"/>
  <c r="R117" i="146"/>
  <c r="Q117" i="146"/>
  <c r="P117" i="146"/>
  <c r="O117" i="146"/>
  <c r="N117" i="146"/>
  <c r="M117" i="146"/>
  <c r="L117" i="146"/>
  <c r="K117" i="146"/>
  <c r="J107" i="146"/>
  <c r="AS106" i="146"/>
  <c r="AR106" i="146"/>
  <c r="AQ106" i="146"/>
  <c r="AP106" i="146"/>
  <c r="AO106" i="146"/>
  <c r="AN106" i="146"/>
  <c r="AM106" i="146"/>
  <c r="AL106" i="146"/>
  <c r="AK106" i="146"/>
  <c r="AJ106" i="146"/>
  <c r="AI106" i="146"/>
  <c r="AH106" i="146"/>
  <c r="AG106" i="146"/>
  <c r="AF106" i="146"/>
  <c r="AE106" i="146"/>
  <c r="AD106" i="146"/>
  <c r="AC106" i="146"/>
  <c r="AB106" i="146"/>
  <c r="AA106" i="146"/>
  <c r="Z106" i="146"/>
  <c r="Y106" i="146"/>
  <c r="X106" i="146"/>
  <c r="W106" i="146"/>
  <c r="V106" i="146"/>
  <c r="U106" i="146"/>
  <c r="T106" i="146"/>
  <c r="S106" i="146"/>
  <c r="R106" i="146"/>
  <c r="Q106" i="146"/>
  <c r="P106" i="146"/>
  <c r="O106" i="146"/>
  <c r="N106" i="146"/>
  <c r="M106" i="146"/>
  <c r="L106" i="146"/>
  <c r="K106" i="146"/>
  <c r="A106" i="146"/>
  <c r="AS105" i="146"/>
  <c r="AR105" i="146"/>
  <c r="AQ105" i="146"/>
  <c r="AP105" i="146"/>
  <c r="AO105" i="146"/>
  <c r="AN105" i="146"/>
  <c r="AM105" i="146"/>
  <c r="AL105" i="146"/>
  <c r="AK105" i="146"/>
  <c r="AJ105" i="146"/>
  <c r="AI105" i="146"/>
  <c r="AH105" i="146"/>
  <c r="AG105" i="146"/>
  <c r="AF105" i="146"/>
  <c r="AE105" i="146"/>
  <c r="AD105" i="146"/>
  <c r="AC105" i="146"/>
  <c r="AB105" i="146"/>
  <c r="AA105" i="146"/>
  <c r="Z105" i="146"/>
  <c r="Y105" i="146"/>
  <c r="X105" i="146"/>
  <c r="W105" i="146"/>
  <c r="V105" i="146"/>
  <c r="U105" i="146"/>
  <c r="T105" i="146"/>
  <c r="S105" i="146"/>
  <c r="R105" i="146"/>
  <c r="Q105" i="146"/>
  <c r="P105" i="146"/>
  <c r="O105" i="146"/>
  <c r="N105" i="146"/>
  <c r="M105" i="146"/>
  <c r="L105" i="146"/>
  <c r="K105" i="146"/>
  <c r="A105" i="146"/>
  <c r="AS104" i="146"/>
  <c r="AR104" i="146"/>
  <c r="AQ104" i="146"/>
  <c r="AP104" i="146"/>
  <c r="AO104" i="146"/>
  <c r="AN104" i="146"/>
  <c r="AM104" i="146"/>
  <c r="AL104" i="146"/>
  <c r="AK104" i="146"/>
  <c r="AJ104" i="146"/>
  <c r="AI104" i="146"/>
  <c r="AH104" i="146"/>
  <c r="AG104" i="146"/>
  <c r="AF104" i="146"/>
  <c r="AE104" i="146"/>
  <c r="AD104" i="146"/>
  <c r="AC104" i="146"/>
  <c r="AB104" i="146"/>
  <c r="AA104" i="146"/>
  <c r="Z104" i="146"/>
  <c r="Y104" i="146"/>
  <c r="X104" i="146"/>
  <c r="W104" i="146"/>
  <c r="V104" i="146"/>
  <c r="U104" i="146"/>
  <c r="T104" i="146"/>
  <c r="S104" i="146"/>
  <c r="R104" i="146"/>
  <c r="Q104" i="146"/>
  <c r="P104" i="146"/>
  <c r="O104" i="146"/>
  <c r="N104" i="146"/>
  <c r="M104" i="146"/>
  <c r="L104" i="146"/>
  <c r="K104" i="146"/>
  <c r="A104" i="146"/>
  <c r="AS103" i="146"/>
  <c r="AR103" i="146"/>
  <c r="AQ103" i="146"/>
  <c r="AP103" i="146"/>
  <c r="AO103" i="146"/>
  <c r="AN103" i="146"/>
  <c r="AM103" i="146"/>
  <c r="AL103" i="146"/>
  <c r="AK103" i="146"/>
  <c r="AJ103" i="146"/>
  <c r="AI103" i="146"/>
  <c r="AH103" i="146"/>
  <c r="AG103" i="146"/>
  <c r="AF103" i="146"/>
  <c r="AE103" i="146"/>
  <c r="AD103" i="146"/>
  <c r="AC103" i="146"/>
  <c r="AB103" i="146"/>
  <c r="AA103" i="146"/>
  <c r="Z103" i="146"/>
  <c r="Y103" i="146"/>
  <c r="X103" i="146"/>
  <c r="W103" i="146"/>
  <c r="V103" i="146"/>
  <c r="U103" i="146"/>
  <c r="T103" i="146"/>
  <c r="S103" i="146"/>
  <c r="R103" i="146"/>
  <c r="Q103" i="146"/>
  <c r="P103" i="146"/>
  <c r="O103" i="146"/>
  <c r="N103" i="146"/>
  <c r="M103" i="146"/>
  <c r="L103" i="146"/>
  <c r="K103" i="146"/>
  <c r="A103" i="146"/>
  <c r="A102" i="146"/>
  <c r="A101" i="146"/>
  <c r="AS100" i="146"/>
  <c r="AR100" i="146"/>
  <c r="AQ100" i="146"/>
  <c r="AP100" i="146"/>
  <c r="AO100" i="146"/>
  <c r="AN100" i="146"/>
  <c r="AM100" i="146"/>
  <c r="AL100" i="146"/>
  <c r="AK100" i="146"/>
  <c r="AJ100" i="146"/>
  <c r="AI100" i="146"/>
  <c r="AH100" i="146"/>
  <c r="AG100" i="146"/>
  <c r="AF100" i="146"/>
  <c r="AE100" i="146"/>
  <c r="AD100" i="146"/>
  <c r="AC100" i="146"/>
  <c r="AB100" i="146"/>
  <c r="AA100" i="146"/>
  <c r="Z100" i="146"/>
  <c r="Y100" i="146"/>
  <c r="X100" i="146"/>
  <c r="W100" i="146"/>
  <c r="V100" i="146"/>
  <c r="U100" i="146"/>
  <c r="T100" i="146"/>
  <c r="S100" i="146"/>
  <c r="R100" i="146"/>
  <c r="Q100" i="146"/>
  <c r="O100" i="146"/>
  <c r="N100" i="146"/>
  <c r="M100" i="146"/>
  <c r="L100" i="146"/>
  <c r="K100" i="146"/>
  <c r="I100" i="146"/>
  <c r="H100" i="146"/>
  <c r="G100" i="146"/>
  <c r="F100" i="146"/>
  <c r="A100" i="146"/>
  <c r="A99" i="146"/>
  <c r="AS98" i="146"/>
  <c r="AR98" i="146"/>
  <c r="AQ98" i="146"/>
  <c r="AP98" i="146"/>
  <c r="AO98" i="146"/>
  <c r="AN98" i="146"/>
  <c r="AM98" i="146"/>
  <c r="AL98" i="146"/>
  <c r="AK98" i="146"/>
  <c r="AJ98" i="146"/>
  <c r="AI98" i="146"/>
  <c r="AH98" i="146"/>
  <c r="AG98" i="146"/>
  <c r="AF98" i="146"/>
  <c r="AE98" i="146"/>
  <c r="AD98" i="146"/>
  <c r="AC98" i="146"/>
  <c r="AB98" i="146"/>
  <c r="AA98" i="146"/>
  <c r="Z98" i="146"/>
  <c r="Y98" i="146"/>
  <c r="X98" i="146"/>
  <c r="W98" i="146"/>
  <c r="V98" i="146"/>
  <c r="U98" i="146"/>
  <c r="T98" i="146"/>
  <c r="S98" i="146"/>
  <c r="R98" i="146"/>
  <c r="Q98" i="146"/>
  <c r="P98" i="146"/>
  <c r="O98" i="146"/>
  <c r="N98" i="146"/>
  <c r="M98" i="146"/>
  <c r="L98" i="146"/>
  <c r="K98" i="146"/>
  <c r="C98" i="146"/>
  <c r="A98" i="146"/>
  <c r="AS97" i="146"/>
  <c r="AR97" i="146"/>
  <c r="AQ97" i="146"/>
  <c r="AP97" i="146"/>
  <c r="AO97" i="146"/>
  <c r="AN97" i="146"/>
  <c r="AM97" i="146"/>
  <c r="AL97" i="146"/>
  <c r="AK97" i="146"/>
  <c r="AJ97" i="146"/>
  <c r="AI97" i="146"/>
  <c r="AH97" i="146"/>
  <c r="AG97" i="146"/>
  <c r="AF97" i="146"/>
  <c r="AE97" i="146"/>
  <c r="AD97" i="146"/>
  <c r="AC97" i="146"/>
  <c r="AB97" i="146"/>
  <c r="AA97" i="146"/>
  <c r="Z97" i="146"/>
  <c r="Y97" i="146"/>
  <c r="X97" i="146"/>
  <c r="W97" i="146"/>
  <c r="V97" i="146"/>
  <c r="U97" i="146"/>
  <c r="T97" i="146"/>
  <c r="S97" i="146"/>
  <c r="R97" i="146"/>
  <c r="Q97" i="146"/>
  <c r="P97" i="146"/>
  <c r="O97" i="146"/>
  <c r="N97" i="146"/>
  <c r="M97" i="146"/>
  <c r="L97" i="146"/>
  <c r="K97" i="146"/>
  <c r="A97" i="146"/>
  <c r="AS96" i="146"/>
  <c r="AR96" i="146"/>
  <c r="AQ96" i="146"/>
  <c r="AP96" i="146"/>
  <c r="AO96" i="146"/>
  <c r="AN96" i="146"/>
  <c r="AM96" i="146"/>
  <c r="AL96" i="146"/>
  <c r="AK96" i="146"/>
  <c r="AJ96" i="146"/>
  <c r="AI96" i="146"/>
  <c r="AH96" i="146"/>
  <c r="AG96" i="146"/>
  <c r="AF96" i="146"/>
  <c r="AE96" i="146"/>
  <c r="AD96" i="146"/>
  <c r="AC96" i="146"/>
  <c r="AB96" i="146"/>
  <c r="AA96" i="146"/>
  <c r="Z96" i="146"/>
  <c r="Y96" i="146"/>
  <c r="X96" i="146"/>
  <c r="W96" i="146"/>
  <c r="V96" i="146"/>
  <c r="U96" i="146"/>
  <c r="T96" i="146"/>
  <c r="S96" i="146"/>
  <c r="R96" i="146"/>
  <c r="Q96" i="146"/>
  <c r="P96" i="146"/>
  <c r="O96" i="146"/>
  <c r="N96" i="146"/>
  <c r="M96" i="146"/>
  <c r="L96" i="146"/>
  <c r="K96" i="146"/>
  <c r="I96" i="146"/>
  <c r="H96" i="146"/>
  <c r="G96" i="146"/>
  <c r="F96" i="146"/>
  <c r="A96" i="146"/>
  <c r="AS95" i="146"/>
  <c r="AR95" i="146"/>
  <c r="AQ95" i="146"/>
  <c r="AP95" i="146"/>
  <c r="AO95" i="146"/>
  <c r="AN95" i="146"/>
  <c r="AM95" i="146"/>
  <c r="AL95" i="146"/>
  <c r="AK95" i="146"/>
  <c r="AJ95" i="146"/>
  <c r="AI95" i="146"/>
  <c r="AH95" i="146"/>
  <c r="AG95" i="146"/>
  <c r="AF95" i="146"/>
  <c r="AE95" i="146"/>
  <c r="AD95" i="146"/>
  <c r="AC95" i="146"/>
  <c r="AB95" i="146"/>
  <c r="AA95" i="146"/>
  <c r="Z95" i="146"/>
  <c r="Y95" i="146"/>
  <c r="X95" i="146"/>
  <c r="W95" i="146"/>
  <c r="V95" i="146"/>
  <c r="U95" i="146"/>
  <c r="T95" i="146"/>
  <c r="S95" i="146"/>
  <c r="R95" i="146"/>
  <c r="Q95" i="146"/>
  <c r="P95" i="146"/>
  <c r="O95" i="146"/>
  <c r="N95" i="146"/>
  <c r="M95" i="146"/>
  <c r="L95" i="146"/>
  <c r="K95" i="146"/>
  <c r="I95" i="146"/>
  <c r="H95" i="146"/>
  <c r="G95" i="146"/>
  <c r="F95" i="146"/>
  <c r="A95" i="146"/>
  <c r="A94" i="146"/>
  <c r="AR93" i="146"/>
  <c r="AQ93" i="146"/>
  <c r="AP93" i="146"/>
  <c r="AO93" i="146"/>
  <c r="AN93" i="146"/>
  <c r="AM93" i="146"/>
  <c r="AL93" i="146"/>
  <c r="AK93" i="146"/>
  <c r="AJ93" i="146"/>
  <c r="AI93" i="146"/>
  <c r="AH93" i="146"/>
  <c r="AG93" i="146"/>
  <c r="AF93" i="146"/>
  <c r="AD93" i="146"/>
  <c r="AC93" i="146"/>
  <c r="AB93" i="146"/>
  <c r="Z93" i="146"/>
  <c r="W93" i="146"/>
  <c r="U93" i="146"/>
  <c r="T93" i="146"/>
  <c r="S93" i="146"/>
  <c r="Q93" i="146"/>
  <c r="O93" i="146"/>
  <c r="N93" i="146"/>
  <c r="M93" i="146"/>
  <c r="L93" i="146"/>
  <c r="K93" i="146"/>
  <c r="A93" i="146"/>
  <c r="AS92" i="146"/>
  <c r="AR92" i="146"/>
  <c r="AQ92" i="146"/>
  <c r="AP92" i="146"/>
  <c r="AO92" i="146"/>
  <c r="AN92" i="146"/>
  <c r="AM92" i="146"/>
  <c r="AL92" i="146"/>
  <c r="AK92" i="146"/>
  <c r="AJ92" i="146"/>
  <c r="AI92" i="146"/>
  <c r="AH92" i="146"/>
  <c r="AG92" i="146"/>
  <c r="AF92" i="146"/>
  <c r="AE92" i="146"/>
  <c r="AD92" i="146"/>
  <c r="AC92" i="146"/>
  <c r="AB92" i="146"/>
  <c r="AA92" i="146"/>
  <c r="Z92" i="146"/>
  <c r="Y92" i="146"/>
  <c r="X92" i="146"/>
  <c r="W92" i="146"/>
  <c r="V92" i="146"/>
  <c r="U92" i="146"/>
  <c r="T92" i="146"/>
  <c r="S92" i="146"/>
  <c r="R92" i="146"/>
  <c r="Q92" i="146"/>
  <c r="P92" i="146"/>
  <c r="O92" i="146"/>
  <c r="N92" i="146"/>
  <c r="M92" i="146"/>
  <c r="L92" i="146"/>
  <c r="K92" i="146"/>
  <c r="A92" i="146"/>
  <c r="D89" i="122" s="1"/>
  <c r="AS91" i="146"/>
  <c r="AR91" i="146"/>
  <c r="AQ91" i="146"/>
  <c r="AP91" i="146"/>
  <c r="AO91" i="146"/>
  <c r="AN91" i="146"/>
  <c r="AM91" i="146"/>
  <c r="AL91" i="146"/>
  <c r="AK91" i="146"/>
  <c r="AJ91" i="146"/>
  <c r="AI91" i="146"/>
  <c r="AH91" i="146"/>
  <c r="AG91" i="146"/>
  <c r="AF91" i="146"/>
  <c r="AE91" i="146"/>
  <c r="AD91" i="146"/>
  <c r="AC91" i="146"/>
  <c r="AB91" i="146"/>
  <c r="AA91" i="146"/>
  <c r="Z91" i="146"/>
  <c r="Y91" i="146"/>
  <c r="X91" i="146"/>
  <c r="W91" i="146"/>
  <c r="V91" i="146"/>
  <c r="U91" i="146"/>
  <c r="T91" i="146"/>
  <c r="S91" i="146"/>
  <c r="R91" i="146"/>
  <c r="Q91" i="146"/>
  <c r="P91" i="146"/>
  <c r="O91" i="146"/>
  <c r="N91" i="146"/>
  <c r="M91" i="146"/>
  <c r="L91" i="146"/>
  <c r="K91" i="146"/>
  <c r="A91" i="146"/>
  <c r="D88" i="122" s="1"/>
  <c r="AS90" i="146"/>
  <c r="AR90" i="146"/>
  <c r="AQ90" i="146"/>
  <c r="AP90" i="146"/>
  <c r="AO90" i="146"/>
  <c r="AN90" i="146"/>
  <c r="AM90" i="146"/>
  <c r="AL90" i="146"/>
  <c r="AK90" i="146"/>
  <c r="AJ90" i="146"/>
  <c r="AI90" i="146"/>
  <c r="AH90" i="146"/>
  <c r="AG90" i="146"/>
  <c r="AF90" i="146"/>
  <c r="AE90" i="146"/>
  <c r="AD90" i="146"/>
  <c r="AC90" i="146"/>
  <c r="AB90" i="146"/>
  <c r="AA90" i="146"/>
  <c r="Z90" i="146"/>
  <c r="Y90" i="146"/>
  <c r="X90" i="146"/>
  <c r="W90" i="146"/>
  <c r="V90" i="146"/>
  <c r="U90" i="146"/>
  <c r="T90" i="146"/>
  <c r="S90" i="146"/>
  <c r="R90" i="146"/>
  <c r="Q90" i="146"/>
  <c r="P90" i="146"/>
  <c r="O90" i="146"/>
  <c r="N90" i="146"/>
  <c r="M90" i="146"/>
  <c r="L90" i="146"/>
  <c r="K90" i="146"/>
  <c r="A90" i="146"/>
  <c r="D87" i="122" s="1"/>
  <c r="AS89" i="146"/>
  <c r="AR89" i="146"/>
  <c r="AQ89" i="146"/>
  <c r="AP89" i="146"/>
  <c r="AO89" i="146"/>
  <c r="AN89" i="146"/>
  <c r="AM89" i="146"/>
  <c r="AL89" i="146"/>
  <c r="AK89" i="146"/>
  <c r="AJ89" i="146"/>
  <c r="AI89" i="146"/>
  <c r="AH89" i="146"/>
  <c r="AG89" i="146"/>
  <c r="AF89" i="146"/>
  <c r="AE89" i="146"/>
  <c r="AD89" i="146"/>
  <c r="AC89" i="146"/>
  <c r="AB89" i="146"/>
  <c r="AA89" i="146"/>
  <c r="Z89" i="146"/>
  <c r="Y89" i="146"/>
  <c r="X89" i="146"/>
  <c r="W89" i="146"/>
  <c r="V89" i="146"/>
  <c r="U89" i="146"/>
  <c r="T89" i="146"/>
  <c r="S89" i="146"/>
  <c r="R89" i="146"/>
  <c r="Q89" i="146"/>
  <c r="P89" i="146"/>
  <c r="O89" i="146"/>
  <c r="N89" i="146"/>
  <c r="M89" i="146"/>
  <c r="A89" i="146"/>
  <c r="D86" i="122" s="1"/>
  <c r="A88" i="146"/>
  <c r="AS87" i="146"/>
  <c r="AR87" i="146"/>
  <c r="AQ87" i="146"/>
  <c r="AP87" i="146"/>
  <c r="AO87" i="146"/>
  <c r="AN87" i="146"/>
  <c r="AM87" i="146"/>
  <c r="AL87" i="146"/>
  <c r="AK87" i="146"/>
  <c r="AJ87" i="146"/>
  <c r="AI87" i="146"/>
  <c r="AH87" i="146"/>
  <c r="AG87" i="146"/>
  <c r="AF87" i="146"/>
  <c r="AE87" i="146"/>
  <c r="AD87" i="146"/>
  <c r="AC87" i="146"/>
  <c r="AB87" i="146"/>
  <c r="AA87" i="146"/>
  <c r="Z87" i="146"/>
  <c r="Y87" i="146"/>
  <c r="X87" i="146"/>
  <c r="W87" i="146"/>
  <c r="V87" i="146"/>
  <c r="U87" i="146"/>
  <c r="T87" i="146"/>
  <c r="S87" i="146"/>
  <c r="R87" i="146"/>
  <c r="P87" i="146"/>
  <c r="O87" i="146"/>
  <c r="N87" i="146"/>
  <c r="M87" i="146"/>
  <c r="L87" i="146"/>
  <c r="K87" i="146"/>
  <c r="A87" i="146"/>
  <c r="D84" i="122" s="1"/>
  <c r="A86" i="146"/>
  <c r="A85" i="146"/>
  <c r="CL84" i="146"/>
  <c r="F81" i="122" s="1"/>
  <c r="CK84" i="146"/>
  <c r="CJ84" i="146"/>
  <c r="CI84" i="146"/>
  <c r="CH84" i="146"/>
  <c r="CG84" i="146"/>
  <c r="CF84" i="146"/>
  <c r="CE84" i="146"/>
  <c r="CD84" i="146"/>
  <c r="CC84" i="146"/>
  <c r="CB84" i="146"/>
  <c r="CA84" i="146"/>
  <c r="BZ84" i="146"/>
  <c r="BY84" i="146"/>
  <c r="BX84" i="146"/>
  <c r="BW84" i="146"/>
  <c r="BV84" i="146"/>
  <c r="BU84" i="146"/>
  <c r="BT84" i="146"/>
  <c r="BS84" i="146"/>
  <c r="BR84" i="146"/>
  <c r="BQ84" i="146"/>
  <c r="BP84" i="146"/>
  <c r="BO84" i="146"/>
  <c r="BN84" i="146"/>
  <c r="BM84" i="146"/>
  <c r="BL84" i="146"/>
  <c r="BK84" i="146"/>
  <c r="BJ84" i="146"/>
  <c r="BI84" i="146"/>
  <c r="BH84" i="146"/>
  <c r="BG84" i="146"/>
  <c r="BF84" i="146"/>
  <c r="BE84" i="146"/>
  <c r="BD84" i="146"/>
  <c r="BC84" i="146"/>
  <c r="BB84" i="146"/>
  <c r="BA84" i="146"/>
  <c r="AZ84" i="146"/>
  <c r="AY84" i="146"/>
  <c r="AX84" i="146"/>
  <c r="AW84" i="146"/>
  <c r="A84" i="146"/>
  <c r="AS83" i="146"/>
  <c r="AR83" i="146"/>
  <c r="AQ83" i="146"/>
  <c r="AP83" i="146"/>
  <c r="AO83" i="146"/>
  <c r="AN83" i="146"/>
  <c r="AM83" i="146"/>
  <c r="AL83" i="146"/>
  <c r="AK83" i="146"/>
  <c r="AJ83" i="146"/>
  <c r="AI83" i="146"/>
  <c r="AH83" i="146"/>
  <c r="AG83" i="146"/>
  <c r="AF83" i="146"/>
  <c r="AE83" i="146"/>
  <c r="AD83" i="146"/>
  <c r="AC83" i="146"/>
  <c r="AB83" i="146"/>
  <c r="AA83" i="146"/>
  <c r="Z83" i="146"/>
  <c r="Y83" i="146"/>
  <c r="X83" i="146"/>
  <c r="W83" i="146"/>
  <c r="V83" i="146"/>
  <c r="U83" i="146"/>
  <c r="T83" i="146"/>
  <c r="S83" i="146"/>
  <c r="R83" i="146"/>
  <c r="Q83" i="146"/>
  <c r="P83" i="146"/>
  <c r="O83" i="146"/>
  <c r="N83" i="146"/>
  <c r="M83" i="146"/>
  <c r="L83" i="146"/>
  <c r="K83" i="146"/>
  <c r="I83" i="146"/>
  <c r="H83" i="146"/>
  <c r="G83" i="146"/>
  <c r="F83" i="146"/>
  <c r="A83" i="146"/>
  <c r="D80" i="122" s="1"/>
  <c r="CK82" i="146"/>
  <c r="CJ82" i="146"/>
  <c r="CI82" i="146"/>
  <c r="CH82" i="146"/>
  <c r="CG82" i="146"/>
  <c r="CF82" i="146"/>
  <c r="CE82" i="146"/>
  <c r="CD82" i="146"/>
  <c r="CC82" i="146"/>
  <c r="CB82" i="146"/>
  <c r="CA82" i="146"/>
  <c r="BZ82" i="146"/>
  <c r="BY82" i="146"/>
  <c r="BX82" i="146"/>
  <c r="BW82" i="146"/>
  <c r="BV82" i="146"/>
  <c r="BU82" i="146"/>
  <c r="BT82" i="146"/>
  <c r="BS82" i="146"/>
  <c r="BR82" i="146"/>
  <c r="BQ82" i="146"/>
  <c r="BP82" i="146"/>
  <c r="BO82" i="146"/>
  <c r="BN82" i="146"/>
  <c r="BM82" i="146"/>
  <c r="BL82" i="146"/>
  <c r="BK82" i="146"/>
  <c r="BJ82" i="146"/>
  <c r="BI82" i="146"/>
  <c r="BH82" i="146"/>
  <c r="BG82" i="146"/>
  <c r="BF82" i="146"/>
  <c r="BE82" i="146"/>
  <c r="BD82" i="146"/>
  <c r="BC82" i="146"/>
  <c r="BB82" i="146"/>
  <c r="BA82" i="146"/>
  <c r="AZ82" i="146"/>
  <c r="AY82" i="146"/>
  <c r="AX82" i="146"/>
  <c r="AW82" i="146"/>
  <c r="AB82" i="146"/>
  <c r="A82" i="146"/>
  <c r="CL81" i="146"/>
  <c r="AS81" i="146"/>
  <c r="AR81" i="146"/>
  <c r="AQ81" i="146"/>
  <c r="AP81" i="146"/>
  <c r="AO81" i="146"/>
  <c r="AN81" i="146"/>
  <c r="AM81" i="146"/>
  <c r="AL81" i="146"/>
  <c r="AK81" i="146"/>
  <c r="AJ81" i="146"/>
  <c r="AI81" i="146"/>
  <c r="AH81" i="146"/>
  <c r="AG81" i="146"/>
  <c r="AF81" i="146"/>
  <c r="AE81" i="146"/>
  <c r="AD81" i="146"/>
  <c r="AC81" i="146"/>
  <c r="AB81" i="146"/>
  <c r="AA81" i="146"/>
  <c r="Z81" i="146"/>
  <c r="Y81" i="146"/>
  <c r="X81" i="146"/>
  <c r="W81" i="146"/>
  <c r="V81" i="146"/>
  <c r="U81" i="146"/>
  <c r="T81" i="146"/>
  <c r="S81" i="146"/>
  <c r="R81" i="146"/>
  <c r="Q81" i="146"/>
  <c r="P81" i="146"/>
  <c r="O81" i="146"/>
  <c r="N81" i="146"/>
  <c r="M81" i="146"/>
  <c r="L81" i="146"/>
  <c r="K81" i="146"/>
  <c r="I81" i="146"/>
  <c r="H81" i="146"/>
  <c r="G81" i="146"/>
  <c r="F81" i="146"/>
  <c r="A81" i="146"/>
  <c r="D78" i="122" s="1"/>
  <c r="AS80" i="146"/>
  <c r="AR80" i="146"/>
  <c r="AR82" i="146" s="1"/>
  <c r="AQ80" i="146"/>
  <c r="AP80" i="146"/>
  <c r="AO80" i="146"/>
  <c r="AO82" i="146" s="1"/>
  <c r="AN80" i="146"/>
  <c r="AM80" i="146"/>
  <c r="AM82" i="146" s="1"/>
  <c r="AL80" i="146"/>
  <c r="AK80" i="146"/>
  <c r="AJ80" i="146"/>
  <c r="AJ82" i="146" s="1"/>
  <c r="AI80" i="146"/>
  <c r="AH80" i="146"/>
  <c r="AG80" i="146"/>
  <c r="AG82" i="146" s="1"/>
  <c r="AF80" i="146"/>
  <c r="AE80" i="146"/>
  <c r="AE82" i="146" s="1"/>
  <c r="AD80" i="146"/>
  <c r="AC80" i="146"/>
  <c r="AB80" i="146"/>
  <c r="AA80" i="146"/>
  <c r="Z80" i="146"/>
  <c r="Y80" i="146"/>
  <c r="Y82" i="146" s="1"/>
  <c r="X80" i="146"/>
  <c r="W80" i="146"/>
  <c r="W82" i="146" s="1"/>
  <c r="V80" i="146"/>
  <c r="U80" i="146"/>
  <c r="T80" i="146"/>
  <c r="T82" i="146" s="1"/>
  <c r="S80" i="146"/>
  <c r="R80" i="146"/>
  <c r="Q80" i="146"/>
  <c r="P80" i="146"/>
  <c r="O80" i="146"/>
  <c r="O82" i="146" s="1"/>
  <c r="N80" i="146"/>
  <c r="M80" i="146"/>
  <c r="L80" i="146"/>
  <c r="L82" i="146" s="1"/>
  <c r="K80" i="146"/>
  <c r="I80" i="146"/>
  <c r="H80" i="146"/>
  <c r="H82" i="146" s="1"/>
  <c r="G80" i="146"/>
  <c r="F80" i="146"/>
  <c r="A80" i="146"/>
  <c r="D77" i="122" s="1"/>
  <c r="A79" i="146"/>
  <c r="AS78" i="146"/>
  <c r="AR78" i="146"/>
  <c r="AQ78" i="146"/>
  <c r="AP78" i="146"/>
  <c r="AO78" i="146"/>
  <c r="AN78" i="146"/>
  <c r="AM78" i="146"/>
  <c r="AL78" i="146"/>
  <c r="AK78" i="146"/>
  <c r="AJ78" i="146"/>
  <c r="AI78" i="146"/>
  <c r="AH78" i="146"/>
  <c r="AG78" i="146"/>
  <c r="AF78" i="146"/>
  <c r="AE78" i="146"/>
  <c r="AD78" i="146"/>
  <c r="AC78" i="146"/>
  <c r="AB78" i="146"/>
  <c r="AA78" i="146"/>
  <c r="Z78" i="146"/>
  <c r="Y78" i="146"/>
  <c r="X78" i="146"/>
  <c r="W78" i="146"/>
  <c r="V78" i="146"/>
  <c r="U78" i="146"/>
  <c r="T78" i="146"/>
  <c r="S78" i="146"/>
  <c r="R78" i="146"/>
  <c r="Q78" i="146"/>
  <c r="P78" i="146"/>
  <c r="O78" i="146"/>
  <c r="N78" i="146"/>
  <c r="M78" i="146"/>
  <c r="L78" i="146"/>
  <c r="K78" i="146"/>
  <c r="A78" i="146"/>
  <c r="D75" i="122" s="1"/>
  <c r="AS77" i="146"/>
  <c r="AR77" i="146"/>
  <c r="AQ77" i="146"/>
  <c r="AP77" i="146"/>
  <c r="AO77" i="146"/>
  <c r="AN77" i="146"/>
  <c r="AM77" i="146"/>
  <c r="AL77" i="146"/>
  <c r="AK77" i="146"/>
  <c r="AJ77" i="146"/>
  <c r="AI77" i="146"/>
  <c r="AH77" i="146"/>
  <c r="AG77" i="146"/>
  <c r="AF77" i="146"/>
  <c r="AE77" i="146"/>
  <c r="AD77" i="146"/>
  <c r="AC77" i="146"/>
  <c r="AB77" i="146"/>
  <c r="AA77" i="146"/>
  <c r="Z77" i="146"/>
  <c r="Y77" i="146"/>
  <c r="X77" i="146"/>
  <c r="W77" i="146"/>
  <c r="V77" i="146"/>
  <c r="U77" i="146"/>
  <c r="T77" i="146"/>
  <c r="S77" i="146"/>
  <c r="R77" i="146"/>
  <c r="Q77" i="146"/>
  <c r="P77" i="146"/>
  <c r="O77" i="146"/>
  <c r="N77" i="146"/>
  <c r="M77" i="146"/>
  <c r="L77" i="146"/>
  <c r="K77" i="146"/>
  <c r="A77" i="146"/>
  <c r="D74" i="122" s="1"/>
  <c r="AS76" i="146"/>
  <c r="AR76" i="146"/>
  <c r="AQ76" i="146"/>
  <c r="AP76" i="146"/>
  <c r="AO76" i="146"/>
  <c r="AN76" i="146"/>
  <c r="AM76" i="146"/>
  <c r="AL76" i="146"/>
  <c r="AK76" i="146"/>
  <c r="AJ76" i="146"/>
  <c r="AI76" i="146"/>
  <c r="AH76" i="146"/>
  <c r="AG76" i="146"/>
  <c r="AF76" i="146"/>
  <c r="AE76" i="146"/>
  <c r="AD76" i="146"/>
  <c r="AC76" i="146"/>
  <c r="AB76" i="146"/>
  <c r="AA76" i="146"/>
  <c r="Z76" i="146"/>
  <c r="Y76" i="146"/>
  <c r="X76" i="146"/>
  <c r="W76" i="146"/>
  <c r="V76" i="146"/>
  <c r="U76" i="146"/>
  <c r="T76" i="146"/>
  <c r="S76" i="146"/>
  <c r="R76" i="146"/>
  <c r="Q76" i="146"/>
  <c r="P76" i="146"/>
  <c r="O76" i="146"/>
  <c r="N76" i="146"/>
  <c r="M76" i="146"/>
  <c r="L76" i="146"/>
  <c r="K76" i="146"/>
  <c r="A76" i="146"/>
  <c r="D73" i="122" s="1"/>
  <c r="AS75" i="146"/>
  <c r="AR75" i="146"/>
  <c r="AQ75" i="146"/>
  <c r="AP75" i="146"/>
  <c r="AO75" i="146"/>
  <c r="AN75" i="146"/>
  <c r="AM75" i="146"/>
  <c r="AL75" i="146"/>
  <c r="AK75" i="146"/>
  <c r="AJ75" i="146"/>
  <c r="AI75" i="146"/>
  <c r="AH75" i="146"/>
  <c r="AG75" i="146"/>
  <c r="AF75" i="146"/>
  <c r="AE75" i="146"/>
  <c r="AD75" i="146"/>
  <c r="AC75" i="146"/>
  <c r="AB75" i="146"/>
  <c r="AA75" i="146"/>
  <c r="Z75" i="146"/>
  <c r="Y75" i="146"/>
  <c r="X75" i="146"/>
  <c r="W75" i="146"/>
  <c r="V75" i="146"/>
  <c r="U75" i="146"/>
  <c r="T75" i="146"/>
  <c r="S75" i="146"/>
  <c r="R75" i="146"/>
  <c r="Q75" i="146"/>
  <c r="P75" i="146"/>
  <c r="O75" i="146"/>
  <c r="N75" i="146"/>
  <c r="M75" i="146"/>
  <c r="L75" i="146"/>
  <c r="K75" i="146"/>
  <c r="A75" i="146"/>
  <c r="D72" i="122" s="1"/>
  <c r="AS74" i="146"/>
  <c r="AR74" i="146"/>
  <c r="AQ74" i="146"/>
  <c r="AP74" i="146"/>
  <c r="AO74" i="146"/>
  <c r="AN74" i="146"/>
  <c r="AM74" i="146"/>
  <c r="AL74" i="146"/>
  <c r="AK74" i="146"/>
  <c r="AJ74" i="146"/>
  <c r="AI74" i="146"/>
  <c r="AH74" i="146"/>
  <c r="AG74" i="146"/>
  <c r="AF74" i="146"/>
  <c r="AE74" i="146"/>
  <c r="AD74" i="146"/>
  <c r="AC74" i="146"/>
  <c r="AB74" i="146"/>
  <c r="AA74" i="146"/>
  <c r="Z74" i="146"/>
  <c r="Y74" i="146"/>
  <c r="X74" i="146"/>
  <c r="W74" i="146"/>
  <c r="V74" i="146"/>
  <c r="U74" i="146"/>
  <c r="T74" i="146"/>
  <c r="S74" i="146"/>
  <c r="R74" i="146"/>
  <c r="Q74" i="146"/>
  <c r="P74" i="146"/>
  <c r="O74" i="146"/>
  <c r="N74" i="146"/>
  <c r="M74" i="146"/>
  <c r="L74" i="146"/>
  <c r="K74" i="146"/>
  <c r="A74" i="146"/>
  <c r="D71" i="122" s="1"/>
  <c r="AS73" i="146"/>
  <c r="AR73" i="146"/>
  <c r="AQ73" i="146"/>
  <c r="AP73" i="146"/>
  <c r="AO73" i="146"/>
  <c r="AN73" i="146"/>
  <c r="AM73" i="146"/>
  <c r="AL73" i="146"/>
  <c r="AK73" i="146"/>
  <c r="AJ73" i="146"/>
  <c r="AI73" i="146"/>
  <c r="AH73" i="146"/>
  <c r="AG73" i="146"/>
  <c r="AF73" i="146"/>
  <c r="AE73" i="146"/>
  <c r="AD73" i="146"/>
  <c r="AC73" i="146"/>
  <c r="AB73" i="146"/>
  <c r="AA73" i="146"/>
  <c r="Z73" i="146"/>
  <c r="Y73" i="146"/>
  <c r="X73" i="146"/>
  <c r="W73" i="146"/>
  <c r="V73" i="146"/>
  <c r="U73" i="146"/>
  <c r="T73" i="146"/>
  <c r="S73" i="146"/>
  <c r="R73" i="146"/>
  <c r="Q73" i="146"/>
  <c r="P73" i="146"/>
  <c r="O73" i="146"/>
  <c r="N73" i="146"/>
  <c r="M73" i="146"/>
  <c r="L73" i="146"/>
  <c r="K73" i="146"/>
  <c r="A73" i="146"/>
  <c r="D70" i="122" s="1"/>
  <c r="A72" i="146"/>
  <c r="CL71" i="146"/>
  <c r="F68" i="122" s="1"/>
  <c r="CK71" i="146"/>
  <c r="CJ71" i="146"/>
  <c r="CI71" i="146"/>
  <c r="CH71" i="146"/>
  <c r="CG71" i="146"/>
  <c r="CF71" i="146"/>
  <c r="CE71" i="146"/>
  <c r="CD71" i="146"/>
  <c r="CC71" i="146"/>
  <c r="CB71" i="146"/>
  <c r="CA71" i="146"/>
  <c r="BZ71" i="146"/>
  <c r="BY71" i="146"/>
  <c r="BX71" i="146"/>
  <c r="BW71" i="146"/>
  <c r="BV71" i="146"/>
  <c r="BU71" i="146"/>
  <c r="BT71" i="146"/>
  <c r="BS71" i="146"/>
  <c r="BR71" i="146"/>
  <c r="BQ71" i="146"/>
  <c r="BP71" i="146"/>
  <c r="BO71" i="146"/>
  <c r="BN71" i="146"/>
  <c r="BM71" i="146"/>
  <c r="BL71" i="146"/>
  <c r="BK71" i="146"/>
  <c r="BJ71" i="146"/>
  <c r="BI71" i="146"/>
  <c r="BH71" i="146"/>
  <c r="BG71" i="146"/>
  <c r="BF71" i="146"/>
  <c r="BE71" i="146"/>
  <c r="BD71" i="146"/>
  <c r="BC71" i="146"/>
  <c r="BB71" i="146"/>
  <c r="BA71" i="146"/>
  <c r="AZ71" i="146"/>
  <c r="AY71" i="146"/>
  <c r="AX71" i="146"/>
  <c r="AW71" i="146"/>
  <c r="AV71" i="146"/>
  <c r="AU71" i="146"/>
  <c r="AT71" i="146"/>
  <c r="A71" i="146"/>
  <c r="AS70" i="146"/>
  <c r="AR70" i="146"/>
  <c r="AQ70" i="146"/>
  <c r="AP70" i="146"/>
  <c r="AO70" i="146"/>
  <c r="AN70" i="146"/>
  <c r="AM70" i="146"/>
  <c r="AM71" i="146" s="1"/>
  <c r="AL70" i="146"/>
  <c r="AK70" i="146"/>
  <c r="AJ70" i="146"/>
  <c r="AI70" i="146"/>
  <c r="AH70" i="146"/>
  <c r="AG70" i="146"/>
  <c r="AF70" i="146"/>
  <c r="AE70" i="146"/>
  <c r="AD70" i="146"/>
  <c r="AC70" i="146"/>
  <c r="AB70" i="146"/>
  <c r="AA70" i="146"/>
  <c r="Z70" i="146"/>
  <c r="Y70" i="146"/>
  <c r="X70" i="146"/>
  <c r="W70" i="146"/>
  <c r="V70" i="146"/>
  <c r="U70" i="146"/>
  <c r="T70" i="146"/>
  <c r="S70" i="146"/>
  <c r="R70" i="146"/>
  <c r="Q70" i="146"/>
  <c r="Q71" i="146" s="1"/>
  <c r="P70" i="146"/>
  <c r="O70" i="146"/>
  <c r="N70" i="146"/>
  <c r="M70" i="146"/>
  <c r="L70" i="146"/>
  <c r="K70" i="146"/>
  <c r="I70" i="146"/>
  <c r="H70" i="146"/>
  <c r="G70" i="146"/>
  <c r="F70" i="146"/>
  <c r="A70" i="146"/>
  <c r="D67" i="122" s="1"/>
  <c r="AS69" i="146"/>
  <c r="AR69" i="146"/>
  <c r="AQ69" i="146"/>
  <c r="AP69" i="146"/>
  <c r="AO69" i="146"/>
  <c r="AN69" i="146"/>
  <c r="AM69" i="146"/>
  <c r="AL69" i="146"/>
  <c r="AK69" i="146"/>
  <c r="AJ69" i="146"/>
  <c r="AI69" i="146"/>
  <c r="AH69" i="146"/>
  <c r="AG69" i="146"/>
  <c r="AF69" i="146"/>
  <c r="AE69" i="146"/>
  <c r="AD69" i="146"/>
  <c r="AC69" i="146"/>
  <c r="AB69" i="146"/>
  <c r="AA69" i="146"/>
  <c r="Z69" i="146"/>
  <c r="Y69" i="146"/>
  <c r="X69" i="146"/>
  <c r="W69" i="146"/>
  <c r="V69" i="146"/>
  <c r="U69" i="146"/>
  <c r="T69" i="146"/>
  <c r="S69" i="146"/>
  <c r="R69" i="146"/>
  <c r="Q69" i="146"/>
  <c r="P69" i="146"/>
  <c r="O69" i="146"/>
  <c r="N69" i="146"/>
  <c r="M69" i="146"/>
  <c r="L69" i="146"/>
  <c r="K69" i="146"/>
  <c r="I69" i="146"/>
  <c r="H69" i="146"/>
  <c r="G69" i="146"/>
  <c r="F69" i="146"/>
  <c r="A69" i="146"/>
  <c r="D66" i="122" s="1"/>
  <c r="A68" i="146"/>
  <c r="CL67" i="146"/>
  <c r="CK67" i="146"/>
  <c r="CJ67" i="146"/>
  <c r="CI67" i="146"/>
  <c r="CH67" i="146"/>
  <c r="CG67" i="146"/>
  <c r="CF67" i="146"/>
  <c r="CE67" i="146"/>
  <c r="CD67" i="146"/>
  <c r="CC67" i="146"/>
  <c r="CB67" i="146"/>
  <c r="CA67" i="146"/>
  <c r="BZ67" i="146"/>
  <c r="BY67" i="146"/>
  <c r="BX67" i="146"/>
  <c r="BW67" i="146"/>
  <c r="BV67" i="146"/>
  <c r="BU67" i="146"/>
  <c r="BT67" i="146"/>
  <c r="BS67" i="146"/>
  <c r="BR67" i="146"/>
  <c r="BQ67" i="146"/>
  <c r="BP67" i="146"/>
  <c r="BO67" i="146"/>
  <c r="BN67" i="146"/>
  <c r="BM67" i="146"/>
  <c r="BL67" i="146"/>
  <c r="BK67" i="146"/>
  <c r="BJ67" i="146"/>
  <c r="BI67" i="146"/>
  <c r="BH67" i="146"/>
  <c r="BG67" i="146"/>
  <c r="BF67" i="146"/>
  <c r="BE67" i="146"/>
  <c r="BD67" i="146"/>
  <c r="BC67" i="146"/>
  <c r="BB67" i="146"/>
  <c r="BA67" i="146"/>
  <c r="AZ67" i="146"/>
  <c r="AY67" i="146"/>
  <c r="AX67" i="146"/>
  <c r="AW67" i="146"/>
  <c r="AV67" i="146"/>
  <c r="AU67" i="146"/>
  <c r="AT67" i="146"/>
  <c r="A67" i="146"/>
  <c r="D64" i="122" s="1"/>
  <c r="AS66" i="146"/>
  <c r="AR66" i="146"/>
  <c r="AQ66" i="146"/>
  <c r="AP66" i="146"/>
  <c r="AO66" i="146"/>
  <c r="AN66" i="146"/>
  <c r="AM66" i="146"/>
  <c r="AL66" i="146"/>
  <c r="AK66" i="146"/>
  <c r="AJ66" i="146"/>
  <c r="AI66" i="146"/>
  <c r="AH66" i="146"/>
  <c r="AG66" i="146"/>
  <c r="AF66" i="146"/>
  <c r="AE66" i="146"/>
  <c r="AD66" i="146"/>
  <c r="AC66" i="146"/>
  <c r="AB66" i="146"/>
  <c r="AA66" i="146"/>
  <c r="Z66" i="146"/>
  <c r="Y66" i="146"/>
  <c r="X66" i="146"/>
  <c r="W66" i="146"/>
  <c r="V66" i="146"/>
  <c r="U66" i="146"/>
  <c r="T66" i="146"/>
  <c r="S66" i="146"/>
  <c r="R66" i="146"/>
  <c r="Q66" i="146"/>
  <c r="P66" i="146"/>
  <c r="O66" i="146"/>
  <c r="N66" i="146"/>
  <c r="M66" i="146"/>
  <c r="L66" i="146"/>
  <c r="K66" i="146"/>
  <c r="I66" i="146"/>
  <c r="H66" i="146"/>
  <c r="G66" i="146"/>
  <c r="F66" i="146"/>
  <c r="A66" i="146"/>
  <c r="D63" i="122" s="1"/>
  <c r="AS65" i="146"/>
  <c r="AS67" i="146" s="1"/>
  <c r="AR65" i="146"/>
  <c r="AR67" i="146" s="1"/>
  <c r="AQ65" i="146"/>
  <c r="AQ67" i="146" s="1"/>
  <c r="AP65" i="146"/>
  <c r="AP67" i="146" s="1"/>
  <c r="AO65" i="146"/>
  <c r="AO67" i="146" s="1"/>
  <c r="AN65" i="146"/>
  <c r="AN67" i="146" s="1"/>
  <c r="AM65" i="146"/>
  <c r="AM67" i="146" s="1"/>
  <c r="AL65" i="146"/>
  <c r="AL67" i="146" s="1"/>
  <c r="AK65" i="146"/>
  <c r="AK67" i="146" s="1"/>
  <c r="AJ65" i="146"/>
  <c r="AJ67" i="146" s="1"/>
  <c r="AI65" i="146"/>
  <c r="AI67" i="146" s="1"/>
  <c r="AH65" i="146"/>
  <c r="AH67" i="146" s="1"/>
  <c r="AG65" i="146"/>
  <c r="AG67" i="146" s="1"/>
  <c r="AF65" i="146"/>
  <c r="AF67" i="146" s="1"/>
  <c r="AE65" i="146"/>
  <c r="AE67" i="146" s="1"/>
  <c r="AD65" i="146"/>
  <c r="AD67" i="146" s="1"/>
  <c r="AC65" i="146"/>
  <c r="AC67" i="146" s="1"/>
  <c r="AB65" i="146"/>
  <c r="AB67" i="146" s="1"/>
  <c r="AA65" i="146"/>
  <c r="AA67" i="146" s="1"/>
  <c r="Z65" i="146"/>
  <c r="Z67" i="146" s="1"/>
  <c r="Y65" i="146"/>
  <c r="Y67" i="146" s="1"/>
  <c r="X65" i="146"/>
  <c r="X67" i="146" s="1"/>
  <c r="W65" i="146"/>
  <c r="W67" i="146" s="1"/>
  <c r="V65" i="146"/>
  <c r="V67" i="146" s="1"/>
  <c r="U65" i="146"/>
  <c r="U67" i="146" s="1"/>
  <c r="T65" i="146"/>
  <c r="T67" i="146" s="1"/>
  <c r="S65" i="146"/>
  <c r="R65" i="146"/>
  <c r="Q65" i="146"/>
  <c r="P65" i="146"/>
  <c r="P67" i="146" s="1"/>
  <c r="O65" i="146"/>
  <c r="O67" i="146" s="1"/>
  <c r="N65" i="146"/>
  <c r="N67" i="146" s="1"/>
  <c r="M65" i="146"/>
  <c r="M67" i="146" s="1"/>
  <c r="L65" i="146"/>
  <c r="L67" i="146" s="1"/>
  <c r="K65" i="146"/>
  <c r="K67" i="146" s="1"/>
  <c r="I65" i="146"/>
  <c r="I67" i="146" s="1"/>
  <c r="H65" i="146"/>
  <c r="H67" i="146" s="1"/>
  <c r="G65" i="146"/>
  <c r="G67" i="146" s="1"/>
  <c r="F65" i="146"/>
  <c r="F67" i="146" s="1"/>
  <c r="B65" i="146"/>
  <c r="A65" i="146"/>
  <c r="D62" i="122" s="1"/>
  <c r="A64" i="146"/>
  <c r="AS63" i="146"/>
  <c r="AR63" i="146"/>
  <c r="AQ63" i="146"/>
  <c r="AP63" i="146"/>
  <c r="AO63" i="146"/>
  <c r="AN63" i="146"/>
  <c r="AM63" i="146"/>
  <c r="AL63" i="146"/>
  <c r="AK63" i="146"/>
  <c r="AJ63" i="146"/>
  <c r="AI63" i="146"/>
  <c r="AH63" i="146"/>
  <c r="AG63" i="146"/>
  <c r="AF63" i="146"/>
  <c r="AE63" i="146"/>
  <c r="AD63" i="146"/>
  <c r="AC63" i="146"/>
  <c r="AB63" i="146"/>
  <c r="AA63" i="146"/>
  <c r="Z63" i="146"/>
  <c r="Y63" i="146"/>
  <c r="X63" i="146"/>
  <c r="W63" i="146"/>
  <c r="V63" i="146"/>
  <c r="U63" i="146"/>
  <c r="T63" i="146"/>
  <c r="S63" i="146"/>
  <c r="R63" i="146"/>
  <c r="Q63" i="146"/>
  <c r="P63" i="146"/>
  <c r="O63" i="146"/>
  <c r="N63" i="146"/>
  <c r="M63" i="146"/>
  <c r="L63" i="146"/>
  <c r="K63" i="146"/>
  <c r="A63" i="146"/>
  <c r="D60" i="122" s="1"/>
  <c r="AS62" i="146"/>
  <c r="AR62" i="146"/>
  <c r="AQ62" i="146"/>
  <c r="AP62" i="146"/>
  <c r="AO62" i="146"/>
  <c r="AN62" i="146"/>
  <c r="AM62" i="146"/>
  <c r="AL62" i="146"/>
  <c r="AK62" i="146"/>
  <c r="AJ62" i="146"/>
  <c r="AI62" i="146"/>
  <c r="AH62" i="146"/>
  <c r="AG62" i="146"/>
  <c r="AF62" i="146"/>
  <c r="AE62" i="146"/>
  <c r="AD62" i="146"/>
  <c r="AC62" i="146"/>
  <c r="AB62" i="146"/>
  <c r="AA62" i="146"/>
  <c r="Z62" i="146"/>
  <c r="Y62" i="146"/>
  <c r="X62" i="146"/>
  <c r="W62" i="146"/>
  <c r="V62" i="146"/>
  <c r="U62" i="146"/>
  <c r="T62" i="146"/>
  <c r="S62" i="146"/>
  <c r="R62" i="146"/>
  <c r="Q62" i="146"/>
  <c r="P62" i="146"/>
  <c r="O62" i="146"/>
  <c r="N62" i="146"/>
  <c r="M62" i="146"/>
  <c r="L62" i="146"/>
  <c r="K62" i="146"/>
  <c r="A62" i="146"/>
  <c r="D59" i="122" s="1"/>
  <c r="AS61" i="146"/>
  <c r="AR61" i="146"/>
  <c r="AQ61" i="146"/>
  <c r="AP61" i="146"/>
  <c r="AO61" i="146"/>
  <c r="AN61" i="146"/>
  <c r="AM61" i="146"/>
  <c r="AL61" i="146"/>
  <c r="AK61" i="146"/>
  <c r="AJ61" i="146"/>
  <c r="AI61" i="146"/>
  <c r="AH61" i="146"/>
  <c r="AG61" i="146"/>
  <c r="AF61" i="146"/>
  <c r="AE61" i="146"/>
  <c r="AD61" i="146"/>
  <c r="AC61" i="146"/>
  <c r="AB61" i="146"/>
  <c r="AA61" i="146"/>
  <c r="Z61" i="146"/>
  <c r="Y61" i="146"/>
  <c r="X61" i="146"/>
  <c r="W61" i="146"/>
  <c r="V61" i="146"/>
  <c r="U61" i="146"/>
  <c r="T61" i="146"/>
  <c r="S61" i="146"/>
  <c r="R61" i="146"/>
  <c r="Q61" i="146"/>
  <c r="P61" i="146"/>
  <c r="O61" i="146"/>
  <c r="N61" i="146"/>
  <c r="M61" i="146"/>
  <c r="L61" i="146"/>
  <c r="K61" i="146"/>
  <c r="A61" i="146"/>
  <c r="D58" i="122" s="1"/>
  <c r="AS60" i="146"/>
  <c r="AR60" i="146"/>
  <c r="AQ60" i="146"/>
  <c r="AP60" i="146"/>
  <c r="AO60" i="146"/>
  <c r="AN60" i="146"/>
  <c r="AM60" i="146"/>
  <c r="AL60" i="146"/>
  <c r="AK60" i="146"/>
  <c r="AJ60" i="146"/>
  <c r="AI60" i="146"/>
  <c r="AH60" i="146"/>
  <c r="AG60" i="146"/>
  <c r="AF60" i="146"/>
  <c r="AE60" i="146"/>
  <c r="AD60" i="146"/>
  <c r="AC60" i="146"/>
  <c r="AB60" i="146"/>
  <c r="AA60" i="146"/>
  <c r="Z60" i="146"/>
  <c r="Y60" i="146"/>
  <c r="X60" i="146"/>
  <c r="W60" i="146"/>
  <c r="V60" i="146"/>
  <c r="U60" i="146"/>
  <c r="T60" i="146"/>
  <c r="S60" i="146"/>
  <c r="R60" i="146"/>
  <c r="Q60" i="146"/>
  <c r="P60" i="146"/>
  <c r="O60" i="146"/>
  <c r="N60" i="146"/>
  <c r="M60" i="146"/>
  <c r="L60" i="146"/>
  <c r="K60" i="146"/>
  <c r="A60" i="146"/>
  <c r="D57" i="122" s="1"/>
  <c r="AS59" i="146"/>
  <c r="AR59" i="146"/>
  <c r="AQ59" i="146"/>
  <c r="AP59" i="146"/>
  <c r="AO59" i="146"/>
  <c r="AN59" i="146"/>
  <c r="AM59" i="146"/>
  <c r="AL59" i="146"/>
  <c r="AK59" i="146"/>
  <c r="AJ59" i="146"/>
  <c r="AI59" i="146"/>
  <c r="AH59" i="146"/>
  <c r="AG59" i="146"/>
  <c r="AF59" i="146"/>
  <c r="AE59" i="146"/>
  <c r="AD59" i="146"/>
  <c r="AC59" i="146"/>
  <c r="AB59" i="146"/>
  <c r="AA59" i="146"/>
  <c r="Z59" i="146"/>
  <c r="Y59" i="146"/>
  <c r="X59" i="146"/>
  <c r="W59" i="146"/>
  <c r="V59" i="146"/>
  <c r="U59" i="146"/>
  <c r="T59" i="146"/>
  <c r="S59" i="146"/>
  <c r="R59" i="146"/>
  <c r="Q59" i="146"/>
  <c r="P59" i="146"/>
  <c r="O59" i="146"/>
  <c r="N59" i="146"/>
  <c r="M59" i="146"/>
  <c r="L59" i="146"/>
  <c r="K59" i="146"/>
  <c r="A59" i="146"/>
  <c r="D56" i="122" s="1"/>
  <c r="AS58" i="146"/>
  <c r="AR58" i="146"/>
  <c r="AQ58" i="146"/>
  <c r="AP58" i="146"/>
  <c r="AO58" i="146"/>
  <c r="AN58" i="146"/>
  <c r="AM58" i="146"/>
  <c r="AL58" i="146"/>
  <c r="AK58" i="146"/>
  <c r="AJ58" i="146"/>
  <c r="AI58" i="146"/>
  <c r="AH58" i="146"/>
  <c r="AG58" i="146"/>
  <c r="AF58" i="146"/>
  <c r="AE58" i="146"/>
  <c r="AD58" i="146"/>
  <c r="AC58" i="146"/>
  <c r="AB58" i="146"/>
  <c r="AA58" i="146"/>
  <c r="Z58" i="146"/>
  <c r="Y58" i="146"/>
  <c r="X58" i="146"/>
  <c r="W58" i="146"/>
  <c r="V58" i="146"/>
  <c r="U58" i="146"/>
  <c r="T58" i="146"/>
  <c r="S58" i="146"/>
  <c r="R58" i="146"/>
  <c r="Q58" i="146"/>
  <c r="P58" i="146"/>
  <c r="O58" i="146"/>
  <c r="N58" i="146"/>
  <c r="M58" i="146"/>
  <c r="L58" i="146"/>
  <c r="K58" i="146"/>
  <c r="A58" i="146"/>
  <c r="D55" i="122" s="1"/>
  <c r="AS57" i="146"/>
  <c r="AR57" i="146"/>
  <c r="AQ57" i="146"/>
  <c r="AP57" i="146"/>
  <c r="AO57" i="146"/>
  <c r="AN57" i="146"/>
  <c r="AM57" i="146"/>
  <c r="AL57" i="146"/>
  <c r="AK57" i="146"/>
  <c r="AJ57" i="146"/>
  <c r="AI57" i="146"/>
  <c r="AH57" i="146"/>
  <c r="AG57" i="146"/>
  <c r="AF57" i="146"/>
  <c r="AE57" i="146"/>
  <c r="AD57" i="146"/>
  <c r="AC57" i="146"/>
  <c r="AB57" i="146"/>
  <c r="AA57" i="146"/>
  <c r="Z57" i="146"/>
  <c r="Y57" i="146"/>
  <c r="X57" i="146"/>
  <c r="W57" i="146"/>
  <c r="V57" i="146"/>
  <c r="U57" i="146"/>
  <c r="T57" i="146"/>
  <c r="S57" i="146"/>
  <c r="R57" i="146"/>
  <c r="Q57" i="146"/>
  <c r="P57" i="146"/>
  <c r="O57" i="146"/>
  <c r="N57" i="146"/>
  <c r="M57" i="146"/>
  <c r="L57" i="146"/>
  <c r="K57" i="146"/>
  <c r="A57" i="146"/>
  <c r="D54" i="122" s="1"/>
  <c r="AS56" i="146"/>
  <c r="AR56" i="146"/>
  <c r="AQ56" i="146"/>
  <c r="AP56" i="146"/>
  <c r="AO56" i="146"/>
  <c r="AN56" i="146"/>
  <c r="AM56" i="146"/>
  <c r="AL56" i="146"/>
  <c r="AK56" i="146"/>
  <c r="AJ56" i="146"/>
  <c r="AI56" i="146"/>
  <c r="AH56" i="146"/>
  <c r="AG56" i="146"/>
  <c r="AF56" i="146"/>
  <c r="AE56" i="146"/>
  <c r="AD56" i="146"/>
  <c r="AC56" i="146"/>
  <c r="AB56" i="146"/>
  <c r="AA56" i="146"/>
  <c r="Z56" i="146"/>
  <c r="Y56" i="146"/>
  <c r="X56" i="146"/>
  <c r="W56" i="146"/>
  <c r="V56" i="146"/>
  <c r="U56" i="146"/>
  <c r="T56" i="146"/>
  <c r="S56" i="146"/>
  <c r="R56" i="146"/>
  <c r="Q56" i="146"/>
  <c r="P56" i="146"/>
  <c r="O56" i="146"/>
  <c r="N56" i="146"/>
  <c r="M56" i="146"/>
  <c r="L56" i="146"/>
  <c r="K56" i="146"/>
  <c r="A56" i="146"/>
  <c r="D53" i="122" s="1"/>
  <c r="A55" i="146"/>
  <c r="CL54" i="146"/>
  <c r="F51" i="122" s="1"/>
  <c r="CK54" i="146"/>
  <c r="AQ54" i="146" s="1"/>
  <c r="CJ54" i="146"/>
  <c r="CI54" i="146"/>
  <c r="AR54" i="146" s="1"/>
  <c r="CH54" i="146"/>
  <c r="AM54" i="146" s="1"/>
  <c r="CG54" i="146"/>
  <c r="CF54" i="146"/>
  <c r="CE54" i="146"/>
  <c r="CD54" i="146"/>
  <c r="CC54" i="146"/>
  <c r="AO54" i="146" s="1"/>
  <c r="CB54" i="146"/>
  <c r="AK54" i="146" s="1"/>
  <c r="CA54" i="146"/>
  <c r="AF54" i="146" s="1"/>
  <c r="BZ54" i="146"/>
  <c r="AH54" i="146" s="1"/>
  <c r="BY54" i="146"/>
  <c r="AJ54" i="146" s="1"/>
  <c r="BX54" i="146"/>
  <c r="BW54" i="146"/>
  <c r="BV54" i="146"/>
  <c r="AG54" i="146" s="1"/>
  <c r="BU54" i="146"/>
  <c r="AD54" i="146" s="1"/>
  <c r="BT54" i="146"/>
  <c r="BS54" i="146"/>
  <c r="BR54" i="146"/>
  <c r="W54" i="146" s="1"/>
  <c r="BQ54" i="146"/>
  <c r="BP54" i="146"/>
  <c r="AB54" i="146" s="1"/>
  <c r="BO54" i="146"/>
  <c r="BN54" i="146"/>
  <c r="BM54" i="146"/>
  <c r="Z54" i="146" s="1"/>
  <c r="BL54" i="146"/>
  <c r="BK54" i="146"/>
  <c r="BJ54" i="146"/>
  <c r="BI54" i="146"/>
  <c r="BH54" i="146"/>
  <c r="BG54" i="146"/>
  <c r="BF54" i="146"/>
  <c r="BE54" i="146"/>
  <c r="O54" i="146" s="1"/>
  <c r="BD54" i="146"/>
  <c r="M54" i="146" s="1"/>
  <c r="BC54" i="146"/>
  <c r="U54" i="146" s="1"/>
  <c r="BB54" i="146"/>
  <c r="BA54" i="146"/>
  <c r="AZ54" i="146"/>
  <c r="AY54" i="146"/>
  <c r="AX54" i="146"/>
  <c r="AW54" i="146"/>
  <c r="N54" i="146" s="1"/>
  <c r="S54" i="146"/>
  <c r="AP54" i="146"/>
  <c r="AN54" i="146"/>
  <c r="AL54" i="146"/>
  <c r="AI54" i="146"/>
  <c r="AC54" i="146"/>
  <c r="T54" i="146"/>
  <c r="Q54" i="146"/>
  <c r="L54" i="146"/>
  <c r="K54" i="146"/>
  <c r="I54" i="146"/>
  <c r="H54" i="146"/>
  <c r="G54" i="146"/>
  <c r="F54" i="146"/>
  <c r="A51" i="122"/>
  <c r="A54" i="146"/>
  <c r="CL53" i="146"/>
  <c r="F50" i="122" s="1"/>
  <c r="CK53" i="146"/>
  <c r="CJ53" i="146"/>
  <c r="CI53" i="146"/>
  <c r="CH53" i="146"/>
  <c r="CG53" i="146"/>
  <c r="CE53" i="146"/>
  <c r="CD53" i="146"/>
  <c r="CC53" i="146"/>
  <c r="CB53" i="146"/>
  <c r="D50" i="122" s="1"/>
  <c r="CA53" i="146"/>
  <c r="BZ53" i="146"/>
  <c r="BY53" i="146"/>
  <c r="BX53" i="146"/>
  <c r="BW53" i="146"/>
  <c r="BV53" i="146"/>
  <c r="BU53" i="146"/>
  <c r="BT53" i="146"/>
  <c r="BR53" i="146"/>
  <c r="BQ53" i="146"/>
  <c r="BP53" i="146"/>
  <c r="BN53" i="146"/>
  <c r="BM53" i="146"/>
  <c r="BJ53" i="146"/>
  <c r="BI53" i="146"/>
  <c r="BF53" i="146"/>
  <c r="BE53" i="146"/>
  <c r="BD53" i="146"/>
  <c r="BC53" i="146"/>
  <c r="BB53" i="146"/>
  <c r="BA53" i="146"/>
  <c r="AY53" i="146"/>
  <c r="AX53" i="146"/>
  <c r="AW53" i="146"/>
  <c r="AR53" i="146"/>
  <c r="AN53" i="146"/>
  <c r="AJ53" i="146"/>
  <c r="AF53" i="146"/>
  <c r="AB53" i="146"/>
  <c r="X53" i="146"/>
  <c r="T53" i="146"/>
  <c r="P53" i="146"/>
  <c r="L53" i="146"/>
  <c r="I53" i="146"/>
  <c r="H53" i="146"/>
  <c r="G53" i="146"/>
  <c r="F53" i="146"/>
  <c r="B53" i="146"/>
  <c r="A50" i="122" s="1"/>
  <c r="A53" i="146"/>
  <c r="AS53" i="146"/>
  <c r="AQ53" i="146"/>
  <c r="AP53" i="146"/>
  <c r="AO53" i="146"/>
  <c r="AM53" i="146"/>
  <c r="AL53" i="146"/>
  <c r="AK53" i="146"/>
  <c r="AI53" i="146"/>
  <c r="AH53" i="146"/>
  <c r="AG53" i="146"/>
  <c r="AE53" i="146"/>
  <c r="AD53" i="146"/>
  <c r="AC53" i="146"/>
  <c r="AA53" i="146"/>
  <c r="Z53" i="146"/>
  <c r="Y53" i="146"/>
  <c r="W53" i="146"/>
  <c r="V53" i="146"/>
  <c r="U53" i="146"/>
  <c r="S53" i="146"/>
  <c r="R53" i="146"/>
  <c r="Q53" i="146"/>
  <c r="O53" i="146"/>
  <c r="N53" i="146"/>
  <c r="M53" i="146"/>
  <c r="K53" i="146"/>
  <c r="AR51" i="146"/>
  <c r="AQ51" i="146"/>
  <c r="AP51" i="146"/>
  <c r="AO51" i="146"/>
  <c r="AN51" i="146"/>
  <c r="AM51" i="146"/>
  <c r="AL51" i="146"/>
  <c r="AK51" i="146"/>
  <c r="AJ51" i="146"/>
  <c r="AI51" i="146"/>
  <c r="AH51" i="146"/>
  <c r="AG51" i="146"/>
  <c r="AF51" i="146"/>
  <c r="AD51" i="146"/>
  <c r="AC51" i="146"/>
  <c r="AB51" i="146"/>
  <c r="Z51" i="146"/>
  <c r="W51" i="146"/>
  <c r="U51" i="146"/>
  <c r="T51" i="146"/>
  <c r="S51" i="146"/>
  <c r="O51" i="146"/>
  <c r="N51" i="146"/>
  <c r="M51" i="146"/>
  <c r="L51" i="146"/>
  <c r="K51" i="146"/>
  <c r="A51" i="146"/>
  <c r="AS50" i="146"/>
  <c r="AR50" i="146"/>
  <c r="AQ50" i="146"/>
  <c r="AP50" i="146"/>
  <c r="AO50" i="146"/>
  <c r="AN50" i="146"/>
  <c r="AM50" i="146"/>
  <c r="AL50" i="146"/>
  <c r="AK50" i="146"/>
  <c r="AJ50" i="146"/>
  <c r="AI50" i="146"/>
  <c r="AH50" i="146"/>
  <c r="AG50" i="146"/>
  <c r="AF50" i="146"/>
  <c r="AD50" i="146"/>
  <c r="AC50" i="146"/>
  <c r="AB50" i="146"/>
  <c r="Z50" i="146"/>
  <c r="W50" i="146"/>
  <c r="V50" i="146"/>
  <c r="U50" i="146"/>
  <c r="T50" i="146"/>
  <c r="S50" i="146"/>
  <c r="Q50" i="146"/>
  <c r="O50" i="146"/>
  <c r="N50" i="146"/>
  <c r="M50" i="146"/>
  <c r="L50" i="146"/>
  <c r="K50" i="146"/>
  <c r="A50" i="146"/>
  <c r="AS49" i="146"/>
  <c r="AR49" i="146"/>
  <c r="AQ49" i="146"/>
  <c r="AP49" i="146"/>
  <c r="AO49" i="146"/>
  <c r="AN49" i="146"/>
  <c r="AM49" i="146"/>
  <c r="AL49" i="146"/>
  <c r="AK49" i="146"/>
  <c r="AJ49" i="146"/>
  <c r="AI49" i="146"/>
  <c r="AH49" i="146"/>
  <c r="AG49" i="146"/>
  <c r="AF49" i="146"/>
  <c r="AE49" i="146"/>
  <c r="AD49" i="146"/>
  <c r="AC49" i="146"/>
  <c r="AB49" i="146"/>
  <c r="AA49" i="146"/>
  <c r="Z49" i="146"/>
  <c r="Y49" i="146"/>
  <c r="X49" i="146"/>
  <c r="W49" i="146"/>
  <c r="V49" i="146"/>
  <c r="U49" i="146"/>
  <c r="T49" i="146"/>
  <c r="S49" i="146"/>
  <c r="R49" i="146"/>
  <c r="Q49" i="146"/>
  <c r="P49" i="146"/>
  <c r="O49" i="146"/>
  <c r="N49" i="146"/>
  <c r="M49" i="146"/>
  <c r="L49" i="146"/>
  <c r="K49" i="146"/>
  <c r="A49" i="146"/>
  <c r="AS48" i="146"/>
  <c r="AR48" i="146"/>
  <c r="AQ48" i="146"/>
  <c r="AP48" i="146"/>
  <c r="AO48" i="146"/>
  <c r="AN48" i="146"/>
  <c r="AM48" i="146"/>
  <c r="AL48" i="146"/>
  <c r="AK48" i="146"/>
  <c r="AJ48" i="146"/>
  <c r="AI48" i="146"/>
  <c r="AH48" i="146"/>
  <c r="AG48" i="146"/>
  <c r="AF48" i="146"/>
  <c r="AE48" i="146"/>
  <c r="AD48" i="146"/>
  <c r="AC48" i="146"/>
  <c r="AB48" i="146"/>
  <c r="AA48" i="146"/>
  <c r="Z48" i="146"/>
  <c r="Y48" i="146"/>
  <c r="X48" i="146"/>
  <c r="W48" i="146"/>
  <c r="V48" i="146"/>
  <c r="U48" i="146"/>
  <c r="T48" i="146"/>
  <c r="S48" i="146"/>
  <c r="R48" i="146"/>
  <c r="Q48" i="146"/>
  <c r="P48" i="146"/>
  <c r="O48" i="146"/>
  <c r="N48" i="146"/>
  <c r="M48" i="146"/>
  <c r="L48" i="146"/>
  <c r="K48" i="146"/>
  <c r="A48" i="146"/>
  <c r="CL47" i="146"/>
  <c r="CK47" i="146"/>
  <c r="CJ47" i="146"/>
  <c r="CI47" i="146"/>
  <c r="AR47" i="146" s="1"/>
  <c r="CH47" i="146"/>
  <c r="AM47" i="146" s="1"/>
  <c r="CG47" i="146"/>
  <c r="CF47" i="146"/>
  <c r="CE47" i="146"/>
  <c r="CD47" i="146"/>
  <c r="CC47" i="146"/>
  <c r="CB47" i="146"/>
  <c r="CA47" i="146"/>
  <c r="AF47" i="146" s="1"/>
  <c r="BZ47" i="146"/>
  <c r="AH47" i="146" s="1"/>
  <c r="BY47" i="146"/>
  <c r="BX47" i="146"/>
  <c r="BW47" i="146"/>
  <c r="BV47" i="146"/>
  <c r="BT47" i="146"/>
  <c r="BR47" i="146"/>
  <c r="BQ47" i="146"/>
  <c r="AA47" i="146" s="1"/>
  <c r="BP47" i="146"/>
  <c r="AB47" i="146" s="1"/>
  <c r="BN47" i="146"/>
  <c r="BM47" i="146"/>
  <c r="BK47" i="146"/>
  <c r="BJ47" i="146"/>
  <c r="BI47" i="146"/>
  <c r="BF47" i="146"/>
  <c r="BE47" i="146"/>
  <c r="O47" i="146" s="1"/>
  <c r="BD47" i="146"/>
  <c r="M47" i="146" s="1"/>
  <c r="BC47" i="146"/>
  <c r="BB47" i="146"/>
  <c r="T47" i="146" s="1"/>
  <c r="AY47" i="146"/>
  <c r="L47" i="146" s="1"/>
  <c r="AX47" i="146"/>
  <c r="AW47" i="146"/>
  <c r="Q47" i="146"/>
  <c r="AS47" i="146"/>
  <c r="AQ47" i="146"/>
  <c r="AP47" i="146"/>
  <c r="AO47" i="146"/>
  <c r="AN47" i="146"/>
  <c r="AL47" i="146"/>
  <c r="AK47" i="146"/>
  <c r="AJ47" i="146"/>
  <c r="AI47" i="146"/>
  <c r="AG47" i="146"/>
  <c r="AD47" i="146"/>
  <c r="AC47" i="146"/>
  <c r="Z47" i="146"/>
  <c r="W47" i="146"/>
  <c r="V47" i="146"/>
  <c r="U47" i="146"/>
  <c r="S47" i="146"/>
  <c r="N47" i="146"/>
  <c r="K47" i="146"/>
  <c r="I47" i="146"/>
  <c r="H47" i="146"/>
  <c r="G47" i="146"/>
  <c r="F47" i="146"/>
  <c r="A47" i="146"/>
  <c r="AS46" i="146"/>
  <c r="AR46" i="146"/>
  <c r="AQ46" i="146"/>
  <c r="AP46" i="146"/>
  <c r="AO46" i="146"/>
  <c r="AN46" i="146"/>
  <c r="AM46" i="146"/>
  <c r="AL46" i="146"/>
  <c r="AK46" i="146"/>
  <c r="AJ46" i="146"/>
  <c r="AI46" i="146"/>
  <c r="AH46" i="146"/>
  <c r="AG46" i="146"/>
  <c r="AF46" i="146"/>
  <c r="AE46" i="146"/>
  <c r="AD46" i="146"/>
  <c r="AC46" i="146"/>
  <c r="AB46" i="146"/>
  <c r="AA46" i="146"/>
  <c r="Z46" i="146"/>
  <c r="Y46" i="146"/>
  <c r="X46" i="146"/>
  <c r="W46" i="146"/>
  <c r="V46" i="146"/>
  <c r="U46" i="146"/>
  <c r="T46" i="146"/>
  <c r="S46" i="146"/>
  <c r="R46" i="146"/>
  <c r="Q46" i="146"/>
  <c r="P46" i="146"/>
  <c r="O46" i="146"/>
  <c r="N46" i="146"/>
  <c r="M46" i="146"/>
  <c r="L46" i="146"/>
  <c r="K46" i="146"/>
  <c r="A46" i="146"/>
  <c r="AS45" i="146"/>
  <c r="AR45" i="146"/>
  <c r="AQ45" i="146"/>
  <c r="AP45" i="146"/>
  <c r="AO45" i="146"/>
  <c r="AN45" i="146"/>
  <c r="AM45" i="146"/>
  <c r="AL45" i="146"/>
  <c r="AK45" i="146"/>
  <c r="AJ45" i="146"/>
  <c r="AI45" i="146"/>
  <c r="AH45" i="146"/>
  <c r="AG45" i="146"/>
  <c r="AF45" i="146"/>
  <c r="AE45" i="146"/>
  <c r="AE47" i="146" s="1"/>
  <c r="AD45" i="146"/>
  <c r="AC45" i="146"/>
  <c r="AB45" i="146"/>
  <c r="AA45" i="146"/>
  <c r="Z45" i="146"/>
  <c r="Y45" i="146"/>
  <c r="Y47" i="146" s="1"/>
  <c r="X45" i="146"/>
  <c r="X47" i="146" s="1"/>
  <c r="W45" i="146"/>
  <c r="V45" i="146"/>
  <c r="U45" i="146"/>
  <c r="T45" i="146"/>
  <c r="S45" i="146"/>
  <c r="R45" i="146"/>
  <c r="R47" i="146" s="1"/>
  <c r="Q45" i="146"/>
  <c r="P45" i="146"/>
  <c r="P47" i="146" s="1"/>
  <c r="O45" i="146"/>
  <c r="N45" i="146"/>
  <c r="M45" i="146"/>
  <c r="L45" i="146"/>
  <c r="K45" i="146"/>
  <c r="A45" i="146"/>
  <c r="CL44" i="146"/>
  <c r="F41" i="122" s="1"/>
  <c r="CK44" i="146"/>
  <c r="CJ44" i="146"/>
  <c r="CI44" i="146"/>
  <c r="CH44" i="146"/>
  <c r="CG44" i="146"/>
  <c r="CF44" i="146"/>
  <c r="CE44" i="146"/>
  <c r="CD44" i="146"/>
  <c r="CC44" i="146"/>
  <c r="CB44" i="146"/>
  <c r="CA44" i="146"/>
  <c r="BZ44" i="146"/>
  <c r="BY44" i="146"/>
  <c r="BX44" i="146"/>
  <c r="BW44" i="146"/>
  <c r="BV44" i="146"/>
  <c r="BU44" i="146"/>
  <c r="BT44" i="146"/>
  <c r="BS44" i="146"/>
  <c r="BR44" i="146"/>
  <c r="BQ44" i="146"/>
  <c r="BP44" i="146"/>
  <c r="BO44" i="146"/>
  <c r="BN44" i="146"/>
  <c r="BL44" i="146"/>
  <c r="BK44" i="146"/>
  <c r="BJ44" i="146"/>
  <c r="BH44" i="146"/>
  <c r="BG44" i="146"/>
  <c r="BF44" i="146"/>
  <c r="BE44" i="146"/>
  <c r="BD44" i="146"/>
  <c r="BC44" i="146"/>
  <c r="BB44" i="146"/>
  <c r="AZ44" i="146"/>
  <c r="AY44" i="146"/>
  <c r="AX44" i="146"/>
  <c r="AW44" i="146"/>
  <c r="I44" i="146"/>
  <c r="H44" i="146"/>
  <c r="G44" i="146"/>
  <c r="F44" i="146"/>
  <c r="A44" i="146"/>
  <c r="AS43" i="146"/>
  <c r="AS44" i="146" s="1"/>
  <c r="AR43" i="146"/>
  <c r="AR44" i="146" s="1"/>
  <c r="AQ43" i="146"/>
  <c r="AP43" i="146"/>
  <c r="AO43" i="146"/>
  <c r="AN43" i="146"/>
  <c r="AM43" i="146"/>
  <c r="AL43" i="146"/>
  <c r="AK43" i="146"/>
  <c r="AK44" i="146" s="1"/>
  <c r="AJ43" i="146"/>
  <c r="AJ44" i="146" s="1"/>
  <c r="AI43" i="146"/>
  <c r="AH43" i="146"/>
  <c r="AG43" i="146"/>
  <c r="AF43" i="146"/>
  <c r="AF44" i="146" s="1"/>
  <c r="AE43" i="146"/>
  <c r="AE44" i="146" s="1"/>
  <c r="AD43" i="146"/>
  <c r="AD44" i="146" s="1"/>
  <c r="AC43" i="146"/>
  <c r="AC44" i="146" s="1"/>
  <c r="AB43" i="146"/>
  <c r="AB44" i="146" s="1"/>
  <c r="AA43" i="146"/>
  <c r="Z43" i="146"/>
  <c r="Y43" i="146"/>
  <c r="X43" i="146"/>
  <c r="X44" i="146" s="1"/>
  <c r="W43" i="146"/>
  <c r="W44" i="146" s="1"/>
  <c r="V43" i="146"/>
  <c r="U43" i="146"/>
  <c r="U44" i="146" s="1"/>
  <c r="T43" i="146"/>
  <c r="T44" i="146" s="1"/>
  <c r="S43" i="146"/>
  <c r="R43" i="146"/>
  <c r="Q43" i="146"/>
  <c r="P43" i="146"/>
  <c r="P44" i="146" s="1"/>
  <c r="O43" i="146"/>
  <c r="O44" i="146" s="1"/>
  <c r="N43" i="146"/>
  <c r="N44" i="146" s="1"/>
  <c r="M43" i="146"/>
  <c r="M44" i="146" s="1"/>
  <c r="L43" i="146"/>
  <c r="L44" i="146" s="1"/>
  <c r="K43" i="146"/>
  <c r="A43" i="146"/>
  <c r="AS42" i="146"/>
  <c r="AS54" i="146" s="1"/>
  <c r="AR42" i="146"/>
  <c r="AQ42" i="146"/>
  <c r="AP42" i="146"/>
  <c r="AO42" i="146"/>
  <c r="AN42" i="146"/>
  <c r="AM42" i="146"/>
  <c r="AL42" i="146"/>
  <c r="AK42" i="146"/>
  <c r="AJ42" i="146"/>
  <c r="AI42" i="146"/>
  <c r="AH42" i="146"/>
  <c r="AG42" i="146"/>
  <c r="AF42" i="146"/>
  <c r="AE42" i="146"/>
  <c r="AE51" i="146" s="1"/>
  <c r="AD42" i="146"/>
  <c r="AC42" i="146"/>
  <c r="AB42" i="146"/>
  <c r="AA42" i="146"/>
  <c r="AA51" i="146" s="1"/>
  <c r="Z42" i="146"/>
  <c r="Y42" i="146"/>
  <c r="Y54" i="146" s="1"/>
  <c r="X42" i="146"/>
  <c r="X51" i="146" s="1"/>
  <c r="W42" i="146"/>
  <c r="V42" i="146"/>
  <c r="V54" i="146" s="1"/>
  <c r="U42" i="146"/>
  <c r="T42" i="146"/>
  <c r="S42" i="146"/>
  <c r="R42" i="146"/>
  <c r="R54" i="146" s="1"/>
  <c r="Q42" i="146"/>
  <c r="P42" i="146"/>
  <c r="P51" i="146" s="1"/>
  <c r="O42" i="146"/>
  <c r="N42" i="146"/>
  <c r="M42" i="146"/>
  <c r="L42" i="146"/>
  <c r="K42" i="146"/>
  <c r="D39" i="122" s="1"/>
  <c r="A42" i="146"/>
  <c r="AS41" i="146"/>
  <c r="AR41" i="146"/>
  <c r="AQ41" i="146"/>
  <c r="AP41" i="146"/>
  <c r="AO41" i="146"/>
  <c r="AN41" i="146"/>
  <c r="AM41" i="146"/>
  <c r="AL41" i="146"/>
  <c r="AK41" i="146"/>
  <c r="AJ41" i="146"/>
  <c r="AI41" i="146"/>
  <c r="AH41" i="146"/>
  <c r="AG41" i="146"/>
  <c r="AF41" i="146"/>
  <c r="AE41" i="146"/>
  <c r="AD41" i="146"/>
  <c r="AC41" i="146"/>
  <c r="AB41" i="146"/>
  <c r="AA41" i="146"/>
  <c r="Z41" i="146"/>
  <c r="Y41" i="146"/>
  <c r="X41" i="146"/>
  <c r="W41" i="146"/>
  <c r="V41" i="146"/>
  <c r="U41" i="146"/>
  <c r="T41" i="146"/>
  <c r="S41" i="146"/>
  <c r="R41" i="146"/>
  <c r="Q41" i="146"/>
  <c r="P41" i="146"/>
  <c r="O41" i="146"/>
  <c r="N41" i="146"/>
  <c r="M41" i="146"/>
  <c r="L41" i="146"/>
  <c r="K41" i="146"/>
  <c r="D38" i="122" s="1"/>
  <c r="A41" i="146"/>
  <c r="A40" i="146"/>
  <c r="AS39" i="146"/>
  <c r="AR39" i="146"/>
  <c r="AQ39" i="146"/>
  <c r="AP39" i="146"/>
  <c r="AO39" i="146"/>
  <c r="AN39" i="146"/>
  <c r="AM39" i="146"/>
  <c r="AL39" i="146"/>
  <c r="AK39" i="146"/>
  <c r="AJ39" i="146"/>
  <c r="AI39" i="146"/>
  <c r="AH39" i="146"/>
  <c r="AG39" i="146"/>
  <c r="AF39" i="146"/>
  <c r="AE39" i="146"/>
  <c r="AD39" i="146"/>
  <c r="AC39" i="146"/>
  <c r="AB39" i="146"/>
  <c r="AA39" i="146"/>
  <c r="Z39" i="146"/>
  <c r="Y39" i="146"/>
  <c r="X39" i="146"/>
  <c r="W39" i="146"/>
  <c r="V39" i="146"/>
  <c r="U39" i="146"/>
  <c r="T39" i="146"/>
  <c r="S39" i="146"/>
  <c r="R39" i="146"/>
  <c r="Q39" i="146"/>
  <c r="P39" i="146"/>
  <c r="O39" i="146"/>
  <c r="N39" i="146"/>
  <c r="M39" i="146"/>
  <c r="L39" i="146"/>
  <c r="K39" i="146"/>
  <c r="A39" i="146"/>
  <c r="AS38" i="146"/>
  <c r="AR38" i="146"/>
  <c r="AQ38" i="146"/>
  <c r="AP38" i="146"/>
  <c r="AO38" i="146"/>
  <c r="AN38" i="146"/>
  <c r="AM38" i="146"/>
  <c r="AL38" i="146"/>
  <c r="AK38" i="146"/>
  <c r="AJ38" i="146"/>
  <c r="AI38" i="146"/>
  <c r="AH38" i="146"/>
  <c r="AG38" i="146"/>
  <c r="AF38" i="146"/>
  <c r="AE38" i="146"/>
  <c r="AD38" i="146"/>
  <c r="AC38" i="146"/>
  <c r="AB38" i="146"/>
  <c r="AA38" i="146"/>
  <c r="Z38" i="146"/>
  <c r="Y38" i="146"/>
  <c r="X38" i="146"/>
  <c r="W38" i="146"/>
  <c r="V38" i="146"/>
  <c r="U38" i="146"/>
  <c r="T38" i="146"/>
  <c r="S38" i="146"/>
  <c r="R38" i="146"/>
  <c r="Q38" i="146"/>
  <c r="P38" i="146"/>
  <c r="O38" i="146"/>
  <c r="N38" i="146"/>
  <c r="M38" i="146"/>
  <c r="L38" i="146"/>
  <c r="K38" i="146"/>
  <c r="A38" i="146"/>
  <c r="AS37" i="146"/>
  <c r="AR37" i="146"/>
  <c r="AQ37" i="146"/>
  <c r="AP37" i="146"/>
  <c r="AO37" i="146"/>
  <c r="AN37" i="146"/>
  <c r="AM37" i="146"/>
  <c r="AL37" i="146"/>
  <c r="AK37" i="146"/>
  <c r="AJ37" i="146"/>
  <c r="AI37" i="146"/>
  <c r="AH37" i="146"/>
  <c r="AG37" i="146"/>
  <c r="AF37" i="146"/>
  <c r="AE37" i="146"/>
  <c r="AD37" i="146"/>
  <c r="AC37" i="146"/>
  <c r="AB37" i="146"/>
  <c r="AA37" i="146"/>
  <c r="Z37" i="146"/>
  <c r="Y37" i="146"/>
  <c r="X37" i="146"/>
  <c r="W37" i="146"/>
  <c r="V37" i="146"/>
  <c r="U37" i="146"/>
  <c r="T37" i="146"/>
  <c r="S37" i="146"/>
  <c r="R37" i="146"/>
  <c r="Q37" i="146"/>
  <c r="P37" i="146"/>
  <c r="O37" i="146"/>
  <c r="N37" i="146"/>
  <c r="M37" i="146"/>
  <c r="L37" i="146"/>
  <c r="K37" i="146"/>
  <c r="A37" i="146"/>
  <c r="AS36" i="146"/>
  <c r="AR36" i="146"/>
  <c r="AQ36" i="146"/>
  <c r="AP36" i="146"/>
  <c r="AO36" i="146"/>
  <c r="AN36" i="146"/>
  <c r="AM36" i="146"/>
  <c r="AL36" i="146"/>
  <c r="AK36" i="146"/>
  <c r="AJ36" i="146"/>
  <c r="AI36" i="146"/>
  <c r="AH36" i="146"/>
  <c r="AG36" i="146"/>
  <c r="AF36" i="146"/>
  <c r="AE36" i="146"/>
  <c r="AD36" i="146"/>
  <c r="AC36" i="146"/>
  <c r="AB36" i="146"/>
  <c r="AA36" i="146"/>
  <c r="Z36" i="146"/>
  <c r="Y36" i="146"/>
  <c r="X36" i="146"/>
  <c r="W36" i="146"/>
  <c r="V36" i="146"/>
  <c r="U36" i="146"/>
  <c r="T36" i="146"/>
  <c r="S36" i="146"/>
  <c r="R36" i="146"/>
  <c r="Q36" i="146"/>
  <c r="P36" i="146"/>
  <c r="O36" i="146"/>
  <c r="N36" i="146"/>
  <c r="M36" i="146"/>
  <c r="L36" i="146"/>
  <c r="K36" i="146"/>
  <c r="A36" i="146"/>
  <c r="AS35" i="146"/>
  <c r="AS93" i="146" s="1"/>
  <c r="AR35" i="146"/>
  <c r="AR127" i="146" s="1"/>
  <c r="AQ35" i="146"/>
  <c r="AP35" i="146"/>
  <c r="AP127" i="146" s="1"/>
  <c r="AO35" i="146"/>
  <c r="AN35" i="146"/>
  <c r="AM35" i="146"/>
  <c r="AL35" i="146"/>
  <c r="AL127" i="146" s="1"/>
  <c r="AK35" i="146"/>
  <c r="AJ35" i="146"/>
  <c r="AJ127" i="146" s="1"/>
  <c r="AI35" i="146"/>
  <c r="AH35" i="146"/>
  <c r="AH127" i="146" s="1"/>
  <c r="AG35" i="146"/>
  <c r="AF35" i="146"/>
  <c r="AE35" i="146"/>
  <c r="AE50" i="146" s="1"/>
  <c r="AD35" i="146"/>
  <c r="AD127" i="146" s="1"/>
  <c r="AC35" i="146"/>
  <c r="AB35" i="146"/>
  <c r="AB127" i="146" s="1"/>
  <c r="AA35" i="146"/>
  <c r="AA93" i="146" s="1"/>
  <c r="Z35" i="146"/>
  <c r="Z127" i="146" s="1"/>
  <c r="Y35" i="146"/>
  <c r="Y93" i="146" s="1"/>
  <c r="X35" i="146"/>
  <c r="X93" i="146" s="1"/>
  <c r="W35" i="146"/>
  <c r="V35" i="146"/>
  <c r="V93" i="146" s="1"/>
  <c r="U35" i="146"/>
  <c r="T35" i="146"/>
  <c r="T127" i="146" s="1"/>
  <c r="S35" i="146"/>
  <c r="R35" i="146"/>
  <c r="R127" i="146" s="1"/>
  <c r="Q35" i="146"/>
  <c r="P35" i="146"/>
  <c r="P93" i="146" s="1"/>
  <c r="O35" i="146"/>
  <c r="N35" i="146"/>
  <c r="N127" i="146" s="1"/>
  <c r="M35" i="146"/>
  <c r="L35" i="146"/>
  <c r="L127" i="146" s="1"/>
  <c r="K35" i="146"/>
  <c r="A35" i="146"/>
  <c r="A34" i="146"/>
  <c r="CL33" i="146"/>
  <c r="CK33" i="146"/>
  <c r="AQ33" i="146" s="1"/>
  <c r="CJ33" i="146"/>
  <c r="CI33" i="146"/>
  <c r="AR33" i="146" s="1"/>
  <c r="CH33" i="146"/>
  <c r="AM33" i="146" s="1"/>
  <c r="CG33" i="146"/>
  <c r="CF33" i="146"/>
  <c r="CE33" i="146"/>
  <c r="CD33" i="146"/>
  <c r="CC33" i="146"/>
  <c r="CB33" i="146"/>
  <c r="CA33" i="146"/>
  <c r="AF33" i="146" s="1"/>
  <c r="BZ33" i="146"/>
  <c r="BY33" i="146"/>
  <c r="AJ33" i="146" s="1"/>
  <c r="BX33" i="146"/>
  <c r="BW33" i="146"/>
  <c r="BV33" i="146"/>
  <c r="BU33" i="146"/>
  <c r="AD33" i="146" s="1"/>
  <c r="BT33" i="146"/>
  <c r="BS33" i="146"/>
  <c r="BR33" i="146"/>
  <c r="W33" i="146" s="1"/>
  <c r="BQ33" i="146"/>
  <c r="BP33" i="146"/>
  <c r="BO33" i="146"/>
  <c r="BN33" i="146"/>
  <c r="BM33" i="146"/>
  <c r="Z33" i="146" s="1"/>
  <c r="BL33" i="146"/>
  <c r="BK33" i="146"/>
  <c r="BJ33" i="146"/>
  <c r="BI33" i="146"/>
  <c r="BH33" i="146"/>
  <c r="BG33" i="146"/>
  <c r="BF33" i="146"/>
  <c r="K33" i="146" s="1"/>
  <c r="BE33" i="146"/>
  <c r="O33" i="146" s="1"/>
  <c r="BD33" i="146"/>
  <c r="BC33" i="146"/>
  <c r="BB33" i="146"/>
  <c r="T33" i="146" s="1"/>
  <c r="BA33" i="146"/>
  <c r="AZ33" i="146"/>
  <c r="AY33" i="146"/>
  <c r="AX33" i="146"/>
  <c r="AW33" i="146"/>
  <c r="N33" i="146" s="1"/>
  <c r="AP33" i="146"/>
  <c r="AO33" i="146"/>
  <c r="AN33" i="146"/>
  <c r="AL33" i="146"/>
  <c r="AK33" i="146"/>
  <c r="AI33" i="146"/>
  <c r="AH33" i="146"/>
  <c r="AG33" i="146"/>
  <c r="AC33" i="146"/>
  <c r="AB33" i="146"/>
  <c r="U33" i="146"/>
  <c r="S33" i="146"/>
  <c r="Q33" i="146"/>
  <c r="M33" i="146"/>
  <c r="L33" i="146"/>
  <c r="I33" i="146"/>
  <c r="H33" i="146"/>
  <c r="G33" i="146"/>
  <c r="F33" i="146"/>
  <c r="A33" i="146"/>
  <c r="AR32" i="146"/>
  <c r="AQ32" i="146"/>
  <c r="AP32" i="146"/>
  <c r="AO32" i="146"/>
  <c r="AN32" i="146"/>
  <c r="AM32" i="146"/>
  <c r="AL32" i="146"/>
  <c r="AK32" i="146"/>
  <c r="AJ32" i="146"/>
  <c r="AI32" i="146"/>
  <c r="AH32" i="146"/>
  <c r="AG32" i="146"/>
  <c r="AF32" i="146"/>
  <c r="AD32" i="146"/>
  <c r="AC32" i="146"/>
  <c r="AB32" i="146"/>
  <c r="Z32" i="146"/>
  <c r="Y32" i="146"/>
  <c r="Y33" i="146" s="1"/>
  <c r="W32" i="146"/>
  <c r="U32" i="146"/>
  <c r="T32" i="146"/>
  <c r="S32" i="146"/>
  <c r="Q32" i="146"/>
  <c r="O32" i="146"/>
  <c r="N32" i="146"/>
  <c r="M32" i="146"/>
  <c r="L32" i="146"/>
  <c r="K32" i="146"/>
  <c r="A32" i="146"/>
  <c r="CL31" i="146"/>
  <c r="CK31" i="146"/>
  <c r="CJ31" i="146"/>
  <c r="CI31" i="146"/>
  <c r="AR31" i="146" s="1"/>
  <c r="CH31" i="146"/>
  <c r="CG31" i="146"/>
  <c r="CF31" i="146"/>
  <c r="CE31" i="146"/>
  <c r="AL31" i="146" s="1"/>
  <c r="CD31" i="146"/>
  <c r="AP31" i="146" s="1"/>
  <c r="CC31" i="146"/>
  <c r="CB31" i="146"/>
  <c r="CA31" i="146"/>
  <c r="AF31" i="146" s="1"/>
  <c r="BZ31" i="146"/>
  <c r="BY31" i="146"/>
  <c r="BX31" i="146"/>
  <c r="BW31" i="146"/>
  <c r="BV31" i="146"/>
  <c r="AG31" i="146" s="1"/>
  <c r="BU31" i="146"/>
  <c r="BT31" i="146"/>
  <c r="BS31" i="146"/>
  <c r="BR31" i="146"/>
  <c r="BQ31" i="146"/>
  <c r="BP31" i="146"/>
  <c r="BO31" i="146"/>
  <c r="BN31" i="146"/>
  <c r="BM31" i="146"/>
  <c r="BL31" i="146"/>
  <c r="BK31" i="146"/>
  <c r="BJ31" i="146"/>
  <c r="BI31" i="146"/>
  <c r="BH31" i="146"/>
  <c r="BG31" i="146"/>
  <c r="BF31" i="146"/>
  <c r="K31" i="146" s="1"/>
  <c r="BE31" i="146"/>
  <c r="BD31" i="146"/>
  <c r="BC31" i="146"/>
  <c r="U31" i="146" s="1"/>
  <c r="BB31" i="146"/>
  <c r="T31" i="146" s="1"/>
  <c r="BA31" i="146"/>
  <c r="AZ31" i="146"/>
  <c r="AY31" i="146"/>
  <c r="L31" i="146" s="1"/>
  <c r="AX31" i="146"/>
  <c r="AW31" i="146"/>
  <c r="Q31" i="146"/>
  <c r="AQ31" i="146"/>
  <c r="AO31" i="146"/>
  <c r="AN31" i="146"/>
  <c r="AM31" i="146"/>
  <c r="AK31" i="146"/>
  <c r="AJ31" i="146"/>
  <c r="AI31" i="146"/>
  <c r="AH31" i="146"/>
  <c r="AD31" i="146"/>
  <c r="AC31" i="146"/>
  <c r="AB31" i="146"/>
  <c r="AA31" i="146"/>
  <c r="Z31" i="146"/>
  <c r="W31" i="146"/>
  <c r="S31" i="146"/>
  <c r="O31" i="146"/>
  <c r="N31" i="146"/>
  <c r="M31" i="146"/>
  <c r="I31" i="146"/>
  <c r="H31" i="146"/>
  <c r="G31" i="146"/>
  <c r="F31" i="146"/>
  <c r="B31" i="146"/>
  <c r="A31" i="146"/>
  <c r="CL30" i="146"/>
  <c r="CK30" i="146"/>
  <c r="AQ30" i="146" s="1"/>
  <c r="CJ30" i="146"/>
  <c r="CI30" i="146"/>
  <c r="CH30" i="146"/>
  <c r="CG30" i="146"/>
  <c r="CF30" i="146"/>
  <c r="CE30" i="146"/>
  <c r="CD30" i="146"/>
  <c r="CC30" i="146"/>
  <c r="CB30" i="146"/>
  <c r="AK30" i="146" s="1"/>
  <c r="CA30" i="146"/>
  <c r="BZ30" i="146"/>
  <c r="AH30" i="146" s="1"/>
  <c r="BY30" i="146"/>
  <c r="BX30" i="146"/>
  <c r="AC30" i="146" s="1"/>
  <c r="BW30" i="146"/>
  <c r="BV30" i="146"/>
  <c r="BU30" i="146"/>
  <c r="AD30" i="146" s="1"/>
  <c r="BT30" i="146"/>
  <c r="BS30" i="146"/>
  <c r="BR30" i="146"/>
  <c r="BQ30" i="146"/>
  <c r="BP30" i="146"/>
  <c r="BO30" i="146"/>
  <c r="BN30" i="146"/>
  <c r="BM30" i="146"/>
  <c r="Z30" i="146" s="1"/>
  <c r="BL30" i="146"/>
  <c r="BK30" i="146"/>
  <c r="BJ30" i="146"/>
  <c r="BI30" i="146"/>
  <c r="BH30" i="146"/>
  <c r="BG30" i="146"/>
  <c r="BF30" i="146"/>
  <c r="BE30" i="146"/>
  <c r="O30" i="146" s="1"/>
  <c r="BD30" i="146"/>
  <c r="M30" i="146" s="1"/>
  <c r="BC30" i="146"/>
  <c r="BB30" i="146"/>
  <c r="BA30" i="146"/>
  <c r="AZ30" i="146"/>
  <c r="AY30" i="146"/>
  <c r="AX30" i="146"/>
  <c r="AW30" i="146"/>
  <c r="N30" i="146" s="1"/>
  <c r="S30" i="146"/>
  <c r="AR30" i="146"/>
  <c r="AP30" i="146"/>
  <c r="AO30" i="146"/>
  <c r="AN30" i="146"/>
  <c r="AM30" i="146"/>
  <c r="AL30" i="146"/>
  <c r="AJ30" i="146"/>
  <c r="AI30" i="146"/>
  <c r="AG30" i="146"/>
  <c r="AF30" i="146"/>
  <c r="AB30" i="146"/>
  <c r="W30" i="146"/>
  <c r="U30" i="146"/>
  <c r="T30" i="146"/>
  <c r="Q30" i="146"/>
  <c r="L30" i="146"/>
  <c r="K30" i="146"/>
  <c r="I30" i="146"/>
  <c r="H30" i="146"/>
  <c r="G30" i="146"/>
  <c r="F30" i="146"/>
  <c r="A30" i="146"/>
  <c r="AS29" i="146"/>
  <c r="AR29" i="146"/>
  <c r="AQ29" i="146"/>
  <c r="AP29" i="146"/>
  <c r="AO29" i="146"/>
  <c r="AN29" i="146"/>
  <c r="AM29" i="146"/>
  <c r="AL29" i="146"/>
  <c r="AK29" i="146"/>
  <c r="AJ29" i="146"/>
  <c r="AI29" i="146"/>
  <c r="AH29" i="146"/>
  <c r="AG29" i="146"/>
  <c r="AF29" i="146"/>
  <c r="AE29" i="146"/>
  <c r="AD29" i="146"/>
  <c r="AC29" i="146"/>
  <c r="AB29" i="146"/>
  <c r="AA29" i="146"/>
  <c r="Z29" i="146"/>
  <c r="Y29" i="146"/>
  <c r="X29" i="146"/>
  <c r="W29" i="146"/>
  <c r="V29" i="146"/>
  <c r="U29" i="146"/>
  <c r="T29" i="146"/>
  <c r="S29" i="146"/>
  <c r="R29" i="146"/>
  <c r="Q29" i="146"/>
  <c r="P29" i="146"/>
  <c r="O29" i="146"/>
  <c r="N29" i="146"/>
  <c r="M29" i="146"/>
  <c r="L29" i="146"/>
  <c r="K29" i="146"/>
  <c r="A29" i="146"/>
  <c r="AS28" i="146"/>
  <c r="AR28" i="146"/>
  <c r="AQ28" i="146"/>
  <c r="AP28" i="146"/>
  <c r="AO28" i="146"/>
  <c r="AN28" i="146"/>
  <c r="AM28" i="146"/>
  <c r="AL28" i="146"/>
  <c r="AK28" i="146"/>
  <c r="AJ28" i="146"/>
  <c r="AI28" i="146"/>
  <c r="AH28" i="146"/>
  <c r="AG28" i="146"/>
  <c r="AF28" i="146"/>
  <c r="AE28" i="146"/>
  <c r="AD28" i="146"/>
  <c r="AC28" i="146"/>
  <c r="AB28" i="146"/>
  <c r="AA28" i="146"/>
  <c r="Z28" i="146"/>
  <c r="Y28" i="146"/>
  <c r="X28" i="146"/>
  <c r="W28" i="146"/>
  <c r="V28" i="146"/>
  <c r="U28" i="146"/>
  <c r="T28" i="146"/>
  <c r="S28" i="146"/>
  <c r="R28" i="146"/>
  <c r="Q28" i="146"/>
  <c r="P28" i="146"/>
  <c r="O28" i="146"/>
  <c r="N28" i="146"/>
  <c r="M28" i="146"/>
  <c r="L28" i="146"/>
  <c r="K28" i="146"/>
  <c r="A28" i="146"/>
  <c r="AS27" i="146"/>
  <c r="AR27" i="146"/>
  <c r="AQ27" i="146"/>
  <c r="AP27" i="146"/>
  <c r="AO27" i="146"/>
  <c r="AN27" i="146"/>
  <c r="AM27" i="146"/>
  <c r="AL27" i="146"/>
  <c r="AK27" i="146"/>
  <c r="AJ27" i="146"/>
  <c r="AI27" i="146"/>
  <c r="AH27" i="146"/>
  <c r="AG27" i="146"/>
  <c r="AF27" i="146"/>
  <c r="AE27" i="146"/>
  <c r="AD27" i="146"/>
  <c r="AC27" i="146"/>
  <c r="AB27" i="146"/>
  <c r="AA27" i="146"/>
  <c r="Z27" i="146"/>
  <c r="Y27" i="146"/>
  <c r="X27" i="146"/>
  <c r="W27" i="146"/>
  <c r="V27" i="146"/>
  <c r="U27" i="146"/>
  <c r="T27" i="146"/>
  <c r="S27" i="146"/>
  <c r="R27" i="146"/>
  <c r="Q27" i="146"/>
  <c r="P27" i="146"/>
  <c r="O27" i="146"/>
  <c r="N27" i="146"/>
  <c r="M27" i="146"/>
  <c r="L27" i="146"/>
  <c r="K27" i="146" s="1"/>
  <c r="A27" i="146"/>
  <c r="AS26" i="146"/>
  <c r="AR26" i="146"/>
  <c r="AQ26" i="146"/>
  <c r="AP26" i="146"/>
  <c r="AO26" i="146"/>
  <c r="AN26" i="146"/>
  <c r="AM26" i="146"/>
  <c r="AL26" i="146"/>
  <c r="AK26" i="146"/>
  <c r="AJ26" i="146"/>
  <c r="AI26" i="146"/>
  <c r="AH26" i="146"/>
  <c r="AG26" i="146"/>
  <c r="AF26" i="146"/>
  <c r="AE26" i="146"/>
  <c r="AD26" i="146"/>
  <c r="AC26" i="146"/>
  <c r="AB26" i="146"/>
  <c r="AA26" i="146"/>
  <c r="Z26" i="146"/>
  <c r="Y26" i="146"/>
  <c r="X26" i="146"/>
  <c r="W26" i="146"/>
  <c r="V26" i="146"/>
  <c r="U26" i="146"/>
  <c r="T26" i="146"/>
  <c r="S26" i="146"/>
  <c r="R26" i="146"/>
  <c r="Q26" i="146"/>
  <c r="P26" i="146"/>
  <c r="O26" i="146"/>
  <c r="N26" i="146"/>
  <c r="M26" i="146"/>
  <c r="L26" i="146"/>
  <c r="K26" i="146" s="1"/>
  <c r="A26" i="146"/>
  <c r="AS25" i="146"/>
  <c r="AR25" i="146"/>
  <c r="AQ25" i="146"/>
  <c r="AP25" i="146"/>
  <c r="AO25" i="146"/>
  <c r="AN25" i="146"/>
  <c r="AM25" i="146"/>
  <c r="AL25" i="146"/>
  <c r="AK25" i="146"/>
  <c r="AJ25" i="146"/>
  <c r="AI25" i="146"/>
  <c r="AH25" i="146"/>
  <c r="AG25" i="146"/>
  <c r="AF25" i="146"/>
  <c r="AE25" i="146"/>
  <c r="AD25" i="146"/>
  <c r="AC25" i="146"/>
  <c r="AB25" i="146"/>
  <c r="AA25" i="146"/>
  <c r="Z25" i="146"/>
  <c r="Y25" i="146"/>
  <c r="X25" i="146"/>
  <c r="W25" i="146"/>
  <c r="V25" i="146"/>
  <c r="U25" i="146"/>
  <c r="T25" i="146"/>
  <c r="S25" i="146"/>
  <c r="R25" i="146"/>
  <c r="Q25" i="146"/>
  <c r="P25" i="146"/>
  <c r="O25" i="146"/>
  <c r="N25" i="146"/>
  <c r="M25" i="146"/>
  <c r="L25" i="146"/>
  <c r="K25" i="146" s="1"/>
  <c r="A25" i="146"/>
  <c r="AS24" i="146"/>
  <c r="AR24" i="146"/>
  <c r="AQ24" i="146"/>
  <c r="AP24" i="146"/>
  <c r="AO24" i="146"/>
  <c r="AN24" i="146"/>
  <c r="AM24" i="146"/>
  <c r="AL24" i="146"/>
  <c r="AK24" i="146"/>
  <c r="AJ24" i="146"/>
  <c r="AI24" i="146"/>
  <c r="AH24" i="146"/>
  <c r="AG24" i="146"/>
  <c r="AF24" i="146"/>
  <c r="AE24" i="146"/>
  <c r="AD24" i="146"/>
  <c r="AC24" i="146"/>
  <c r="AB24" i="146"/>
  <c r="AA24" i="146"/>
  <c r="Z24" i="146"/>
  <c r="Y24" i="146"/>
  <c r="X24" i="146"/>
  <c r="W24" i="146"/>
  <c r="V24" i="146"/>
  <c r="U24" i="146"/>
  <c r="T24" i="146"/>
  <c r="S24" i="146"/>
  <c r="R24" i="146"/>
  <c r="Q24" i="146"/>
  <c r="P24" i="146"/>
  <c r="O24" i="146"/>
  <c r="N24" i="146"/>
  <c r="M24" i="146"/>
  <c r="L24" i="146"/>
  <c r="K24" i="146" s="1"/>
  <c r="A24" i="146"/>
  <c r="AS23" i="146"/>
  <c r="AS30" i="146" s="1"/>
  <c r="AR23" i="146"/>
  <c r="AQ23" i="146"/>
  <c r="AP23" i="146"/>
  <c r="AO23" i="146"/>
  <c r="AN23" i="146"/>
  <c r="AM23" i="146"/>
  <c r="AL23" i="146"/>
  <c r="AK23" i="146"/>
  <c r="AJ23" i="146"/>
  <c r="AI23" i="146"/>
  <c r="AH23" i="146"/>
  <c r="AG23" i="146"/>
  <c r="AF23" i="146"/>
  <c r="AE23" i="146"/>
  <c r="AE32" i="146" s="1"/>
  <c r="AE33" i="146" s="1"/>
  <c r="AD23" i="146"/>
  <c r="AC23" i="146"/>
  <c r="AB23" i="146"/>
  <c r="AA23" i="146"/>
  <c r="AA32" i="146" s="1"/>
  <c r="AA33" i="146" s="1"/>
  <c r="Z23" i="146"/>
  <c r="Y23" i="146"/>
  <c r="Y31" i="146" s="1"/>
  <c r="X23" i="146"/>
  <c r="X32" i="146" s="1"/>
  <c r="X33" i="146" s="1"/>
  <c r="W23" i="146"/>
  <c r="V23" i="146"/>
  <c r="V30" i="146" s="1"/>
  <c r="U23" i="146"/>
  <c r="T23" i="146"/>
  <c r="S23" i="146"/>
  <c r="R23" i="146"/>
  <c r="R32" i="146" s="1"/>
  <c r="R33" i="146" s="1"/>
  <c r="Q23" i="146"/>
  <c r="P23" i="146"/>
  <c r="P32" i="146" s="1"/>
  <c r="P33" i="146" s="1"/>
  <c r="O23" i="146"/>
  <c r="N23" i="146"/>
  <c r="M23" i="146"/>
  <c r="L23" i="146"/>
  <c r="K23" i="146"/>
  <c r="A23" i="146"/>
  <c r="Q22" i="146"/>
  <c r="A22" i="146"/>
  <c r="A21" i="146"/>
  <c r="A20" i="146"/>
  <c r="AS19" i="146"/>
  <c r="AR19" i="146"/>
  <c r="AQ19" i="146"/>
  <c r="AP19" i="146"/>
  <c r="AO19" i="146"/>
  <c r="AN19" i="146"/>
  <c r="AM19" i="146"/>
  <c r="AL19" i="146"/>
  <c r="AK19" i="146"/>
  <c r="AJ19" i="146"/>
  <c r="AI19" i="146"/>
  <c r="AH19" i="146"/>
  <c r="AG19" i="146"/>
  <c r="AF19" i="146"/>
  <c r="AE19" i="146"/>
  <c r="AD19" i="146"/>
  <c r="AC19" i="146"/>
  <c r="AB19" i="146"/>
  <c r="AA19" i="146"/>
  <c r="Z19" i="146"/>
  <c r="Y19" i="146"/>
  <c r="X19" i="146"/>
  <c r="W19" i="146"/>
  <c r="V19" i="146"/>
  <c r="U19" i="146"/>
  <c r="T19" i="146"/>
  <c r="S19" i="146"/>
  <c r="R19" i="146"/>
  <c r="Q19" i="146"/>
  <c r="P19" i="146"/>
  <c r="O19" i="146"/>
  <c r="N19" i="146"/>
  <c r="M19" i="146"/>
  <c r="L19" i="146"/>
  <c r="K19" i="146"/>
  <c r="I19" i="146"/>
  <c r="H19" i="146"/>
  <c r="G19" i="146"/>
  <c r="F19" i="146"/>
  <c r="A19" i="146"/>
  <c r="AS18" i="146"/>
  <c r="AR18" i="146"/>
  <c r="AQ18" i="146"/>
  <c r="AP18" i="146"/>
  <c r="AO18" i="146"/>
  <c r="AN18" i="146"/>
  <c r="AM18" i="146"/>
  <c r="AL18" i="146"/>
  <c r="AK18" i="146"/>
  <c r="AJ18" i="146"/>
  <c r="AI18" i="146"/>
  <c r="AH18" i="146"/>
  <c r="AG18" i="146"/>
  <c r="AF18" i="146"/>
  <c r="AE18" i="146"/>
  <c r="AD18" i="146"/>
  <c r="AC18" i="146"/>
  <c r="AB18" i="146"/>
  <c r="AA18" i="146"/>
  <c r="Z18" i="146"/>
  <c r="Y18" i="146"/>
  <c r="X18" i="146"/>
  <c r="W18" i="146"/>
  <c r="V18" i="146"/>
  <c r="U18" i="146"/>
  <c r="T18" i="146"/>
  <c r="S18" i="146"/>
  <c r="R18" i="146"/>
  <c r="Q18" i="146"/>
  <c r="P18" i="146"/>
  <c r="O18" i="146"/>
  <c r="N18" i="146"/>
  <c r="M18" i="146"/>
  <c r="L18" i="146"/>
  <c r="K18" i="146"/>
  <c r="A18" i="146"/>
  <c r="AR17" i="146"/>
  <c r="AQ17" i="146"/>
  <c r="AP17" i="146"/>
  <c r="AO17" i="146"/>
  <c r="AN17" i="146"/>
  <c r="AM17" i="146"/>
  <c r="AL17" i="146"/>
  <c r="AK17" i="146"/>
  <c r="AJ17" i="146"/>
  <c r="AI17" i="146"/>
  <c r="AH17" i="146"/>
  <c r="AG17" i="146"/>
  <c r="AF17" i="146"/>
  <c r="AD17" i="146"/>
  <c r="AC17" i="146"/>
  <c r="AB17" i="146"/>
  <c r="Z17" i="146"/>
  <c r="W17" i="146"/>
  <c r="U17" i="146"/>
  <c r="T17" i="146"/>
  <c r="S17" i="146"/>
  <c r="Q17" i="146"/>
  <c r="O17" i="146"/>
  <c r="N17" i="146"/>
  <c r="M17" i="146"/>
  <c r="L17" i="146"/>
  <c r="K17" i="146"/>
  <c r="A17" i="146"/>
  <c r="AS16" i="146"/>
  <c r="AS17" i="146" s="1"/>
  <c r="AR16" i="146"/>
  <c r="AQ16" i="146"/>
  <c r="AP16" i="146"/>
  <c r="AO16" i="146"/>
  <c r="AN16" i="146"/>
  <c r="AM16" i="146"/>
  <c r="AL16" i="146"/>
  <c r="AK16" i="146"/>
  <c r="AJ16" i="146"/>
  <c r="AI16" i="146"/>
  <c r="AH16" i="146"/>
  <c r="AG16" i="146"/>
  <c r="AF16" i="146"/>
  <c r="AE16" i="146"/>
  <c r="AE17" i="146" s="1"/>
  <c r="AD16" i="146"/>
  <c r="AC16" i="146"/>
  <c r="AB16" i="146"/>
  <c r="AA16" i="146"/>
  <c r="AA17" i="146" s="1"/>
  <c r="Z16" i="146"/>
  <c r="Y16" i="146"/>
  <c r="Y17" i="146" s="1"/>
  <c r="X16" i="146"/>
  <c r="X17" i="146" s="1"/>
  <c r="W16" i="146"/>
  <c r="V16" i="146"/>
  <c r="V17" i="146" s="1"/>
  <c r="U16" i="146"/>
  <c r="T16" i="146"/>
  <c r="S16" i="146"/>
  <c r="R16" i="146"/>
  <c r="R17" i="146" s="1"/>
  <c r="Q16" i="146"/>
  <c r="P16" i="146"/>
  <c r="P17" i="146" s="1"/>
  <c r="O16" i="146"/>
  <c r="N16" i="146"/>
  <c r="M16" i="146"/>
  <c r="L16" i="146"/>
  <c r="K16" i="146"/>
  <c r="A16" i="146"/>
  <c r="A15" i="146"/>
  <c r="CL14" i="146"/>
  <c r="F11" i="122" s="1"/>
  <c r="CK14" i="146"/>
  <c r="AQ14" i="146" s="1"/>
  <c r="CJ14" i="146"/>
  <c r="AN14" i="146" s="1"/>
  <c r="CI14" i="146"/>
  <c r="CH14" i="146"/>
  <c r="AM14" i="146" s="1"/>
  <c r="CG14" i="146"/>
  <c r="CF14" i="146"/>
  <c r="CE14" i="146"/>
  <c r="AL14" i="146" s="1"/>
  <c r="CD14" i="146"/>
  <c r="AP14" i="146" s="1"/>
  <c r="CC14" i="146"/>
  <c r="AO14" i="146" s="1"/>
  <c r="CB14" i="146"/>
  <c r="AK14" i="146" s="1"/>
  <c r="CA14" i="146"/>
  <c r="AF14" i="146" s="1"/>
  <c r="BZ14" i="146"/>
  <c r="AH14" i="146" s="1"/>
  <c r="BY14" i="146"/>
  <c r="AJ14" i="146" s="1"/>
  <c r="BX14" i="146"/>
  <c r="AC14" i="146" s="1"/>
  <c r="BW14" i="146"/>
  <c r="AI14" i="146" s="1"/>
  <c r="BV14" i="146"/>
  <c r="AG14" i="146" s="1"/>
  <c r="BU14" i="146"/>
  <c r="AD14" i="146" s="1"/>
  <c r="BT14" i="146"/>
  <c r="BS14" i="146"/>
  <c r="BR14" i="146"/>
  <c r="W14" i="146" s="1"/>
  <c r="BQ14" i="146"/>
  <c r="BP14" i="146"/>
  <c r="AB14" i="146" s="1"/>
  <c r="BO14" i="146"/>
  <c r="BN14" i="146"/>
  <c r="BM14" i="146"/>
  <c r="Z14" i="146" s="1"/>
  <c r="BL14" i="146"/>
  <c r="BK14" i="146"/>
  <c r="BJ14" i="146"/>
  <c r="BI14" i="146"/>
  <c r="BH14" i="146"/>
  <c r="BG14" i="146"/>
  <c r="BF14" i="146"/>
  <c r="K14" i="146" s="1"/>
  <c r="D11" i="122" s="1"/>
  <c r="BE14" i="146"/>
  <c r="O14" i="146" s="1"/>
  <c r="BD14" i="146"/>
  <c r="M14" i="146" s="1"/>
  <c r="BC14" i="146"/>
  <c r="U14" i="146" s="1"/>
  <c r="BB14" i="146"/>
  <c r="T14" i="146" s="1"/>
  <c r="BA14" i="146"/>
  <c r="AZ14" i="146"/>
  <c r="AY14" i="146"/>
  <c r="L14" i="146" s="1"/>
  <c r="AX14" i="146"/>
  <c r="AW14" i="146"/>
  <c r="N14" i="146" s="1"/>
  <c r="AV14" i="146"/>
  <c r="AT14" i="146"/>
  <c r="AR14" i="146"/>
  <c r="Q14" i="146"/>
  <c r="A14" i="146"/>
  <c r="AS13" i="146"/>
  <c r="AR13" i="146"/>
  <c r="AQ13" i="146"/>
  <c r="AP13" i="146"/>
  <c r="AO13" i="146"/>
  <c r="AN13" i="146"/>
  <c r="AM13" i="146"/>
  <c r="AL13" i="146"/>
  <c r="AK13" i="146"/>
  <c r="AJ13" i="146"/>
  <c r="AI13" i="146"/>
  <c r="AH13" i="146"/>
  <c r="AG13" i="146"/>
  <c r="AF13" i="146"/>
  <c r="AE13" i="146"/>
  <c r="AD13" i="146"/>
  <c r="AC13" i="146"/>
  <c r="AB13" i="146"/>
  <c r="AA13" i="146"/>
  <c r="Z13" i="146"/>
  <c r="Y13" i="146"/>
  <c r="X13" i="146"/>
  <c r="W13" i="146"/>
  <c r="V13" i="146"/>
  <c r="U13" i="146"/>
  <c r="T13" i="146"/>
  <c r="S13" i="146"/>
  <c r="R13" i="146"/>
  <c r="O13" i="146"/>
  <c r="N13" i="146"/>
  <c r="M13" i="146"/>
  <c r="L13" i="146"/>
  <c r="K13" i="146"/>
  <c r="D10" i="122" s="1"/>
  <c r="I13" i="146"/>
  <c r="H13" i="146"/>
  <c r="G13" i="146"/>
  <c r="F13" i="146"/>
  <c r="A13" i="146"/>
  <c r="CL12" i="146"/>
  <c r="CK12" i="146"/>
  <c r="CJ12" i="146"/>
  <c r="CI12" i="146"/>
  <c r="CH12" i="146"/>
  <c r="AM12" i="146" s="1"/>
  <c r="CG12" i="146"/>
  <c r="CF12" i="146"/>
  <c r="CE12" i="146"/>
  <c r="CD12" i="146"/>
  <c r="AP12" i="146" s="1"/>
  <c r="CC12" i="146"/>
  <c r="AO12" i="146" s="1"/>
  <c r="CB12" i="146"/>
  <c r="AK12" i="146" s="1"/>
  <c r="CA12" i="146"/>
  <c r="BZ12" i="146"/>
  <c r="BY12" i="146"/>
  <c r="AJ12" i="146" s="1"/>
  <c r="BX12" i="146"/>
  <c r="BW12" i="146"/>
  <c r="BV12" i="146"/>
  <c r="BU12" i="146"/>
  <c r="BT12" i="146"/>
  <c r="BS12" i="146"/>
  <c r="BR12" i="146"/>
  <c r="W12" i="146" s="1"/>
  <c r="BQ12" i="146"/>
  <c r="BP12" i="146"/>
  <c r="AB12" i="146" s="1"/>
  <c r="BO12" i="146"/>
  <c r="BN12" i="146"/>
  <c r="BM12" i="146"/>
  <c r="BL12" i="146"/>
  <c r="BK12" i="146"/>
  <c r="BJ12" i="146"/>
  <c r="BI12" i="146"/>
  <c r="BH12" i="146"/>
  <c r="BG12" i="146"/>
  <c r="BF12" i="146"/>
  <c r="K12" i="146" s="1"/>
  <c r="BE12" i="146"/>
  <c r="BD12" i="146"/>
  <c r="BC12" i="146"/>
  <c r="BB12" i="146"/>
  <c r="BA12" i="146"/>
  <c r="AZ12" i="146"/>
  <c r="AY12" i="146"/>
  <c r="AX12" i="146"/>
  <c r="AW12" i="146"/>
  <c r="N12" i="146" s="1"/>
  <c r="AV12" i="146"/>
  <c r="AU12" i="146"/>
  <c r="AT12" i="146"/>
  <c r="Y12" i="146"/>
  <c r="U12" i="146"/>
  <c r="S12" i="146"/>
  <c r="Q12" i="146"/>
  <c r="P12" i="146"/>
  <c r="L12" i="146"/>
  <c r="A12" i="146"/>
  <c r="AS11" i="146"/>
  <c r="AR11" i="146"/>
  <c r="AQ11" i="146"/>
  <c r="AP11" i="146"/>
  <c r="AO11" i="146"/>
  <c r="AN11" i="146"/>
  <c r="AM11" i="146"/>
  <c r="AL11" i="146"/>
  <c r="AK11" i="146"/>
  <c r="AJ11" i="146"/>
  <c r="AI11" i="146"/>
  <c r="AH11" i="146"/>
  <c r="AG11" i="146"/>
  <c r="AF11" i="146"/>
  <c r="AE11" i="146"/>
  <c r="AD11" i="146"/>
  <c r="AC11" i="146"/>
  <c r="AB11" i="146"/>
  <c r="AA11" i="146"/>
  <c r="Z11" i="146"/>
  <c r="Y11" i="146"/>
  <c r="X11" i="146"/>
  <c r="W11" i="146"/>
  <c r="V11" i="146"/>
  <c r="U11" i="146"/>
  <c r="T11" i="146"/>
  <c r="S11" i="146"/>
  <c r="R11" i="146"/>
  <c r="Q11" i="146"/>
  <c r="P11" i="146"/>
  <c r="O11" i="146"/>
  <c r="N11" i="146"/>
  <c r="M11" i="146"/>
  <c r="L11" i="146"/>
  <c r="K11" i="146"/>
  <c r="I11" i="146"/>
  <c r="H11" i="146"/>
  <c r="G11" i="146"/>
  <c r="F11" i="146"/>
  <c r="A11" i="146"/>
  <c r="AS10" i="146"/>
  <c r="AR10" i="146"/>
  <c r="AQ10" i="146"/>
  <c r="AP10" i="146"/>
  <c r="AO10" i="146"/>
  <c r="AN10" i="146"/>
  <c r="AM10" i="146"/>
  <c r="AL10" i="146"/>
  <c r="AK10" i="146"/>
  <c r="AJ10" i="146"/>
  <c r="AI10" i="146"/>
  <c r="AH10" i="146"/>
  <c r="AG10" i="146"/>
  <c r="AF10" i="146"/>
  <c r="AE10" i="146"/>
  <c r="AD10" i="146"/>
  <c r="AC10" i="146"/>
  <c r="AB10" i="146"/>
  <c r="AA10" i="146"/>
  <c r="Z10" i="146"/>
  <c r="Y10" i="146"/>
  <c r="X10" i="146"/>
  <c r="W10" i="146"/>
  <c r="V10" i="146"/>
  <c r="U10" i="146"/>
  <c r="T10" i="146"/>
  <c r="S10" i="146"/>
  <c r="R10" i="146"/>
  <c r="Q10" i="146"/>
  <c r="P10" i="146"/>
  <c r="O10" i="146"/>
  <c r="N10" i="146"/>
  <c r="M10" i="146"/>
  <c r="L10" i="146"/>
  <c r="K10" i="146"/>
  <c r="I10" i="146"/>
  <c r="H10" i="146"/>
  <c r="G10" i="146"/>
  <c r="F10" i="146"/>
  <c r="A10" i="146"/>
  <c r="AS9" i="146"/>
  <c r="AR9" i="146"/>
  <c r="AQ9" i="146"/>
  <c r="AP9" i="146"/>
  <c r="AO9" i="146"/>
  <c r="AN9" i="146"/>
  <c r="AM9" i="146"/>
  <c r="AL9" i="146"/>
  <c r="AK9" i="146"/>
  <c r="AJ9" i="146"/>
  <c r="AI9" i="146"/>
  <c r="AH9" i="146"/>
  <c r="AG9" i="146"/>
  <c r="AF9" i="146"/>
  <c r="AE9" i="146"/>
  <c r="AD9" i="146"/>
  <c r="AC9" i="146"/>
  <c r="AB9" i="146"/>
  <c r="AA9" i="146"/>
  <c r="Z9" i="146"/>
  <c r="Y9" i="146"/>
  <c r="X9" i="146"/>
  <c r="W9" i="146"/>
  <c r="V9" i="146"/>
  <c r="U9" i="146"/>
  <c r="T9" i="146"/>
  <c r="S9" i="146"/>
  <c r="R9" i="146"/>
  <c r="Q9" i="146"/>
  <c r="P9" i="146"/>
  <c r="O9" i="146"/>
  <c r="N9" i="146"/>
  <c r="M9" i="146"/>
  <c r="L9" i="146"/>
  <c r="K9" i="146"/>
  <c r="I9" i="146"/>
  <c r="H9" i="146"/>
  <c r="G9" i="146"/>
  <c r="F9" i="146"/>
  <c r="A9" i="146"/>
  <c r="AS8" i="146"/>
  <c r="AR8" i="146"/>
  <c r="AQ8" i="146"/>
  <c r="AP8" i="146"/>
  <c r="AO8" i="146"/>
  <c r="AN8" i="146"/>
  <c r="AM8" i="146"/>
  <c r="AL8" i="146"/>
  <c r="AK8" i="146"/>
  <c r="AJ8" i="146"/>
  <c r="AI8" i="146"/>
  <c r="AH8" i="146"/>
  <c r="AG8" i="146"/>
  <c r="AF8" i="146"/>
  <c r="AE8" i="146"/>
  <c r="AD8" i="146"/>
  <c r="AC8" i="146"/>
  <c r="AB8" i="146"/>
  <c r="AA8" i="146"/>
  <c r="Z8" i="146"/>
  <c r="Y8" i="146"/>
  <c r="X8" i="146"/>
  <c r="W8" i="146"/>
  <c r="V8" i="146"/>
  <c r="U8" i="146"/>
  <c r="T8" i="146"/>
  <c r="S8" i="146"/>
  <c r="R8" i="146"/>
  <c r="Q8" i="146"/>
  <c r="P8" i="146"/>
  <c r="O8" i="146"/>
  <c r="N8" i="146"/>
  <c r="M8" i="146"/>
  <c r="L8" i="146"/>
  <c r="K8" i="146"/>
  <c r="I8" i="146"/>
  <c r="H8" i="146"/>
  <c r="G8" i="146"/>
  <c r="F8" i="146"/>
  <c r="A8" i="146"/>
  <c r="AS7" i="146"/>
  <c r="AR7" i="146"/>
  <c r="AQ7" i="146"/>
  <c r="AP7" i="146"/>
  <c r="AO7" i="146"/>
  <c r="AN7" i="146"/>
  <c r="AM7" i="146"/>
  <c r="AL7" i="146"/>
  <c r="AK7" i="146"/>
  <c r="AJ7" i="146"/>
  <c r="AI7" i="146"/>
  <c r="AH7" i="146"/>
  <c r="AG7" i="146"/>
  <c r="AF7" i="146"/>
  <c r="AE7" i="146"/>
  <c r="AD7" i="146"/>
  <c r="AC7" i="146"/>
  <c r="AB7" i="146"/>
  <c r="AA7" i="146"/>
  <c r="Z7" i="146"/>
  <c r="Y7" i="146"/>
  <c r="X7" i="146"/>
  <c r="W7" i="146"/>
  <c r="V7" i="146"/>
  <c r="U7" i="146"/>
  <c r="T7" i="146"/>
  <c r="S7" i="146"/>
  <c r="R7" i="146"/>
  <c r="Q7" i="146"/>
  <c r="P7" i="146"/>
  <c r="O7" i="146"/>
  <c r="N7" i="146"/>
  <c r="M7" i="146"/>
  <c r="L7" i="146"/>
  <c r="K7" i="146"/>
  <c r="I7" i="146"/>
  <c r="H7" i="146"/>
  <c r="G7" i="146"/>
  <c r="F7" i="146"/>
  <c r="A7" i="146"/>
  <c r="A6" i="146"/>
  <c r="CL5" i="146"/>
  <c r="CK5" i="146"/>
  <c r="CJ5" i="146"/>
  <c r="CI5" i="146"/>
  <c r="CH5" i="146"/>
  <c r="CG5" i="146"/>
  <c r="CF5" i="146"/>
  <c r="CE5" i="146"/>
  <c r="CD5" i="146"/>
  <c r="CC5" i="146"/>
  <c r="CB5" i="146"/>
  <c r="CA5" i="146"/>
  <c r="BZ5" i="146"/>
  <c r="BY5" i="146"/>
  <c r="BX5" i="146"/>
  <c r="BW5" i="146"/>
  <c r="BV5" i="146"/>
  <c r="BU5" i="146"/>
  <c r="BT5" i="146"/>
  <c r="BS5" i="146"/>
  <c r="BR5" i="146"/>
  <c r="BQ5" i="146"/>
  <c r="BP5" i="146"/>
  <c r="BO5" i="146"/>
  <c r="BN5" i="146"/>
  <c r="BM5" i="146"/>
  <c r="BL5" i="146"/>
  <c r="BK5" i="146"/>
  <c r="BJ5" i="146"/>
  <c r="BI5" i="146"/>
  <c r="BH5" i="146"/>
  <c r="BG5" i="146"/>
  <c r="BF5" i="146"/>
  <c r="BE5" i="146"/>
  <c r="BD5" i="146"/>
  <c r="BC5" i="146"/>
  <c r="BB5" i="146"/>
  <c r="BA5" i="146"/>
  <c r="AZ5" i="146"/>
  <c r="AY5" i="146"/>
  <c r="AX5" i="146"/>
  <c r="AW5" i="146"/>
  <c r="AV5" i="146"/>
  <c r="AU5" i="146"/>
  <c r="AT5" i="146"/>
  <c r="AS5" i="146"/>
  <c r="AR5" i="146"/>
  <c r="AQ5" i="146"/>
  <c r="AP5" i="146"/>
  <c r="AO5" i="146"/>
  <c r="AN5" i="146"/>
  <c r="AM5" i="146"/>
  <c r="AL5" i="146"/>
  <c r="AK5" i="146"/>
  <c r="AJ5" i="146"/>
  <c r="AI5" i="146"/>
  <c r="AH5" i="146"/>
  <c r="AG5" i="146"/>
  <c r="AF5" i="146"/>
  <c r="AE5" i="146"/>
  <c r="AD5" i="146"/>
  <c r="AC5" i="146"/>
  <c r="AB5" i="146"/>
  <c r="AA5" i="146"/>
  <c r="Z5" i="146"/>
  <c r="Y5" i="146"/>
  <c r="X5" i="146"/>
  <c r="W5" i="146"/>
  <c r="V5" i="146"/>
  <c r="U5" i="146"/>
  <c r="T5" i="146"/>
  <c r="S5" i="146"/>
  <c r="R5" i="146"/>
  <c r="Q5" i="146"/>
  <c r="P5" i="146"/>
  <c r="O5" i="146"/>
  <c r="N5" i="146"/>
  <c r="M5" i="146"/>
  <c r="L5" i="146"/>
  <c r="K5" i="146"/>
  <c r="J5" i="146"/>
  <c r="I5" i="146"/>
  <c r="H5" i="146"/>
  <c r="G5" i="146"/>
  <c r="F5" i="146"/>
  <c r="A5" i="146"/>
  <c r="G19" i="124"/>
  <c r="D68" i="122" l="1"/>
  <c r="AD71" i="146"/>
  <c r="AF71" i="146"/>
  <c r="I71" i="146"/>
  <c r="R71" i="146"/>
  <c r="Z71" i="146"/>
  <c r="AH71" i="146"/>
  <c r="AP71" i="146"/>
  <c r="AP107" i="146" s="1"/>
  <c r="N71" i="146"/>
  <c r="O71" i="146"/>
  <c r="AE71" i="146"/>
  <c r="G71" i="146"/>
  <c r="X71" i="146"/>
  <c r="H71" i="146"/>
  <c r="Y71" i="146"/>
  <c r="AG71" i="146"/>
  <c r="AO71" i="146"/>
  <c r="AO107" i="146" s="1"/>
  <c r="K71" i="146"/>
  <c r="S71" i="146"/>
  <c r="AA71" i="146"/>
  <c r="AI71" i="146"/>
  <c r="AQ71" i="146"/>
  <c r="AU107" i="146"/>
  <c r="F71" i="146"/>
  <c r="W71" i="146"/>
  <c r="W107" i="146" s="1"/>
  <c r="P71" i="146"/>
  <c r="L71" i="146"/>
  <c r="T71" i="146"/>
  <c r="AB71" i="146"/>
  <c r="AJ71" i="146"/>
  <c r="AR71" i="146"/>
  <c r="V71" i="146"/>
  <c r="AL71" i="146"/>
  <c r="AL107" i="146" s="1"/>
  <c r="AN71" i="146"/>
  <c r="M71" i="146"/>
  <c r="U71" i="146"/>
  <c r="AC71" i="146"/>
  <c r="AK71" i="146"/>
  <c r="AK107" i="146" s="1"/>
  <c r="AS71" i="146"/>
  <c r="AL44" i="146"/>
  <c r="AM44" i="146"/>
  <c r="AN44" i="146"/>
  <c r="AN107" i="146" s="1"/>
  <c r="AP44" i="146"/>
  <c r="AQ44" i="146"/>
  <c r="AO44" i="146"/>
  <c r="AH44" i="146"/>
  <c r="AG44" i="146"/>
  <c r="AI44" i="146"/>
  <c r="Z44" i="146"/>
  <c r="Y44" i="146"/>
  <c r="AA44" i="146"/>
  <c r="V44" i="146"/>
  <c r="R44" i="146"/>
  <c r="AE54" i="146"/>
  <c r="Y51" i="146"/>
  <c r="BK107" i="146"/>
  <c r="X54" i="146"/>
  <c r="R51" i="146"/>
  <c r="K44" i="146"/>
  <c r="D41" i="122" s="1"/>
  <c r="D40" i="122"/>
  <c r="D51" i="122"/>
  <c r="P54" i="146"/>
  <c r="CG107" i="146"/>
  <c r="CA107" i="146"/>
  <c r="BS107" i="146"/>
  <c r="BG107" i="146"/>
  <c r="BO107" i="146"/>
  <c r="BA107" i="146"/>
  <c r="S14" i="146"/>
  <c r="AV107" i="146"/>
  <c r="AY107" i="146"/>
  <c r="BW107" i="146"/>
  <c r="D81" i="122"/>
  <c r="D79" i="122"/>
  <c r="AM84" i="146"/>
  <c r="G82" i="146"/>
  <c r="P82" i="146"/>
  <c r="X82" i="146"/>
  <c r="AF82" i="146"/>
  <c r="AN82" i="146"/>
  <c r="G84" i="146"/>
  <c r="P84" i="146"/>
  <c r="X84" i="146"/>
  <c r="AF84" i="146"/>
  <c r="AN84" i="146"/>
  <c r="F82" i="146"/>
  <c r="AE84" i="146"/>
  <c r="H84" i="146"/>
  <c r="Y84" i="146"/>
  <c r="AG84" i="146"/>
  <c r="AO84" i="146"/>
  <c r="I82" i="146"/>
  <c r="Z82" i="146"/>
  <c r="AH82" i="146"/>
  <c r="AP82" i="146"/>
  <c r="I84" i="146"/>
  <c r="Z84" i="146"/>
  <c r="AH84" i="146"/>
  <c r="AP84" i="146"/>
  <c r="BD107" i="146"/>
  <c r="CJ107" i="146"/>
  <c r="K82" i="146"/>
  <c r="AA82" i="146"/>
  <c r="AI82" i="146"/>
  <c r="AQ82" i="146"/>
  <c r="K84" i="146"/>
  <c r="AA84" i="146"/>
  <c r="AI84" i="146"/>
  <c r="AQ84" i="146"/>
  <c r="N82" i="146"/>
  <c r="AD82" i="146"/>
  <c r="AL82" i="146"/>
  <c r="N84" i="146"/>
  <c r="N107" i="146" s="1"/>
  <c r="AL84" i="146"/>
  <c r="W84" i="146"/>
  <c r="BM107" i="146"/>
  <c r="CK107" i="146"/>
  <c r="L84" i="146"/>
  <c r="T84" i="146"/>
  <c r="AB84" i="146"/>
  <c r="AJ84" i="146"/>
  <c r="AJ107" i="146" s="1"/>
  <c r="AR84" i="146"/>
  <c r="V82" i="146"/>
  <c r="V84" i="146"/>
  <c r="AD84" i="146"/>
  <c r="O84" i="146"/>
  <c r="BV107" i="146"/>
  <c r="M82" i="146"/>
  <c r="U82" i="146"/>
  <c r="U107" i="146" s="1"/>
  <c r="AC82" i="146"/>
  <c r="AC107" i="146" s="1"/>
  <c r="AK82" i="146"/>
  <c r="AS82" i="146"/>
  <c r="M84" i="146"/>
  <c r="U84" i="146"/>
  <c r="AC84" i="146"/>
  <c r="AK84" i="146"/>
  <c r="AS84" i="146"/>
  <c r="Q82" i="146"/>
  <c r="R82" i="146"/>
  <c r="F84" i="146"/>
  <c r="Q44" i="146"/>
  <c r="S82" i="146"/>
  <c r="Q84" i="146"/>
  <c r="R84" i="146"/>
  <c r="S44" i="146"/>
  <c r="S84" i="146"/>
  <c r="CL82" i="146"/>
  <c r="F79" i="122" s="1"/>
  <c r="F78" i="122"/>
  <c r="R31" i="146"/>
  <c r="S127" i="146"/>
  <c r="Q67" i="146"/>
  <c r="R67" i="146"/>
  <c r="S67" i="146"/>
  <c r="R30" i="146"/>
  <c r="Q127" i="146"/>
  <c r="CI107" i="146"/>
  <c r="AN12" i="146"/>
  <c r="AS14" i="146"/>
  <c r="CE107" i="146"/>
  <c r="AL12" i="146"/>
  <c r="I14" i="146"/>
  <c r="CD107" i="146"/>
  <c r="AF12" i="146"/>
  <c r="AI12" i="146"/>
  <c r="BX107" i="146"/>
  <c r="AC12" i="146"/>
  <c r="BU107" i="146"/>
  <c r="AD12" i="146"/>
  <c r="AG12" i="146"/>
  <c r="BT107" i="146"/>
  <c r="AE14" i="146"/>
  <c r="AE12" i="146"/>
  <c r="H14" i="146"/>
  <c r="AA14" i="146"/>
  <c r="Y14" i="146"/>
  <c r="X14" i="146"/>
  <c r="V14" i="146"/>
  <c r="G14" i="146"/>
  <c r="M12" i="146"/>
  <c r="M107" i="146" s="1"/>
  <c r="BC107" i="146"/>
  <c r="P14" i="146"/>
  <c r="F12" i="146"/>
  <c r="F14" i="146"/>
  <c r="R14" i="146"/>
  <c r="AM107" i="146"/>
  <c r="CF107" i="146"/>
  <c r="CC107" i="146"/>
  <c r="CB107" i="146"/>
  <c r="BZ107" i="146"/>
  <c r="AI107" i="146"/>
  <c r="BQ107" i="146"/>
  <c r="BP107" i="146"/>
  <c r="BN107" i="146"/>
  <c r="BL107" i="146"/>
  <c r="BJ107" i="146"/>
  <c r="BI107" i="146"/>
  <c r="BH107" i="146"/>
  <c r="BE107" i="146"/>
  <c r="BB107" i="146"/>
  <c r="AZ107" i="146"/>
  <c r="AX107" i="146"/>
  <c r="AW107" i="146"/>
  <c r="L107" i="146"/>
  <c r="AB107" i="146"/>
  <c r="AD107" i="146"/>
  <c r="AF107" i="146"/>
  <c r="P30" i="146"/>
  <c r="G12" i="146"/>
  <c r="X12" i="146"/>
  <c r="AA30" i="146"/>
  <c r="AS31" i="146"/>
  <c r="P50" i="146"/>
  <c r="X50" i="146"/>
  <c r="AE93" i="146"/>
  <c r="BF107" i="146"/>
  <c r="V127" i="146"/>
  <c r="V12" i="146"/>
  <c r="H12" i="146"/>
  <c r="V31" i="146"/>
  <c r="AS32" i="146"/>
  <c r="AS33" i="146" s="1"/>
  <c r="Y50" i="146"/>
  <c r="AS51" i="146"/>
  <c r="AA54" i="146"/>
  <c r="Y30" i="146"/>
  <c r="I12" i="146"/>
  <c r="R12" i="146"/>
  <c r="Z12" i="146"/>
  <c r="AH12" i="146"/>
  <c r="AH107" i="146" s="1"/>
  <c r="AE31" i="146"/>
  <c r="V32" i="146"/>
  <c r="V33" i="146" s="1"/>
  <c r="R50" i="146"/>
  <c r="V51" i="146"/>
  <c r="AS12" i="146"/>
  <c r="AA12" i="146"/>
  <c r="AQ12" i="146"/>
  <c r="P31" i="146"/>
  <c r="X31" i="146"/>
  <c r="AA50" i="146"/>
  <c r="R93" i="146"/>
  <c r="BY107" i="146"/>
  <c r="X30" i="146"/>
  <c r="T12" i="146"/>
  <c r="T107" i="146" s="1"/>
  <c r="AR12" i="146"/>
  <c r="AE30" i="146"/>
  <c r="BR107" i="146"/>
  <c r="CH107" i="146"/>
  <c r="O12" i="146"/>
  <c r="O107" i="146" s="1"/>
  <c r="U66" i="137"/>
  <c r="A93" i="124"/>
  <c r="A96" i="124"/>
  <c r="V123" i="145"/>
  <c r="AA130" i="145"/>
  <c r="Y130" i="145"/>
  <c r="X130" i="145"/>
  <c r="R130" i="145"/>
  <c r="P130" i="145"/>
  <c r="AS123" i="145"/>
  <c r="AR123" i="145"/>
  <c r="AQ123" i="145"/>
  <c r="AP123" i="145"/>
  <c r="AO123" i="145"/>
  <c r="AN123" i="145"/>
  <c r="AM123" i="145"/>
  <c r="AL123" i="145"/>
  <c r="AK123" i="145"/>
  <c r="AJ123" i="145"/>
  <c r="AI123" i="145"/>
  <c r="AH123" i="145"/>
  <c r="AG123" i="145"/>
  <c r="AF123" i="145"/>
  <c r="AE123" i="145"/>
  <c r="AD123" i="145"/>
  <c r="AC123" i="145"/>
  <c r="AB123" i="145"/>
  <c r="AA123" i="145"/>
  <c r="Z123" i="145"/>
  <c r="Y123" i="145"/>
  <c r="X123" i="145"/>
  <c r="W123" i="145"/>
  <c r="U123" i="145"/>
  <c r="T123" i="145"/>
  <c r="S123" i="145"/>
  <c r="R123" i="145"/>
  <c r="Q123" i="145"/>
  <c r="P123" i="145"/>
  <c r="O123" i="145"/>
  <c r="N123" i="145"/>
  <c r="M123" i="145"/>
  <c r="L123" i="145"/>
  <c r="K123" i="145"/>
  <c r="AS130" i="145"/>
  <c r="AR130" i="145"/>
  <c r="AQ130" i="145"/>
  <c r="AP130" i="145"/>
  <c r="AO130" i="145"/>
  <c r="AN130" i="145"/>
  <c r="AM130" i="145"/>
  <c r="AL130" i="145"/>
  <c r="AK130" i="145"/>
  <c r="AJ130" i="145"/>
  <c r="AI130" i="145"/>
  <c r="AH130" i="145"/>
  <c r="AG130" i="145"/>
  <c r="AF130" i="145"/>
  <c r="AE130" i="145"/>
  <c r="AD130" i="145"/>
  <c r="AC130" i="145"/>
  <c r="AB130" i="145"/>
  <c r="Z130" i="145"/>
  <c r="W130" i="145"/>
  <c r="V130" i="145"/>
  <c r="U130" i="145"/>
  <c r="T130" i="145"/>
  <c r="S130" i="145"/>
  <c r="Q130" i="145"/>
  <c r="O130" i="145"/>
  <c r="N130" i="145"/>
  <c r="M130" i="145"/>
  <c r="L130" i="145"/>
  <c r="K130" i="145"/>
  <c r="Z107" i="146" l="1"/>
  <c r="H107" i="146"/>
  <c r="AG107" i="146"/>
  <c r="AQ107" i="146"/>
  <c r="K107" i="146"/>
  <c r="Q107" i="146"/>
  <c r="I107" i="146"/>
  <c r="X107" i="146"/>
  <c r="V107" i="146"/>
  <c r="AR107" i="146"/>
  <c r="S107" i="146"/>
  <c r="G107" i="146"/>
  <c r="R107" i="146"/>
  <c r="CL107" i="146"/>
  <c r="AE107" i="146"/>
  <c r="AA107" i="146"/>
  <c r="Y107" i="146"/>
  <c r="P107" i="146"/>
  <c r="F107" i="146"/>
  <c r="AS107" i="146"/>
  <c r="AT82" i="145" l="1"/>
  <c r="AT84" i="145"/>
  <c r="AS137" i="145" l="1"/>
  <c r="AR137" i="145"/>
  <c r="AQ137" i="145"/>
  <c r="AP137" i="145"/>
  <c r="AO137" i="145"/>
  <c r="AN137" i="145"/>
  <c r="AM137" i="145"/>
  <c r="AL137" i="145"/>
  <c r="AK137" i="145"/>
  <c r="AJ137" i="145"/>
  <c r="AI137" i="145"/>
  <c r="AH137" i="145"/>
  <c r="AG137" i="145"/>
  <c r="AF137" i="145"/>
  <c r="AE137" i="145"/>
  <c r="AD137" i="145"/>
  <c r="AC137" i="145"/>
  <c r="AB137" i="145"/>
  <c r="AA137" i="145"/>
  <c r="Z137" i="145"/>
  <c r="Y137" i="145"/>
  <c r="X137" i="145"/>
  <c r="W137" i="145"/>
  <c r="V137" i="145"/>
  <c r="U137" i="145"/>
  <c r="T137" i="145"/>
  <c r="S137" i="145"/>
  <c r="R137" i="145"/>
  <c r="Q137" i="145"/>
  <c r="P137" i="145"/>
  <c r="O137" i="145"/>
  <c r="N137" i="145"/>
  <c r="M137" i="145"/>
  <c r="L137" i="145"/>
  <c r="K137" i="145"/>
  <c r="I137" i="145"/>
  <c r="H137" i="145"/>
  <c r="G137" i="145"/>
  <c r="F137" i="145"/>
  <c r="A137" i="145"/>
  <c r="AS136" i="145"/>
  <c r="AR136" i="145"/>
  <c r="AQ136" i="145"/>
  <c r="AP136" i="145"/>
  <c r="AO136" i="145"/>
  <c r="AN136" i="145"/>
  <c r="AM136" i="145"/>
  <c r="AL136" i="145"/>
  <c r="AK136" i="145"/>
  <c r="AJ136" i="145"/>
  <c r="AI136" i="145"/>
  <c r="AH136" i="145"/>
  <c r="AG136" i="145"/>
  <c r="AF136" i="145"/>
  <c r="AE136" i="145"/>
  <c r="AD136" i="145"/>
  <c r="AC136" i="145"/>
  <c r="AB136" i="145"/>
  <c r="AA136" i="145"/>
  <c r="Z136" i="145"/>
  <c r="Y136" i="145"/>
  <c r="X136" i="145"/>
  <c r="W136" i="145"/>
  <c r="V136" i="145"/>
  <c r="U136" i="145"/>
  <c r="T136" i="145"/>
  <c r="S136" i="145"/>
  <c r="R136" i="145"/>
  <c r="Q136" i="145"/>
  <c r="P136" i="145"/>
  <c r="O136" i="145"/>
  <c r="N136" i="145"/>
  <c r="M136" i="145"/>
  <c r="L136" i="145"/>
  <c r="K136" i="145"/>
  <c r="I136" i="145"/>
  <c r="H136" i="145"/>
  <c r="G136" i="145"/>
  <c r="F136" i="145"/>
  <c r="A136" i="145"/>
  <c r="CL127" i="145"/>
  <c r="CK127" i="145"/>
  <c r="CJ127" i="145"/>
  <c r="CI127" i="145"/>
  <c r="CH127" i="145"/>
  <c r="CG127" i="145"/>
  <c r="CF127" i="145"/>
  <c r="CE127" i="145"/>
  <c r="CD127" i="145"/>
  <c r="CC127" i="145"/>
  <c r="CB127" i="145"/>
  <c r="CA127" i="145"/>
  <c r="BZ127" i="145"/>
  <c r="BY127" i="145"/>
  <c r="BX127" i="145"/>
  <c r="BW127" i="145"/>
  <c r="BV127" i="145"/>
  <c r="BU127" i="145"/>
  <c r="BT127" i="145"/>
  <c r="BS127" i="145"/>
  <c r="BR127" i="145"/>
  <c r="BQ127" i="145"/>
  <c r="BP127" i="145"/>
  <c r="BO127" i="145"/>
  <c r="BN127" i="145"/>
  <c r="BM127" i="145"/>
  <c r="BL127" i="145"/>
  <c r="BK127" i="145"/>
  <c r="BJ127" i="145"/>
  <c r="BI127" i="145"/>
  <c r="BH127" i="145"/>
  <c r="BG127" i="145"/>
  <c r="BF127" i="145"/>
  <c r="BE127" i="145"/>
  <c r="BD127" i="145"/>
  <c r="BC127" i="145"/>
  <c r="BB127" i="145"/>
  <c r="BA127" i="145"/>
  <c r="AZ127" i="145"/>
  <c r="AY127" i="145"/>
  <c r="AX127" i="145"/>
  <c r="AW127" i="145"/>
  <c r="AV127" i="145"/>
  <c r="AU127" i="145"/>
  <c r="AT127" i="145"/>
  <c r="AQ127" i="145"/>
  <c r="AI127" i="145"/>
  <c r="AA127" i="145"/>
  <c r="S127" i="145"/>
  <c r="K127" i="145"/>
  <c r="H127" i="145"/>
  <c r="AS126" i="145"/>
  <c r="AR126" i="145"/>
  <c r="AR127" i="145" s="1"/>
  <c r="AQ126" i="145"/>
  <c r="AP126" i="145"/>
  <c r="AP127" i="145" s="1"/>
  <c r="AO126" i="145"/>
  <c r="AN126" i="145"/>
  <c r="AN127" i="145" s="1"/>
  <c r="AM126" i="145"/>
  <c r="AL126" i="145"/>
  <c r="AK126" i="145"/>
  <c r="AJ126" i="145"/>
  <c r="AJ127" i="145" s="1"/>
  <c r="AI126" i="145"/>
  <c r="AH126" i="145"/>
  <c r="AH127" i="145" s="1"/>
  <c r="AG126" i="145"/>
  <c r="AF126" i="145"/>
  <c r="AF127" i="145" s="1"/>
  <c r="AE126" i="145"/>
  <c r="AD126" i="145"/>
  <c r="AC126" i="145"/>
  <c r="AB126" i="145"/>
  <c r="AB127" i="145" s="1"/>
  <c r="AA126" i="145"/>
  <c r="Z126" i="145"/>
  <c r="Z127" i="145" s="1"/>
  <c r="Y126" i="145"/>
  <c r="X126" i="145"/>
  <c r="X127" i="145" s="1"/>
  <c r="W126" i="145"/>
  <c r="V126" i="145"/>
  <c r="U126" i="145"/>
  <c r="T126" i="145"/>
  <c r="T127" i="145" s="1"/>
  <c r="S126" i="145"/>
  <c r="R126" i="145"/>
  <c r="R127" i="145" s="1"/>
  <c r="Q126" i="145"/>
  <c r="P126" i="145"/>
  <c r="P127" i="145" s="1"/>
  <c r="O126" i="145"/>
  <c r="N126" i="145"/>
  <c r="M126" i="145"/>
  <c r="L126" i="145"/>
  <c r="L127" i="145" s="1"/>
  <c r="K126" i="145"/>
  <c r="I126" i="145"/>
  <c r="I127" i="145" s="1"/>
  <c r="H126" i="145"/>
  <c r="G126" i="145"/>
  <c r="G127" i="145" s="1"/>
  <c r="F126" i="145"/>
  <c r="F127" i="145" s="1"/>
  <c r="R44" i="145"/>
  <c r="AS118" i="145"/>
  <c r="AR118" i="145"/>
  <c r="AR21" i="145" s="1"/>
  <c r="AQ118" i="145"/>
  <c r="AP118" i="145"/>
  <c r="AO118" i="145"/>
  <c r="AN118" i="145"/>
  <c r="AM118" i="145"/>
  <c r="AL118" i="145"/>
  <c r="AK118" i="145"/>
  <c r="AJ118" i="145"/>
  <c r="AJ21" i="145" s="1"/>
  <c r="AI118" i="145"/>
  <c r="AH118" i="145"/>
  <c r="AG118" i="145"/>
  <c r="AF118" i="145"/>
  <c r="AE118" i="145"/>
  <c r="AD118" i="145"/>
  <c r="AC118" i="145"/>
  <c r="AB118" i="145"/>
  <c r="AB21" i="145" s="1"/>
  <c r="AA118" i="145"/>
  <c r="Z118" i="145"/>
  <c r="Y118" i="145"/>
  <c r="X118" i="145"/>
  <c r="W118" i="145"/>
  <c r="V118" i="145"/>
  <c r="U118" i="145"/>
  <c r="T118" i="145"/>
  <c r="T21" i="145" s="1"/>
  <c r="S118" i="145"/>
  <c r="R118" i="145"/>
  <c r="Q118" i="145"/>
  <c r="P118" i="145"/>
  <c r="O118" i="145"/>
  <c r="N118" i="145"/>
  <c r="M118" i="145"/>
  <c r="L118" i="145"/>
  <c r="L21" i="145" s="1"/>
  <c r="K118" i="145"/>
  <c r="AS117" i="145"/>
  <c r="AR117" i="145"/>
  <c r="AQ117" i="145"/>
  <c r="AP117" i="145"/>
  <c r="AO117" i="145"/>
  <c r="AN117" i="145"/>
  <c r="AM117" i="145"/>
  <c r="AL117" i="145"/>
  <c r="AK117" i="145"/>
  <c r="AJ117" i="145"/>
  <c r="AI117" i="145"/>
  <c r="AH117" i="145"/>
  <c r="AG117" i="145"/>
  <c r="AF117" i="145"/>
  <c r="AE117" i="145"/>
  <c r="AD117" i="145"/>
  <c r="AC117" i="145"/>
  <c r="AB117" i="145"/>
  <c r="AA117" i="145"/>
  <c r="Z117" i="145"/>
  <c r="Y117" i="145"/>
  <c r="X117" i="145"/>
  <c r="W117" i="145"/>
  <c r="V117" i="145"/>
  <c r="U117" i="145"/>
  <c r="T117" i="145"/>
  <c r="S117" i="145"/>
  <c r="R117" i="145"/>
  <c r="Q117" i="145"/>
  <c r="P117" i="145"/>
  <c r="O117" i="145"/>
  <c r="N117" i="145"/>
  <c r="M117" i="145"/>
  <c r="L117" i="145"/>
  <c r="K117" i="145"/>
  <c r="J107" i="145"/>
  <c r="AS106" i="145"/>
  <c r="AR106" i="145"/>
  <c r="AQ106" i="145"/>
  <c r="AP106" i="145"/>
  <c r="AO106" i="145"/>
  <c r="AN106" i="145"/>
  <c r="AM106" i="145"/>
  <c r="AL106" i="145"/>
  <c r="AK106" i="145"/>
  <c r="AJ106" i="145"/>
  <c r="AI106" i="145"/>
  <c r="AH106" i="145"/>
  <c r="AG106" i="145"/>
  <c r="AF106" i="145"/>
  <c r="AE106" i="145"/>
  <c r="AD106" i="145"/>
  <c r="AC106" i="145"/>
  <c r="AB106" i="145"/>
  <c r="AA106" i="145"/>
  <c r="Z106" i="145"/>
  <c r="Y106" i="145"/>
  <c r="X106" i="145"/>
  <c r="W106" i="145"/>
  <c r="V106" i="145"/>
  <c r="U106" i="145"/>
  <c r="T106" i="145"/>
  <c r="S106" i="145"/>
  <c r="R106" i="145"/>
  <c r="Q106" i="145"/>
  <c r="P106" i="145"/>
  <c r="O106" i="145"/>
  <c r="N106" i="145"/>
  <c r="M106" i="145"/>
  <c r="L106" i="145"/>
  <c r="K106" i="145"/>
  <c r="A106" i="145"/>
  <c r="AS105" i="145"/>
  <c r="AR105" i="145"/>
  <c r="AQ105" i="145"/>
  <c r="AP105" i="145"/>
  <c r="AO105" i="145"/>
  <c r="AN105" i="145"/>
  <c r="AM105" i="145"/>
  <c r="AL105" i="145"/>
  <c r="AK105" i="145"/>
  <c r="AJ105" i="145"/>
  <c r="AI105" i="145"/>
  <c r="AH105" i="145"/>
  <c r="AG105" i="145"/>
  <c r="AF105" i="145"/>
  <c r="AE105" i="145"/>
  <c r="AD105" i="145"/>
  <c r="AC105" i="145"/>
  <c r="AB105" i="145"/>
  <c r="AA105" i="145"/>
  <c r="Z105" i="145"/>
  <c r="Y105" i="145"/>
  <c r="X105" i="145"/>
  <c r="W105" i="145"/>
  <c r="V105" i="145"/>
  <c r="U105" i="145"/>
  <c r="T105" i="145"/>
  <c r="S105" i="145"/>
  <c r="R105" i="145"/>
  <c r="Q105" i="145"/>
  <c r="P105" i="145"/>
  <c r="O105" i="145"/>
  <c r="N105" i="145"/>
  <c r="M105" i="145"/>
  <c r="L105" i="145"/>
  <c r="K105" i="145"/>
  <c r="A105" i="145"/>
  <c r="AS104" i="145"/>
  <c r="AR104" i="145"/>
  <c r="AQ104" i="145"/>
  <c r="AP104" i="145"/>
  <c r="AO104" i="145"/>
  <c r="AN104" i="145"/>
  <c r="AM104" i="145"/>
  <c r="AL104" i="145"/>
  <c r="AK104" i="145"/>
  <c r="AJ104" i="145"/>
  <c r="AI104" i="145"/>
  <c r="AH104" i="145"/>
  <c r="AG104" i="145"/>
  <c r="AF104" i="145"/>
  <c r="AE104" i="145"/>
  <c r="AD104" i="145"/>
  <c r="AC104" i="145"/>
  <c r="AB104" i="145"/>
  <c r="AA104" i="145"/>
  <c r="Z104" i="145"/>
  <c r="Y104" i="145"/>
  <c r="X104" i="145"/>
  <c r="W104" i="145"/>
  <c r="V104" i="145"/>
  <c r="U104" i="145"/>
  <c r="T104" i="145"/>
  <c r="S104" i="145"/>
  <c r="R104" i="145"/>
  <c r="Q104" i="145"/>
  <c r="P104" i="145"/>
  <c r="O104" i="145"/>
  <c r="N104" i="145"/>
  <c r="M104" i="145"/>
  <c r="L104" i="145"/>
  <c r="K104" i="145"/>
  <c r="A104" i="145"/>
  <c r="AS103" i="145"/>
  <c r="AR103" i="145"/>
  <c r="AQ103" i="145"/>
  <c r="AP103" i="145"/>
  <c r="AO103" i="145"/>
  <c r="AN103" i="145"/>
  <c r="AM103" i="145"/>
  <c r="AL103" i="145"/>
  <c r="AK103" i="145"/>
  <c r="AJ103" i="145"/>
  <c r="AI103" i="145"/>
  <c r="AH103" i="145"/>
  <c r="AG103" i="145"/>
  <c r="AF103" i="145"/>
  <c r="AE103" i="145"/>
  <c r="AD103" i="145"/>
  <c r="AC103" i="145"/>
  <c r="AB103" i="145"/>
  <c r="AA103" i="145"/>
  <c r="Z103" i="145"/>
  <c r="Y103" i="145"/>
  <c r="X103" i="145"/>
  <c r="W103" i="145"/>
  <c r="V103" i="145"/>
  <c r="U103" i="145"/>
  <c r="T103" i="145"/>
  <c r="S103" i="145"/>
  <c r="R103" i="145"/>
  <c r="Q103" i="145"/>
  <c r="P103" i="145"/>
  <c r="O103" i="145"/>
  <c r="N103" i="145"/>
  <c r="M103" i="145"/>
  <c r="L103" i="145"/>
  <c r="K103" i="145"/>
  <c r="A103" i="145"/>
  <c r="A102" i="145"/>
  <c r="A101" i="145"/>
  <c r="AS100" i="145"/>
  <c r="AR100" i="145"/>
  <c r="AQ100" i="145"/>
  <c r="AP100" i="145"/>
  <c r="AO100" i="145"/>
  <c r="AN100" i="145"/>
  <c r="AM100" i="145"/>
  <c r="AL100" i="145"/>
  <c r="AK100" i="145"/>
  <c r="AJ100" i="145"/>
  <c r="AI100" i="145"/>
  <c r="AH100" i="145"/>
  <c r="AG100" i="145"/>
  <c r="AF100" i="145"/>
  <c r="AE100" i="145"/>
  <c r="AD100" i="145"/>
  <c r="AC100" i="145"/>
  <c r="AB100" i="145"/>
  <c r="AA100" i="145"/>
  <c r="Z100" i="145"/>
  <c r="Y100" i="145"/>
  <c r="X100" i="145"/>
  <c r="W100" i="145"/>
  <c r="V100" i="145"/>
  <c r="U100" i="145"/>
  <c r="T100" i="145"/>
  <c r="S100" i="145"/>
  <c r="R100" i="145"/>
  <c r="Q100" i="145"/>
  <c r="P100" i="145"/>
  <c r="O100" i="145"/>
  <c r="N100" i="145"/>
  <c r="M100" i="145"/>
  <c r="L100" i="145"/>
  <c r="K100" i="145"/>
  <c r="I100" i="145"/>
  <c r="H100" i="145"/>
  <c r="G100" i="145"/>
  <c r="F100" i="145"/>
  <c r="A100" i="145"/>
  <c r="A99" i="145"/>
  <c r="AS98" i="145"/>
  <c r="AR98" i="145"/>
  <c r="AQ98" i="145"/>
  <c r="AP98" i="145"/>
  <c r="AO98" i="145"/>
  <c r="AN98" i="145"/>
  <c r="AM98" i="145"/>
  <c r="AL98" i="145"/>
  <c r="AK98" i="145"/>
  <c r="AJ98" i="145"/>
  <c r="AI98" i="145"/>
  <c r="AH98" i="145"/>
  <c r="AG98" i="145"/>
  <c r="AF98" i="145"/>
  <c r="AE98" i="145"/>
  <c r="AD98" i="145"/>
  <c r="AC98" i="145"/>
  <c r="AB98" i="145"/>
  <c r="AA98" i="145"/>
  <c r="Z98" i="145"/>
  <c r="Y98" i="145"/>
  <c r="X98" i="145"/>
  <c r="W98" i="145"/>
  <c r="V98" i="145"/>
  <c r="U98" i="145"/>
  <c r="T98" i="145"/>
  <c r="S98" i="145"/>
  <c r="R98" i="145"/>
  <c r="Q98" i="145"/>
  <c r="P98" i="145"/>
  <c r="O98" i="145"/>
  <c r="N98" i="145"/>
  <c r="M98" i="145"/>
  <c r="L98" i="145"/>
  <c r="K98" i="145"/>
  <c r="C98" i="145"/>
  <c r="A98" i="145"/>
  <c r="AS97" i="145"/>
  <c r="AR97" i="145"/>
  <c r="AQ97" i="145"/>
  <c r="AP97" i="145"/>
  <c r="AO97" i="145"/>
  <c r="AN97" i="145"/>
  <c r="AM97" i="145"/>
  <c r="AL97" i="145"/>
  <c r="AK97" i="145"/>
  <c r="AJ97" i="145"/>
  <c r="AI97" i="145"/>
  <c r="AH97" i="145"/>
  <c r="AG97" i="145"/>
  <c r="AF97" i="145"/>
  <c r="AE97" i="145"/>
  <c r="AD97" i="145"/>
  <c r="AC97" i="145"/>
  <c r="AB97" i="145"/>
  <c r="AA97" i="145"/>
  <c r="Z97" i="145"/>
  <c r="Y97" i="145"/>
  <c r="X97" i="145"/>
  <c r="W97" i="145"/>
  <c r="V97" i="145"/>
  <c r="U97" i="145"/>
  <c r="T97" i="145"/>
  <c r="S97" i="145"/>
  <c r="R97" i="145"/>
  <c r="Q97" i="145"/>
  <c r="P97" i="145"/>
  <c r="O97" i="145"/>
  <c r="N97" i="145"/>
  <c r="M97" i="145"/>
  <c r="L97" i="145"/>
  <c r="K97" i="145"/>
  <c r="A97" i="145"/>
  <c r="AS96" i="145"/>
  <c r="AR96" i="145"/>
  <c r="AQ96" i="145"/>
  <c r="AP96" i="145"/>
  <c r="AO96" i="145"/>
  <c r="AN96" i="145"/>
  <c r="AM96" i="145"/>
  <c r="AL96" i="145"/>
  <c r="AK96" i="145"/>
  <c r="AJ96" i="145"/>
  <c r="AI96" i="145"/>
  <c r="AH96" i="145"/>
  <c r="AG96" i="145"/>
  <c r="AF96" i="145"/>
  <c r="AE96" i="145"/>
  <c r="AD96" i="145"/>
  <c r="AC96" i="145"/>
  <c r="AB96" i="145"/>
  <c r="AA96" i="145"/>
  <c r="Z96" i="145"/>
  <c r="Y96" i="145"/>
  <c r="X96" i="145"/>
  <c r="W96" i="145"/>
  <c r="V96" i="145"/>
  <c r="U96" i="145"/>
  <c r="T96" i="145"/>
  <c r="S96" i="145"/>
  <c r="R96" i="145"/>
  <c r="Q96" i="145"/>
  <c r="P96" i="145"/>
  <c r="O96" i="145"/>
  <c r="N96" i="145"/>
  <c r="M96" i="145"/>
  <c r="L96" i="145"/>
  <c r="K96" i="145"/>
  <c r="I96" i="145"/>
  <c r="H96" i="145"/>
  <c r="G96" i="145"/>
  <c r="F96" i="145"/>
  <c r="A96" i="145"/>
  <c r="AS95" i="145"/>
  <c r="AR95" i="145"/>
  <c r="AQ95" i="145"/>
  <c r="AP95" i="145"/>
  <c r="AO95" i="145"/>
  <c r="AN95" i="145"/>
  <c r="AM95" i="145"/>
  <c r="AL95" i="145"/>
  <c r="AK95" i="145"/>
  <c r="AJ95" i="145"/>
  <c r="AI95" i="145"/>
  <c r="AH95" i="145"/>
  <c r="AG95" i="145"/>
  <c r="AF95" i="145"/>
  <c r="AE95" i="145"/>
  <c r="AD95" i="145"/>
  <c r="AC95" i="145"/>
  <c r="AB95" i="145"/>
  <c r="AA95" i="145"/>
  <c r="Z95" i="145"/>
  <c r="Y95" i="145"/>
  <c r="X95" i="145"/>
  <c r="W95" i="145"/>
  <c r="V95" i="145"/>
  <c r="U95" i="145"/>
  <c r="T95" i="145"/>
  <c r="S95" i="145"/>
  <c r="R95" i="145"/>
  <c r="Q95" i="145"/>
  <c r="P95" i="145"/>
  <c r="O95" i="145"/>
  <c r="N95" i="145"/>
  <c r="M95" i="145"/>
  <c r="L95" i="145"/>
  <c r="K95" i="145"/>
  <c r="I95" i="145"/>
  <c r="H95" i="145"/>
  <c r="G95" i="145"/>
  <c r="F95" i="145"/>
  <c r="A95" i="145"/>
  <c r="A94" i="145"/>
  <c r="AR93" i="145"/>
  <c r="AQ93" i="145"/>
  <c r="AP93" i="145"/>
  <c r="AO93" i="145"/>
  <c r="AN93" i="145"/>
  <c r="AM93" i="145"/>
  <c r="AL93" i="145"/>
  <c r="AK93" i="145"/>
  <c r="AJ93" i="145"/>
  <c r="AI93" i="145"/>
  <c r="AH93" i="145"/>
  <c r="AG93" i="145"/>
  <c r="AF93" i="145"/>
  <c r="AD93" i="145"/>
  <c r="AC93" i="145"/>
  <c r="AB93" i="145"/>
  <c r="Z93" i="145"/>
  <c r="W93" i="145"/>
  <c r="U93" i="145"/>
  <c r="T93" i="145"/>
  <c r="S93" i="145"/>
  <c r="Q93" i="145"/>
  <c r="O93" i="145"/>
  <c r="N93" i="145"/>
  <c r="M93" i="145"/>
  <c r="L93" i="145"/>
  <c r="K93" i="145"/>
  <c r="A93" i="145"/>
  <c r="AS92" i="145"/>
  <c r="AR92" i="145"/>
  <c r="AQ92" i="145"/>
  <c r="AP92" i="145"/>
  <c r="AO92" i="145"/>
  <c r="AN92" i="145"/>
  <c r="AM92" i="145"/>
  <c r="AL92" i="145"/>
  <c r="AK92" i="145"/>
  <c r="AJ92" i="145"/>
  <c r="AI92" i="145"/>
  <c r="AH92" i="145"/>
  <c r="AG92" i="145"/>
  <c r="AF92" i="145"/>
  <c r="AE92" i="145"/>
  <c r="AD92" i="145"/>
  <c r="AC92" i="145"/>
  <c r="AB92" i="145"/>
  <c r="AA92" i="145"/>
  <c r="Z92" i="145"/>
  <c r="Y92" i="145"/>
  <c r="X92" i="145"/>
  <c r="W92" i="145"/>
  <c r="V92" i="145"/>
  <c r="U92" i="145"/>
  <c r="T92" i="145"/>
  <c r="S92" i="145"/>
  <c r="R92" i="145"/>
  <c r="Q92" i="145"/>
  <c r="P92" i="145"/>
  <c r="O92" i="145"/>
  <c r="N92" i="145"/>
  <c r="M92" i="145"/>
  <c r="L92" i="145"/>
  <c r="K92" i="145"/>
  <c r="A92" i="145"/>
  <c r="AS91" i="145"/>
  <c r="AR91" i="145"/>
  <c r="AQ91" i="145"/>
  <c r="AP91" i="145"/>
  <c r="AO91" i="145"/>
  <c r="AN91" i="145"/>
  <c r="AM91" i="145"/>
  <c r="AL91" i="145"/>
  <c r="AK91" i="145"/>
  <c r="AJ91" i="145"/>
  <c r="AI91" i="145"/>
  <c r="AH91" i="145"/>
  <c r="AG91" i="145"/>
  <c r="AF91" i="145"/>
  <c r="AE91" i="145"/>
  <c r="AD91" i="145"/>
  <c r="AC91" i="145"/>
  <c r="AB91" i="145"/>
  <c r="AA91" i="145"/>
  <c r="Z91" i="145"/>
  <c r="Y91" i="145"/>
  <c r="X91" i="145"/>
  <c r="W91" i="145"/>
  <c r="V91" i="145"/>
  <c r="U91" i="145"/>
  <c r="T91" i="145"/>
  <c r="S91" i="145"/>
  <c r="R91" i="145"/>
  <c r="Q91" i="145"/>
  <c r="P91" i="145"/>
  <c r="O91" i="145"/>
  <c r="N91" i="145"/>
  <c r="M91" i="145"/>
  <c r="L91" i="145"/>
  <c r="K91" i="145"/>
  <c r="A91" i="145"/>
  <c r="AS90" i="145"/>
  <c r="AR90" i="145"/>
  <c r="AQ90" i="145"/>
  <c r="AP90" i="145"/>
  <c r="AO90" i="145"/>
  <c r="AN90" i="145"/>
  <c r="AM90" i="145"/>
  <c r="AL90" i="145"/>
  <c r="AK90" i="145"/>
  <c r="AJ90" i="145"/>
  <c r="AI90" i="145"/>
  <c r="AH90" i="145"/>
  <c r="AG90" i="145"/>
  <c r="AF90" i="145"/>
  <c r="AE90" i="145"/>
  <c r="AD90" i="145"/>
  <c r="AC90" i="145"/>
  <c r="AB90" i="145"/>
  <c r="AA90" i="145"/>
  <c r="Z90" i="145"/>
  <c r="Y90" i="145"/>
  <c r="X90" i="145"/>
  <c r="W90" i="145"/>
  <c r="V90" i="145"/>
  <c r="U90" i="145"/>
  <c r="T90" i="145"/>
  <c r="S90" i="145"/>
  <c r="R90" i="145"/>
  <c r="Q90" i="145"/>
  <c r="P90" i="145"/>
  <c r="O90" i="145"/>
  <c r="N90" i="145"/>
  <c r="M90" i="145"/>
  <c r="L90" i="145"/>
  <c r="K90" i="145"/>
  <c r="A90" i="145"/>
  <c r="AS89" i="145"/>
  <c r="AR89" i="145"/>
  <c r="AQ89" i="145"/>
  <c r="AP89" i="145"/>
  <c r="AO89" i="145"/>
  <c r="AN89" i="145"/>
  <c r="AM89" i="145"/>
  <c r="AL89" i="145"/>
  <c r="AK89" i="145"/>
  <c r="AJ89" i="145"/>
  <c r="AI89" i="145"/>
  <c r="AH89" i="145"/>
  <c r="AG89" i="145"/>
  <c r="AF89" i="145"/>
  <c r="AE89" i="145"/>
  <c r="AD89" i="145"/>
  <c r="AC89" i="145"/>
  <c r="AB89" i="145"/>
  <c r="AA89" i="145"/>
  <c r="Z89" i="145"/>
  <c r="Y89" i="145"/>
  <c r="X89" i="145"/>
  <c r="W89" i="145"/>
  <c r="V89" i="145"/>
  <c r="U89" i="145"/>
  <c r="T89" i="145"/>
  <c r="S89" i="145"/>
  <c r="R89" i="145"/>
  <c r="Q89" i="145"/>
  <c r="P89" i="145"/>
  <c r="O89" i="145"/>
  <c r="N89" i="145"/>
  <c r="M89" i="145"/>
  <c r="L89" i="145"/>
  <c r="K89" i="145"/>
  <c r="A89" i="145"/>
  <c r="A88" i="145"/>
  <c r="AS87" i="145"/>
  <c r="AR87" i="145"/>
  <c r="AQ87" i="145"/>
  <c r="AP87" i="145"/>
  <c r="AO87" i="145"/>
  <c r="AN87" i="145"/>
  <c r="AM87" i="145"/>
  <c r="AL87" i="145"/>
  <c r="AK87" i="145"/>
  <c r="AJ87" i="145"/>
  <c r="AI87" i="145"/>
  <c r="AH87" i="145"/>
  <c r="AG87" i="145"/>
  <c r="AF87" i="145"/>
  <c r="AE87" i="145"/>
  <c r="AD87" i="145"/>
  <c r="AC87" i="145"/>
  <c r="AB87" i="145"/>
  <c r="AA87" i="145"/>
  <c r="Z87" i="145"/>
  <c r="Y87" i="145"/>
  <c r="X87" i="145"/>
  <c r="W87" i="145"/>
  <c r="V87" i="145"/>
  <c r="U87" i="145"/>
  <c r="T87" i="145"/>
  <c r="S87" i="145"/>
  <c r="R87" i="145"/>
  <c r="Q87" i="145"/>
  <c r="P87" i="145"/>
  <c r="O87" i="145"/>
  <c r="N87" i="145"/>
  <c r="M87" i="145"/>
  <c r="L87" i="145"/>
  <c r="K87" i="145"/>
  <c r="A87" i="145"/>
  <c r="A86" i="145"/>
  <c r="A85" i="145"/>
  <c r="CL84" i="145"/>
  <c r="CK84" i="145"/>
  <c r="CJ84" i="145"/>
  <c r="CI84" i="145"/>
  <c r="CH84" i="145"/>
  <c r="CG84" i="145"/>
  <c r="CF84" i="145"/>
  <c r="CE84" i="145"/>
  <c r="CD84" i="145"/>
  <c r="CC84" i="145"/>
  <c r="CB84" i="145"/>
  <c r="CA84" i="145"/>
  <c r="BZ84" i="145"/>
  <c r="BY84" i="145"/>
  <c r="BX84" i="145"/>
  <c r="BW84" i="145"/>
  <c r="BV84" i="145"/>
  <c r="BU84" i="145"/>
  <c r="BT84" i="145"/>
  <c r="BS84" i="145"/>
  <c r="BR84" i="145"/>
  <c r="BQ84" i="145"/>
  <c r="BP84" i="145"/>
  <c r="BO84" i="145"/>
  <c r="BN84" i="145"/>
  <c r="BM84" i="145"/>
  <c r="BL84" i="145"/>
  <c r="BK84" i="145"/>
  <c r="BJ84" i="145"/>
  <c r="BI84" i="145"/>
  <c r="BH84" i="145"/>
  <c r="BG84" i="145"/>
  <c r="BF84" i="145"/>
  <c r="BE84" i="145"/>
  <c r="BD84" i="145"/>
  <c r="BC84" i="145"/>
  <c r="BB84" i="145"/>
  <c r="BA84" i="145"/>
  <c r="AZ84" i="145"/>
  <c r="AY84" i="145"/>
  <c r="AX84" i="145"/>
  <c r="AW84" i="145"/>
  <c r="AV84" i="145"/>
  <c r="AU84" i="145"/>
  <c r="A84" i="145"/>
  <c r="AS83" i="145"/>
  <c r="AR83" i="145"/>
  <c r="AQ83" i="145"/>
  <c r="AP83" i="145"/>
  <c r="AO83" i="145"/>
  <c r="AN83" i="145"/>
  <c r="AM83" i="145"/>
  <c r="AL83" i="145"/>
  <c r="AK83" i="145"/>
  <c r="AJ83" i="145"/>
  <c r="AI83" i="145"/>
  <c r="AH83" i="145"/>
  <c r="AG83" i="145"/>
  <c r="AF83" i="145"/>
  <c r="AE83" i="145"/>
  <c r="AD83" i="145"/>
  <c r="AC83" i="145"/>
  <c r="AB83" i="145"/>
  <c r="AA83" i="145"/>
  <c r="Z83" i="145"/>
  <c r="Y83" i="145"/>
  <c r="X83" i="145"/>
  <c r="W83" i="145"/>
  <c r="V83" i="145"/>
  <c r="U83" i="145"/>
  <c r="T83" i="145"/>
  <c r="S83" i="145"/>
  <c r="R83" i="145"/>
  <c r="Q83" i="145"/>
  <c r="P83" i="145"/>
  <c r="O83" i="145"/>
  <c r="N83" i="145"/>
  <c r="M83" i="145"/>
  <c r="L83" i="145"/>
  <c r="K83" i="145"/>
  <c r="I83" i="145"/>
  <c r="H83" i="145"/>
  <c r="G83" i="145"/>
  <c r="F83" i="145"/>
  <c r="A83" i="145"/>
  <c r="CK82" i="145"/>
  <c r="CJ82" i="145"/>
  <c r="CI82" i="145"/>
  <c r="CH82" i="145"/>
  <c r="CG82" i="145"/>
  <c r="CF82" i="145"/>
  <c r="CE82" i="145"/>
  <c r="CD82" i="145"/>
  <c r="CC82" i="145"/>
  <c r="CB82" i="145"/>
  <c r="CA82" i="145"/>
  <c r="BZ82" i="145"/>
  <c r="BY82" i="145"/>
  <c r="BX82" i="145"/>
  <c r="BW82" i="145"/>
  <c r="BV82" i="145"/>
  <c r="BU82" i="145"/>
  <c r="BT82" i="145"/>
  <c r="BS82" i="145"/>
  <c r="BR82" i="145"/>
  <c r="BQ82" i="145"/>
  <c r="BP82" i="145"/>
  <c r="BO82" i="145"/>
  <c r="BN82" i="145"/>
  <c r="BM82" i="145"/>
  <c r="BL82" i="145"/>
  <c r="BK82" i="145"/>
  <c r="BJ82" i="145"/>
  <c r="BI82" i="145"/>
  <c r="BH82" i="145"/>
  <c r="BG82" i="145"/>
  <c r="BF82" i="145"/>
  <c r="BE82" i="145"/>
  <c r="BD82" i="145"/>
  <c r="BC82" i="145"/>
  <c r="BB82" i="145"/>
  <c r="BA82" i="145"/>
  <c r="AZ82" i="145"/>
  <c r="AY82" i="145"/>
  <c r="AX82" i="145"/>
  <c r="AW82" i="145"/>
  <c r="AV82" i="145"/>
  <c r="AU82" i="145"/>
  <c r="A82" i="145"/>
  <c r="CL81" i="145"/>
  <c r="CL82" i="145" s="1"/>
  <c r="AS81" i="145"/>
  <c r="AR81" i="145"/>
  <c r="AQ81" i="145"/>
  <c r="AP81" i="145"/>
  <c r="AO81" i="145"/>
  <c r="AN81" i="145"/>
  <c r="AM81" i="145"/>
  <c r="AL81" i="145"/>
  <c r="AK81" i="145"/>
  <c r="AJ81" i="145"/>
  <c r="AI81" i="145"/>
  <c r="AH81" i="145"/>
  <c r="AG81" i="145"/>
  <c r="AF81" i="145"/>
  <c r="AE81" i="145"/>
  <c r="AD81" i="145"/>
  <c r="AC81" i="145"/>
  <c r="AB81" i="145"/>
  <c r="AA81" i="145"/>
  <c r="Z81" i="145"/>
  <c r="Y81" i="145"/>
  <c r="X81" i="145"/>
  <c r="W81" i="145"/>
  <c r="V81" i="145"/>
  <c r="U81" i="145"/>
  <c r="T81" i="145"/>
  <c r="S81" i="145"/>
  <c r="R81" i="145"/>
  <c r="Q81" i="145"/>
  <c r="P81" i="145"/>
  <c r="O81" i="145"/>
  <c r="N81" i="145"/>
  <c r="M81" i="145"/>
  <c r="L81" i="145"/>
  <c r="K81" i="145"/>
  <c r="I81" i="145"/>
  <c r="H81" i="145"/>
  <c r="G81" i="145"/>
  <c r="F81" i="145"/>
  <c r="A81" i="145"/>
  <c r="AS80" i="145"/>
  <c r="AR80" i="145"/>
  <c r="AQ80" i="145"/>
  <c r="AQ82" i="145" s="1"/>
  <c r="AP80" i="145"/>
  <c r="AO80" i="145"/>
  <c r="AO82" i="145" s="1"/>
  <c r="AN80" i="145"/>
  <c r="AM80" i="145"/>
  <c r="AM82" i="145" s="1"/>
  <c r="AL80" i="145"/>
  <c r="AK80" i="145"/>
  <c r="AJ80" i="145"/>
  <c r="AI80" i="145"/>
  <c r="AI82" i="145" s="1"/>
  <c r="AH80" i="145"/>
  <c r="AG80" i="145"/>
  <c r="AG82" i="145" s="1"/>
  <c r="AF80" i="145"/>
  <c r="AE80" i="145"/>
  <c r="AE82" i="145" s="1"/>
  <c r="AD80" i="145"/>
  <c r="AC80" i="145"/>
  <c r="AB80" i="145"/>
  <c r="AA80" i="145"/>
  <c r="AA82" i="145" s="1"/>
  <c r="Z80" i="145"/>
  <c r="Y80" i="145"/>
  <c r="Y82" i="145" s="1"/>
  <c r="X80" i="145"/>
  <c r="W80" i="145"/>
  <c r="W82" i="145" s="1"/>
  <c r="V80" i="145"/>
  <c r="U80" i="145"/>
  <c r="T80" i="145"/>
  <c r="S80" i="145"/>
  <c r="S82" i="145" s="1"/>
  <c r="R80" i="145"/>
  <c r="Q80" i="145"/>
  <c r="Q82" i="145" s="1"/>
  <c r="P80" i="145"/>
  <c r="O80" i="145"/>
  <c r="O82" i="145" s="1"/>
  <c r="N80" i="145"/>
  <c r="M80" i="145"/>
  <c r="L80" i="145"/>
  <c r="K80" i="145"/>
  <c r="K82" i="145" s="1"/>
  <c r="I80" i="145"/>
  <c r="H80" i="145"/>
  <c r="H82" i="145" s="1"/>
  <c r="G80" i="145"/>
  <c r="F80" i="145"/>
  <c r="F82" i="145" s="1"/>
  <c r="A80" i="145"/>
  <c r="A79" i="145"/>
  <c r="AS78" i="145"/>
  <c r="AR78" i="145"/>
  <c r="AQ78" i="145"/>
  <c r="AP78" i="145"/>
  <c r="AO78" i="145"/>
  <c r="AN78" i="145"/>
  <c r="AM78" i="145"/>
  <c r="AL78" i="145"/>
  <c r="AK78" i="145"/>
  <c r="AJ78" i="145"/>
  <c r="AI78" i="145"/>
  <c r="AH78" i="145"/>
  <c r="AG78" i="145"/>
  <c r="AF78" i="145"/>
  <c r="AE78" i="145"/>
  <c r="AD78" i="145"/>
  <c r="AC78" i="145"/>
  <c r="AB78" i="145"/>
  <c r="AA78" i="145"/>
  <c r="Z78" i="145"/>
  <c r="Y78" i="145"/>
  <c r="X78" i="145"/>
  <c r="W78" i="145"/>
  <c r="V78" i="145"/>
  <c r="U78" i="145"/>
  <c r="T78" i="145"/>
  <c r="S78" i="145"/>
  <c r="R78" i="145"/>
  <c r="Q78" i="145"/>
  <c r="P78" i="145"/>
  <c r="O78" i="145"/>
  <c r="N78" i="145"/>
  <c r="M78" i="145"/>
  <c r="L78" i="145"/>
  <c r="K78" i="145"/>
  <c r="A78" i="145"/>
  <c r="AS77" i="145"/>
  <c r="AR77" i="145"/>
  <c r="AQ77" i="145"/>
  <c r="AP77" i="145"/>
  <c r="AO77" i="145"/>
  <c r="AN77" i="145"/>
  <c r="AM77" i="145"/>
  <c r="AL77" i="145"/>
  <c r="AK77" i="145"/>
  <c r="AJ77" i="145"/>
  <c r="AI77" i="145"/>
  <c r="AH77" i="145"/>
  <c r="AG77" i="145"/>
  <c r="AF77" i="145"/>
  <c r="AE77" i="145"/>
  <c r="AD77" i="145"/>
  <c r="AC77" i="145"/>
  <c r="AB77" i="145"/>
  <c r="AA77" i="145"/>
  <c r="Z77" i="145"/>
  <c r="Y77" i="145"/>
  <c r="X77" i="145"/>
  <c r="W77" i="145"/>
  <c r="V77" i="145"/>
  <c r="U77" i="145"/>
  <c r="T77" i="145"/>
  <c r="S77" i="145"/>
  <c r="R77" i="145"/>
  <c r="Q77" i="145"/>
  <c r="P77" i="145"/>
  <c r="O77" i="145"/>
  <c r="N77" i="145"/>
  <c r="M77" i="145"/>
  <c r="L77" i="145"/>
  <c r="K77" i="145"/>
  <c r="A77" i="145"/>
  <c r="AS76" i="145"/>
  <c r="AR76" i="145"/>
  <c r="AQ76" i="145"/>
  <c r="AP76" i="145"/>
  <c r="AO76" i="145"/>
  <c r="AN76" i="145"/>
  <c r="AM76" i="145"/>
  <c r="AL76" i="145"/>
  <c r="AK76" i="145"/>
  <c r="AJ76" i="145"/>
  <c r="AI76" i="145"/>
  <c r="AH76" i="145"/>
  <c r="AG76" i="145"/>
  <c r="AF76" i="145"/>
  <c r="AE76" i="145"/>
  <c r="AD76" i="145"/>
  <c r="AC76" i="145"/>
  <c r="AB76" i="145"/>
  <c r="AA76" i="145"/>
  <c r="Z76" i="145"/>
  <c r="Y76" i="145"/>
  <c r="X76" i="145"/>
  <c r="W76" i="145"/>
  <c r="V76" i="145"/>
  <c r="U76" i="145"/>
  <c r="T76" i="145"/>
  <c r="S76" i="145"/>
  <c r="R76" i="145"/>
  <c r="Q76" i="145"/>
  <c r="P76" i="145"/>
  <c r="O76" i="145"/>
  <c r="N76" i="145"/>
  <c r="M76" i="145"/>
  <c r="L76" i="145"/>
  <c r="K76" i="145"/>
  <c r="A76" i="145"/>
  <c r="AS75" i="145"/>
  <c r="AR75" i="145"/>
  <c r="AQ75" i="145"/>
  <c r="AP75" i="145"/>
  <c r="AO75" i="145"/>
  <c r="AN75" i="145"/>
  <c r="AM75" i="145"/>
  <c r="AL75" i="145"/>
  <c r="AK75" i="145"/>
  <c r="AJ75" i="145"/>
  <c r="AI75" i="145"/>
  <c r="AH75" i="145"/>
  <c r="AG75" i="145"/>
  <c r="AF75" i="145"/>
  <c r="AE75" i="145"/>
  <c r="AD75" i="145"/>
  <c r="AC75" i="145"/>
  <c r="AB75" i="145"/>
  <c r="AA75" i="145"/>
  <c r="Z75" i="145"/>
  <c r="Y75" i="145"/>
  <c r="X75" i="145"/>
  <c r="W75" i="145"/>
  <c r="V75" i="145"/>
  <c r="U75" i="145"/>
  <c r="T75" i="145"/>
  <c r="S75" i="145"/>
  <c r="R75" i="145"/>
  <c r="Q75" i="145"/>
  <c r="P75" i="145"/>
  <c r="O75" i="145"/>
  <c r="N75" i="145"/>
  <c r="M75" i="145"/>
  <c r="L75" i="145"/>
  <c r="K75" i="145"/>
  <c r="A75" i="145"/>
  <c r="AS74" i="145"/>
  <c r="AR74" i="145"/>
  <c r="AQ74" i="145"/>
  <c r="AP74" i="145"/>
  <c r="AO74" i="145"/>
  <c r="AN74" i="145"/>
  <c r="AM74" i="145"/>
  <c r="AL74" i="145"/>
  <c r="AK74" i="145"/>
  <c r="AJ74" i="145"/>
  <c r="AI74" i="145"/>
  <c r="AH74" i="145"/>
  <c r="AG74" i="145"/>
  <c r="AF74" i="145"/>
  <c r="AE74" i="145"/>
  <c r="AD74" i="145"/>
  <c r="AC74" i="145"/>
  <c r="AB74" i="145"/>
  <c r="AA74" i="145"/>
  <c r="Z74" i="145"/>
  <c r="Y74" i="145"/>
  <c r="X74" i="145"/>
  <c r="W74" i="145"/>
  <c r="V74" i="145"/>
  <c r="U74" i="145"/>
  <c r="T74" i="145"/>
  <c r="S74" i="145"/>
  <c r="R74" i="145"/>
  <c r="Q74" i="145"/>
  <c r="P74" i="145"/>
  <c r="O74" i="145"/>
  <c r="N74" i="145"/>
  <c r="M74" i="145"/>
  <c r="L74" i="145"/>
  <c r="K74" i="145"/>
  <c r="A74" i="145"/>
  <c r="AS73" i="145"/>
  <c r="AR73" i="145"/>
  <c r="AQ73" i="145"/>
  <c r="AP73" i="145"/>
  <c r="AO73" i="145"/>
  <c r="AN73" i="145"/>
  <c r="AM73" i="145"/>
  <c r="AL73" i="145"/>
  <c r="AK73" i="145"/>
  <c r="AJ73" i="145"/>
  <c r="AI73" i="145"/>
  <c r="AH73" i="145"/>
  <c r="AG73" i="145"/>
  <c r="AF73" i="145"/>
  <c r="AE73" i="145"/>
  <c r="AD73" i="145"/>
  <c r="AC73" i="145"/>
  <c r="AB73" i="145"/>
  <c r="AA73" i="145"/>
  <c r="Z73" i="145"/>
  <c r="Y73" i="145"/>
  <c r="X73" i="145"/>
  <c r="W73" i="145"/>
  <c r="V73" i="145"/>
  <c r="U73" i="145"/>
  <c r="T73" i="145"/>
  <c r="S73" i="145"/>
  <c r="R73" i="145"/>
  <c r="Q73" i="145"/>
  <c r="P73" i="145"/>
  <c r="O73" i="145"/>
  <c r="N73" i="145"/>
  <c r="M73" i="145"/>
  <c r="L73" i="145"/>
  <c r="K73" i="145"/>
  <c r="A73" i="145"/>
  <c r="A72" i="145"/>
  <c r="CL71" i="145"/>
  <c r="CK71" i="145"/>
  <c r="CJ71" i="145"/>
  <c r="CI71" i="145"/>
  <c r="CH71" i="145"/>
  <c r="CG71" i="145"/>
  <c r="CF71" i="145"/>
  <c r="CE71" i="145"/>
  <c r="CD71" i="145"/>
  <c r="CC71" i="145"/>
  <c r="CB71" i="145"/>
  <c r="CA71" i="145"/>
  <c r="BZ71" i="145"/>
  <c r="BY71" i="145"/>
  <c r="BX71" i="145"/>
  <c r="BW71" i="145"/>
  <c r="BV71" i="145"/>
  <c r="BU71" i="145"/>
  <c r="BT71" i="145"/>
  <c r="BS71" i="145"/>
  <c r="BR71" i="145"/>
  <c r="BQ71" i="145"/>
  <c r="BP71" i="145"/>
  <c r="BO71" i="145"/>
  <c r="BN71" i="145"/>
  <c r="BM71" i="145"/>
  <c r="BL71" i="145"/>
  <c r="BK71" i="145"/>
  <c r="BJ71" i="145"/>
  <c r="BI71" i="145"/>
  <c r="BH71" i="145"/>
  <c r="BG71" i="145"/>
  <c r="BF71" i="145"/>
  <c r="BE71" i="145"/>
  <c r="BD71" i="145"/>
  <c r="BC71" i="145"/>
  <c r="BB71" i="145"/>
  <c r="BA71" i="145"/>
  <c r="AZ71" i="145"/>
  <c r="AY71" i="145"/>
  <c r="AX71" i="145"/>
  <c r="AW71" i="145"/>
  <c r="AV71" i="145"/>
  <c r="AU71" i="145"/>
  <c r="AT71" i="145"/>
  <c r="A71" i="145"/>
  <c r="AS70" i="145"/>
  <c r="AR70" i="145"/>
  <c r="AQ70" i="145"/>
  <c r="AP70" i="145"/>
  <c r="AO70" i="145"/>
  <c r="AN70" i="145"/>
  <c r="AM70" i="145"/>
  <c r="AM71" i="145" s="1"/>
  <c r="AL70" i="145"/>
  <c r="AK70" i="145"/>
  <c r="AJ70" i="145"/>
  <c r="AI70" i="145"/>
  <c r="AH70" i="145"/>
  <c r="AG70" i="145"/>
  <c r="AF70" i="145"/>
  <c r="AE70" i="145"/>
  <c r="AD70" i="145"/>
  <c r="AC70" i="145"/>
  <c r="AB70" i="145"/>
  <c r="AA70" i="145"/>
  <c r="Z70" i="145"/>
  <c r="Y70" i="145"/>
  <c r="X70" i="145"/>
  <c r="W70" i="145"/>
  <c r="V70" i="145"/>
  <c r="U70" i="145"/>
  <c r="T70" i="145"/>
  <c r="T71" i="145" s="1"/>
  <c r="S70" i="145"/>
  <c r="S71" i="145" s="1"/>
  <c r="R70" i="145"/>
  <c r="Q70" i="145"/>
  <c r="Q71" i="145" s="1"/>
  <c r="P70" i="145"/>
  <c r="O70" i="145"/>
  <c r="N70" i="145"/>
  <c r="M70" i="145"/>
  <c r="L70" i="145"/>
  <c r="K70" i="145"/>
  <c r="I70" i="145"/>
  <c r="H70" i="145"/>
  <c r="G70" i="145"/>
  <c r="F70" i="145"/>
  <c r="A70" i="145"/>
  <c r="AS69" i="145"/>
  <c r="AR69" i="145"/>
  <c r="AQ69" i="145"/>
  <c r="AP69" i="145"/>
  <c r="AO69" i="145"/>
  <c r="AN69" i="145"/>
  <c r="AM69" i="145"/>
  <c r="AL69" i="145"/>
  <c r="AK69" i="145"/>
  <c r="AJ69" i="145"/>
  <c r="AI69" i="145"/>
  <c r="AH69" i="145"/>
  <c r="AG69" i="145"/>
  <c r="AF69" i="145"/>
  <c r="AE69" i="145"/>
  <c r="AD69" i="145"/>
  <c r="AC69" i="145"/>
  <c r="AB69" i="145"/>
  <c r="AA69" i="145"/>
  <c r="Z69" i="145"/>
  <c r="Y69" i="145"/>
  <c r="X69" i="145"/>
  <c r="W69" i="145"/>
  <c r="V69" i="145"/>
  <c r="U69" i="145"/>
  <c r="T69" i="145"/>
  <c r="S69" i="145"/>
  <c r="R69" i="145"/>
  <c r="Q69" i="145"/>
  <c r="P69" i="145"/>
  <c r="O69" i="145"/>
  <c r="N69" i="145"/>
  <c r="M69" i="145"/>
  <c r="L69" i="145"/>
  <c r="K69" i="145"/>
  <c r="I69" i="145"/>
  <c r="H69" i="145"/>
  <c r="G69" i="145"/>
  <c r="F69" i="145"/>
  <c r="A69" i="145"/>
  <c r="A68" i="145"/>
  <c r="CL67" i="145"/>
  <c r="CK67" i="145"/>
  <c r="CJ67" i="145"/>
  <c r="CI67" i="145"/>
  <c r="CH67" i="145"/>
  <c r="CG67" i="145"/>
  <c r="CF67" i="145"/>
  <c r="CE67" i="145"/>
  <c r="CD67" i="145"/>
  <c r="CC67" i="145"/>
  <c r="CB67" i="145"/>
  <c r="CA67" i="145"/>
  <c r="BZ67" i="145"/>
  <c r="BY67" i="145"/>
  <c r="BX67" i="145"/>
  <c r="BW67" i="145"/>
  <c r="BV67" i="145"/>
  <c r="BU67" i="145"/>
  <c r="BT67" i="145"/>
  <c r="BS67" i="145"/>
  <c r="BR67" i="145"/>
  <c r="BQ67" i="145"/>
  <c r="BP67" i="145"/>
  <c r="BO67" i="145"/>
  <c r="BN67" i="145"/>
  <c r="BM67" i="145"/>
  <c r="BL67" i="145"/>
  <c r="BK67" i="145"/>
  <c r="BJ67" i="145"/>
  <c r="BI67" i="145"/>
  <c r="BH67" i="145"/>
  <c r="BG67" i="145"/>
  <c r="BF67" i="145"/>
  <c r="BE67" i="145"/>
  <c r="BD67" i="145"/>
  <c r="BC67" i="145"/>
  <c r="BB67" i="145"/>
  <c r="BA67" i="145"/>
  <c r="AZ67" i="145"/>
  <c r="AY67" i="145"/>
  <c r="AX67" i="145"/>
  <c r="AW67" i="145"/>
  <c r="AV67" i="145"/>
  <c r="AU67" i="145"/>
  <c r="AT67" i="145"/>
  <c r="A67" i="145"/>
  <c r="AS66" i="145"/>
  <c r="AR66" i="145"/>
  <c r="AQ66" i="145"/>
  <c r="AP66" i="145"/>
  <c r="AO66" i="145"/>
  <c r="AN66" i="145"/>
  <c r="AM66" i="145"/>
  <c r="AL66" i="145"/>
  <c r="AK66" i="145"/>
  <c r="AJ66" i="145"/>
  <c r="AI66" i="145"/>
  <c r="AH66" i="145"/>
  <c r="AG66" i="145"/>
  <c r="AF66" i="145"/>
  <c r="AE66" i="145"/>
  <c r="AD66" i="145"/>
  <c r="AC66" i="145"/>
  <c r="AB66" i="145"/>
  <c r="AA66" i="145"/>
  <c r="Z66" i="145"/>
  <c r="Y66" i="145"/>
  <c r="X66" i="145"/>
  <c r="W66" i="145"/>
  <c r="V66" i="145"/>
  <c r="U66" i="145"/>
  <c r="T66" i="145"/>
  <c r="S66" i="145"/>
  <c r="R66" i="145"/>
  <c r="Q66" i="145"/>
  <c r="P66" i="145"/>
  <c r="O66" i="145"/>
  <c r="N66" i="145"/>
  <c r="M66" i="145"/>
  <c r="L66" i="145"/>
  <c r="K66" i="145"/>
  <c r="I66" i="145"/>
  <c r="H66" i="145"/>
  <c r="G66" i="145"/>
  <c r="F66" i="145"/>
  <c r="A66" i="145"/>
  <c r="AS65" i="145"/>
  <c r="AS67" i="145" s="1"/>
  <c r="AR65" i="145"/>
  <c r="AR67" i="145" s="1"/>
  <c r="AQ65" i="145"/>
  <c r="AQ67" i="145" s="1"/>
  <c r="AP65" i="145"/>
  <c r="AP67" i="145" s="1"/>
  <c r="AO65" i="145"/>
  <c r="AO67" i="145" s="1"/>
  <c r="AN65" i="145"/>
  <c r="AN67" i="145" s="1"/>
  <c r="AM65" i="145"/>
  <c r="AL65" i="145"/>
  <c r="AL67" i="145" s="1"/>
  <c r="AK65" i="145"/>
  <c r="AK67" i="145" s="1"/>
  <c r="AJ65" i="145"/>
  <c r="AJ67" i="145" s="1"/>
  <c r="AI65" i="145"/>
  <c r="AI67" i="145" s="1"/>
  <c r="AH65" i="145"/>
  <c r="AH67" i="145" s="1"/>
  <c r="AG65" i="145"/>
  <c r="AG67" i="145" s="1"/>
  <c r="AF65" i="145"/>
  <c r="AF67" i="145" s="1"/>
  <c r="AE65" i="145"/>
  <c r="AD65" i="145"/>
  <c r="AD67" i="145" s="1"/>
  <c r="AC65" i="145"/>
  <c r="AC67" i="145" s="1"/>
  <c r="AB65" i="145"/>
  <c r="AB67" i="145" s="1"/>
  <c r="AA65" i="145"/>
  <c r="AA67" i="145" s="1"/>
  <c r="Z65" i="145"/>
  <c r="Z67" i="145" s="1"/>
  <c r="Y65" i="145"/>
  <c r="Y67" i="145" s="1"/>
  <c r="X65" i="145"/>
  <c r="X67" i="145" s="1"/>
  <c r="W65" i="145"/>
  <c r="V65" i="145"/>
  <c r="V67" i="145" s="1"/>
  <c r="U65" i="145"/>
  <c r="U67" i="145" s="1"/>
  <c r="T65" i="145"/>
  <c r="T67" i="145" s="1"/>
  <c r="S65" i="145"/>
  <c r="S67" i="145" s="1"/>
  <c r="R65" i="145"/>
  <c r="R67" i="145" s="1"/>
  <c r="Q65" i="145"/>
  <c r="Q67" i="145" s="1"/>
  <c r="P65" i="145"/>
  <c r="P67" i="145" s="1"/>
  <c r="O65" i="145"/>
  <c r="N65" i="145"/>
  <c r="N67" i="145" s="1"/>
  <c r="M65" i="145"/>
  <c r="M67" i="145" s="1"/>
  <c r="L65" i="145"/>
  <c r="L67" i="145" s="1"/>
  <c r="K65" i="145"/>
  <c r="K67" i="145" s="1"/>
  <c r="I65" i="145"/>
  <c r="I67" i="145" s="1"/>
  <c r="H65" i="145"/>
  <c r="H67" i="145" s="1"/>
  <c r="G65" i="145"/>
  <c r="G67" i="145" s="1"/>
  <c r="F65" i="145"/>
  <c r="F67" i="145" s="1"/>
  <c r="B65" i="145"/>
  <c r="A65" i="145"/>
  <c r="A64" i="145"/>
  <c r="AS63" i="145"/>
  <c r="AR63" i="145"/>
  <c r="AQ63" i="145"/>
  <c r="AP63" i="145"/>
  <c r="AO63" i="145"/>
  <c r="AN63" i="145"/>
  <c r="AM63" i="145"/>
  <c r="AL63" i="145"/>
  <c r="AK63" i="145"/>
  <c r="AJ63" i="145"/>
  <c r="AI63" i="145"/>
  <c r="AH63" i="145"/>
  <c r="AG63" i="145"/>
  <c r="AF63" i="145"/>
  <c r="AE63" i="145"/>
  <c r="AD63" i="145"/>
  <c r="AC63" i="145"/>
  <c r="AB63" i="145"/>
  <c r="AA63" i="145"/>
  <c r="Z63" i="145"/>
  <c r="Y63" i="145"/>
  <c r="X63" i="145"/>
  <c r="W63" i="145"/>
  <c r="V63" i="145"/>
  <c r="U63" i="145"/>
  <c r="T63" i="145"/>
  <c r="S63" i="145"/>
  <c r="R63" i="145"/>
  <c r="Q63" i="145"/>
  <c r="P63" i="145"/>
  <c r="O63" i="145"/>
  <c r="N63" i="145"/>
  <c r="M63" i="145"/>
  <c r="L63" i="145"/>
  <c r="K63" i="145"/>
  <c r="A63" i="145"/>
  <c r="AS62" i="145"/>
  <c r="AR62" i="145"/>
  <c r="AQ62" i="145"/>
  <c r="AP62" i="145"/>
  <c r="AO62" i="145"/>
  <c r="AN62" i="145"/>
  <c r="AM62" i="145"/>
  <c r="AL62" i="145"/>
  <c r="AK62" i="145"/>
  <c r="AJ62" i="145"/>
  <c r="AI62" i="145"/>
  <c r="AH62" i="145"/>
  <c r="AG62" i="145"/>
  <c r="AF62" i="145"/>
  <c r="AE62" i="145"/>
  <c r="AD62" i="145"/>
  <c r="AC62" i="145"/>
  <c r="AB62" i="145"/>
  <c r="AA62" i="145"/>
  <c r="Z62" i="145"/>
  <c r="Y62" i="145"/>
  <c r="X62" i="145"/>
  <c r="W62" i="145"/>
  <c r="V62" i="145"/>
  <c r="U62" i="145"/>
  <c r="T62" i="145"/>
  <c r="S62" i="145"/>
  <c r="R62" i="145"/>
  <c r="Q62" i="145"/>
  <c r="P62" i="145"/>
  <c r="O62" i="145"/>
  <c r="N62" i="145"/>
  <c r="M62" i="145"/>
  <c r="L62" i="145"/>
  <c r="K62" i="145"/>
  <c r="A62" i="145"/>
  <c r="AS61" i="145"/>
  <c r="AR61" i="145"/>
  <c r="AQ61" i="145"/>
  <c r="AP61" i="145"/>
  <c r="AO61" i="145"/>
  <c r="AN61" i="145"/>
  <c r="AM61" i="145"/>
  <c r="AL61" i="145"/>
  <c r="AK61" i="145"/>
  <c r="AJ61" i="145"/>
  <c r="AI61" i="145"/>
  <c r="AH61" i="145"/>
  <c r="AG61" i="145"/>
  <c r="AF61" i="145"/>
  <c r="AE61" i="145"/>
  <c r="AD61" i="145"/>
  <c r="AC61" i="145"/>
  <c r="AB61" i="145"/>
  <c r="AA61" i="145"/>
  <c r="Z61" i="145"/>
  <c r="Y61" i="145"/>
  <c r="X61" i="145"/>
  <c r="W61" i="145"/>
  <c r="V61" i="145"/>
  <c r="U61" i="145"/>
  <c r="T61" i="145"/>
  <c r="S61" i="145"/>
  <c r="R61" i="145"/>
  <c r="Q61" i="145"/>
  <c r="P61" i="145"/>
  <c r="O61" i="145"/>
  <c r="N61" i="145"/>
  <c r="M61" i="145"/>
  <c r="L61" i="145"/>
  <c r="K61" i="145"/>
  <c r="A61" i="145"/>
  <c r="AS60" i="145"/>
  <c r="AR60" i="145"/>
  <c r="AQ60" i="145"/>
  <c r="AP60" i="145"/>
  <c r="AO60" i="145"/>
  <c r="AN60" i="145"/>
  <c r="AM60" i="145"/>
  <c r="AL60" i="145"/>
  <c r="AK60" i="145"/>
  <c r="AJ60" i="145"/>
  <c r="AI60" i="145"/>
  <c r="AH60" i="145"/>
  <c r="AG60" i="145"/>
  <c r="AF60" i="145"/>
  <c r="AE60" i="145"/>
  <c r="AD60" i="145"/>
  <c r="AC60" i="145"/>
  <c r="AB60" i="145"/>
  <c r="AA60" i="145"/>
  <c r="Z60" i="145"/>
  <c r="Y60" i="145"/>
  <c r="X60" i="145"/>
  <c r="W60" i="145"/>
  <c r="V60" i="145"/>
  <c r="U60" i="145"/>
  <c r="T60" i="145"/>
  <c r="S60" i="145"/>
  <c r="R60" i="145"/>
  <c r="Q60" i="145"/>
  <c r="P60" i="145"/>
  <c r="O60" i="145"/>
  <c r="N60" i="145"/>
  <c r="M60" i="145"/>
  <c r="L60" i="145"/>
  <c r="K60" i="145"/>
  <c r="A60" i="145"/>
  <c r="AS59" i="145"/>
  <c r="AR59" i="145"/>
  <c r="AQ59" i="145"/>
  <c r="AP59" i="145"/>
  <c r="AO59" i="145"/>
  <c r="AN59" i="145"/>
  <c r="AM59" i="145"/>
  <c r="AL59" i="145"/>
  <c r="AK59" i="145"/>
  <c r="AJ59" i="145"/>
  <c r="AI59" i="145"/>
  <c r="AH59" i="145"/>
  <c r="AG59" i="145"/>
  <c r="AF59" i="145"/>
  <c r="AE59" i="145"/>
  <c r="AD59" i="145"/>
  <c r="AC59" i="145"/>
  <c r="AB59" i="145"/>
  <c r="AA59" i="145"/>
  <c r="Z59" i="145"/>
  <c r="Y59" i="145"/>
  <c r="X59" i="145"/>
  <c r="W59" i="145"/>
  <c r="V59" i="145"/>
  <c r="U59" i="145"/>
  <c r="T59" i="145"/>
  <c r="S59" i="145"/>
  <c r="R59" i="145"/>
  <c r="Q59" i="145"/>
  <c r="P59" i="145"/>
  <c r="O59" i="145"/>
  <c r="N59" i="145"/>
  <c r="M59" i="145"/>
  <c r="L59" i="145"/>
  <c r="K59" i="145"/>
  <c r="A59" i="145"/>
  <c r="AS58" i="145"/>
  <c r="AR58" i="145"/>
  <c r="AQ58" i="145"/>
  <c r="AP58" i="145"/>
  <c r="AO58" i="145"/>
  <c r="AN58" i="145"/>
  <c r="AM58" i="145"/>
  <c r="AL58" i="145"/>
  <c r="AK58" i="145"/>
  <c r="AJ58" i="145"/>
  <c r="AI58" i="145"/>
  <c r="AH58" i="145"/>
  <c r="AG58" i="145"/>
  <c r="AF58" i="145"/>
  <c r="AE58" i="145"/>
  <c r="AD58" i="145"/>
  <c r="AC58" i="145"/>
  <c r="AB58" i="145"/>
  <c r="AA58" i="145"/>
  <c r="Z58" i="145"/>
  <c r="Y58" i="145"/>
  <c r="X58" i="145"/>
  <c r="W58" i="145"/>
  <c r="V58" i="145"/>
  <c r="U58" i="145"/>
  <c r="T58" i="145"/>
  <c r="S58" i="145"/>
  <c r="R58" i="145"/>
  <c r="Q58" i="145"/>
  <c r="P58" i="145"/>
  <c r="O58" i="145"/>
  <c r="N58" i="145"/>
  <c r="M58" i="145"/>
  <c r="L58" i="145"/>
  <c r="K58" i="145"/>
  <c r="A58" i="145"/>
  <c r="AS57" i="145"/>
  <c r="AR57" i="145"/>
  <c r="AQ57" i="145"/>
  <c r="AP57" i="145"/>
  <c r="AO57" i="145"/>
  <c r="AN57" i="145"/>
  <c r="AM57" i="145"/>
  <c r="AL57" i="145"/>
  <c r="AK57" i="145"/>
  <c r="AJ57" i="145"/>
  <c r="AI57" i="145"/>
  <c r="AH57" i="145"/>
  <c r="AG57" i="145"/>
  <c r="AF57" i="145"/>
  <c r="AE57" i="145"/>
  <c r="AD57" i="145"/>
  <c r="AC57" i="145"/>
  <c r="AB57" i="145"/>
  <c r="AA57" i="145"/>
  <c r="Z57" i="145"/>
  <c r="Y57" i="145"/>
  <c r="X57" i="145"/>
  <c r="W57" i="145"/>
  <c r="V57" i="145"/>
  <c r="U57" i="145"/>
  <c r="T57" i="145"/>
  <c r="S57" i="145"/>
  <c r="R57" i="145"/>
  <c r="Q57" i="145"/>
  <c r="P57" i="145"/>
  <c r="O57" i="145"/>
  <c r="N57" i="145"/>
  <c r="M57" i="145"/>
  <c r="L57" i="145"/>
  <c r="K57" i="145"/>
  <c r="A57" i="145"/>
  <c r="AS56" i="145"/>
  <c r="AR56" i="145"/>
  <c r="AQ56" i="145"/>
  <c r="AP56" i="145"/>
  <c r="AO56" i="145"/>
  <c r="AN56" i="145"/>
  <c r="AM56" i="145"/>
  <c r="AL56" i="145"/>
  <c r="AK56" i="145"/>
  <c r="AJ56" i="145"/>
  <c r="AI56" i="145"/>
  <c r="AH56" i="145"/>
  <c r="AG56" i="145"/>
  <c r="AF56" i="145"/>
  <c r="AE56" i="145"/>
  <c r="AD56" i="145"/>
  <c r="AC56" i="145"/>
  <c r="AB56" i="145"/>
  <c r="AA56" i="145"/>
  <c r="Z56" i="145"/>
  <c r="Y56" i="145"/>
  <c r="X56" i="145"/>
  <c r="W56" i="145"/>
  <c r="V56" i="145"/>
  <c r="U56" i="145"/>
  <c r="T56" i="145"/>
  <c r="S56" i="145"/>
  <c r="R56" i="145"/>
  <c r="Q56" i="145"/>
  <c r="P56" i="145"/>
  <c r="O56" i="145"/>
  <c r="N56" i="145"/>
  <c r="M56" i="145"/>
  <c r="L56" i="145"/>
  <c r="K56" i="145"/>
  <c r="A56" i="145"/>
  <c r="A55" i="145"/>
  <c r="CL54" i="145"/>
  <c r="CK54" i="145"/>
  <c r="AQ54" i="145" s="1"/>
  <c r="CJ54" i="145"/>
  <c r="CI54" i="145"/>
  <c r="CH54" i="145"/>
  <c r="CG54" i="145"/>
  <c r="CF54" i="145"/>
  <c r="CE54" i="145"/>
  <c r="AL54" i="145" s="1"/>
  <c r="CD54" i="145"/>
  <c r="AP54" i="145" s="1"/>
  <c r="CC54" i="145"/>
  <c r="AO54" i="145" s="1"/>
  <c r="CB54" i="145"/>
  <c r="CA54" i="145"/>
  <c r="BZ54" i="145"/>
  <c r="AH54" i="145" s="1"/>
  <c r="BY54" i="145"/>
  <c r="AJ54" i="145" s="1"/>
  <c r="BX54" i="145"/>
  <c r="AC54" i="145" s="1"/>
  <c r="BW54" i="145"/>
  <c r="AI54" i="145" s="1"/>
  <c r="BV54" i="145"/>
  <c r="AG54" i="145" s="1"/>
  <c r="BU54" i="145"/>
  <c r="AD54" i="145" s="1"/>
  <c r="BT54" i="145"/>
  <c r="BS54" i="145"/>
  <c r="BR54" i="145"/>
  <c r="W54" i="145" s="1"/>
  <c r="BQ54" i="145"/>
  <c r="BP54" i="145"/>
  <c r="AB54" i="145" s="1"/>
  <c r="BO54" i="145"/>
  <c r="BN54" i="145"/>
  <c r="BM54" i="145"/>
  <c r="Z54" i="145" s="1"/>
  <c r="BL54" i="145"/>
  <c r="BK54" i="145"/>
  <c r="BJ54" i="145"/>
  <c r="BI54" i="145"/>
  <c r="BH54" i="145"/>
  <c r="BG54" i="145"/>
  <c r="BF54" i="145"/>
  <c r="BE54" i="145"/>
  <c r="O54" i="145" s="1"/>
  <c r="BD54" i="145"/>
  <c r="M54" i="145" s="1"/>
  <c r="BC54" i="145"/>
  <c r="BB54" i="145"/>
  <c r="T54" i="145" s="1"/>
  <c r="BA54" i="145"/>
  <c r="AZ54" i="145"/>
  <c r="AY54" i="145"/>
  <c r="L54" i="145" s="1"/>
  <c r="AX54" i="145"/>
  <c r="AW54" i="145"/>
  <c r="N54" i="145" s="1"/>
  <c r="AV54" i="145"/>
  <c r="S54" i="145" s="1"/>
  <c r="AU54" i="145"/>
  <c r="AT54" i="145"/>
  <c r="AN54" i="145"/>
  <c r="AM54" i="145"/>
  <c r="AK54" i="145"/>
  <c r="Q54" i="145"/>
  <c r="K54" i="145"/>
  <c r="I54" i="145"/>
  <c r="H54" i="145"/>
  <c r="G54" i="145"/>
  <c r="F54" i="145"/>
  <c r="B54" i="145"/>
  <c r="A54" i="145"/>
  <c r="CL53" i="145"/>
  <c r="CK53" i="145"/>
  <c r="CJ53" i="145"/>
  <c r="CI53" i="145"/>
  <c r="CH53" i="145"/>
  <c r="CG53" i="145"/>
  <c r="CE53" i="145"/>
  <c r="CD53" i="145"/>
  <c r="CC53" i="145"/>
  <c r="CB53" i="145"/>
  <c r="CA53" i="145"/>
  <c r="BZ53" i="145"/>
  <c r="BY53" i="145"/>
  <c r="BX53" i="145"/>
  <c r="BW53" i="145"/>
  <c r="BV53" i="145"/>
  <c r="BU53" i="145"/>
  <c r="BT53" i="145"/>
  <c r="BR53" i="145"/>
  <c r="BQ53" i="145"/>
  <c r="BP53" i="145"/>
  <c r="BN53" i="145"/>
  <c r="BM53" i="145"/>
  <c r="BJ53" i="145"/>
  <c r="BI53" i="145"/>
  <c r="BF53" i="145"/>
  <c r="BE53" i="145"/>
  <c r="BD53" i="145"/>
  <c r="BC53" i="145"/>
  <c r="BB53" i="145"/>
  <c r="BA53" i="145"/>
  <c r="AY53" i="145"/>
  <c r="AX53" i="145"/>
  <c r="AW53" i="145"/>
  <c r="AV53" i="145"/>
  <c r="AU53" i="145"/>
  <c r="AR53" i="145"/>
  <c r="AP53" i="145"/>
  <c r="AO53" i="145"/>
  <c r="AN53" i="145"/>
  <c r="AL53" i="145"/>
  <c r="AJ53" i="145"/>
  <c r="AH53" i="145"/>
  <c r="AG53" i="145"/>
  <c r="AF53" i="145"/>
  <c r="AD53" i="145"/>
  <c r="AB53" i="145"/>
  <c r="Z53" i="145"/>
  <c r="Y53" i="145"/>
  <c r="X53" i="145"/>
  <c r="V53" i="145"/>
  <c r="T53" i="145"/>
  <c r="R53" i="145"/>
  <c r="Q53" i="145"/>
  <c r="P53" i="145"/>
  <c r="N53" i="145"/>
  <c r="L53" i="145"/>
  <c r="I53" i="145"/>
  <c r="H53" i="145"/>
  <c r="G53" i="145"/>
  <c r="F53" i="145"/>
  <c r="B53" i="145"/>
  <c r="A53" i="145"/>
  <c r="AS52" i="145"/>
  <c r="AS53" i="145" s="1"/>
  <c r="AR52" i="145"/>
  <c r="AQ52" i="145"/>
  <c r="AQ53" i="145" s="1"/>
  <c r="AP52" i="145"/>
  <c r="AO52" i="145"/>
  <c r="AN52" i="145"/>
  <c r="AM52" i="145"/>
  <c r="AM53" i="145" s="1"/>
  <c r="AL52" i="145"/>
  <c r="AK52" i="145"/>
  <c r="AK53" i="145" s="1"/>
  <c r="AJ52" i="145"/>
  <c r="AI52" i="145"/>
  <c r="AI53" i="145" s="1"/>
  <c r="AH52" i="145"/>
  <c r="AG52" i="145"/>
  <c r="AF52" i="145"/>
  <c r="AE52" i="145"/>
  <c r="AE53" i="145" s="1"/>
  <c r="AD52" i="145"/>
  <c r="AC52" i="145"/>
  <c r="AC53" i="145" s="1"/>
  <c r="AB52" i="145"/>
  <c r="AA52" i="145"/>
  <c r="AA53" i="145" s="1"/>
  <c r="Z52" i="145"/>
  <c r="Y52" i="145"/>
  <c r="X52" i="145"/>
  <c r="W52" i="145"/>
  <c r="W53" i="145" s="1"/>
  <c r="V52" i="145"/>
  <c r="U52" i="145"/>
  <c r="U53" i="145" s="1"/>
  <c r="T52" i="145"/>
  <c r="S52" i="145"/>
  <c r="S53" i="145" s="1"/>
  <c r="R52" i="145"/>
  <c r="Q52" i="145"/>
  <c r="P52" i="145"/>
  <c r="O52" i="145"/>
  <c r="O53" i="145" s="1"/>
  <c r="N52" i="145"/>
  <c r="M52" i="145"/>
  <c r="M53" i="145" s="1"/>
  <c r="L52" i="145"/>
  <c r="K52" i="145"/>
  <c r="K53" i="145" s="1"/>
  <c r="A52" i="145"/>
  <c r="AR51" i="145"/>
  <c r="AQ51" i="145"/>
  <c r="AP51" i="145"/>
  <c r="AO51" i="145"/>
  <c r="AN51" i="145"/>
  <c r="AM51" i="145"/>
  <c r="AL51" i="145"/>
  <c r="AK51" i="145"/>
  <c r="AJ51" i="145"/>
  <c r="AI51" i="145"/>
  <c r="AH51" i="145"/>
  <c r="AG51" i="145"/>
  <c r="AF51" i="145"/>
  <c r="AD51" i="145"/>
  <c r="AC51" i="145"/>
  <c r="AB51" i="145"/>
  <c r="Z51" i="145"/>
  <c r="W51" i="145"/>
  <c r="U51" i="145"/>
  <c r="T51" i="145"/>
  <c r="S51" i="145"/>
  <c r="Q51" i="145"/>
  <c r="O51" i="145"/>
  <c r="N51" i="145"/>
  <c r="M51" i="145"/>
  <c r="L51" i="145"/>
  <c r="K51" i="145"/>
  <c r="A51" i="145"/>
  <c r="AS50" i="145"/>
  <c r="AR50" i="145"/>
  <c r="AQ50" i="145"/>
  <c r="AP50" i="145"/>
  <c r="AO50" i="145"/>
  <c r="AN50" i="145"/>
  <c r="AM50" i="145"/>
  <c r="AL50" i="145"/>
  <c r="AK50" i="145"/>
  <c r="AJ50" i="145"/>
  <c r="AI50" i="145"/>
  <c r="AH50" i="145"/>
  <c r="AG50" i="145"/>
  <c r="AF50" i="145"/>
  <c r="AD50" i="145"/>
  <c r="AC50" i="145"/>
  <c r="AB50" i="145"/>
  <c r="Z50" i="145"/>
  <c r="W50" i="145"/>
  <c r="U50" i="145"/>
  <c r="T50" i="145"/>
  <c r="S50" i="145"/>
  <c r="Q50" i="145"/>
  <c r="O50" i="145"/>
  <c r="N50" i="145"/>
  <c r="M50" i="145"/>
  <c r="L50" i="145"/>
  <c r="K50" i="145"/>
  <c r="A50" i="145"/>
  <c r="AS49" i="145"/>
  <c r="AR49" i="145"/>
  <c r="AQ49" i="145"/>
  <c r="AP49" i="145"/>
  <c r="AO49" i="145"/>
  <c r="AN49" i="145"/>
  <c r="AM49" i="145"/>
  <c r="AL49" i="145"/>
  <c r="AK49" i="145"/>
  <c r="AJ49" i="145"/>
  <c r="AI49" i="145"/>
  <c r="AH49" i="145"/>
  <c r="AG49" i="145"/>
  <c r="AF49" i="145"/>
  <c r="AE49" i="145"/>
  <c r="AD49" i="145"/>
  <c r="AC49" i="145"/>
  <c r="AB49" i="145"/>
  <c r="AA49" i="145"/>
  <c r="Z49" i="145"/>
  <c r="Y49" i="145"/>
  <c r="X49" i="145"/>
  <c r="W49" i="145"/>
  <c r="V49" i="145"/>
  <c r="U49" i="145"/>
  <c r="T49" i="145"/>
  <c r="S49" i="145"/>
  <c r="R49" i="145"/>
  <c r="Q49" i="145"/>
  <c r="P49" i="145"/>
  <c r="O49" i="145"/>
  <c r="N49" i="145"/>
  <c r="M49" i="145"/>
  <c r="L49" i="145"/>
  <c r="K49" i="145"/>
  <c r="A49" i="145"/>
  <c r="AS48" i="145"/>
  <c r="AR48" i="145"/>
  <c r="AQ48" i="145"/>
  <c r="AP48" i="145"/>
  <c r="AO48" i="145"/>
  <c r="AN48" i="145"/>
  <c r="AM48" i="145"/>
  <c r="AL48" i="145"/>
  <c r="AK48" i="145"/>
  <c r="AJ48" i="145"/>
  <c r="AI48" i="145"/>
  <c r="AH48" i="145"/>
  <c r="AG48" i="145"/>
  <c r="AF48" i="145"/>
  <c r="AE48" i="145"/>
  <c r="AD48" i="145"/>
  <c r="AC48" i="145"/>
  <c r="AB48" i="145"/>
  <c r="AA48" i="145"/>
  <c r="Z48" i="145"/>
  <c r="Y48" i="145"/>
  <c r="X48" i="145"/>
  <c r="W48" i="145"/>
  <c r="V48" i="145"/>
  <c r="U48" i="145"/>
  <c r="T48" i="145"/>
  <c r="S48" i="145"/>
  <c r="R48" i="145"/>
  <c r="Q48" i="145"/>
  <c r="P48" i="145"/>
  <c r="O48" i="145"/>
  <c r="N48" i="145"/>
  <c r="M48" i="145"/>
  <c r="L48" i="145"/>
  <c r="K48" i="145"/>
  <c r="A48" i="145"/>
  <c r="CL47" i="145"/>
  <c r="CK47" i="145"/>
  <c r="CJ47" i="145"/>
  <c r="AN47" i="145" s="1"/>
  <c r="CI47" i="145"/>
  <c r="CH47" i="145"/>
  <c r="AM47" i="145" s="1"/>
  <c r="CG47" i="145"/>
  <c r="CF47" i="145"/>
  <c r="CE47" i="145"/>
  <c r="AL47" i="145" s="1"/>
  <c r="CD47" i="145"/>
  <c r="CC47" i="145"/>
  <c r="CB47" i="145"/>
  <c r="CA47" i="145"/>
  <c r="BZ47" i="145"/>
  <c r="AH47" i="145" s="1"/>
  <c r="BY47" i="145"/>
  <c r="BX47" i="145"/>
  <c r="BW47" i="145"/>
  <c r="BV47" i="145"/>
  <c r="BT47" i="145"/>
  <c r="BR47" i="145"/>
  <c r="BQ47" i="145"/>
  <c r="BP47" i="145"/>
  <c r="AB47" i="145" s="1"/>
  <c r="BN47" i="145"/>
  <c r="BM47" i="145"/>
  <c r="Z47" i="145" s="1"/>
  <c r="BK47" i="145"/>
  <c r="BJ47" i="145"/>
  <c r="BI47" i="145"/>
  <c r="BF47" i="145"/>
  <c r="K47" i="145" s="1"/>
  <c r="BE47" i="145"/>
  <c r="BD47" i="145"/>
  <c r="BC47" i="145"/>
  <c r="BB47" i="145"/>
  <c r="T47" i="145" s="1"/>
  <c r="BA47" i="145"/>
  <c r="P47" i="145" s="1"/>
  <c r="AY47" i="145"/>
  <c r="AX47" i="145"/>
  <c r="AW47" i="145"/>
  <c r="N47" i="145" s="1"/>
  <c r="AU47" i="145"/>
  <c r="AS47" i="145"/>
  <c r="AR47" i="145"/>
  <c r="AQ47" i="145"/>
  <c r="AP47" i="145"/>
  <c r="AO47" i="145"/>
  <c r="AK47" i="145"/>
  <c r="AJ47" i="145"/>
  <c r="AI47" i="145"/>
  <c r="AG47" i="145"/>
  <c r="AF47" i="145"/>
  <c r="AE47" i="145"/>
  <c r="AD47" i="145"/>
  <c r="AC47" i="145"/>
  <c r="W47" i="145"/>
  <c r="U47" i="145"/>
  <c r="S47" i="145"/>
  <c r="R47" i="145"/>
  <c r="Q47" i="145"/>
  <c r="O47" i="145"/>
  <c r="M47" i="145"/>
  <c r="L47" i="145"/>
  <c r="I47" i="145"/>
  <c r="H47" i="145"/>
  <c r="G47" i="145"/>
  <c r="F47" i="145"/>
  <c r="A47" i="145"/>
  <c r="AS46" i="145"/>
  <c r="AR46" i="145"/>
  <c r="AQ46" i="145"/>
  <c r="AP46" i="145"/>
  <c r="AO46" i="145"/>
  <c r="AN46" i="145"/>
  <c r="AM46" i="145"/>
  <c r="AL46" i="145"/>
  <c r="AK46" i="145"/>
  <c r="AJ46" i="145"/>
  <c r="AI46" i="145"/>
  <c r="AH46" i="145"/>
  <c r="AG46" i="145"/>
  <c r="AF46" i="145"/>
  <c r="AE46" i="145"/>
  <c r="AD46" i="145"/>
  <c r="AC46" i="145"/>
  <c r="AB46" i="145"/>
  <c r="AA46" i="145"/>
  <c r="Z46" i="145"/>
  <c r="Y46" i="145"/>
  <c r="X46" i="145"/>
  <c r="W46" i="145"/>
  <c r="V46" i="145"/>
  <c r="U46" i="145"/>
  <c r="T46" i="145"/>
  <c r="S46" i="145"/>
  <c r="R46" i="145"/>
  <c r="Q46" i="145"/>
  <c r="P46" i="145"/>
  <c r="O46" i="145"/>
  <c r="N46" i="145"/>
  <c r="M46" i="145"/>
  <c r="L46" i="145"/>
  <c r="K46" i="145"/>
  <c r="A46" i="145"/>
  <c r="AS45" i="145"/>
  <c r="AR45" i="145"/>
  <c r="AQ45" i="145"/>
  <c r="AP45" i="145"/>
  <c r="AO45" i="145"/>
  <c r="AN45" i="145"/>
  <c r="AM45" i="145"/>
  <c r="AL45" i="145"/>
  <c r="AK45" i="145"/>
  <c r="AJ45" i="145"/>
  <c r="AI45" i="145"/>
  <c r="AH45" i="145"/>
  <c r="AG45" i="145"/>
  <c r="AF45" i="145"/>
  <c r="AE45" i="145"/>
  <c r="AD45" i="145"/>
  <c r="AC45" i="145"/>
  <c r="AB45" i="145"/>
  <c r="AA45" i="145"/>
  <c r="AA47" i="145" s="1"/>
  <c r="Z45" i="145"/>
  <c r="Y45" i="145"/>
  <c r="X45" i="145"/>
  <c r="X47" i="145" s="1"/>
  <c r="W45" i="145"/>
  <c r="V45" i="145"/>
  <c r="V47" i="145" s="1"/>
  <c r="U45" i="145"/>
  <c r="T45" i="145"/>
  <c r="S45" i="145"/>
  <c r="R45" i="145"/>
  <c r="Q45" i="145"/>
  <c r="P45" i="145"/>
  <c r="O45" i="145"/>
  <c r="N45" i="145"/>
  <c r="M45" i="145"/>
  <c r="L45" i="145"/>
  <c r="K45" i="145"/>
  <c r="A45" i="145"/>
  <c r="CL44" i="145"/>
  <c r="CK44" i="145"/>
  <c r="CJ44" i="145"/>
  <c r="CI44" i="145"/>
  <c r="CH44" i="145"/>
  <c r="CG44" i="145"/>
  <c r="CF44" i="145"/>
  <c r="CE44" i="145"/>
  <c r="CD44" i="145"/>
  <c r="CC44" i="145"/>
  <c r="CB44" i="145"/>
  <c r="CA44" i="145"/>
  <c r="BZ44" i="145"/>
  <c r="BY44" i="145"/>
  <c r="BX44" i="145"/>
  <c r="BW44" i="145"/>
  <c r="BV44" i="145"/>
  <c r="BU44" i="145"/>
  <c r="BT44" i="145"/>
  <c r="BS44" i="145"/>
  <c r="BR44" i="145"/>
  <c r="BQ44" i="145"/>
  <c r="BP44" i="145"/>
  <c r="BO44" i="145"/>
  <c r="BN44" i="145"/>
  <c r="BM44" i="145"/>
  <c r="BL44" i="145"/>
  <c r="BK44" i="145"/>
  <c r="BJ44" i="145"/>
  <c r="BI44" i="145"/>
  <c r="BH44" i="145"/>
  <c r="BG44" i="145"/>
  <c r="BF44" i="145"/>
  <c r="BE44" i="145"/>
  <c r="BD44" i="145"/>
  <c r="BC44" i="145"/>
  <c r="BB44" i="145"/>
  <c r="BA44" i="145"/>
  <c r="AZ44" i="145"/>
  <c r="AY44" i="145"/>
  <c r="AX44" i="145"/>
  <c r="AW44" i="145"/>
  <c r="AV44" i="145"/>
  <c r="AU44" i="145"/>
  <c r="AT44" i="145"/>
  <c r="I44" i="145"/>
  <c r="H44" i="145"/>
  <c r="G44" i="145"/>
  <c r="F44" i="145"/>
  <c r="A44" i="145"/>
  <c r="AS43" i="145"/>
  <c r="AS44" i="145" s="1"/>
  <c r="AR43" i="145"/>
  <c r="AQ43" i="145"/>
  <c r="AP43" i="145"/>
  <c r="AO43" i="145"/>
  <c r="AN43" i="145"/>
  <c r="AM43" i="145"/>
  <c r="AM44" i="145" s="1"/>
  <c r="AL43" i="145"/>
  <c r="AL44" i="145" s="1"/>
  <c r="AK43" i="145"/>
  <c r="AK44" i="145" s="1"/>
  <c r="AJ43" i="145"/>
  <c r="AI43" i="145"/>
  <c r="AH43" i="145"/>
  <c r="AG43" i="145"/>
  <c r="AF43" i="145"/>
  <c r="AE43" i="145"/>
  <c r="AE44" i="145" s="1"/>
  <c r="AD43" i="145"/>
  <c r="AD44" i="145" s="1"/>
  <c r="AC43" i="145"/>
  <c r="AC44" i="145" s="1"/>
  <c r="AB43" i="145"/>
  <c r="AA43" i="145"/>
  <c r="Z43" i="145"/>
  <c r="Y43" i="145"/>
  <c r="X43" i="145"/>
  <c r="W43" i="145"/>
  <c r="W44" i="145" s="1"/>
  <c r="V43" i="145"/>
  <c r="V44" i="145" s="1"/>
  <c r="U43" i="145"/>
  <c r="U44" i="145" s="1"/>
  <c r="T43" i="145"/>
  <c r="S43" i="145"/>
  <c r="R43" i="145"/>
  <c r="Q43" i="145"/>
  <c r="P43" i="145"/>
  <c r="O43" i="145"/>
  <c r="O44" i="145" s="1"/>
  <c r="N43" i="145"/>
  <c r="N44" i="145" s="1"/>
  <c r="M43" i="145"/>
  <c r="M44" i="145" s="1"/>
  <c r="L43" i="145"/>
  <c r="K43" i="145"/>
  <c r="A43" i="145"/>
  <c r="AS42" i="145"/>
  <c r="AS54" i="145" s="1"/>
  <c r="AR42" i="145"/>
  <c r="AQ42" i="145"/>
  <c r="AP42" i="145"/>
  <c r="AO42" i="145"/>
  <c r="AN42" i="145"/>
  <c r="AM42" i="145"/>
  <c r="AL42" i="145"/>
  <c r="AK42" i="145"/>
  <c r="AJ42" i="145"/>
  <c r="AI42" i="145"/>
  <c r="AH42" i="145"/>
  <c r="AG42" i="145"/>
  <c r="AF42" i="145"/>
  <c r="AE42" i="145"/>
  <c r="AE51" i="145" s="1"/>
  <c r="AD42" i="145"/>
  <c r="AC42" i="145"/>
  <c r="AB42" i="145"/>
  <c r="AA42" i="145"/>
  <c r="AA54" i="145" s="1"/>
  <c r="Z42" i="145"/>
  <c r="Y42" i="145"/>
  <c r="Y54" i="145" s="1"/>
  <c r="X42" i="145"/>
  <c r="X51" i="145" s="1"/>
  <c r="W42" i="145"/>
  <c r="V42" i="145"/>
  <c r="U42" i="145"/>
  <c r="T42" i="145"/>
  <c r="S42" i="145"/>
  <c r="R42" i="145"/>
  <c r="R54" i="145" s="1"/>
  <c r="Q42" i="145"/>
  <c r="P42" i="145"/>
  <c r="P51" i="145" s="1"/>
  <c r="O42" i="145"/>
  <c r="N42" i="145"/>
  <c r="M42" i="145"/>
  <c r="L42" i="145"/>
  <c r="K42" i="145"/>
  <c r="A42" i="145"/>
  <c r="AS41" i="145"/>
  <c r="AR41" i="145"/>
  <c r="AQ41" i="145"/>
  <c r="AP41" i="145"/>
  <c r="AO41" i="145"/>
  <c r="AN41" i="145"/>
  <c r="AM41" i="145"/>
  <c r="AL41" i="145"/>
  <c r="AK41" i="145"/>
  <c r="AJ41" i="145"/>
  <c r="AI41" i="145"/>
  <c r="AH41" i="145"/>
  <c r="AG41" i="145"/>
  <c r="AF41" i="145"/>
  <c r="AE41" i="145"/>
  <c r="AD41" i="145"/>
  <c r="AC41" i="145"/>
  <c r="AB41" i="145"/>
  <c r="AA41" i="145"/>
  <c r="Z41" i="145"/>
  <c r="Y41" i="145"/>
  <c r="X41" i="145"/>
  <c r="W41" i="145"/>
  <c r="V41" i="145"/>
  <c r="U41" i="145"/>
  <c r="T41" i="145"/>
  <c r="S41" i="145"/>
  <c r="R41" i="145"/>
  <c r="Q41" i="145"/>
  <c r="P41" i="145"/>
  <c r="O41" i="145"/>
  <c r="N41" i="145"/>
  <c r="M41" i="145"/>
  <c r="L41" i="145"/>
  <c r="K41" i="145"/>
  <c r="A41" i="145"/>
  <c r="A40" i="145"/>
  <c r="AS39" i="145"/>
  <c r="AR39" i="145"/>
  <c r="AQ39" i="145"/>
  <c r="AP39" i="145"/>
  <c r="AO39" i="145"/>
  <c r="AN39" i="145"/>
  <c r="AM39" i="145"/>
  <c r="AL39" i="145"/>
  <c r="AK39" i="145"/>
  <c r="AJ39" i="145"/>
  <c r="AI39" i="145"/>
  <c r="AH39" i="145"/>
  <c r="AG39" i="145"/>
  <c r="AF39" i="145"/>
  <c r="AE39" i="145"/>
  <c r="AD39" i="145"/>
  <c r="AC39" i="145"/>
  <c r="AB39" i="145"/>
  <c r="AA39" i="145"/>
  <c r="Z39" i="145"/>
  <c r="Y39" i="145"/>
  <c r="X39" i="145"/>
  <c r="W39" i="145"/>
  <c r="V39" i="145"/>
  <c r="U39" i="145"/>
  <c r="T39" i="145"/>
  <c r="S39" i="145"/>
  <c r="R39" i="145"/>
  <c r="Q39" i="145"/>
  <c r="P39" i="145"/>
  <c r="O39" i="145"/>
  <c r="N39" i="145"/>
  <c r="M39" i="145"/>
  <c r="L39" i="145"/>
  <c r="K39" i="145"/>
  <c r="A39" i="145"/>
  <c r="AS38" i="145"/>
  <c r="AR38" i="145"/>
  <c r="AQ38" i="145"/>
  <c r="AP38" i="145"/>
  <c r="AO38" i="145"/>
  <c r="AN38" i="145"/>
  <c r="AM38" i="145"/>
  <c r="AL38" i="145"/>
  <c r="AK38" i="145"/>
  <c r="AJ38" i="145"/>
  <c r="AI38" i="145"/>
  <c r="AH38" i="145"/>
  <c r="AG38" i="145"/>
  <c r="AF38" i="145"/>
  <c r="AE38" i="145"/>
  <c r="AD38" i="145"/>
  <c r="AC38" i="145"/>
  <c r="AB38" i="145"/>
  <c r="AA38" i="145"/>
  <c r="Z38" i="145"/>
  <c r="Y38" i="145"/>
  <c r="X38" i="145"/>
  <c r="W38" i="145"/>
  <c r="V38" i="145"/>
  <c r="U38" i="145"/>
  <c r="T38" i="145"/>
  <c r="S38" i="145"/>
  <c r="R38" i="145"/>
  <c r="Q38" i="145"/>
  <c r="P38" i="145"/>
  <c r="O38" i="145"/>
  <c r="N38" i="145"/>
  <c r="M38" i="145"/>
  <c r="L38" i="145"/>
  <c r="K38" i="145"/>
  <c r="A38" i="145"/>
  <c r="AS37" i="145"/>
  <c r="AR37" i="145"/>
  <c r="AQ37" i="145"/>
  <c r="AP37" i="145"/>
  <c r="AO37" i="145"/>
  <c r="AN37" i="145"/>
  <c r="AM37" i="145"/>
  <c r="AL37" i="145"/>
  <c r="AK37" i="145"/>
  <c r="AJ37" i="145"/>
  <c r="AI37" i="145"/>
  <c r="AH37" i="145"/>
  <c r="AG37" i="145"/>
  <c r="AF37" i="145"/>
  <c r="AE37" i="145"/>
  <c r="AD37" i="145"/>
  <c r="AC37" i="145"/>
  <c r="AB37" i="145"/>
  <c r="AA37" i="145"/>
  <c r="Z37" i="145"/>
  <c r="Y37" i="145"/>
  <c r="X37" i="145"/>
  <c r="W37" i="145"/>
  <c r="V37" i="145"/>
  <c r="U37" i="145"/>
  <c r="T37" i="145"/>
  <c r="S37" i="145"/>
  <c r="R37" i="145"/>
  <c r="Q37" i="145"/>
  <c r="P37" i="145"/>
  <c r="O37" i="145"/>
  <c r="N37" i="145"/>
  <c r="M37" i="145"/>
  <c r="L37" i="145"/>
  <c r="K37" i="145"/>
  <c r="A37" i="145"/>
  <c r="AS36" i="145"/>
  <c r="AR36" i="145"/>
  <c r="AQ36" i="145"/>
  <c r="AP36" i="145"/>
  <c r="AO36" i="145"/>
  <c r="AN36" i="145"/>
  <c r="AM36" i="145"/>
  <c r="AL36" i="145"/>
  <c r="AK36" i="145"/>
  <c r="AJ36" i="145"/>
  <c r="AI36" i="145"/>
  <c r="AH36" i="145"/>
  <c r="AG36" i="145"/>
  <c r="AF36" i="145"/>
  <c r="AE36" i="145"/>
  <c r="AD36" i="145"/>
  <c r="AC36" i="145"/>
  <c r="AB36" i="145"/>
  <c r="AA36" i="145"/>
  <c r="Z36" i="145"/>
  <c r="Y36" i="145"/>
  <c r="X36" i="145"/>
  <c r="W36" i="145"/>
  <c r="V36" i="145"/>
  <c r="U36" i="145"/>
  <c r="T36" i="145"/>
  <c r="S36" i="145"/>
  <c r="R36" i="145"/>
  <c r="Q36" i="145"/>
  <c r="P36" i="145"/>
  <c r="O36" i="145"/>
  <c r="N36" i="145"/>
  <c r="M36" i="145"/>
  <c r="L36" i="145"/>
  <c r="K36" i="145"/>
  <c r="A36" i="145"/>
  <c r="AS35" i="145"/>
  <c r="AS30" i="145" s="1"/>
  <c r="AR35" i="145"/>
  <c r="AQ35" i="145"/>
  <c r="AP35" i="145"/>
  <c r="AO35" i="145"/>
  <c r="AO127" i="145" s="1"/>
  <c r="AN35" i="145"/>
  <c r="AM35" i="145"/>
  <c r="AL35" i="145"/>
  <c r="AL127" i="145" s="1"/>
  <c r="AK35" i="145"/>
  <c r="AK127" i="145" s="1"/>
  <c r="AJ35" i="145"/>
  <c r="AI35" i="145"/>
  <c r="AH35" i="145"/>
  <c r="AG35" i="145"/>
  <c r="AG127" i="145" s="1"/>
  <c r="AF35" i="145"/>
  <c r="AE35" i="145"/>
  <c r="AD35" i="145"/>
  <c r="AD127" i="145" s="1"/>
  <c r="AC35" i="145"/>
  <c r="AC127" i="145" s="1"/>
  <c r="AB35" i="145"/>
  <c r="AA35" i="145"/>
  <c r="AA93" i="145" s="1"/>
  <c r="Z35" i="145"/>
  <c r="Y35" i="145"/>
  <c r="Y127" i="145" s="1"/>
  <c r="X35" i="145"/>
  <c r="X93" i="145" s="1"/>
  <c r="W35" i="145"/>
  <c r="V35" i="145"/>
  <c r="V127" i="145" s="1"/>
  <c r="U35" i="145"/>
  <c r="U127" i="145" s="1"/>
  <c r="T35" i="145"/>
  <c r="S35" i="145"/>
  <c r="R35" i="145"/>
  <c r="R93" i="145" s="1"/>
  <c r="Q35" i="145"/>
  <c r="Q127" i="145" s="1"/>
  <c r="P35" i="145"/>
  <c r="P93" i="145" s="1"/>
  <c r="O35" i="145"/>
  <c r="N35" i="145"/>
  <c r="N127" i="145" s="1"/>
  <c r="M35" i="145"/>
  <c r="M127" i="145" s="1"/>
  <c r="L35" i="145"/>
  <c r="K35" i="145"/>
  <c r="A35" i="145"/>
  <c r="A34" i="145"/>
  <c r="CL33" i="145"/>
  <c r="CK33" i="145"/>
  <c r="AQ33" i="145" s="1"/>
  <c r="CJ33" i="145"/>
  <c r="CI33" i="145"/>
  <c r="AR33" i="145" s="1"/>
  <c r="CH33" i="145"/>
  <c r="CG33" i="145"/>
  <c r="CF33" i="145"/>
  <c r="CE33" i="145"/>
  <c r="AL33" i="145" s="1"/>
  <c r="CD33" i="145"/>
  <c r="CC33" i="145"/>
  <c r="AO33" i="145" s="1"/>
  <c r="CB33" i="145"/>
  <c r="AK33" i="145" s="1"/>
  <c r="CA33" i="145"/>
  <c r="AF33" i="145" s="1"/>
  <c r="BZ33" i="145"/>
  <c r="AH33" i="145" s="1"/>
  <c r="BY33" i="145"/>
  <c r="BX33" i="145"/>
  <c r="AC33" i="145" s="1"/>
  <c r="BW33" i="145"/>
  <c r="BV33" i="145"/>
  <c r="BU33" i="145"/>
  <c r="AD33" i="145" s="1"/>
  <c r="BT33" i="145"/>
  <c r="BS33" i="145"/>
  <c r="BR33" i="145"/>
  <c r="BQ33" i="145"/>
  <c r="BP33" i="145"/>
  <c r="BO33" i="145"/>
  <c r="BN33" i="145"/>
  <c r="BM33" i="145"/>
  <c r="Z33" i="145" s="1"/>
  <c r="BL33" i="145"/>
  <c r="BK33" i="145"/>
  <c r="BJ33" i="145"/>
  <c r="BI33" i="145"/>
  <c r="BH33" i="145"/>
  <c r="BG33" i="145"/>
  <c r="BF33" i="145"/>
  <c r="BE33" i="145"/>
  <c r="O33" i="145" s="1"/>
  <c r="BD33" i="145"/>
  <c r="M33" i="145" s="1"/>
  <c r="BC33" i="145"/>
  <c r="U33" i="145" s="1"/>
  <c r="BB33" i="145"/>
  <c r="T33" i="145" s="1"/>
  <c r="BA33" i="145"/>
  <c r="AZ33" i="145"/>
  <c r="AY33" i="145"/>
  <c r="L33" i="145" s="1"/>
  <c r="AX33" i="145"/>
  <c r="AW33" i="145"/>
  <c r="N33" i="145" s="1"/>
  <c r="AV33" i="145"/>
  <c r="AU33" i="145"/>
  <c r="AT33" i="145"/>
  <c r="AP33" i="145"/>
  <c r="AN33" i="145"/>
  <c r="AM33" i="145"/>
  <c r="AJ33" i="145"/>
  <c r="AI33" i="145"/>
  <c r="AG33" i="145"/>
  <c r="AB33" i="145"/>
  <c r="Y33" i="145"/>
  <c r="W33" i="145"/>
  <c r="S33" i="145"/>
  <c r="Q33" i="145"/>
  <c r="K33" i="145"/>
  <c r="I33" i="145"/>
  <c r="H33" i="145"/>
  <c r="G33" i="145"/>
  <c r="F33" i="145"/>
  <c r="A33" i="145"/>
  <c r="AR32" i="145"/>
  <c r="AQ32" i="145"/>
  <c r="AP32" i="145"/>
  <c r="AO32" i="145"/>
  <c r="AN32" i="145"/>
  <c r="AM32" i="145"/>
  <c r="AL32" i="145"/>
  <c r="AK32" i="145"/>
  <c r="AJ32" i="145"/>
  <c r="AI32" i="145"/>
  <c r="AH32" i="145"/>
  <c r="AG32" i="145"/>
  <c r="AF32" i="145"/>
  <c r="AE32" i="145"/>
  <c r="AE33" i="145" s="1"/>
  <c r="AD32" i="145"/>
  <c r="AC32" i="145"/>
  <c r="AB32" i="145"/>
  <c r="AA32" i="145"/>
  <c r="AA33" i="145" s="1"/>
  <c r="Z32" i="145"/>
  <c r="Y32" i="145"/>
  <c r="W32" i="145"/>
  <c r="U32" i="145"/>
  <c r="T32" i="145"/>
  <c r="S32" i="145"/>
  <c r="Q32" i="145"/>
  <c r="O32" i="145"/>
  <c r="N32" i="145"/>
  <c r="M32" i="145"/>
  <c r="L32" i="145"/>
  <c r="K32" i="145"/>
  <c r="A32" i="145"/>
  <c r="CL31" i="145"/>
  <c r="CK31" i="145"/>
  <c r="AQ31" i="145" s="1"/>
  <c r="CJ31" i="145"/>
  <c r="CI31" i="145"/>
  <c r="CH31" i="145"/>
  <c r="CG31" i="145"/>
  <c r="CF31" i="145"/>
  <c r="CE31" i="145"/>
  <c r="CD31" i="145"/>
  <c r="CC31" i="145"/>
  <c r="CB31" i="145"/>
  <c r="AK31" i="145" s="1"/>
  <c r="CA31" i="145"/>
  <c r="BZ31" i="145"/>
  <c r="BY31" i="145"/>
  <c r="BX31" i="145"/>
  <c r="AC31" i="145" s="1"/>
  <c r="BW31" i="145"/>
  <c r="BV31" i="145"/>
  <c r="AG31" i="145" s="1"/>
  <c r="BU31" i="145"/>
  <c r="AD31" i="145" s="1"/>
  <c r="BT31" i="145"/>
  <c r="AE31" i="145" s="1"/>
  <c r="BS31" i="145"/>
  <c r="BR31" i="145"/>
  <c r="BQ31" i="145"/>
  <c r="BP31" i="145"/>
  <c r="BO31" i="145"/>
  <c r="BN31" i="145"/>
  <c r="BM31" i="145"/>
  <c r="BL31" i="145"/>
  <c r="BK31" i="145"/>
  <c r="BJ31" i="145"/>
  <c r="BI31" i="145"/>
  <c r="BH31" i="145"/>
  <c r="BG31" i="145"/>
  <c r="BF31" i="145"/>
  <c r="K31" i="145" s="1"/>
  <c r="BE31" i="145"/>
  <c r="BD31" i="145"/>
  <c r="M31" i="145" s="1"/>
  <c r="BC31" i="145"/>
  <c r="U31" i="145" s="1"/>
  <c r="BB31" i="145"/>
  <c r="BA31" i="145"/>
  <c r="AZ31" i="145"/>
  <c r="AY31" i="145"/>
  <c r="AX31" i="145"/>
  <c r="AW31" i="145"/>
  <c r="N31" i="145" s="1"/>
  <c r="AV31" i="145"/>
  <c r="S31" i="145" s="1"/>
  <c r="AU31" i="145"/>
  <c r="Q31" i="145" s="1"/>
  <c r="AT31" i="145"/>
  <c r="AR31" i="145"/>
  <c r="AP31" i="145"/>
  <c r="AO31" i="145"/>
  <c r="AN31" i="145"/>
  <c r="AM31" i="145"/>
  <c r="AL31" i="145"/>
  <c r="AJ31" i="145"/>
  <c r="AI31" i="145"/>
  <c r="AH31" i="145"/>
  <c r="AF31" i="145"/>
  <c r="AB31" i="145"/>
  <c r="Z31" i="145"/>
  <c r="W31" i="145"/>
  <c r="T31" i="145"/>
  <c r="R31" i="145"/>
  <c r="O31" i="145"/>
  <c r="L31" i="145"/>
  <c r="I31" i="145"/>
  <c r="H31" i="145"/>
  <c r="G31" i="145"/>
  <c r="F31" i="145"/>
  <c r="B31" i="145"/>
  <c r="A31" i="145"/>
  <c r="CL30" i="145"/>
  <c r="CK30" i="145"/>
  <c r="CJ30" i="145"/>
  <c r="AN30" i="145" s="1"/>
  <c r="CI30" i="145"/>
  <c r="CH30" i="145"/>
  <c r="AM30" i="145" s="1"/>
  <c r="CG30" i="145"/>
  <c r="CF30" i="145"/>
  <c r="CE30" i="145"/>
  <c r="CD30" i="145"/>
  <c r="CC30" i="145"/>
  <c r="CB30" i="145"/>
  <c r="AK30" i="145" s="1"/>
  <c r="CA30" i="145"/>
  <c r="BZ30" i="145"/>
  <c r="AH30" i="145" s="1"/>
  <c r="BY30" i="145"/>
  <c r="AJ30" i="145" s="1"/>
  <c r="BX30" i="145"/>
  <c r="BW30" i="145"/>
  <c r="BV30" i="145"/>
  <c r="AG30" i="145" s="1"/>
  <c r="BU30" i="145"/>
  <c r="BT30" i="145"/>
  <c r="BS30" i="145"/>
  <c r="BR30" i="145"/>
  <c r="W30" i="145" s="1"/>
  <c r="BQ30" i="145"/>
  <c r="BP30" i="145"/>
  <c r="BO30" i="145"/>
  <c r="BN30" i="145"/>
  <c r="BM30" i="145"/>
  <c r="BL30" i="145"/>
  <c r="BK30" i="145"/>
  <c r="BJ30" i="145"/>
  <c r="BI30" i="145"/>
  <c r="BH30" i="145"/>
  <c r="BG30" i="145"/>
  <c r="BF30" i="145"/>
  <c r="K30" i="145" s="1"/>
  <c r="BE30" i="145"/>
  <c r="BD30" i="145"/>
  <c r="M30" i="145" s="1"/>
  <c r="BC30" i="145"/>
  <c r="BB30" i="145"/>
  <c r="T30" i="145" s="1"/>
  <c r="BA30" i="145"/>
  <c r="AZ30" i="145"/>
  <c r="AY30" i="145"/>
  <c r="AX30" i="145"/>
  <c r="AW30" i="145"/>
  <c r="AV30" i="145"/>
  <c r="S30" i="145" s="1"/>
  <c r="AU30" i="145"/>
  <c r="Q30" i="145" s="1"/>
  <c r="AT30" i="145"/>
  <c r="AR30" i="145"/>
  <c r="AQ30" i="145"/>
  <c r="AP30" i="145"/>
  <c r="AO30" i="145"/>
  <c r="AL30" i="145"/>
  <c r="AI30" i="145"/>
  <c r="AF30" i="145"/>
  <c r="AD30" i="145"/>
  <c r="AC30" i="145"/>
  <c r="AB30" i="145"/>
  <c r="Z30" i="145"/>
  <c r="X30" i="145"/>
  <c r="U30" i="145"/>
  <c r="P30" i="145"/>
  <c r="O30" i="145"/>
  <c r="N30" i="145"/>
  <c r="L30" i="145"/>
  <c r="I30" i="145"/>
  <c r="H30" i="145"/>
  <c r="G30" i="145"/>
  <c r="F30" i="145"/>
  <c r="A30" i="145"/>
  <c r="AS29" i="145"/>
  <c r="AR29" i="145"/>
  <c r="AQ29" i="145"/>
  <c r="AP29" i="145"/>
  <c r="AO29" i="145"/>
  <c r="AN29" i="145"/>
  <c r="AM29" i="145"/>
  <c r="AL29" i="145"/>
  <c r="AK29" i="145"/>
  <c r="AJ29" i="145"/>
  <c r="AI29" i="145"/>
  <c r="AH29" i="145"/>
  <c r="AG29" i="145"/>
  <c r="AF29" i="145"/>
  <c r="AE29" i="145"/>
  <c r="AD29" i="145"/>
  <c r="AC29" i="145"/>
  <c r="AB29" i="145"/>
  <c r="AA29" i="145"/>
  <c r="Z29" i="145"/>
  <c r="Y29" i="145"/>
  <c r="X29" i="145"/>
  <c r="W29" i="145"/>
  <c r="V29" i="145"/>
  <c r="U29" i="145"/>
  <c r="T29" i="145"/>
  <c r="S29" i="145"/>
  <c r="R29" i="145"/>
  <c r="Q29" i="145"/>
  <c r="P29" i="145"/>
  <c r="O29" i="145"/>
  <c r="N29" i="145"/>
  <c r="M29" i="145"/>
  <c r="L29" i="145"/>
  <c r="K29" i="145"/>
  <c r="A29" i="145"/>
  <c r="AS28" i="145"/>
  <c r="AR28" i="145"/>
  <c r="AQ28" i="145"/>
  <c r="AP28" i="145"/>
  <c r="AO28" i="145"/>
  <c r="AN28" i="145"/>
  <c r="AM28" i="145"/>
  <c r="AL28" i="145"/>
  <c r="AK28" i="145"/>
  <c r="AJ28" i="145"/>
  <c r="AI28" i="145"/>
  <c r="AH28" i="145"/>
  <c r="AG28" i="145"/>
  <c r="AF28" i="145"/>
  <c r="AE28" i="145"/>
  <c r="AD28" i="145"/>
  <c r="AC28" i="145"/>
  <c r="AB28" i="145"/>
  <c r="AA28" i="145"/>
  <c r="Z28" i="145"/>
  <c r="Y28" i="145"/>
  <c r="X28" i="145"/>
  <c r="W28" i="145"/>
  <c r="V28" i="145"/>
  <c r="U28" i="145"/>
  <c r="T28" i="145"/>
  <c r="S28" i="145"/>
  <c r="R28" i="145"/>
  <c r="Q28" i="145"/>
  <c r="P28" i="145"/>
  <c r="O28" i="145"/>
  <c r="N28" i="145"/>
  <c r="M28" i="145"/>
  <c r="L28" i="145"/>
  <c r="K28" i="145"/>
  <c r="A28" i="145"/>
  <c r="AS27" i="145"/>
  <c r="AR27" i="145"/>
  <c r="AQ27" i="145"/>
  <c r="AP27" i="145"/>
  <c r="AO27" i="145"/>
  <c r="AN27" i="145"/>
  <c r="AM27" i="145"/>
  <c r="AL27" i="145"/>
  <c r="AK27" i="145"/>
  <c r="AJ27" i="145"/>
  <c r="AI27" i="145"/>
  <c r="AH27" i="145"/>
  <c r="AG27" i="145"/>
  <c r="AF27" i="145"/>
  <c r="AE27" i="145"/>
  <c r="AD27" i="145"/>
  <c r="AC27" i="145"/>
  <c r="AB27" i="145"/>
  <c r="AA27" i="145"/>
  <c r="Z27" i="145"/>
  <c r="Y27" i="145"/>
  <c r="X27" i="145"/>
  <c r="W27" i="145"/>
  <c r="V27" i="145"/>
  <c r="U27" i="145"/>
  <c r="T27" i="145"/>
  <c r="S27" i="145"/>
  <c r="R27" i="145"/>
  <c r="Q27" i="145"/>
  <c r="P27" i="145"/>
  <c r="O27" i="145"/>
  <c r="N27" i="145"/>
  <c r="M27" i="145"/>
  <c r="K27" i="145" s="1"/>
  <c r="L27" i="145"/>
  <c r="A27" i="145"/>
  <c r="AS26" i="145"/>
  <c r="AR26" i="145"/>
  <c r="AQ26" i="145"/>
  <c r="AP26" i="145"/>
  <c r="AO26" i="145"/>
  <c r="AN26" i="145"/>
  <c r="AM26" i="145"/>
  <c r="AL26" i="145"/>
  <c r="AK26" i="145"/>
  <c r="AJ26" i="145"/>
  <c r="AI26" i="145"/>
  <c r="AH26" i="145"/>
  <c r="AG26" i="145"/>
  <c r="AF26" i="145"/>
  <c r="AE26" i="145"/>
  <c r="AD26" i="145"/>
  <c r="AC26" i="145"/>
  <c r="AB26" i="145"/>
  <c r="AA26" i="145"/>
  <c r="Z26" i="145"/>
  <c r="Y26" i="145"/>
  <c r="X26" i="145"/>
  <c r="W26" i="145"/>
  <c r="V26" i="145"/>
  <c r="U26" i="145"/>
  <c r="T26" i="145"/>
  <c r="S26" i="145"/>
  <c r="R26" i="145"/>
  <c r="Q26" i="145"/>
  <c r="P26" i="145"/>
  <c r="O26" i="145"/>
  <c r="N26" i="145"/>
  <c r="M26" i="145"/>
  <c r="L26" i="145"/>
  <c r="K26" i="145" s="1"/>
  <c r="A26" i="145"/>
  <c r="AS25" i="145"/>
  <c r="AR25" i="145"/>
  <c r="AQ25" i="145"/>
  <c r="AP25" i="145"/>
  <c r="AO25" i="145"/>
  <c r="AN25" i="145"/>
  <c r="AM25" i="145"/>
  <c r="AL25" i="145"/>
  <c r="AK25" i="145"/>
  <c r="AJ25" i="145"/>
  <c r="AI25" i="145"/>
  <c r="AH25" i="145"/>
  <c r="AG25" i="145"/>
  <c r="AF25" i="145"/>
  <c r="AE25" i="145"/>
  <c r="AD25" i="145"/>
  <c r="AC25" i="145"/>
  <c r="AB25" i="145"/>
  <c r="AA25" i="145"/>
  <c r="Z25" i="145"/>
  <c r="Y25" i="145"/>
  <c r="X25" i="145"/>
  <c r="W25" i="145"/>
  <c r="V25" i="145"/>
  <c r="U25" i="145"/>
  <c r="T25" i="145"/>
  <c r="S25" i="145"/>
  <c r="R25" i="145"/>
  <c r="Q25" i="145"/>
  <c r="P25" i="145"/>
  <c r="O25" i="145"/>
  <c r="N25" i="145"/>
  <c r="M25" i="145"/>
  <c r="K25" i="145" s="1"/>
  <c r="L25" i="145"/>
  <c r="A25" i="145"/>
  <c r="AS24" i="145"/>
  <c r="AR24" i="145"/>
  <c r="AQ24" i="145"/>
  <c r="AP24" i="145"/>
  <c r="AO24" i="145"/>
  <c r="AN24" i="145"/>
  <c r="AM24" i="145"/>
  <c r="AL24" i="145"/>
  <c r="AK24" i="145"/>
  <c r="AJ24" i="145"/>
  <c r="AI24" i="145"/>
  <c r="AH24" i="145"/>
  <c r="AG24" i="145"/>
  <c r="AF24" i="145"/>
  <c r="AE24" i="145"/>
  <c r="AD24" i="145"/>
  <c r="AC24" i="145"/>
  <c r="AB24" i="145"/>
  <c r="AA24" i="145"/>
  <c r="Z24" i="145"/>
  <c r="Y24" i="145"/>
  <c r="X24" i="145"/>
  <c r="W24" i="145"/>
  <c r="V24" i="145"/>
  <c r="U24" i="145"/>
  <c r="T24" i="145"/>
  <c r="S24" i="145"/>
  <c r="R24" i="145"/>
  <c r="Q24" i="145"/>
  <c r="P24" i="145"/>
  <c r="O24" i="145"/>
  <c r="N24" i="145"/>
  <c r="M24" i="145"/>
  <c r="L24" i="145"/>
  <c r="K24" i="145" s="1"/>
  <c r="A24" i="145"/>
  <c r="AS23" i="145"/>
  <c r="AS32" i="145" s="1"/>
  <c r="AS33" i="145" s="1"/>
  <c r="AR23" i="145"/>
  <c r="AQ23" i="145"/>
  <c r="AP23" i="145"/>
  <c r="AO23" i="145"/>
  <c r="AN23" i="145"/>
  <c r="AM23" i="145"/>
  <c r="AL23" i="145"/>
  <c r="AK23" i="145"/>
  <c r="AJ23" i="145"/>
  <c r="AI23" i="145"/>
  <c r="AH23" i="145"/>
  <c r="AG23" i="145"/>
  <c r="AF23" i="145"/>
  <c r="AE23" i="145"/>
  <c r="AD23" i="145"/>
  <c r="AC23" i="145"/>
  <c r="AB23" i="145"/>
  <c r="AA23" i="145"/>
  <c r="AA30" i="145" s="1"/>
  <c r="Z23" i="145"/>
  <c r="Y23" i="145"/>
  <c r="Y31" i="145" s="1"/>
  <c r="X23" i="145"/>
  <c r="W23" i="145"/>
  <c r="V23" i="145"/>
  <c r="V30" i="145" s="1"/>
  <c r="U23" i="145"/>
  <c r="T23" i="145"/>
  <c r="S23" i="145"/>
  <c r="R23" i="145"/>
  <c r="R30" i="145" s="1"/>
  <c r="Q23" i="145"/>
  <c r="P23" i="145"/>
  <c r="O23" i="145"/>
  <c r="N23" i="145"/>
  <c r="M23" i="145"/>
  <c r="L23" i="145"/>
  <c r="K23" i="145"/>
  <c r="A23" i="145"/>
  <c r="Q22" i="145"/>
  <c r="A22" i="145"/>
  <c r="N21" i="145"/>
  <c r="I21" i="145"/>
  <c r="H21" i="145"/>
  <c r="G21" i="145"/>
  <c r="F21" i="145"/>
  <c r="A21" i="145"/>
  <c r="AS20" i="145"/>
  <c r="AS21" i="145" s="1"/>
  <c r="AR20" i="145"/>
  <c r="AQ20" i="145"/>
  <c r="AQ21" i="145" s="1"/>
  <c r="AP20" i="145"/>
  <c r="AP21" i="145" s="1"/>
  <c r="AO20" i="145"/>
  <c r="AO21" i="145" s="1"/>
  <c r="AN20" i="145"/>
  <c r="AN21" i="145" s="1"/>
  <c r="AM20" i="145"/>
  <c r="AM21" i="145" s="1"/>
  <c r="AL20" i="145"/>
  <c r="AL21" i="145" s="1"/>
  <c r="AK20" i="145"/>
  <c r="AK21" i="145" s="1"/>
  <c r="AJ20" i="145"/>
  <c r="AI20" i="145"/>
  <c r="AI21" i="145" s="1"/>
  <c r="AH20" i="145"/>
  <c r="AH21" i="145" s="1"/>
  <c r="AG20" i="145"/>
  <c r="AG21" i="145" s="1"/>
  <c r="AF20" i="145"/>
  <c r="AF21" i="145" s="1"/>
  <c r="AE20" i="145"/>
  <c r="AE21" i="145" s="1"/>
  <c r="AD20" i="145"/>
  <c r="AD21" i="145" s="1"/>
  <c r="AC20" i="145"/>
  <c r="AC21" i="145" s="1"/>
  <c r="AB20" i="145"/>
  <c r="AA20" i="145"/>
  <c r="AA21" i="145" s="1"/>
  <c r="Z20" i="145"/>
  <c r="Z21" i="145" s="1"/>
  <c r="Y20" i="145"/>
  <c r="Y21" i="145" s="1"/>
  <c r="X20" i="145"/>
  <c r="X21" i="145" s="1"/>
  <c r="W20" i="145"/>
  <c r="W21" i="145" s="1"/>
  <c r="V20" i="145"/>
  <c r="V21" i="145" s="1"/>
  <c r="U20" i="145"/>
  <c r="U21" i="145" s="1"/>
  <c r="T20" i="145"/>
  <c r="S20" i="145"/>
  <c r="S21" i="145" s="1"/>
  <c r="R20" i="145"/>
  <c r="R21" i="145" s="1"/>
  <c r="Q20" i="145"/>
  <c r="Q21" i="145" s="1"/>
  <c r="P20" i="145"/>
  <c r="P21" i="145" s="1"/>
  <c r="O20" i="145"/>
  <c r="O21" i="145" s="1"/>
  <c r="N20" i="145"/>
  <c r="M20" i="145"/>
  <c r="M21" i="145" s="1"/>
  <c r="L20" i="145"/>
  <c r="K20" i="145"/>
  <c r="K21" i="145" s="1"/>
  <c r="A20" i="145"/>
  <c r="AS19" i="145"/>
  <c r="AR19" i="145"/>
  <c r="AQ19" i="145"/>
  <c r="AP19" i="145"/>
  <c r="AO19" i="145"/>
  <c r="AN19" i="145"/>
  <c r="AM19" i="145"/>
  <c r="AL19" i="145"/>
  <c r="AK19" i="145"/>
  <c r="AJ19" i="145"/>
  <c r="AI19" i="145"/>
  <c r="AH19" i="145"/>
  <c r="AG19" i="145"/>
  <c r="AF19" i="145"/>
  <c r="AE19" i="145"/>
  <c r="AD19" i="145"/>
  <c r="AC19" i="145"/>
  <c r="AB19" i="145"/>
  <c r="AA19" i="145"/>
  <c r="Z19" i="145"/>
  <c r="Y19" i="145"/>
  <c r="X19" i="145"/>
  <c r="W19" i="145"/>
  <c r="V19" i="145"/>
  <c r="U19" i="145"/>
  <c r="T19" i="145"/>
  <c r="S19" i="145"/>
  <c r="R19" i="145"/>
  <c r="Q19" i="145"/>
  <c r="P19" i="145"/>
  <c r="O19" i="145"/>
  <c r="N19" i="145"/>
  <c r="M19" i="145"/>
  <c r="L19" i="145"/>
  <c r="K19" i="145"/>
  <c r="I19" i="145"/>
  <c r="H19" i="145"/>
  <c r="G19" i="145"/>
  <c r="F19" i="145"/>
  <c r="A19" i="145"/>
  <c r="AS18" i="145"/>
  <c r="AR18" i="145"/>
  <c r="AQ18" i="145"/>
  <c r="AP18" i="145"/>
  <c r="AO18" i="145"/>
  <c r="AN18" i="145"/>
  <c r="AM18" i="145"/>
  <c r="AL18" i="145"/>
  <c r="AK18" i="145"/>
  <c r="AJ18" i="145"/>
  <c r="AI18" i="145"/>
  <c r="AH18" i="145"/>
  <c r="AG18" i="145"/>
  <c r="AF18" i="145"/>
  <c r="AE18" i="145"/>
  <c r="AD18" i="145"/>
  <c r="AC18" i="145"/>
  <c r="AB18" i="145"/>
  <c r="AA18" i="145"/>
  <c r="Z18" i="145"/>
  <c r="Y18" i="145"/>
  <c r="X18" i="145"/>
  <c r="W18" i="145"/>
  <c r="V18" i="145"/>
  <c r="U18" i="145"/>
  <c r="T18" i="145"/>
  <c r="S18" i="145"/>
  <c r="R18" i="145"/>
  <c r="Q18" i="145"/>
  <c r="P18" i="145"/>
  <c r="O18" i="145"/>
  <c r="N18" i="145"/>
  <c r="M18" i="145"/>
  <c r="L18" i="145"/>
  <c r="K18" i="145"/>
  <c r="A18" i="145"/>
  <c r="AR17" i="145"/>
  <c r="AQ17" i="145"/>
  <c r="AP17" i="145"/>
  <c r="AO17" i="145"/>
  <c r="AN17" i="145"/>
  <c r="AM17" i="145"/>
  <c r="AL17" i="145"/>
  <c r="AK17" i="145"/>
  <c r="AJ17" i="145"/>
  <c r="AI17" i="145"/>
  <c r="AH17" i="145"/>
  <c r="AG17" i="145"/>
  <c r="AF17" i="145"/>
  <c r="AD17" i="145"/>
  <c r="AC17" i="145"/>
  <c r="AB17" i="145"/>
  <c r="Z17" i="145"/>
  <c r="W17" i="145"/>
  <c r="V17" i="145"/>
  <c r="U17" i="145"/>
  <c r="T17" i="145"/>
  <c r="S17" i="145"/>
  <c r="Q17" i="145"/>
  <c r="O17" i="145"/>
  <c r="N17" i="145"/>
  <c r="M17" i="145"/>
  <c r="L17" i="145"/>
  <c r="K17" i="145"/>
  <c r="I17" i="145"/>
  <c r="H17" i="145"/>
  <c r="G17" i="145"/>
  <c r="F17" i="145"/>
  <c r="A17" i="145"/>
  <c r="AS16" i="145"/>
  <c r="AS17" i="145" s="1"/>
  <c r="AR16" i="145"/>
  <c r="AQ16" i="145"/>
  <c r="AP16" i="145"/>
  <c r="AO16" i="145"/>
  <c r="AN16" i="145"/>
  <c r="AM16" i="145"/>
  <c r="AL16" i="145"/>
  <c r="AK16" i="145"/>
  <c r="AJ16" i="145"/>
  <c r="AI16" i="145"/>
  <c r="AH16" i="145"/>
  <c r="AG16" i="145"/>
  <c r="AF16" i="145"/>
  <c r="AE16" i="145"/>
  <c r="AE17" i="145" s="1"/>
  <c r="AD16" i="145"/>
  <c r="AC16" i="145"/>
  <c r="AB16" i="145"/>
  <c r="AA16" i="145"/>
  <c r="AA17" i="145" s="1"/>
  <c r="Z16" i="145"/>
  <c r="Y16" i="145"/>
  <c r="Y17" i="145" s="1"/>
  <c r="X16" i="145"/>
  <c r="X17" i="145" s="1"/>
  <c r="W16" i="145"/>
  <c r="V16" i="145"/>
  <c r="U16" i="145"/>
  <c r="T16" i="145"/>
  <c r="S16" i="145"/>
  <c r="R16" i="145"/>
  <c r="R17" i="145" s="1"/>
  <c r="Q16" i="145"/>
  <c r="P16" i="145"/>
  <c r="P17" i="145" s="1"/>
  <c r="O16" i="145"/>
  <c r="N16" i="145"/>
  <c r="M16" i="145"/>
  <c r="L16" i="145"/>
  <c r="K16" i="145"/>
  <c r="A16" i="145"/>
  <c r="A15" i="145"/>
  <c r="CL14" i="145"/>
  <c r="CK14" i="145"/>
  <c r="CJ14" i="145"/>
  <c r="CI14" i="145"/>
  <c r="CH14" i="145"/>
  <c r="AM14" i="145" s="1"/>
  <c r="CG14" i="145"/>
  <c r="CF14" i="145"/>
  <c r="CE14" i="145"/>
  <c r="CD14" i="145"/>
  <c r="CC14" i="145"/>
  <c r="CB14" i="145"/>
  <c r="AK14" i="145" s="1"/>
  <c r="CA14" i="145"/>
  <c r="BZ14" i="145"/>
  <c r="BY14" i="145"/>
  <c r="AJ14" i="145" s="1"/>
  <c r="BX14" i="145"/>
  <c r="BW14" i="145"/>
  <c r="BV14" i="145"/>
  <c r="AG14" i="145" s="1"/>
  <c r="BU14" i="145"/>
  <c r="BT14" i="145"/>
  <c r="BS14" i="145"/>
  <c r="BR14" i="145"/>
  <c r="W14" i="145" s="1"/>
  <c r="BQ14" i="145"/>
  <c r="BP14" i="145"/>
  <c r="BO14" i="145"/>
  <c r="BN14" i="145"/>
  <c r="BM14" i="145"/>
  <c r="BL14" i="145"/>
  <c r="BK14" i="145"/>
  <c r="BJ14" i="145"/>
  <c r="BI14" i="145"/>
  <c r="BH14" i="145"/>
  <c r="BG14" i="145"/>
  <c r="BF14" i="145"/>
  <c r="K14" i="145" s="1"/>
  <c r="BE14" i="145"/>
  <c r="BD14" i="145"/>
  <c r="M14" i="145" s="1"/>
  <c r="BC14" i="145"/>
  <c r="BB14" i="145"/>
  <c r="T14" i="145" s="1"/>
  <c r="BA14" i="145"/>
  <c r="AZ14" i="145"/>
  <c r="AY14" i="145"/>
  <c r="L14" i="145" s="1"/>
  <c r="AX14" i="145"/>
  <c r="AW14" i="145"/>
  <c r="AV14" i="145"/>
  <c r="S14" i="145" s="1"/>
  <c r="AU14" i="145"/>
  <c r="AT14" i="145"/>
  <c r="AR14" i="145"/>
  <c r="AQ14" i="145"/>
  <c r="AP14" i="145"/>
  <c r="AO14" i="145"/>
  <c r="AN14" i="145"/>
  <c r="AL14" i="145"/>
  <c r="AI14" i="145"/>
  <c r="AH14" i="145"/>
  <c r="AF14" i="145"/>
  <c r="AD14" i="145"/>
  <c r="AC14" i="145"/>
  <c r="AB14" i="145"/>
  <c r="Z14" i="145"/>
  <c r="X14" i="145"/>
  <c r="U14" i="145"/>
  <c r="Q14" i="145"/>
  <c r="P14" i="145"/>
  <c r="O14" i="145"/>
  <c r="N14" i="145"/>
  <c r="A14" i="145"/>
  <c r="AS13" i="145"/>
  <c r="AR13" i="145"/>
  <c r="AQ13" i="145"/>
  <c r="AP13" i="145"/>
  <c r="AO13" i="145"/>
  <c r="AN13" i="145"/>
  <c r="AM13" i="145"/>
  <c r="AL13" i="145"/>
  <c r="AK13" i="145"/>
  <c r="AJ13" i="145"/>
  <c r="AI13" i="145"/>
  <c r="AH13" i="145"/>
  <c r="AG13" i="145"/>
  <c r="AF13" i="145"/>
  <c r="AE13" i="145"/>
  <c r="AE14" i="145" s="1"/>
  <c r="AD13" i="145"/>
  <c r="AC13" i="145"/>
  <c r="AB13" i="145"/>
  <c r="AA13" i="145"/>
  <c r="AA14" i="145" s="1"/>
  <c r="Z13" i="145"/>
  <c r="Y13" i="145"/>
  <c r="Y14" i="145" s="1"/>
  <c r="X13" i="145"/>
  <c r="W13" i="145"/>
  <c r="V13" i="145"/>
  <c r="V14" i="145" s="1"/>
  <c r="U13" i="145"/>
  <c r="T13" i="145"/>
  <c r="S13" i="145"/>
  <c r="R13" i="145"/>
  <c r="R14" i="145" s="1"/>
  <c r="Q13" i="145"/>
  <c r="P13" i="145"/>
  <c r="O13" i="145"/>
  <c r="N13" i="145"/>
  <c r="M13" i="145"/>
  <c r="L13" i="145"/>
  <c r="K13" i="145"/>
  <c r="I13" i="145"/>
  <c r="I14" i="145" s="1"/>
  <c r="H13" i="145"/>
  <c r="H14" i="145" s="1"/>
  <c r="G13" i="145"/>
  <c r="G14" i="145" s="1"/>
  <c r="F13" i="145"/>
  <c r="F14" i="145" s="1"/>
  <c r="A13" i="145"/>
  <c r="CL12" i="145"/>
  <c r="CK12" i="145"/>
  <c r="CJ12" i="145"/>
  <c r="CI12" i="145"/>
  <c r="AR12" i="145" s="1"/>
  <c r="CH12" i="145"/>
  <c r="CG12" i="145"/>
  <c r="CF12" i="145"/>
  <c r="CE12" i="145"/>
  <c r="I12" i="145" s="1"/>
  <c r="CD12" i="145"/>
  <c r="CC12" i="145"/>
  <c r="CB12" i="145"/>
  <c r="CA12" i="145"/>
  <c r="AF12" i="145" s="1"/>
  <c r="BZ12" i="145"/>
  <c r="BY12" i="145"/>
  <c r="BX12" i="145"/>
  <c r="BW12" i="145"/>
  <c r="BV12" i="145"/>
  <c r="AG12" i="145" s="1"/>
  <c r="BU12" i="145"/>
  <c r="BU107" i="145" s="1"/>
  <c r="BT12" i="145"/>
  <c r="BS12" i="145"/>
  <c r="H12" i="145" s="1"/>
  <c r="BR12" i="145"/>
  <c r="BQ12" i="145"/>
  <c r="BP12" i="145"/>
  <c r="BO12" i="145"/>
  <c r="BN12" i="145"/>
  <c r="BM12" i="145"/>
  <c r="BL12" i="145"/>
  <c r="BK12" i="145"/>
  <c r="Y12" i="145" s="1"/>
  <c r="BJ12" i="145"/>
  <c r="BI12" i="145"/>
  <c r="BH12" i="145"/>
  <c r="BG12" i="145"/>
  <c r="BF12" i="145"/>
  <c r="BE12" i="145"/>
  <c r="BD12" i="145"/>
  <c r="BC12" i="145"/>
  <c r="BB12" i="145"/>
  <c r="BA12" i="145"/>
  <c r="AZ12" i="145"/>
  <c r="AY12" i="145"/>
  <c r="L12" i="145" s="1"/>
  <c r="AX12" i="145"/>
  <c r="AW12" i="145"/>
  <c r="AV12" i="145"/>
  <c r="AU12" i="145"/>
  <c r="AT12" i="145"/>
  <c r="AS12" i="145"/>
  <c r="AQ12" i="145"/>
  <c r="AP12" i="145"/>
  <c r="AO12" i="145"/>
  <c r="AN12" i="145"/>
  <c r="AM12" i="145"/>
  <c r="AK12" i="145"/>
  <c r="AI12" i="145"/>
  <c r="AH12" i="145"/>
  <c r="AE12" i="145"/>
  <c r="AD12" i="145"/>
  <c r="AC12" i="145"/>
  <c r="AB12" i="145"/>
  <c r="Z12" i="145"/>
  <c r="W12" i="145"/>
  <c r="U12" i="145"/>
  <c r="T12" i="145"/>
  <c r="S12" i="145"/>
  <c r="R12" i="145"/>
  <c r="Q12" i="145"/>
  <c r="P12" i="145"/>
  <c r="O12" i="145"/>
  <c r="N12" i="145"/>
  <c r="M12" i="145"/>
  <c r="K12" i="145"/>
  <c r="A12" i="145"/>
  <c r="AS11" i="145"/>
  <c r="AR11" i="145"/>
  <c r="AQ11" i="145"/>
  <c r="AP11" i="145"/>
  <c r="AO11" i="145"/>
  <c r="AN11" i="145"/>
  <c r="AM11" i="145"/>
  <c r="AL11" i="145"/>
  <c r="AK11" i="145"/>
  <c r="AJ11" i="145"/>
  <c r="AI11" i="145"/>
  <c r="AH11" i="145"/>
  <c r="AG11" i="145"/>
  <c r="AF11" i="145"/>
  <c r="AE11" i="145"/>
  <c r="AD11" i="145"/>
  <c r="AC11" i="145"/>
  <c r="AB11" i="145"/>
  <c r="AA11" i="145"/>
  <c r="Z11" i="145"/>
  <c r="Y11" i="145"/>
  <c r="X11" i="145"/>
  <c r="W11" i="145"/>
  <c r="V11" i="145"/>
  <c r="U11" i="145"/>
  <c r="T11" i="145"/>
  <c r="S11" i="145"/>
  <c r="R11" i="145"/>
  <c r="Q11" i="145"/>
  <c r="P11" i="145"/>
  <c r="O11" i="145"/>
  <c r="N11" i="145"/>
  <c r="M11" i="145"/>
  <c r="L11" i="145"/>
  <c r="K11" i="145"/>
  <c r="I11" i="145"/>
  <c r="H11" i="145"/>
  <c r="G11" i="145"/>
  <c r="F11" i="145"/>
  <c r="A11" i="145"/>
  <c r="AS10" i="145"/>
  <c r="AR10" i="145"/>
  <c r="AQ10" i="145"/>
  <c r="AP10" i="145"/>
  <c r="AO10" i="145"/>
  <c r="AN10" i="145"/>
  <c r="AM10" i="145"/>
  <c r="AL10" i="145"/>
  <c r="AK10" i="145"/>
  <c r="AJ10" i="145"/>
  <c r="AI10" i="145"/>
  <c r="AH10" i="145"/>
  <c r="AG10" i="145"/>
  <c r="AF10" i="145"/>
  <c r="AE10" i="145"/>
  <c r="AD10" i="145"/>
  <c r="AC10" i="145"/>
  <c r="AB10" i="145"/>
  <c r="AA10" i="145"/>
  <c r="Z10" i="145"/>
  <c r="Y10" i="145"/>
  <c r="X10" i="145"/>
  <c r="W10" i="145"/>
  <c r="V10" i="145"/>
  <c r="U10" i="145"/>
  <c r="T10" i="145"/>
  <c r="S10" i="145"/>
  <c r="R10" i="145"/>
  <c r="Q10" i="145"/>
  <c r="P10" i="145"/>
  <c r="O10" i="145"/>
  <c r="N10" i="145"/>
  <c r="M10" i="145"/>
  <c r="L10" i="145"/>
  <c r="K10" i="145"/>
  <c r="I10" i="145"/>
  <c r="H10" i="145"/>
  <c r="G10" i="145"/>
  <c r="F10" i="145"/>
  <c r="A10" i="145"/>
  <c r="AS9" i="145"/>
  <c r="AR9" i="145"/>
  <c r="AQ9" i="145"/>
  <c r="AP9" i="145"/>
  <c r="AO9" i="145"/>
  <c r="AN9" i="145"/>
  <c r="AM9" i="145"/>
  <c r="AL9" i="145"/>
  <c r="AK9" i="145"/>
  <c r="AJ9" i="145"/>
  <c r="AI9" i="145"/>
  <c r="AH9" i="145"/>
  <c r="AG9" i="145"/>
  <c r="AF9" i="145"/>
  <c r="AE9" i="145"/>
  <c r="AD9" i="145"/>
  <c r="AC9" i="145"/>
  <c r="AB9" i="145"/>
  <c r="AA9" i="145"/>
  <c r="Z9" i="145"/>
  <c r="Y9" i="145"/>
  <c r="X9" i="145"/>
  <c r="W9" i="145"/>
  <c r="V9" i="145"/>
  <c r="U9" i="145"/>
  <c r="T9" i="145"/>
  <c r="S9" i="145"/>
  <c r="R9" i="145"/>
  <c r="Q9" i="145"/>
  <c r="P9" i="145"/>
  <c r="O9" i="145"/>
  <c r="N9" i="145"/>
  <c r="M9" i="145"/>
  <c r="L9" i="145"/>
  <c r="K9" i="145"/>
  <c r="I9" i="145"/>
  <c r="H9" i="145"/>
  <c r="G9" i="145"/>
  <c r="F9" i="145"/>
  <c r="A9" i="145"/>
  <c r="AS8" i="145"/>
  <c r="AR8" i="145"/>
  <c r="AQ8" i="145"/>
  <c r="AP8" i="145"/>
  <c r="AO8" i="145"/>
  <c r="AN8" i="145"/>
  <c r="AM8" i="145"/>
  <c r="AL8" i="145"/>
  <c r="AK8" i="145"/>
  <c r="AJ8" i="145"/>
  <c r="AI8" i="145"/>
  <c r="AH8" i="145"/>
  <c r="AG8" i="145"/>
  <c r="AF8" i="145"/>
  <c r="AE8" i="145"/>
  <c r="AD8" i="145"/>
  <c r="AC8" i="145"/>
  <c r="AB8" i="145"/>
  <c r="AA8" i="145"/>
  <c r="Z8" i="145"/>
  <c r="Y8" i="145"/>
  <c r="X8" i="145"/>
  <c r="W8" i="145"/>
  <c r="V8" i="145"/>
  <c r="U8" i="145"/>
  <c r="T8" i="145"/>
  <c r="S8" i="145"/>
  <c r="R8" i="145"/>
  <c r="Q8" i="145"/>
  <c r="P8" i="145"/>
  <c r="O8" i="145"/>
  <c r="N8" i="145"/>
  <c r="M8" i="145"/>
  <c r="L8" i="145"/>
  <c r="K8" i="145"/>
  <c r="I8" i="145"/>
  <c r="H8" i="145"/>
  <c r="G8" i="145"/>
  <c r="F8" i="145"/>
  <c r="A8" i="145"/>
  <c r="AS7" i="145"/>
  <c r="AR7" i="145"/>
  <c r="AQ7" i="145"/>
  <c r="AP7" i="145"/>
  <c r="AO7" i="145"/>
  <c r="AN7" i="145"/>
  <c r="AM7" i="145"/>
  <c r="AL7" i="145"/>
  <c r="AK7" i="145"/>
  <c r="AJ7" i="145"/>
  <c r="AI7" i="145"/>
  <c r="AH7" i="145"/>
  <c r="AG7" i="145"/>
  <c r="AF7" i="145"/>
  <c r="AE7" i="145"/>
  <c r="AD7" i="145"/>
  <c r="AC7" i="145"/>
  <c r="AB7" i="145"/>
  <c r="AA7" i="145"/>
  <c r="Z7" i="145"/>
  <c r="Y7" i="145"/>
  <c r="X7" i="145"/>
  <c r="W7" i="145"/>
  <c r="V7" i="145"/>
  <c r="U7" i="145"/>
  <c r="T7" i="145"/>
  <c r="S7" i="145"/>
  <c r="R7" i="145"/>
  <c r="Q7" i="145"/>
  <c r="P7" i="145"/>
  <c r="O7" i="145"/>
  <c r="N7" i="145"/>
  <c r="M7" i="145"/>
  <c r="L7" i="145"/>
  <c r="K7" i="145"/>
  <c r="I7" i="145"/>
  <c r="H7" i="145"/>
  <c r="G7" i="145"/>
  <c r="F7" i="145"/>
  <c r="A7" i="145"/>
  <c r="A6" i="145"/>
  <c r="CL5" i="145"/>
  <c r="CK5" i="145"/>
  <c r="CJ5" i="145"/>
  <c r="CI5" i="145"/>
  <c r="CH5" i="145"/>
  <c r="CG5" i="145"/>
  <c r="CF5" i="145"/>
  <c r="CE5" i="145"/>
  <c r="CD5" i="145"/>
  <c r="CC5" i="145"/>
  <c r="CB5" i="145"/>
  <c r="CA5" i="145"/>
  <c r="BZ5" i="145"/>
  <c r="BY5" i="145"/>
  <c r="BX5" i="145"/>
  <c r="BW5" i="145"/>
  <c r="BV5" i="145"/>
  <c r="BU5" i="145"/>
  <c r="BT5" i="145"/>
  <c r="BS5" i="145"/>
  <c r="BR5" i="145"/>
  <c r="BQ5" i="145"/>
  <c r="BP5" i="145"/>
  <c r="BO5" i="145"/>
  <c r="BN5" i="145"/>
  <c r="BM5" i="145"/>
  <c r="BL5" i="145"/>
  <c r="BK5" i="145"/>
  <c r="BJ5" i="145"/>
  <c r="BI5" i="145"/>
  <c r="BH5" i="145"/>
  <c r="BG5" i="145"/>
  <c r="BF5" i="145"/>
  <c r="BE5" i="145"/>
  <c r="BD5" i="145"/>
  <c r="BC5" i="145"/>
  <c r="BB5" i="145"/>
  <c r="BA5" i="145"/>
  <c r="AZ5" i="145"/>
  <c r="AY5" i="145"/>
  <c r="AX5" i="145"/>
  <c r="AW5" i="145"/>
  <c r="AV5" i="145"/>
  <c r="AU5" i="145"/>
  <c r="AT5" i="145"/>
  <c r="AS5" i="145"/>
  <c r="AR5" i="145"/>
  <c r="AQ5" i="145"/>
  <c r="AP5" i="145"/>
  <c r="AO5" i="145"/>
  <c r="AN5" i="145"/>
  <c r="AM5" i="145"/>
  <c r="AL5" i="145"/>
  <c r="AK5" i="145"/>
  <c r="AJ5" i="145"/>
  <c r="AI5" i="145"/>
  <c r="AH5" i="145"/>
  <c r="AG5" i="145"/>
  <c r="AF5" i="145"/>
  <c r="AE5" i="145"/>
  <c r="AD5" i="145"/>
  <c r="AC5" i="145"/>
  <c r="AB5" i="145"/>
  <c r="AA5" i="145"/>
  <c r="Z5" i="145"/>
  <c r="Y5" i="145"/>
  <c r="X5" i="145"/>
  <c r="W5" i="145"/>
  <c r="V5" i="145"/>
  <c r="U5" i="145"/>
  <c r="T5" i="145"/>
  <c r="S5" i="145"/>
  <c r="R5" i="145"/>
  <c r="Q5" i="145"/>
  <c r="P5" i="145"/>
  <c r="O5" i="145"/>
  <c r="N5" i="145"/>
  <c r="M5" i="145"/>
  <c r="L5" i="145"/>
  <c r="K5" i="145"/>
  <c r="J5" i="145"/>
  <c r="I5" i="145"/>
  <c r="H5" i="145"/>
  <c r="G5" i="145"/>
  <c r="F5" i="145"/>
  <c r="A5" i="145"/>
  <c r="P44" i="145" l="1"/>
  <c r="X44" i="145"/>
  <c r="AF44" i="145"/>
  <c r="AN44" i="145"/>
  <c r="Q44" i="145"/>
  <c r="Y44" i="145"/>
  <c r="AG44" i="145"/>
  <c r="AO44" i="145"/>
  <c r="AO107" i="145" s="1"/>
  <c r="K44" i="145"/>
  <c r="S44" i="145"/>
  <c r="AA44" i="145"/>
  <c r="AI44" i="145"/>
  <c r="AQ44" i="145"/>
  <c r="Z44" i="145"/>
  <c r="AH44" i="145"/>
  <c r="L44" i="145"/>
  <c r="T44" i="145"/>
  <c r="AB44" i="145"/>
  <c r="AJ44" i="145"/>
  <c r="AR44" i="145"/>
  <c r="AP44" i="145"/>
  <c r="AE54" i="145"/>
  <c r="AT107" i="145"/>
  <c r="Y51" i="145"/>
  <c r="AA51" i="145"/>
  <c r="AZ107" i="145"/>
  <c r="BP107" i="145"/>
  <c r="CF107" i="145"/>
  <c r="BH107" i="145"/>
  <c r="BX107" i="145"/>
  <c r="AA71" i="145"/>
  <c r="AQ71" i="145"/>
  <c r="L71" i="145"/>
  <c r="AB71" i="145"/>
  <c r="AJ71" i="145"/>
  <c r="AR71" i="145"/>
  <c r="M71" i="145"/>
  <c r="U71" i="145"/>
  <c r="AC71" i="145"/>
  <c r="AK71" i="145"/>
  <c r="AK107" i="145" s="1"/>
  <c r="AS71" i="145"/>
  <c r="K71" i="145"/>
  <c r="AI71" i="145"/>
  <c r="N71" i="145"/>
  <c r="V71" i="145"/>
  <c r="AD71" i="145"/>
  <c r="AL71" i="145"/>
  <c r="F71" i="145"/>
  <c r="O71" i="145"/>
  <c r="AE71" i="145"/>
  <c r="BN107" i="145"/>
  <c r="CD107" i="145"/>
  <c r="G71" i="145"/>
  <c r="P71" i="145"/>
  <c r="X71" i="145"/>
  <c r="AF71" i="145"/>
  <c r="AN71" i="145"/>
  <c r="BF107" i="145"/>
  <c r="H71" i="145"/>
  <c r="Y71" i="145"/>
  <c r="AG71" i="145"/>
  <c r="AO71" i="145"/>
  <c r="W71" i="145"/>
  <c r="W107" i="145" s="1"/>
  <c r="I71" i="145"/>
  <c r="R71" i="145"/>
  <c r="Z71" i="145"/>
  <c r="AH71" i="145"/>
  <c r="AP71" i="145"/>
  <c r="AX107" i="145"/>
  <c r="BK107" i="145"/>
  <c r="BS107" i="145"/>
  <c r="AO84" i="145"/>
  <c r="AU107" i="145"/>
  <c r="BG107" i="145"/>
  <c r="BW107" i="145"/>
  <c r="BO107" i="145"/>
  <c r="BB107" i="145"/>
  <c r="BJ107" i="145"/>
  <c r="BR107" i="145"/>
  <c r="BZ107" i="145"/>
  <c r="CH107" i="145"/>
  <c r="AK84" i="145"/>
  <c r="CG107" i="145"/>
  <c r="F84" i="145"/>
  <c r="O84" i="145"/>
  <c r="W84" i="145"/>
  <c r="AE84" i="145"/>
  <c r="AM84" i="145"/>
  <c r="L82" i="145"/>
  <c r="T82" i="145"/>
  <c r="AB82" i="145"/>
  <c r="AJ82" i="145"/>
  <c r="AR82" i="145"/>
  <c r="G84" i="145"/>
  <c r="P84" i="145"/>
  <c r="X84" i="145"/>
  <c r="AF84" i="145"/>
  <c r="AN84" i="145"/>
  <c r="M82" i="145"/>
  <c r="AC82" i="145"/>
  <c r="AK82" i="145"/>
  <c r="AS82" i="145"/>
  <c r="H84" i="145"/>
  <c r="H107" i="145" s="1"/>
  <c r="Q84" i="145"/>
  <c r="Y84" i="145"/>
  <c r="AG84" i="145"/>
  <c r="U82" i="145"/>
  <c r="N82" i="145"/>
  <c r="V82" i="145"/>
  <c r="AD82" i="145"/>
  <c r="AL82" i="145"/>
  <c r="I84" i="145"/>
  <c r="R84" i="145"/>
  <c r="Z84" i="145"/>
  <c r="AH84" i="145"/>
  <c r="AP84" i="145"/>
  <c r="AW107" i="145"/>
  <c r="BE107" i="145"/>
  <c r="BM107" i="145"/>
  <c r="CC107" i="145"/>
  <c r="CK107" i="145"/>
  <c r="K84" i="145"/>
  <c r="K107" i="145" s="1"/>
  <c r="S84" i="145"/>
  <c r="AA84" i="145"/>
  <c r="AI84" i="145"/>
  <c r="AQ84" i="145"/>
  <c r="AQ107" i="145" s="1"/>
  <c r="Q107" i="145"/>
  <c r="G82" i="145"/>
  <c r="P82" i="145"/>
  <c r="X82" i="145"/>
  <c r="AF82" i="145"/>
  <c r="AN82" i="145"/>
  <c r="L84" i="145"/>
  <c r="T84" i="145"/>
  <c r="AB84" i="145"/>
  <c r="AJ84" i="145"/>
  <c r="AR84" i="145"/>
  <c r="M84" i="145"/>
  <c r="U84" i="145"/>
  <c r="AC84" i="145"/>
  <c r="AS84" i="145"/>
  <c r="I82" i="145"/>
  <c r="I107" i="145" s="1"/>
  <c r="R82" i="145"/>
  <c r="Z82" i="145"/>
  <c r="AH82" i="145"/>
  <c r="AP82" i="145"/>
  <c r="N84" i="145"/>
  <c r="V84" i="145"/>
  <c r="AD84" i="145"/>
  <c r="AL84" i="145"/>
  <c r="BD107" i="145"/>
  <c r="AV107" i="145"/>
  <c r="CJ107" i="145"/>
  <c r="CL107" i="145"/>
  <c r="AS14" i="145"/>
  <c r="AE30" i="145"/>
  <c r="AE93" i="145"/>
  <c r="AE50" i="145"/>
  <c r="AE107" i="145" s="1"/>
  <c r="V54" i="145"/>
  <c r="V51" i="145"/>
  <c r="Y47" i="145"/>
  <c r="U54" i="145"/>
  <c r="BC107" i="145"/>
  <c r="AF54" i="145"/>
  <c r="CA107" i="145"/>
  <c r="AR54" i="145"/>
  <c r="CI107" i="145"/>
  <c r="O67" i="145"/>
  <c r="W67" i="145"/>
  <c r="AE67" i="145"/>
  <c r="AM67" i="145"/>
  <c r="BT107" i="145"/>
  <c r="AM107" i="145"/>
  <c r="AD107" i="145"/>
  <c r="P32" i="145"/>
  <c r="P33" i="145" s="1"/>
  <c r="P31" i="145"/>
  <c r="X32" i="145"/>
  <c r="X33" i="145" s="1"/>
  <c r="X31" i="145"/>
  <c r="CB107" i="145"/>
  <c r="AI107" i="145"/>
  <c r="BA107" i="145"/>
  <c r="F12" i="145"/>
  <c r="BI107" i="145"/>
  <c r="X12" i="145"/>
  <c r="BQ107" i="145"/>
  <c r="AA12" i="145"/>
  <c r="AJ12" i="145"/>
  <c r="BY107" i="145"/>
  <c r="O127" i="145"/>
  <c r="W127" i="145"/>
  <c r="AE127" i="145"/>
  <c r="AM127" i="145"/>
  <c r="BL107" i="145"/>
  <c r="V12" i="145"/>
  <c r="AL12" i="145"/>
  <c r="Y30" i="145"/>
  <c r="AA31" i="145"/>
  <c r="R32" i="145"/>
  <c r="R33" i="145" s="1"/>
  <c r="V50" i="145"/>
  <c r="R51" i="145"/>
  <c r="P54" i="145"/>
  <c r="X54" i="145"/>
  <c r="AS93" i="145"/>
  <c r="V93" i="145"/>
  <c r="AS127" i="145"/>
  <c r="G12" i="145"/>
  <c r="AS31" i="145"/>
  <c r="P50" i="145"/>
  <c r="X50" i="145"/>
  <c r="BV107" i="145"/>
  <c r="V31" i="145"/>
  <c r="Y50" i="145"/>
  <c r="AS51" i="145"/>
  <c r="AY107" i="145"/>
  <c r="CE107" i="145"/>
  <c r="V32" i="145"/>
  <c r="V33" i="145" s="1"/>
  <c r="R50" i="145"/>
  <c r="Y93" i="145"/>
  <c r="AA50" i="145"/>
  <c r="C25" i="122"/>
  <c r="Y57" i="144"/>
  <c r="Y57" i="143"/>
  <c r="AE47" i="132"/>
  <c r="AE46" i="132"/>
  <c r="AE45" i="132"/>
  <c r="AA47" i="132"/>
  <c r="AA46" i="132"/>
  <c r="AA45" i="132"/>
  <c r="AE47" i="131"/>
  <c r="AE46" i="131"/>
  <c r="AE45" i="131"/>
  <c r="AA47" i="131"/>
  <c r="AA46" i="131"/>
  <c r="AA45" i="131"/>
  <c r="AE47" i="130"/>
  <c r="AE46" i="130"/>
  <c r="AE45" i="130"/>
  <c r="AA47" i="130"/>
  <c r="AA46" i="130"/>
  <c r="AA45" i="130"/>
  <c r="AE47" i="127"/>
  <c r="AE46" i="127"/>
  <c r="AE45" i="127"/>
  <c r="AA46" i="127"/>
  <c r="AA45" i="127"/>
  <c r="AA47" i="127" s="1"/>
  <c r="AE47" i="125"/>
  <c r="AE46" i="125"/>
  <c r="AE45" i="125"/>
  <c r="AA47" i="125"/>
  <c r="AA46" i="125"/>
  <c r="AA45" i="125"/>
  <c r="AA47" i="120"/>
  <c r="AA46" i="120"/>
  <c r="AA45" i="120"/>
  <c r="AE45" i="120"/>
  <c r="AE46" i="120"/>
  <c r="AE47" i="120"/>
  <c r="AE47" i="134"/>
  <c r="AE46" i="134"/>
  <c r="AE45" i="134"/>
  <c r="AE47" i="135"/>
  <c r="AE46" i="135"/>
  <c r="AE45" i="135"/>
  <c r="AE47" i="136"/>
  <c r="AE46" i="136"/>
  <c r="AE45" i="136"/>
  <c r="AA47" i="138"/>
  <c r="AE47" i="138"/>
  <c r="AA47" i="134"/>
  <c r="AA46" i="134"/>
  <c r="AA45" i="134"/>
  <c r="AA46" i="135"/>
  <c r="AA45" i="135"/>
  <c r="AA47" i="135" s="1"/>
  <c r="AA46" i="136"/>
  <c r="AA45" i="136"/>
  <c r="AA47" i="136" s="1"/>
  <c r="AE46" i="138"/>
  <c r="AE45" i="138"/>
  <c r="AA46" i="138"/>
  <c r="AA45" i="138"/>
  <c r="AB45" i="138"/>
  <c r="AC45" i="138"/>
  <c r="AE47" i="140"/>
  <c r="AE46" i="140"/>
  <c r="AE45" i="140"/>
  <c r="AA46" i="140"/>
  <c r="AA45" i="140"/>
  <c r="AA47" i="140" s="1"/>
  <c r="AE47" i="141"/>
  <c r="AE46" i="141"/>
  <c r="AE45" i="141"/>
  <c r="AA47" i="141"/>
  <c r="AA46" i="141"/>
  <c r="AA45" i="141"/>
  <c r="AE46" i="142"/>
  <c r="AE45" i="142"/>
  <c r="AE47" i="142" s="1"/>
  <c r="AA46" i="142"/>
  <c r="AA45" i="142"/>
  <c r="AA47" i="142" s="1"/>
  <c r="AE47" i="143"/>
  <c r="AE46" i="143"/>
  <c r="AE45" i="143"/>
  <c r="AA46" i="143"/>
  <c r="AA45" i="143"/>
  <c r="AA47" i="143" s="1"/>
  <c r="Y47" i="132"/>
  <c r="X47" i="132"/>
  <c r="Y46" i="132"/>
  <c r="X46" i="132"/>
  <c r="Y45" i="132"/>
  <c r="X45" i="132"/>
  <c r="Y46" i="131"/>
  <c r="X46" i="131"/>
  <c r="Y45" i="131"/>
  <c r="Y47" i="131" s="1"/>
  <c r="X45" i="131"/>
  <c r="X47" i="131" s="1"/>
  <c r="Y46" i="130"/>
  <c r="X46" i="130"/>
  <c r="Y45" i="130"/>
  <c r="Y47" i="130" s="1"/>
  <c r="X45" i="130"/>
  <c r="X47" i="130" s="1"/>
  <c r="Y47" i="127"/>
  <c r="X47" i="127"/>
  <c r="Y46" i="127"/>
  <c r="X46" i="127"/>
  <c r="Y45" i="127"/>
  <c r="X45" i="127"/>
  <c r="Y46" i="125"/>
  <c r="X46" i="125"/>
  <c r="Y45" i="125"/>
  <c r="Y47" i="125" s="1"/>
  <c r="X45" i="125"/>
  <c r="X47" i="125" s="1"/>
  <c r="Y47" i="120"/>
  <c r="X47" i="120"/>
  <c r="Y46" i="120"/>
  <c r="X46" i="120"/>
  <c r="Y45" i="120"/>
  <c r="X45" i="120"/>
  <c r="Z45" i="120"/>
  <c r="Z46" i="120"/>
  <c r="Y47" i="134"/>
  <c r="X47" i="134"/>
  <c r="Y46" i="134"/>
  <c r="X46" i="134"/>
  <c r="Y45" i="134"/>
  <c r="X45" i="134"/>
  <c r="Y46" i="135"/>
  <c r="X46" i="135"/>
  <c r="Y45" i="135"/>
  <c r="Y47" i="135" s="1"/>
  <c r="X45" i="135"/>
  <c r="X47" i="135" s="1"/>
  <c r="Y46" i="136"/>
  <c r="X46" i="136"/>
  <c r="Y45" i="136"/>
  <c r="Y47" i="136" s="1"/>
  <c r="X45" i="136"/>
  <c r="X47" i="136" s="1"/>
  <c r="X46" i="138"/>
  <c r="X45" i="138"/>
  <c r="X47" i="138" s="1"/>
  <c r="Y47" i="138"/>
  <c r="Y46" i="138"/>
  <c r="Y45" i="138"/>
  <c r="Y47" i="140"/>
  <c r="X47" i="140"/>
  <c r="Y46" i="140"/>
  <c r="X46" i="140"/>
  <c r="Y45" i="140"/>
  <c r="X45" i="140"/>
  <c r="Y46" i="141"/>
  <c r="X46" i="141"/>
  <c r="Y45" i="141"/>
  <c r="Y47" i="141" s="1"/>
  <c r="X45" i="141"/>
  <c r="X47" i="141" s="1"/>
  <c r="Y47" i="142"/>
  <c r="Y46" i="142"/>
  <c r="X46" i="142"/>
  <c r="Y45" i="142"/>
  <c r="X45" i="142"/>
  <c r="X47" i="142" s="1"/>
  <c r="Y46" i="143"/>
  <c r="Y47" i="143"/>
  <c r="Y45" i="143"/>
  <c r="X46" i="143"/>
  <c r="X45" i="143"/>
  <c r="X47" i="143" s="1"/>
  <c r="V45" i="132"/>
  <c r="V47" i="132" s="1"/>
  <c r="V46" i="132"/>
  <c r="V46" i="131"/>
  <c r="V45" i="131"/>
  <c r="V47" i="131" s="1"/>
  <c r="V46" i="130"/>
  <c r="V45" i="130"/>
  <c r="V47" i="130" s="1"/>
  <c r="V46" i="127"/>
  <c r="V45" i="127"/>
  <c r="V47" i="127" s="1"/>
  <c r="V46" i="125"/>
  <c r="V45" i="125"/>
  <c r="V47" i="125" s="1"/>
  <c r="V46" i="120"/>
  <c r="V45" i="120"/>
  <c r="V47" i="120" s="1"/>
  <c r="V47" i="134"/>
  <c r="V46" i="134"/>
  <c r="V45" i="134"/>
  <c r="V47" i="135"/>
  <c r="V46" i="135"/>
  <c r="V45" i="135"/>
  <c r="V47" i="136"/>
  <c r="V46" i="136"/>
  <c r="V45" i="136"/>
  <c r="V47" i="138"/>
  <c r="V46" i="138"/>
  <c r="V45" i="138"/>
  <c r="V46" i="140"/>
  <c r="V45" i="140"/>
  <c r="V47" i="140" s="1"/>
  <c r="V46" i="141"/>
  <c r="V45" i="141"/>
  <c r="V47" i="141" s="1"/>
  <c r="V46" i="142"/>
  <c r="V45" i="142"/>
  <c r="V47" i="142" s="1"/>
  <c r="V46" i="143"/>
  <c r="V45" i="143"/>
  <c r="V47" i="143" s="1"/>
  <c r="R46" i="132"/>
  <c r="R45" i="132"/>
  <c r="R47" i="132" s="1"/>
  <c r="R46" i="131"/>
  <c r="R45" i="131"/>
  <c r="R47" i="131" s="1"/>
  <c r="R46" i="130"/>
  <c r="R45" i="130"/>
  <c r="R47" i="130" s="1"/>
  <c r="R46" i="127"/>
  <c r="R45" i="127"/>
  <c r="R47" i="127" s="1"/>
  <c r="R46" i="125"/>
  <c r="R45" i="125"/>
  <c r="R47" i="125" s="1"/>
  <c r="R46" i="120"/>
  <c r="R45" i="120"/>
  <c r="R47" i="120" s="1"/>
  <c r="R47" i="134"/>
  <c r="R46" i="134"/>
  <c r="R45" i="134"/>
  <c r="R46" i="135"/>
  <c r="R45" i="135"/>
  <c r="R47" i="135" s="1"/>
  <c r="R47" i="136"/>
  <c r="R46" i="136"/>
  <c r="R45" i="136"/>
  <c r="R47" i="138"/>
  <c r="R46" i="138"/>
  <c r="R45" i="138"/>
  <c r="R46" i="140"/>
  <c r="R45" i="140"/>
  <c r="R47" i="140" s="1"/>
  <c r="R46" i="141"/>
  <c r="R45" i="141"/>
  <c r="R47" i="141" s="1"/>
  <c r="R46" i="142"/>
  <c r="R45" i="142"/>
  <c r="R47" i="142" s="1"/>
  <c r="R46" i="143"/>
  <c r="R45" i="143"/>
  <c r="R47" i="143" s="1"/>
  <c r="P46" i="132"/>
  <c r="P45" i="132"/>
  <c r="P47" i="132" s="1"/>
  <c r="P47" i="131"/>
  <c r="P46" i="131"/>
  <c r="P45" i="131"/>
  <c r="P46" i="130"/>
  <c r="P45" i="130"/>
  <c r="P47" i="130" s="1"/>
  <c r="P46" i="127"/>
  <c r="P45" i="127"/>
  <c r="P47" i="127" s="1"/>
  <c r="P46" i="125"/>
  <c r="P45" i="125"/>
  <c r="P47" i="125" s="1"/>
  <c r="P46" i="120"/>
  <c r="P45" i="120"/>
  <c r="P47" i="120" s="1"/>
  <c r="P47" i="134"/>
  <c r="P46" i="134"/>
  <c r="P45" i="134"/>
  <c r="P46" i="135"/>
  <c r="P47" i="135"/>
  <c r="P45" i="135"/>
  <c r="P46" i="136"/>
  <c r="P45" i="136"/>
  <c r="P47" i="136" s="1"/>
  <c r="P46" i="138"/>
  <c r="P45" i="138"/>
  <c r="P47" i="138" s="1"/>
  <c r="P46" i="140"/>
  <c r="P45" i="140"/>
  <c r="P47" i="140" s="1"/>
  <c r="P46" i="141"/>
  <c r="P45" i="141"/>
  <c r="P47" i="141" s="1"/>
  <c r="P46" i="142"/>
  <c r="P45" i="142"/>
  <c r="P47" i="142" s="1"/>
  <c r="P46" i="143"/>
  <c r="P45" i="143"/>
  <c r="P47" i="143" s="1"/>
  <c r="AE47" i="144"/>
  <c r="Y47" i="144"/>
  <c r="AA47" i="144"/>
  <c r="AA46" i="144"/>
  <c r="AA45" i="144"/>
  <c r="Y46" i="144"/>
  <c r="Y45" i="144"/>
  <c r="X47" i="144"/>
  <c r="X46" i="144"/>
  <c r="X45" i="144"/>
  <c r="V46" i="144"/>
  <c r="V45" i="144"/>
  <c r="V47" i="144" s="1"/>
  <c r="R46" i="144"/>
  <c r="R45" i="144"/>
  <c r="R47" i="144" s="1"/>
  <c r="P46" i="144"/>
  <c r="P45" i="144"/>
  <c r="P47" i="144" s="1"/>
  <c r="AE46" i="144"/>
  <c r="AE45" i="144"/>
  <c r="V49" i="144"/>
  <c r="Y36" i="144"/>
  <c r="P50" i="144"/>
  <c r="BK47" i="144"/>
  <c r="CA47" i="144"/>
  <c r="P100" i="144"/>
  <c r="S107" i="145" l="1"/>
  <c r="AL107" i="145"/>
  <c r="F107" i="145"/>
  <c r="AS107" i="145"/>
  <c r="O107" i="145"/>
  <c r="AG107" i="145"/>
  <c r="Y107" i="145"/>
  <c r="AR107" i="145"/>
  <c r="AC107" i="145"/>
  <c r="AH107" i="145"/>
  <c r="U107" i="145"/>
  <c r="AP107" i="145"/>
  <c r="X107" i="145"/>
  <c r="N107" i="145"/>
  <c r="AA107" i="145"/>
  <c r="M107" i="145"/>
  <c r="AN107" i="145"/>
  <c r="AJ107" i="145"/>
  <c r="AB107" i="145"/>
  <c r="AF107" i="145"/>
  <c r="Z107" i="145"/>
  <c r="T107" i="145"/>
  <c r="L107" i="145"/>
  <c r="G107" i="145"/>
  <c r="P107" i="145"/>
  <c r="R107" i="145"/>
  <c r="V107" i="145"/>
  <c r="K53" i="144"/>
  <c r="AT84" i="144"/>
  <c r="AU84" i="144"/>
  <c r="AV84" i="144"/>
  <c r="AW84" i="144"/>
  <c r="AX84" i="144"/>
  <c r="AY84" i="144"/>
  <c r="AZ84" i="144"/>
  <c r="BA84" i="144"/>
  <c r="BB84" i="144"/>
  <c r="BC84" i="144"/>
  <c r="BD84" i="144"/>
  <c r="BE84" i="144"/>
  <c r="BF84" i="144"/>
  <c r="BG84" i="144"/>
  <c r="BH84" i="144"/>
  <c r="BI84" i="144"/>
  <c r="BJ84" i="144"/>
  <c r="BK84" i="144"/>
  <c r="BL84" i="144"/>
  <c r="BM84" i="144"/>
  <c r="BN84" i="144"/>
  <c r="BO84" i="144"/>
  <c r="BP84" i="144"/>
  <c r="BQ84" i="144"/>
  <c r="BR84" i="144"/>
  <c r="BS84" i="144"/>
  <c r="BT84" i="144"/>
  <c r="BU84" i="144"/>
  <c r="BV84" i="144"/>
  <c r="BW84" i="144"/>
  <c r="BX84" i="144"/>
  <c r="BY84" i="144"/>
  <c r="BZ84" i="144"/>
  <c r="CA84" i="144"/>
  <c r="CB84" i="144"/>
  <c r="CC84" i="144"/>
  <c r="CD84" i="144"/>
  <c r="CE84" i="144"/>
  <c r="CF84" i="144"/>
  <c r="CG84" i="144"/>
  <c r="CH84" i="144"/>
  <c r="CI84" i="144"/>
  <c r="CJ84" i="144"/>
  <c r="CK84" i="144"/>
  <c r="CL84" i="144"/>
  <c r="AT127" i="144"/>
  <c r="AU127" i="144"/>
  <c r="AV127" i="144"/>
  <c r="AW127" i="144"/>
  <c r="AX127" i="144"/>
  <c r="AY127" i="144"/>
  <c r="AZ127" i="144"/>
  <c r="BA127" i="144"/>
  <c r="BB127" i="144"/>
  <c r="BC127" i="144"/>
  <c r="BD127" i="144"/>
  <c r="BE127" i="144"/>
  <c r="BF127" i="144"/>
  <c r="BG127" i="144"/>
  <c r="BH127" i="144"/>
  <c r="BI127" i="144"/>
  <c r="BJ127" i="144"/>
  <c r="BK127" i="144"/>
  <c r="BL127" i="144"/>
  <c r="BM127" i="144"/>
  <c r="BN127" i="144"/>
  <c r="BO127" i="144"/>
  <c r="BP127" i="144"/>
  <c r="BQ127" i="144"/>
  <c r="BR127" i="144"/>
  <c r="BS127" i="144"/>
  <c r="BT127" i="144"/>
  <c r="BU127" i="144"/>
  <c r="BV127" i="144"/>
  <c r="BW127" i="144"/>
  <c r="BX127" i="144"/>
  <c r="BY127" i="144"/>
  <c r="BZ127" i="144"/>
  <c r="CA127" i="144"/>
  <c r="CB127" i="144"/>
  <c r="CC127" i="144"/>
  <c r="CD127" i="144"/>
  <c r="CE127" i="144"/>
  <c r="CF127" i="144"/>
  <c r="CG127" i="144"/>
  <c r="CH127" i="144"/>
  <c r="CI127" i="144"/>
  <c r="CJ127" i="144"/>
  <c r="CK127" i="144"/>
  <c r="CL127" i="144"/>
  <c r="CL80" i="143"/>
  <c r="I70" i="144" l="1"/>
  <c r="H70" i="144"/>
  <c r="G70" i="144"/>
  <c r="F70" i="144"/>
  <c r="A67" i="144" l="1"/>
  <c r="A68" i="144"/>
  <c r="K67" i="143" l="1"/>
  <c r="A136" i="144" l="1"/>
  <c r="A137" i="144"/>
  <c r="A66" i="144"/>
  <c r="A66" i="133"/>
  <c r="A67" i="133"/>
  <c r="A68" i="133"/>
  <c r="A69" i="133"/>
  <c r="A70" i="133"/>
  <c r="A71" i="133"/>
  <c r="A15" i="133"/>
  <c r="A16" i="133"/>
  <c r="A17" i="133"/>
  <c r="A18" i="133"/>
  <c r="A19" i="133"/>
  <c r="A20" i="133"/>
  <c r="A21" i="133"/>
  <c r="A22" i="133"/>
  <c r="A69" i="144"/>
  <c r="A70" i="144"/>
  <c r="A71" i="144"/>
  <c r="A72" i="144"/>
  <c r="A73" i="144"/>
  <c r="A74" i="144"/>
  <c r="A75" i="144"/>
  <c r="A76" i="144"/>
  <c r="A77" i="144"/>
  <c r="A78" i="144"/>
  <c r="AT12" i="144"/>
  <c r="AT14" i="144"/>
  <c r="AT30" i="144"/>
  <c r="AT31" i="144"/>
  <c r="AT33" i="144"/>
  <c r="AT44" i="144"/>
  <c r="T66" i="137" l="1"/>
  <c r="CL12" i="144"/>
  <c r="CK12" i="144"/>
  <c r="CJ12" i="144"/>
  <c r="AN12" i="144" s="1"/>
  <c r="CI12" i="144"/>
  <c r="AR12" i="144" s="1"/>
  <c r="CH12" i="144"/>
  <c r="AM12" i="144" s="1"/>
  <c r="CG12" i="144"/>
  <c r="CF12" i="144"/>
  <c r="CE12" i="144"/>
  <c r="AL12" i="144" s="1"/>
  <c r="CD12" i="144"/>
  <c r="AP12" i="144" s="1"/>
  <c r="CC12" i="144"/>
  <c r="CB12" i="144"/>
  <c r="AK12" i="144" s="1"/>
  <c r="CA12" i="144"/>
  <c r="AF12" i="144" s="1"/>
  <c r="BZ12" i="144"/>
  <c r="AH12" i="144" s="1"/>
  <c r="BY12" i="144"/>
  <c r="AJ12" i="144" s="1"/>
  <c r="BX12" i="144"/>
  <c r="AC12" i="144" s="1"/>
  <c r="BW12" i="144"/>
  <c r="AI12" i="144" s="1"/>
  <c r="BV12" i="144"/>
  <c r="AG12" i="144" s="1"/>
  <c r="BU12" i="144"/>
  <c r="AD12" i="144" s="1"/>
  <c r="BT12" i="144"/>
  <c r="BS12" i="144"/>
  <c r="BR12" i="144"/>
  <c r="W12" i="144" s="1"/>
  <c r="BQ12" i="144"/>
  <c r="BP12" i="144"/>
  <c r="AB12" i="144" s="1"/>
  <c r="BO12" i="144"/>
  <c r="BN12" i="144"/>
  <c r="BM12" i="144"/>
  <c r="Z12" i="144" s="1"/>
  <c r="BL12" i="144"/>
  <c r="BK12" i="144"/>
  <c r="BJ12" i="144"/>
  <c r="BI12" i="144"/>
  <c r="BH12" i="144"/>
  <c r="BG12" i="144"/>
  <c r="BF12" i="144"/>
  <c r="K12" i="144" s="1"/>
  <c r="BE12" i="144"/>
  <c r="O12" i="144" s="1"/>
  <c r="BD12" i="144"/>
  <c r="M12" i="144" s="1"/>
  <c r="BC12" i="144"/>
  <c r="U12" i="144" s="1"/>
  <c r="BB12" i="144"/>
  <c r="T12" i="144" s="1"/>
  <c r="BA12" i="144"/>
  <c r="AZ12" i="144"/>
  <c r="AY12" i="144"/>
  <c r="L12" i="144" s="1"/>
  <c r="AX12" i="144"/>
  <c r="AW12" i="144"/>
  <c r="N12" i="144" s="1"/>
  <c r="AV12" i="144"/>
  <c r="S12" i="144" s="1"/>
  <c r="AU12" i="144"/>
  <c r="Q12" i="144"/>
  <c r="P12" i="144"/>
  <c r="G18" i="124"/>
  <c r="AQ12" i="144" l="1"/>
  <c r="AS12" i="144"/>
  <c r="V12" i="144"/>
  <c r="X12" i="144"/>
  <c r="H12" i="144"/>
  <c r="Y12" i="144"/>
  <c r="AA12" i="144"/>
  <c r="AE12" i="144"/>
  <c r="G12" i="144"/>
  <c r="I12" i="144"/>
  <c r="R12" i="144"/>
  <c r="F12" i="144"/>
  <c r="AO12" i="144"/>
  <c r="AU53" i="144" l="1"/>
  <c r="F47" i="144" l="1"/>
  <c r="AT54" i="144"/>
  <c r="AT107" i="144" s="1"/>
  <c r="AT67" i="144"/>
  <c r="AT71" i="144"/>
  <c r="AT82" i="144"/>
  <c r="Q41" i="144" l="1"/>
  <c r="P41" i="144"/>
  <c r="Q36" i="144"/>
  <c r="Q37" i="144"/>
  <c r="Q38" i="144"/>
  <c r="Q39" i="144"/>
  <c r="Q35" i="144"/>
  <c r="P36" i="144"/>
  <c r="P37" i="144"/>
  <c r="P38" i="144"/>
  <c r="P39" i="144"/>
  <c r="P35" i="144"/>
  <c r="G16" i="122" l="1"/>
  <c r="G39" i="122"/>
  <c r="R20" i="144"/>
  <c r="Q20" i="144"/>
  <c r="P20" i="144"/>
  <c r="I21" i="144"/>
  <c r="H21" i="144"/>
  <c r="G21" i="144"/>
  <c r="F21" i="144"/>
  <c r="Z32" i="144" l="1"/>
  <c r="Q32" i="144"/>
  <c r="Q24" i="144" l="1"/>
  <c r="Q25" i="144"/>
  <c r="Q26" i="144"/>
  <c r="Q27" i="144"/>
  <c r="Q28" i="144"/>
  <c r="Q29" i="144"/>
  <c r="Q23" i="144"/>
  <c r="P29" i="144"/>
  <c r="P28" i="144"/>
  <c r="P27" i="144"/>
  <c r="P26" i="144"/>
  <c r="P25" i="144"/>
  <c r="P24" i="144"/>
  <c r="P23" i="144"/>
  <c r="F30" i="144"/>
  <c r="BI30" i="144"/>
  <c r="BK30" i="144"/>
  <c r="BO30" i="144"/>
  <c r="BP30" i="144"/>
  <c r="BQ30" i="144"/>
  <c r="BS30" i="144"/>
  <c r="BY30" i="144"/>
  <c r="CA30" i="144"/>
  <c r="CE30" i="144"/>
  <c r="CF30" i="144"/>
  <c r="CG30" i="144"/>
  <c r="CI30" i="144"/>
  <c r="AY30" i="144"/>
  <c r="AZ30" i="144"/>
  <c r="BA30" i="144"/>
  <c r="BB30" i="144"/>
  <c r="BH30" i="144"/>
  <c r="BJ30" i="144"/>
  <c r="BR30" i="144"/>
  <c r="BX30" i="144"/>
  <c r="BZ30" i="144"/>
  <c r="CH30" i="144"/>
  <c r="AU30" i="144"/>
  <c r="Q30" i="144" s="1"/>
  <c r="AV30" i="144"/>
  <c r="AW30" i="144"/>
  <c r="AX30" i="144"/>
  <c r="BC30" i="144"/>
  <c r="BD30" i="144"/>
  <c r="BE30" i="144"/>
  <c r="BF30" i="144"/>
  <c r="BG30" i="144"/>
  <c r="BL30" i="144"/>
  <c r="BM30" i="144"/>
  <c r="Z30" i="144" s="1"/>
  <c r="BN30" i="144"/>
  <c r="BT30" i="144"/>
  <c r="BU30" i="144"/>
  <c r="BV30" i="144"/>
  <c r="BW30" i="144"/>
  <c r="CB30" i="144"/>
  <c r="CC30" i="144"/>
  <c r="CD30" i="144"/>
  <c r="CJ30" i="144"/>
  <c r="CK30" i="144"/>
  <c r="CL30" i="144"/>
  <c r="P61" i="144" l="1"/>
  <c r="P60" i="144"/>
  <c r="AA61" i="144"/>
  <c r="Q57" i="144"/>
  <c r="Q58" i="144"/>
  <c r="Q59" i="144"/>
  <c r="Q60" i="144"/>
  <c r="Q61" i="144"/>
  <c r="Q62" i="144"/>
  <c r="Q63" i="144"/>
  <c r="Q56" i="144"/>
  <c r="P62" i="144"/>
  <c r="P63" i="144"/>
  <c r="P59" i="144"/>
  <c r="P58" i="144"/>
  <c r="P57" i="144"/>
  <c r="P56" i="144"/>
  <c r="K58" i="144"/>
  <c r="L58" i="144"/>
  <c r="M58" i="144"/>
  <c r="N58" i="144"/>
  <c r="O58" i="144"/>
  <c r="R58" i="144"/>
  <c r="S58" i="144"/>
  <c r="T58" i="144"/>
  <c r="U58" i="144"/>
  <c r="V58" i="144"/>
  <c r="W58" i="144"/>
  <c r="X58" i="144"/>
  <c r="Y58" i="144"/>
  <c r="Z58" i="144"/>
  <c r="AA58" i="144"/>
  <c r="AB58" i="144"/>
  <c r="AC58" i="144"/>
  <c r="AD58" i="144"/>
  <c r="AE58" i="144"/>
  <c r="AF58" i="144"/>
  <c r="AG58" i="144"/>
  <c r="K59" i="144"/>
  <c r="L59" i="144"/>
  <c r="M59" i="144"/>
  <c r="N59" i="144"/>
  <c r="O59" i="144"/>
  <c r="R59" i="144"/>
  <c r="S59" i="144"/>
  <c r="T59" i="144"/>
  <c r="U59" i="144"/>
  <c r="V59" i="144"/>
  <c r="W59" i="144"/>
  <c r="X59" i="144"/>
  <c r="Y59" i="144"/>
  <c r="Z59" i="144"/>
  <c r="AA59" i="144"/>
  <c r="AB59" i="144"/>
  <c r="AC59" i="144"/>
  <c r="AD59" i="144"/>
  <c r="AE59" i="144"/>
  <c r="AF59" i="144"/>
  <c r="AG59" i="144"/>
  <c r="F100" i="144"/>
  <c r="I100" i="144"/>
  <c r="H100" i="144"/>
  <c r="G100" i="144"/>
  <c r="Q100" i="144"/>
  <c r="Q13" i="144"/>
  <c r="I136" i="144"/>
  <c r="I137" i="144"/>
  <c r="H136" i="144"/>
  <c r="H137" i="144"/>
  <c r="G136" i="144"/>
  <c r="G137" i="144"/>
  <c r="F136" i="144"/>
  <c r="F137" i="144"/>
  <c r="AL136" i="144"/>
  <c r="AM136" i="144"/>
  <c r="AN136" i="144"/>
  <c r="AO136" i="144"/>
  <c r="AP136" i="144"/>
  <c r="AQ136" i="144"/>
  <c r="AR136" i="144"/>
  <c r="AS136" i="144"/>
  <c r="AL137" i="144"/>
  <c r="AM137" i="144"/>
  <c r="AN137" i="144"/>
  <c r="AO137" i="144"/>
  <c r="AP137" i="144"/>
  <c r="AQ137" i="144"/>
  <c r="AR137" i="144"/>
  <c r="AS137" i="144"/>
  <c r="AC136" i="144"/>
  <c r="AD136" i="144"/>
  <c r="AE136" i="144"/>
  <c r="AF136" i="144"/>
  <c r="AG136" i="144"/>
  <c r="AH136" i="144"/>
  <c r="AI136" i="144"/>
  <c r="AJ136" i="144"/>
  <c r="AK136" i="144"/>
  <c r="AC137" i="144"/>
  <c r="AD137" i="144"/>
  <c r="AE137" i="144"/>
  <c r="AF137" i="144"/>
  <c r="AG137" i="144"/>
  <c r="AH137" i="144"/>
  <c r="AI137" i="144"/>
  <c r="AJ137" i="144"/>
  <c r="AK137" i="144"/>
  <c r="V136" i="144"/>
  <c r="W136" i="144"/>
  <c r="X136" i="144"/>
  <c r="Y136" i="144"/>
  <c r="Z136" i="144"/>
  <c r="AA136" i="144"/>
  <c r="AB136" i="144"/>
  <c r="V137" i="144"/>
  <c r="W137" i="144"/>
  <c r="X137" i="144"/>
  <c r="Y137" i="144"/>
  <c r="Z137" i="144"/>
  <c r="AA137" i="144"/>
  <c r="AB137" i="144"/>
  <c r="U136" i="144"/>
  <c r="U137" i="144"/>
  <c r="T136" i="144"/>
  <c r="T137" i="144"/>
  <c r="S136" i="144"/>
  <c r="S137" i="144"/>
  <c r="R136" i="144"/>
  <c r="R137" i="144"/>
  <c r="Q136" i="144"/>
  <c r="Q137" i="144"/>
  <c r="P136" i="144"/>
  <c r="P137" i="144"/>
  <c r="O136" i="144"/>
  <c r="O137" i="144"/>
  <c r="N136" i="144"/>
  <c r="N137" i="144"/>
  <c r="M136" i="144"/>
  <c r="M137" i="144"/>
  <c r="L136" i="144"/>
  <c r="L137" i="144"/>
  <c r="K136" i="144"/>
  <c r="K137" i="144"/>
  <c r="F65" i="144"/>
  <c r="G65" i="144"/>
  <c r="H65" i="144"/>
  <c r="I65" i="144"/>
  <c r="K65" i="144"/>
  <c r="L65" i="144"/>
  <c r="M65" i="144"/>
  <c r="N65" i="144"/>
  <c r="O65" i="144"/>
  <c r="P65" i="144"/>
  <c r="Q65" i="144"/>
  <c r="R65" i="144"/>
  <c r="S65" i="144"/>
  <c r="T65" i="144"/>
  <c r="U65" i="144"/>
  <c r="V65" i="144"/>
  <c r="W65" i="144"/>
  <c r="X65" i="144"/>
  <c r="Y65" i="144"/>
  <c r="Z65" i="144"/>
  <c r="AA65" i="144"/>
  <c r="AB65" i="144"/>
  <c r="AC65" i="144"/>
  <c r="AD65" i="144"/>
  <c r="AE65" i="144"/>
  <c r="AF65" i="144"/>
  <c r="AG65" i="144"/>
  <c r="AH65" i="144"/>
  <c r="F8" i="144" l="1"/>
  <c r="G8" i="144"/>
  <c r="H8" i="144"/>
  <c r="I8" i="144"/>
  <c r="K8" i="144"/>
  <c r="L8" i="144"/>
  <c r="M8" i="144"/>
  <c r="N8" i="144"/>
  <c r="O8" i="144"/>
  <c r="P8" i="144"/>
  <c r="Q8" i="144"/>
  <c r="R8" i="144"/>
  <c r="S8" i="144"/>
  <c r="T8" i="144"/>
  <c r="U8" i="144"/>
  <c r="V8" i="144"/>
  <c r="W8" i="144"/>
  <c r="X8" i="144"/>
  <c r="Y8" i="144"/>
  <c r="Z8" i="144"/>
  <c r="AA8" i="144"/>
  <c r="AB8" i="144"/>
  <c r="AC8" i="144"/>
  <c r="AD8" i="144"/>
  <c r="AE8" i="144"/>
  <c r="AF8" i="144"/>
  <c r="AG8" i="144"/>
  <c r="AH8" i="144"/>
  <c r="AI8" i="144"/>
  <c r="F7" i="144"/>
  <c r="G7" i="144"/>
  <c r="H7" i="144"/>
  <c r="I7" i="144"/>
  <c r="K7" i="144"/>
  <c r="L7" i="144"/>
  <c r="M7" i="144"/>
  <c r="N7" i="144"/>
  <c r="O7" i="144"/>
  <c r="P7" i="144"/>
  <c r="Q7" i="144"/>
  <c r="R7" i="144"/>
  <c r="S7" i="144"/>
  <c r="T7" i="144"/>
  <c r="U7" i="144"/>
  <c r="V7" i="144"/>
  <c r="W7" i="144"/>
  <c r="X7" i="144"/>
  <c r="Y7" i="144"/>
  <c r="Z7" i="144"/>
  <c r="AS126" i="144"/>
  <c r="AR126" i="144"/>
  <c r="AQ126" i="144"/>
  <c r="AP126" i="144"/>
  <c r="AO126" i="144"/>
  <c r="AN126" i="144"/>
  <c r="AM126" i="144"/>
  <c r="AL126" i="144"/>
  <c r="AK126" i="144"/>
  <c r="AJ126" i="144"/>
  <c r="AI126" i="144"/>
  <c r="AH126" i="144"/>
  <c r="AG126" i="144"/>
  <c r="AF126" i="144"/>
  <c r="AE126" i="144"/>
  <c r="AD126" i="144"/>
  <c r="AC126" i="144"/>
  <c r="AB126" i="144"/>
  <c r="AA126" i="144"/>
  <c r="Z126" i="144"/>
  <c r="Y126" i="144"/>
  <c r="X126" i="144"/>
  <c r="W126" i="144"/>
  <c r="V126" i="144"/>
  <c r="U126" i="144"/>
  <c r="T126" i="144"/>
  <c r="S126" i="144"/>
  <c r="R126" i="144"/>
  <c r="Q126" i="144"/>
  <c r="P126" i="144"/>
  <c r="O126" i="144"/>
  <c r="N126" i="144"/>
  <c r="M126" i="144"/>
  <c r="L126" i="144"/>
  <c r="K126" i="144"/>
  <c r="I126" i="144"/>
  <c r="I127" i="144" s="1"/>
  <c r="H126" i="144"/>
  <c r="H127" i="144" s="1"/>
  <c r="G126" i="144"/>
  <c r="G127" i="144" s="1"/>
  <c r="F126" i="144"/>
  <c r="F127" i="144" s="1"/>
  <c r="AS123" i="144"/>
  <c r="AR123" i="144"/>
  <c r="AQ123" i="144"/>
  <c r="AP123" i="144"/>
  <c r="AO123" i="144"/>
  <c r="AN123" i="144"/>
  <c r="AM123" i="144"/>
  <c r="AL123" i="144"/>
  <c r="AK123" i="144"/>
  <c r="AJ123" i="144"/>
  <c r="AI123" i="144"/>
  <c r="AH123" i="144"/>
  <c r="AG123" i="144"/>
  <c r="AF123" i="144"/>
  <c r="AE123" i="144"/>
  <c r="AD123" i="144"/>
  <c r="AC123" i="144"/>
  <c r="AB123" i="144"/>
  <c r="AA123" i="144"/>
  <c r="Z123" i="144"/>
  <c r="Y123" i="144"/>
  <c r="X123" i="144"/>
  <c r="W123" i="144"/>
  <c r="V123" i="144"/>
  <c r="U123" i="144"/>
  <c r="T123" i="144"/>
  <c r="S123" i="144"/>
  <c r="R123" i="144"/>
  <c r="Q123" i="144"/>
  <c r="P123" i="144"/>
  <c r="O123" i="144"/>
  <c r="N123" i="144"/>
  <c r="M123" i="144"/>
  <c r="L123" i="144"/>
  <c r="K123" i="144"/>
  <c r="AS118" i="144"/>
  <c r="AR118" i="144"/>
  <c r="AQ118" i="144"/>
  <c r="AP118" i="144"/>
  <c r="AO118" i="144"/>
  <c r="AN118" i="144"/>
  <c r="AM118" i="144"/>
  <c r="AL118" i="144"/>
  <c r="AK118" i="144"/>
  <c r="AJ118" i="144"/>
  <c r="AI118" i="144"/>
  <c r="AH118" i="144"/>
  <c r="AG118" i="144"/>
  <c r="AF118" i="144"/>
  <c r="AE118" i="144"/>
  <c r="AD118" i="144"/>
  <c r="AC118" i="144"/>
  <c r="AB118" i="144"/>
  <c r="AA118" i="144"/>
  <c r="Z118" i="144"/>
  <c r="Y118" i="144"/>
  <c r="X118" i="144"/>
  <c r="W118" i="144"/>
  <c r="V118" i="144"/>
  <c r="U118" i="144"/>
  <c r="T118" i="144"/>
  <c r="S118" i="144"/>
  <c r="R118" i="144"/>
  <c r="Q118" i="144"/>
  <c r="P118" i="144"/>
  <c r="P21" i="144" s="1"/>
  <c r="O118" i="144"/>
  <c r="N118" i="144"/>
  <c r="M118" i="144"/>
  <c r="L118" i="144"/>
  <c r="K118" i="144"/>
  <c r="AS117" i="144"/>
  <c r="AR117" i="144"/>
  <c r="AQ117" i="144"/>
  <c r="AP117" i="144"/>
  <c r="AO117" i="144"/>
  <c r="AN117" i="144"/>
  <c r="AM117" i="144"/>
  <c r="AL117" i="144"/>
  <c r="AK117" i="144"/>
  <c r="AJ117" i="144"/>
  <c r="AI117" i="144"/>
  <c r="AH117" i="144"/>
  <c r="AG117" i="144"/>
  <c r="AF117" i="144"/>
  <c r="AE117" i="144"/>
  <c r="AD117" i="144"/>
  <c r="AC117" i="144"/>
  <c r="AB117" i="144"/>
  <c r="AA117" i="144"/>
  <c r="Z117" i="144"/>
  <c r="Y117" i="144"/>
  <c r="X117" i="144"/>
  <c r="W117" i="144"/>
  <c r="V117" i="144"/>
  <c r="U117" i="144"/>
  <c r="T117" i="144"/>
  <c r="S117" i="144"/>
  <c r="R117" i="144"/>
  <c r="Q117" i="144"/>
  <c r="P117" i="144"/>
  <c r="O117" i="144"/>
  <c r="N117" i="144"/>
  <c r="M117" i="144"/>
  <c r="L117" i="144"/>
  <c r="K117" i="144"/>
  <c r="J107" i="144"/>
  <c r="AS106" i="144"/>
  <c r="AR106" i="144"/>
  <c r="AQ106" i="144"/>
  <c r="AP106" i="144"/>
  <c r="AO106" i="144"/>
  <c r="AN106" i="144"/>
  <c r="AM106" i="144"/>
  <c r="AL106" i="144"/>
  <c r="AK106" i="144"/>
  <c r="AJ106" i="144"/>
  <c r="AI106" i="144"/>
  <c r="AH106" i="144"/>
  <c r="AG106" i="144"/>
  <c r="AF106" i="144"/>
  <c r="AE106" i="144"/>
  <c r="AD106" i="144"/>
  <c r="AC106" i="144"/>
  <c r="AB106" i="144"/>
  <c r="AA106" i="144"/>
  <c r="Z106" i="144"/>
  <c r="Y106" i="144"/>
  <c r="X106" i="144"/>
  <c r="W106" i="144"/>
  <c r="V106" i="144"/>
  <c r="U106" i="144"/>
  <c r="T106" i="144"/>
  <c r="S106" i="144"/>
  <c r="R106" i="144"/>
  <c r="Q106" i="144"/>
  <c r="P106" i="144"/>
  <c r="O106" i="144"/>
  <c r="N106" i="144"/>
  <c r="M106" i="144"/>
  <c r="L106" i="144"/>
  <c r="K106" i="144"/>
  <c r="A106" i="144"/>
  <c r="AS105" i="144"/>
  <c r="AR105" i="144"/>
  <c r="AQ105" i="144"/>
  <c r="AP105" i="144"/>
  <c r="AO105" i="144"/>
  <c r="AN105" i="144"/>
  <c r="AM105" i="144"/>
  <c r="AL105" i="144"/>
  <c r="AK105" i="144"/>
  <c r="AJ105" i="144"/>
  <c r="AI105" i="144"/>
  <c r="AH105" i="144"/>
  <c r="AG105" i="144"/>
  <c r="AF105" i="144"/>
  <c r="AE105" i="144"/>
  <c r="AD105" i="144"/>
  <c r="AC105" i="144"/>
  <c r="AB105" i="144"/>
  <c r="AA105" i="144"/>
  <c r="Z105" i="144"/>
  <c r="Y105" i="144"/>
  <c r="X105" i="144"/>
  <c r="W105" i="144"/>
  <c r="V105" i="144"/>
  <c r="U105" i="144"/>
  <c r="T105" i="144"/>
  <c r="S105" i="144"/>
  <c r="R105" i="144"/>
  <c r="Q105" i="144"/>
  <c r="P105" i="144"/>
  <c r="O105" i="144"/>
  <c r="N105" i="144"/>
  <c r="M105" i="144"/>
  <c r="L105" i="144"/>
  <c r="K105" i="144"/>
  <c r="A105" i="144"/>
  <c r="AS104" i="144"/>
  <c r="AR104" i="144"/>
  <c r="AQ104" i="144"/>
  <c r="AP104" i="144"/>
  <c r="AO104" i="144"/>
  <c r="AN104" i="144"/>
  <c r="AM104" i="144"/>
  <c r="AL104" i="144"/>
  <c r="AK104" i="144"/>
  <c r="AJ104" i="144"/>
  <c r="AI104" i="144"/>
  <c r="AH104" i="144"/>
  <c r="AG104" i="144"/>
  <c r="AF104" i="144"/>
  <c r="AE104" i="144"/>
  <c r="AD104" i="144"/>
  <c r="AC104" i="144"/>
  <c r="AB104" i="144"/>
  <c r="AA104" i="144"/>
  <c r="Z104" i="144"/>
  <c r="Y104" i="144"/>
  <c r="X104" i="144"/>
  <c r="W104" i="144"/>
  <c r="V104" i="144"/>
  <c r="U104" i="144"/>
  <c r="T104" i="144"/>
  <c r="S104" i="144"/>
  <c r="R104" i="144"/>
  <c r="Q104" i="144"/>
  <c r="P104" i="144"/>
  <c r="O104" i="144"/>
  <c r="N104" i="144"/>
  <c r="M104" i="144"/>
  <c r="L104" i="144"/>
  <c r="K104" i="144"/>
  <c r="A104" i="144"/>
  <c r="AS103" i="144"/>
  <c r="AR103" i="144"/>
  <c r="AQ103" i="144"/>
  <c r="AP103" i="144"/>
  <c r="AO103" i="144"/>
  <c r="AN103" i="144"/>
  <c r="AM103" i="144"/>
  <c r="AL103" i="144"/>
  <c r="AK103" i="144"/>
  <c r="AJ103" i="144"/>
  <c r="AI103" i="144"/>
  <c r="AH103" i="144"/>
  <c r="AG103" i="144"/>
  <c r="AF103" i="144"/>
  <c r="AE103" i="144"/>
  <c r="AD103" i="144"/>
  <c r="AC103" i="144"/>
  <c r="AB103" i="144"/>
  <c r="AA103" i="144"/>
  <c r="Z103" i="144"/>
  <c r="Y103" i="144"/>
  <c r="X103" i="144"/>
  <c r="W103" i="144"/>
  <c r="V103" i="144"/>
  <c r="U103" i="144"/>
  <c r="T103" i="144"/>
  <c r="S103" i="144"/>
  <c r="R103" i="144"/>
  <c r="Q103" i="144"/>
  <c r="P103" i="144"/>
  <c r="O103" i="144"/>
  <c r="N103" i="144"/>
  <c r="M103" i="144"/>
  <c r="L103" i="144"/>
  <c r="K103" i="144"/>
  <c r="A103" i="144"/>
  <c r="A102" i="144"/>
  <c r="A101" i="144"/>
  <c r="AS100" i="144"/>
  <c r="AR100" i="144"/>
  <c r="AQ100" i="144"/>
  <c r="AP100" i="144"/>
  <c r="AO100" i="144"/>
  <c r="AN100" i="144"/>
  <c r="AM100" i="144"/>
  <c r="AL100" i="144"/>
  <c r="AK100" i="144"/>
  <c r="AJ100" i="144"/>
  <c r="AI100" i="144"/>
  <c r="AH100" i="144"/>
  <c r="AG100" i="144"/>
  <c r="AF100" i="144"/>
  <c r="AE100" i="144"/>
  <c r="AD100" i="144"/>
  <c r="AC100" i="144"/>
  <c r="AB100" i="144"/>
  <c r="AA100" i="144"/>
  <c r="Z100" i="144"/>
  <c r="Y100" i="144"/>
  <c r="X100" i="144"/>
  <c r="W100" i="144"/>
  <c r="V100" i="144"/>
  <c r="U100" i="144"/>
  <c r="T100" i="144"/>
  <c r="S100" i="144"/>
  <c r="R100" i="144"/>
  <c r="O100" i="144"/>
  <c r="N100" i="144"/>
  <c r="M100" i="144"/>
  <c r="L100" i="144"/>
  <c r="K100" i="144"/>
  <c r="A100" i="144"/>
  <c r="A99" i="144"/>
  <c r="AS98" i="144"/>
  <c r="AR98" i="144"/>
  <c r="AQ98" i="144"/>
  <c r="AP98" i="144"/>
  <c r="AO98" i="144"/>
  <c r="AN98" i="144"/>
  <c r="AM98" i="144"/>
  <c r="AL98" i="144"/>
  <c r="AK98" i="144"/>
  <c r="AJ98" i="144"/>
  <c r="AI98" i="144"/>
  <c r="AH98" i="144"/>
  <c r="AG98" i="144"/>
  <c r="AF98" i="144"/>
  <c r="AE98" i="144"/>
  <c r="AD98" i="144"/>
  <c r="AC98" i="144"/>
  <c r="AB98" i="144"/>
  <c r="AA98" i="144"/>
  <c r="Z98" i="144"/>
  <c r="Y98" i="144"/>
  <c r="X98" i="144"/>
  <c r="W98" i="144"/>
  <c r="V98" i="144"/>
  <c r="U98" i="144"/>
  <c r="T98" i="144"/>
  <c r="S98" i="144"/>
  <c r="R98" i="144"/>
  <c r="Q98" i="144"/>
  <c r="P98" i="144"/>
  <c r="O98" i="144"/>
  <c r="N98" i="144"/>
  <c r="M98" i="144"/>
  <c r="L98" i="144"/>
  <c r="K98" i="144"/>
  <c r="C98" i="144"/>
  <c r="A98" i="144"/>
  <c r="AS97" i="144"/>
  <c r="AR97" i="144"/>
  <c r="AQ97" i="144"/>
  <c r="AP97" i="144"/>
  <c r="AO97" i="144"/>
  <c r="AN97" i="144"/>
  <c r="AM97" i="144"/>
  <c r="AL97" i="144"/>
  <c r="AK97" i="144"/>
  <c r="AJ97" i="144"/>
  <c r="AI97" i="144"/>
  <c r="AH97" i="144"/>
  <c r="AG97" i="144"/>
  <c r="AF97" i="144"/>
  <c r="AE97" i="144"/>
  <c r="AD97" i="144"/>
  <c r="AC97" i="144"/>
  <c r="AB97" i="144"/>
  <c r="AA97" i="144"/>
  <c r="Z97" i="144"/>
  <c r="Y97" i="144"/>
  <c r="X97" i="144"/>
  <c r="W97" i="144"/>
  <c r="V97" i="144"/>
  <c r="U97" i="144"/>
  <c r="T97" i="144"/>
  <c r="S97" i="144"/>
  <c r="R97" i="144"/>
  <c r="Q97" i="144"/>
  <c r="P97" i="144"/>
  <c r="O97" i="144"/>
  <c r="N97" i="144"/>
  <c r="M97" i="144"/>
  <c r="L97" i="144"/>
  <c r="K97" i="144"/>
  <c r="A97" i="144"/>
  <c r="AS96" i="144"/>
  <c r="AR96" i="144"/>
  <c r="AQ96" i="144"/>
  <c r="AP96" i="144"/>
  <c r="AO96" i="144"/>
  <c r="AN96" i="144"/>
  <c r="AM96" i="144"/>
  <c r="AL96" i="144"/>
  <c r="AK96" i="144"/>
  <c r="AJ96" i="144"/>
  <c r="AI96" i="144"/>
  <c r="AH96" i="144"/>
  <c r="AG96" i="144"/>
  <c r="AF96" i="144"/>
  <c r="AE96" i="144"/>
  <c r="AD96" i="144"/>
  <c r="AC96" i="144"/>
  <c r="AB96" i="144"/>
  <c r="AA96" i="144"/>
  <c r="Z96" i="144"/>
  <c r="Y96" i="144"/>
  <c r="X96" i="144"/>
  <c r="W96" i="144"/>
  <c r="V96" i="144"/>
  <c r="U96" i="144"/>
  <c r="T96" i="144"/>
  <c r="S96" i="144"/>
  <c r="R96" i="144"/>
  <c r="Q96" i="144"/>
  <c r="P96" i="144"/>
  <c r="O96" i="144"/>
  <c r="N96" i="144"/>
  <c r="M96" i="144"/>
  <c r="L96" i="144"/>
  <c r="K96" i="144"/>
  <c r="I96" i="144"/>
  <c r="H96" i="144"/>
  <c r="G96" i="144"/>
  <c r="F96" i="144"/>
  <c r="A96" i="144"/>
  <c r="AS95" i="144"/>
  <c r="AR95" i="144"/>
  <c r="AQ95" i="144"/>
  <c r="AP95" i="144"/>
  <c r="AO95" i="144"/>
  <c r="AN95" i="144"/>
  <c r="AM95" i="144"/>
  <c r="AL95" i="144"/>
  <c r="AK95" i="144"/>
  <c r="AJ95" i="144"/>
  <c r="AI95" i="144"/>
  <c r="AH95" i="144"/>
  <c r="AG95" i="144"/>
  <c r="AF95" i="144"/>
  <c r="AE95" i="144"/>
  <c r="AD95" i="144"/>
  <c r="AC95" i="144"/>
  <c r="AB95" i="144"/>
  <c r="AA95" i="144"/>
  <c r="Z95" i="144"/>
  <c r="Y95" i="144"/>
  <c r="X95" i="144"/>
  <c r="W95" i="144"/>
  <c r="V95" i="144"/>
  <c r="U95" i="144"/>
  <c r="T95" i="144"/>
  <c r="S95" i="144"/>
  <c r="R95" i="144"/>
  <c r="Q95" i="144"/>
  <c r="P95" i="144"/>
  <c r="O95" i="144"/>
  <c r="N95" i="144"/>
  <c r="M95" i="144"/>
  <c r="L95" i="144"/>
  <c r="K95" i="144"/>
  <c r="I95" i="144"/>
  <c r="H95" i="144"/>
  <c r="G95" i="144"/>
  <c r="F95" i="144"/>
  <c r="A95" i="144"/>
  <c r="A94" i="144"/>
  <c r="AR93" i="144"/>
  <c r="AQ93" i="144"/>
  <c r="AP93" i="144"/>
  <c r="AO93" i="144"/>
  <c r="AN93" i="144"/>
  <c r="AM93" i="144"/>
  <c r="AL93" i="144"/>
  <c r="AK93" i="144"/>
  <c r="AJ93" i="144"/>
  <c r="AI93" i="144"/>
  <c r="AH93" i="144"/>
  <c r="AG93" i="144"/>
  <c r="AF93" i="144"/>
  <c r="AD93" i="144"/>
  <c r="AC93" i="144"/>
  <c r="AB93" i="144"/>
  <c r="Z93" i="144"/>
  <c r="W93" i="144"/>
  <c r="U93" i="144"/>
  <c r="T93" i="144"/>
  <c r="S93" i="144"/>
  <c r="Q93" i="144"/>
  <c r="O93" i="144"/>
  <c r="N93" i="144"/>
  <c r="M93" i="144"/>
  <c r="L93" i="144"/>
  <c r="K93" i="144"/>
  <c r="A93" i="144"/>
  <c r="AS92" i="144"/>
  <c r="AR92" i="144"/>
  <c r="AQ92" i="144"/>
  <c r="AP92" i="144"/>
  <c r="AO92" i="144"/>
  <c r="AN92" i="144"/>
  <c r="AM92" i="144"/>
  <c r="AL92" i="144"/>
  <c r="AK92" i="144"/>
  <c r="AJ92" i="144"/>
  <c r="AI92" i="144"/>
  <c r="AH92" i="144"/>
  <c r="AG92" i="144"/>
  <c r="AF92" i="144"/>
  <c r="AE92" i="144"/>
  <c r="AD92" i="144"/>
  <c r="AC92" i="144"/>
  <c r="AB92" i="144"/>
  <c r="AA92" i="144"/>
  <c r="Z92" i="144"/>
  <c r="Y92" i="144"/>
  <c r="X92" i="144"/>
  <c r="W92" i="144"/>
  <c r="V92" i="144"/>
  <c r="U92" i="144"/>
  <c r="T92" i="144"/>
  <c r="S92" i="144"/>
  <c r="R92" i="144"/>
  <c r="Q92" i="144"/>
  <c r="P92" i="144"/>
  <c r="O92" i="144"/>
  <c r="N92" i="144"/>
  <c r="M92" i="144"/>
  <c r="L92" i="144"/>
  <c r="K92" i="144"/>
  <c r="A92" i="144"/>
  <c r="AS91" i="144"/>
  <c r="AR91" i="144"/>
  <c r="AQ91" i="144"/>
  <c r="AP91" i="144"/>
  <c r="AO91" i="144"/>
  <c r="AN91" i="144"/>
  <c r="AM91" i="144"/>
  <c r="AL91" i="144"/>
  <c r="AK91" i="144"/>
  <c r="AJ91" i="144"/>
  <c r="AI91" i="144"/>
  <c r="AH91" i="144"/>
  <c r="AG91" i="144"/>
  <c r="AF91" i="144"/>
  <c r="AE91" i="144"/>
  <c r="AD91" i="144"/>
  <c r="AC91" i="144"/>
  <c r="AB91" i="144"/>
  <c r="AA91" i="144"/>
  <c r="Z91" i="144"/>
  <c r="Y91" i="144"/>
  <c r="X91" i="144"/>
  <c r="W91" i="144"/>
  <c r="V91" i="144"/>
  <c r="U91" i="144"/>
  <c r="T91" i="144"/>
  <c r="S91" i="144"/>
  <c r="R91" i="144"/>
  <c r="Q91" i="144"/>
  <c r="P91" i="144"/>
  <c r="O91" i="144"/>
  <c r="N91" i="144"/>
  <c r="M91" i="144"/>
  <c r="L91" i="144"/>
  <c r="K91" i="144"/>
  <c r="A91" i="144"/>
  <c r="AS90" i="144"/>
  <c r="AR90" i="144"/>
  <c r="AQ90" i="144"/>
  <c r="AP90" i="144"/>
  <c r="AO90" i="144"/>
  <c r="AN90" i="144"/>
  <c r="AM90" i="144"/>
  <c r="AL90" i="144"/>
  <c r="AK90" i="144"/>
  <c r="AJ90" i="144"/>
  <c r="AI90" i="144"/>
  <c r="AH90" i="144"/>
  <c r="AG90" i="144"/>
  <c r="AF90" i="144"/>
  <c r="AE90" i="144"/>
  <c r="AD90" i="144"/>
  <c r="AC90" i="144"/>
  <c r="AB90" i="144"/>
  <c r="AA90" i="144"/>
  <c r="Z90" i="144"/>
  <c r="Y90" i="144"/>
  <c r="X90" i="144"/>
  <c r="W90" i="144"/>
  <c r="V90" i="144"/>
  <c r="U90" i="144"/>
  <c r="T90" i="144"/>
  <c r="S90" i="144"/>
  <c r="R90" i="144"/>
  <c r="Q90" i="144"/>
  <c r="P90" i="144"/>
  <c r="O90" i="144"/>
  <c r="N90" i="144"/>
  <c r="M90" i="144"/>
  <c r="L90" i="144"/>
  <c r="K90" i="144"/>
  <c r="A90" i="144"/>
  <c r="AS89" i="144"/>
  <c r="AR89" i="144"/>
  <c r="AQ89" i="144"/>
  <c r="AP89" i="144"/>
  <c r="AO89" i="144"/>
  <c r="AN89" i="144"/>
  <c r="AM89" i="144"/>
  <c r="AL89" i="144"/>
  <c r="AK89" i="144"/>
  <c r="AJ89" i="144"/>
  <c r="AI89" i="144"/>
  <c r="AH89" i="144"/>
  <c r="AG89" i="144"/>
  <c r="AF89" i="144"/>
  <c r="AE89" i="144"/>
  <c r="AD89" i="144"/>
  <c r="AC89" i="144"/>
  <c r="AB89" i="144"/>
  <c r="AA89" i="144"/>
  <c r="Z89" i="144"/>
  <c r="Y89" i="144"/>
  <c r="X89" i="144"/>
  <c r="W89" i="144"/>
  <c r="V89" i="144"/>
  <c r="U89" i="144"/>
  <c r="T89" i="144"/>
  <c r="S89" i="144"/>
  <c r="R89" i="144"/>
  <c r="Q89" i="144"/>
  <c r="P89" i="144"/>
  <c r="O89" i="144"/>
  <c r="N89" i="144"/>
  <c r="M89" i="144"/>
  <c r="L89" i="144"/>
  <c r="K89" i="144"/>
  <c r="A89" i="144"/>
  <c r="A88" i="144"/>
  <c r="AS87" i="144"/>
  <c r="AR87" i="144"/>
  <c r="AQ87" i="144"/>
  <c r="AP87" i="144"/>
  <c r="AO87" i="144"/>
  <c r="AN87" i="144"/>
  <c r="AM87" i="144"/>
  <c r="AL87" i="144"/>
  <c r="AK87" i="144"/>
  <c r="AJ87" i="144"/>
  <c r="AI87" i="144"/>
  <c r="AH87" i="144"/>
  <c r="AG87" i="144"/>
  <c r="AF87" i="144"/>
  <c r="AE87" i="144"/>
  <c r="AD87" i="144"/>
  <c r="AC87" i="144"/>
  <c r="AB87" i="144"/>
  <c r="AA87" i="144"/>
  <c r="Z87" i="144"/>
  <c r="Y87" i="144"/>
  <c r="X87" i="144"/>
  <c r="W87" i="144"/>
  <c r="V87" i="144"/>
  <c r="U87" i="144"/>
  <c r="T87" i="144"/>
  <c r="S87" i="144"/>
  <c r="R87" i="144"/>
  <c r="Q87" i="144"/>
  <c r="P87" i="144"/>
  <c r="O87" i="144"/>
  <c r="N87" i="144"/>
  <c r="M87" i="144"/>
  <c r="L87" i="144"/>
  <c r="K87" i="144"/>
  <c r="A87" i="144"/>
  <c r="A86" i="144"/>
  <c r="A85" i="144"/>
  <c r="A84" i="144"/>
  <c r="AS83" i="144"/>
  <c r="AR83" i="144"/>
  <c r="AQ83" i="144"/>
  <c r="AP83" i="144"/>
  <c r="AO83" i="144"/>
  <c r="AN83" i="144"/>
  <c r="AM83" i="144"/>
  <c r="AL83" i="144"/>
  <c r="AK83" i="144"/>
  <c r="AJ83" i="144"/>
  <c r="AI83" i="144"/>
  <c r="AH83" i="144"/>
  <c r="AG83" i="144"/>
  <c r="AF83" i="144"/>
  <c r="AE83" i="144"/>
  <c r="AD83" i="144"/>
  <c r="AC83" i="144"/>
  <c r="AB83" i="144"/>
  <c r="AA83" i="144"/>
  <c r="Z83" i="144"/>
  <c r="Y83" i="144"/>
  <c r="X83" i="144"/>
  <c r="W83" i="144"/>
  <c r="V83" i="144"/>
  <c r="U83" i="144"/>
  <c r="T83" i="144"/>
  <c r="S83" i="144"/>
  <c r="R83" i="144"/>
  <c r="Q83" i="144"/>
  <c r="P83" i="144"/>
  <c r="O83" i="144"/>
  <c r="N83" i="144"/>
  <c r="M83" i="144"/>
  <c r="L83" i="144"/>
  <c r="K83" i="144"/>
  <c r="I83" i="144"/>
  <c r="H83" i="144"/>
  <c r="G83" i="144"/>
  <c r="F83" i="144"/>
  <c r="A83" i="144"/>
  <c r="CK82" i="144"/>
  <c r="CJ82" i="144"/>
  <c r="CI82" i="144"/>
  <c r="CH82" i="144"/>
  <c r="CG82" i="144"/>
  <c r="CF82" i="144"/>
  <c r="CE82" i="144"/>
  <c r="CD82" i="144"/>
  <c r="CC82" i="144"/>
  <c r="CB82" i="144"/>
  <c r="CA82" i="144"/>
  <c r="BZ82" i="144"/>
  <c r="BY82" i="144"/>
  <c r="BX82" i="144"/>
  <c r="BW82" i="144"/>
  <c r="BV82" i="144"/>
  <c r="BU82" i="144"/>
  <c r="BT82" i="144"/>
  <c r="BS82" i="144"/>
  <c r="BR82" i="144"/>
  <c r="BQ82" i="144"/>
  <c r="BP82" i="144"/>
  <c r="BO82" i="144"/>
  <c r="BN82" i="144"/>
  <c r="BM82" i="144"/>
  <c r="BL82" i="144"/>
  <c r="BK82" i="144"/>
  <c r="BJ82" i="144"/>
  <c r="BI82" i="144"/>
  <c r="BH82" i="144"/>
  <c r="BG82" i="144"/>
  <c r="BF82" i="144"/>
  <c r="BE82" i="144"/>
  <c r="BD82" i="144"/>
  <c r="BC82" i="144"/>
  <c r="BB82" i="144"/>
  <c r="BA82" i="144"/>
  <c r="AZ82" i="144"/>
  <c r="AY82" i="144"/>
  <c r="AX82" i="144"/>
  <c r="AW82" i="144"/>
  <c r="AV82" i="144"/>
  <c r="AU82" i="144"/>
  <c r="A82" i="144"/>
  <c r="CL81" i="144"/>
  <c r="AS81" i="144"/>
  <c r="AR81" i="144"/>
  <c r="AQ81" i="144"/>
  <c r="AP81" i="144"/>
  <c r="AO81" i="144"/>
  <c r="AN81" i="144"/>
  <c r="AM81" i="144"/>
  <c r="AL81" i="144"/>
  <c r="AK81" i="144"/>
  <c r="AJ81" i="144"/>
  <c r="AI81" i="144"/>
  <c r="AH81" i="144"/>
  <c r="AG81" i="144"/>
  <c r="AF81" i="144"/>
  <c r="AE81" i="144"/>
  <c r="AD81" i="144"/>
  <c r="AC81" i="144"/>
  <c r="AB81" i="144"/>
  <c r="AA81" i="144"/>
  <c r="Z81" i="144"/>
  <c r="Y81" i="144"/>
  <c r="X81" i="144"/>
  <c r="W81" i="144"/>
  <c r="V81" i="144"/>
  <c r="U81" i="144"/>
  <c r="T81" i="144"/>
  <c r="S81" i="144"/>
  <c r="R81" i="144"/>
  <c r="Q81" i="144"/>
  <c r="P81" i="144"/>
  <c r="O81" i="144"/>
  <c r="N81" i="144"/>
  <c r="M81" i="144"/>
  <c r="L81" i="144"/>
  <c r="K81" i="144"/>
  <c r="I81" i="144"/>
  <c r="H81" i="144"/>
  <c r="G81" i="144"/>
  <c r="F81" i="144"/>
  <c r="A81" i="144"/>
  <c r="AS80" i="144"/>
  <c r="AR80" i="144"/>
  <c r="AQ80" i="144"/>
  <c r="AP80" i="144"/>
  <c r="AO80" i="144"/>
  <c r="AN80" i="144"/>
  <c r="AM80" i="144"/>
  <c r="AL80" i="144"/>
  <c r="AK80" i="144"/>
  <c r="AJ80" i="144"/>
  <c r="AI80" i="144"/>
  <c r="AH80" i="144"/>
  <c r="AG80" i="144"/>
  <c r="AF80" i="144"/>
  <c r="AE80" i="144"/>
  <c r="AD80" i="144"/>
  <c r="AC80" i="144"/>
  <c r="AB80" i="144"/>
  <c r="AA80" i="144"/>
  <c r="Z80" i="144"/>
  <c r="Y80" i="144"/>
  <c r="X80" i="144"/>
  <c r="W80" i="144"/>
  <c r="V80" i="144"/>
  <c r="U80" i="144"/>
  <c r="T80" i="144"/>
  <c r="S80" i="144"/>
  <c r="R80" i="144"/>
  <c r="Q80" i="144"/>
  <c r="P80" i="144"/>
  <c r="O80" i="144"/>
  <c r="N80" i="144"/>
  <c r="M80" i="144"/>
  <c r="L80" i="144"/>
  <c r="K80" i="144"/>
  <c r="I80" i="144"/>
  <c r="H80" i="144"/>
  <c r="G80" i="144"/>
  <c r="F80" i="144"/>
  <c r="A80" i="144"/>
  <c r="A79" i="144"/>
  <c r="AS78" i="144"/>
  <c r="AR78" i="144"/>
  <c r="AQ78" i="144"/>
  <c r="AP78" i="144"/>
  <c r="AO78" i="144"/>
  <c r="AN78" i="144"/>
  <c r="AM78" i="144"/>
  <c r="AL78" i="144"/>
  <c r="AK78" i="144"/>
  <c r="AJ78" i="144"/>
  <c r="AI78" i="144"/>
  <c r="AH78" i="144"/>
  <c r="AG78" i="144"/>
  <c r="AF78" i="144"/>
  <c r="AE78" i="144"/>
  <c r="AD78" i="144"/>
  <c r="AC78" i="144"/>
  <c r="AB78" i="144"/>
  <c r="AA78" i="144"/>
  <c r="Z78" i="144"/>
  <c r="Y78" i="144"/>
  <c r="X78" i="144"/>
  <c r="W78" i="144"/>
  <c r="V78" i="144"/>
  <c r="U78" i="144"/>
  <c r="T78" i="144"/>
  <c r="S78" i="144"/>
  <c r="R78" i="144"/>
  <c r="Q78" i="144"/>
  <c r="P78" i="144"/>
  <c r="O78" i="144"/>
  <c r="N78" i="144"/>
  <c r="M78" i="144"/>
  <c r="L78" i="144"/>
  <c r="K78" i="144"/>
  <c r="AS77" i="144"/>
  <c r="AR77" i="144"/>
  <c r="AQ77" i="144"/>
  <c r="AP77" i="144"/>
  <c r="AO77" i="144"/>
  <c r="AN77" i="144"/>
  <c r="AM77" i="144"/>
  <c r="AL77" i="144"/>
  <c r="AK77" i="144"/>
  <c r="AJ77" i="144"/>
  <c r="AI77" i="144"/>
  <c r="AH77" i="144"/>
  <c r="AG77" i="144"/>
  <c r="AF77" i="144"/>
  <c r="AE77" i="144"/>
  <c r="AD77" i="144"/>
  <c r="AC77" i="144"/>
  <c r="AB77" i="144"/>
  <c r="AA77" i="144"/>
  <c r="Z77" i="144"/>
  <c r="Y77" i="144"/>
  <c r="X77" i="144"/>
  <c r="W77" i="144"/>
  <c r="V77" i="144"/>
  <c r="U77" i="144"/>
  <c r="T77" i="144"/>
  <c r="S77" i="144"/>
  <c r="R77" i="144"/>
  <c r="Q77" i="144"/>
  <c r="P77" i="144"/>
  <c r="O77" i="144"/>
  <c r="N77" i="144"/>
  <c r="M77" i="144"/>
  <c r="L77" i="144"/>
  <c r="K77" i="144"/>
  <c r="AS76" i="144"/>
  <c r="AR76" i="144"/>
  <c r="AQ76" i="144"/>
  <c r="AP76" i="144"/>
  <c r="AO76" i="144"/>
  <c r="AN76" i="144"/>
  <c r="AM76" i="144"/>
  <c r="AL76" i="144"/>
  <c r="AK76" i="144"/>
  <c r="AJ76" i="144"/>
  <c r="AI76" i="144"/>
  <c r="AH76" i="144"/>
  <c r="AG76" i="144"/>
  <c r="AF76" i="144"/>
  <c r="AE76" i="144"/>
  <c r="AD76" i="144"/>
  <c r="AC76" i="144"/>
  <c r="AB76" i="144"/>
  <c r="AA76" i="144"/>
  <c r="Z76" i="144"/>
  <c r="Y76" i="144"/>
  <c r="X76" i="144"/>
  <c r="W76" i="144"/>
  <c r="V76" i="144"/>
  <c r="U76" i="144"/>
  <c r="T76" i="144"/>
  <c r="S76" i="144"/>
  <c r="R76" i="144"/>
  <c r="Q76" i="144"/>
  <c r="P76" i="144"/>
  <c r="O76" i="144"/>
  <c r="N76" i="144"/>
  <c r="M76" i="144"/>
  <c r="L76" i="144"/>
  <c r="K76" i="144"/>
  <c r="AS75" i="144"/>
  <c r="AR75" i="144"/>
  <c r="AQ75" i="144"/>
  <c r="AP75" i="144"/>
  <c r="AO75" i="144"/>
  <c r="AN75" i="144"/>
  <c r="AM75" i="144"/>
  <c r="AL75" i="144"/>
  <c r="AK75" i="144"/>
  <c r="AJ75" i="144"/>
  <c r="AI75" i="144"/>
  <c r="AH75" i="144"/>
  <c r="AG75" i="144"/>
  <c r="AF75" i="144"/>
  <c r="AE75" i="144"/>
  <c r="AD75" i="144"/>
  <c r="AC75" i="144"/>
  <c r="AB75" i="144"/>
  <c r="AA75" i="144"/>
  <c r="Z75" i="144"/>
  <c r="Y75" i="144"/>
  <c r="X75" i="144"/>
  <c r="W75" i="144"/>
  <c r="V75" i="144"/>
  <c r="U75" i="144"/>
  <c r="T75" i="144"/>
  <c r="S75" i="144"/>
  <c r="R75" i="144"/>
  <c r="Q75" i="144"/>
  <c r="P75" i="144"/>
  <c r="O75" i="144"/>
  <c r="N75" i="144"/>
  <c r="M75" i="144"/>
  <c r="L75" i="144"/>
  <c r="K75" i="144"/>
  <c r="AS74" i="144"/>
  <c r="AR74" i="144"/>
  <c r="AQ74" i="144"/>
  <c r="AP74" i="144"/>
  <c r="AO74" i="144"/>
  <c r="AN74" i="144"/>
  <c r="AM74" i="144"/>
  <c r="AL74" i="144"/>
  <c r="AK74" i="144"/>
  <c r="AJ74" i="144"/>
  <c r="AI74" i="144"/>
  <c r="AH74" i="144"/>
  <c r="AG74" i="144"/>
  <c r="AF74" i="144"/>
  <c r="AE74" i="144"/>
  <c r="AD74" i="144"/>
  <c r="AC74" i="144"/>
  <c r="AB74" i="144"/>
  <c r="AA74" i="144"/>
  <c r="Z74" i="144"/>
  <c r="Y74" i="144"/>
  <c r="X74" i="144"/>
  <c r="W74" i="144"/>
  <c r="V74" i="144"/>
  <c r="U74" i="144"/>
  <c r="T74" i="144"/>
  <c r="S74" i="144"/>
  <c r="R74" i="144"/>
  <c r="Q74" i="144"/>
  <c r="P74" i="144"/>
  <c r="O74" i="144"/>
  <c r="N74" i="144"/>
  <c r="M74" i="144"/>
  <c r="L74" i="144"/>
  <c r="K74" i="144"/>
  <c r="AS73" i="144"/>
  <c r="AR73" i="144"/>
  <c r="AQ73" i="144"/>
  <c r="AP73" i="144"/>
  <c r="AO73" i="144"/>
  <c r="AN73" i="144"/>
  <c r="AM73" i="144"/>
  <c r="AL73" i="144"/>
  <c r="AK73" i="144"/>
  <c r="AJ73" i="144"/>
  <c r="AI73" i="144"/>
  <c r="AH73" i="144"/>
  <c r="AG73" i="144"/>
  <c r="AF73" i="144"/>
  <c r="AE73" i="144"/>
  <c r="AD73" i="144"/>
  <c r="AC73" i="144"/>
  <c r="AB73" i="144"/>
  <c r="AA73" i="144"/>
  <c r="Z73" i="144"/>
  <c r="Y73" i="144"/>
  <c r="X73" i="144"/>
  <c r="W73" i="144"/>
  <c r="V73" i="144"/>
  <c r="U73" i="144"/>
  <c r="T73" i="144"/>
  <c r="S73" i="144"/>
  <c r="R73" i="144"/>
  <c r="Q73" i="144"/>
  <c r="P73" i="144"/>
  <c r="O73" i="144"/>
  <c r="N73" i="144"/>
  <c r="M73" i="144"/>
  <c r="L73" i="144"/>
  <c r="K73" i="144"/>
  <c r="CL71" i="144"/>
  <c r="CK71" i="144"/>
  <c r="CJ71" i="144"/>
  <c r="CI71" i="144"/>
  <c r="CH71" i="144"/>
  <c r="CG71" i="144"/>
  <c r="CF71" i="144"/>
  <c r="CE71" i="144"/>
  <c r="CD71" i="144"/>
  <c r="CC71" i="144"/>
  <c r="CB71" i="144"/>
  <c r="CA71" i="144"/>
  <c r="BZ71" i="144"/>
  <c r="BY71" i="144"/>
  <c r="BX71" i="144"/>
  <c r="BW71" i="144"/>
  <c r="BV71" i="144"/>
  <c r="BU71" i="144"/>
  <c r="BT71" i="144"/>
  <c r="BS71" i="144"/>
  <c r="BR71" i="144"/>
  <c r="BQ71" i="144"/>
  <c r="BP71" i="144"/>
  <c r="BO71" i="144"/>
  <c r="BN71" i="144"/>
  <c r="BM71" i="144"/>
  <c r="BL71" i="144"/>
  <c r="BK71" i="144"/>
  <c r="BJ71" i="144"/>
  <c r="BI71" i="144"/>
  <c r="BH71" i="144"/>
  <c r="BG71" i="144"/>
  <c r="BF71" i="144"/>
  <c r="BE71" i="144"/>
  <c r="BD71" i="144"/>
  <c r="BC71" i="144"/>
  <c r="BB71" i="144"/>
  <c r="BA71" i="144"/>
  <c r="AZ71" i="144"/>
  <c r="AY71" i="144"/>
  <c r="AX71" i="144"/>
  <c r="AW71" i="144"/>
  <c r="AV71" i="144"/>
  <c r="AU71" i="144"/>
  <c r="AS70" i="144"/>
  <c r="AR70" i="144"/>
  <c r="AQ70" i="144"/>
  <c r="AP70" i="144"/>
  <c r="AO70" i="144"/>
  <c r="AN70" i="144"/>
  <c r="AM70" i="144"/>
  <c r="AL70" i="144"/>
  <c r="AK70" i="144"/>
  <c r="AJ70" i="144"/>
  <c r="AI70" i="144"/>
  <c r="AH70" i="144"/>
  <c r="AG70" i="144"/>
  <c r="AF70" i="144"/>
  <c r="AE70" i="144"/>
  <c r="AD70" i="144"/>
  <c r="AC70" i="144"/>
  <c r="AB70" i="144"/>
  <c r="AA70" i="144"/>
  <c r="Z70" i="144"/>
  <c r="Y70" i="144"/>
  <c r="X70" i="144"/>
  <c r="W70" i="144"/>
  <c r="V70" i="144"/>
  <c r="U70" i="144"/>
  <c r="T70" i="144"/>
  <c r="S70" i="144"/>
  <c r="R70" i="144"/>
  <c r="Q70" i="144"/>
  <c r="P70" i="144"/>
  <c r="O70" i="144"/>
  <c r="N70" i="144"/>
  <c r="M70" i="144"/>
  <c r="L70" i="144"/>
  <c r="K70" i="144"/>
  <c r="AS69" i="144"/>
  <c r="AR69" i="144"/>
  <c r="AQ69" i="144"/>
  <c r="AP69" i="144"/>
  <c r="AO69" i="144"/>
  <c r="AN69" i="144"/>
  <c r="AM69" i="144"/>
  <c r="AL69" i="144"/>
  <c r="AK69" i="144"/>
  <c r="AJ69" i="144"/>
  <c r="AI69" i="144"/>
  <c r="AH69" i="144"/>
  <c r="AG69" i="144"/>
  <c r="AF69" i="144"/>
  <c r="AE69" i="144"/>
  <c r="AD69" i="144"/>
  <c r="AC69" i="144"/>
  <c r="AB69" i="144"/>
  <c r="AA69" i="144"/>
  <c r="Z69" i="144"/>
  <c r="Y69" i="144"/>
  <c r="X69" i="144"/>
  <c r="W69" i="144"/>
  <c r="V69" i="144"/>
  <c r="U69" i="144"/>
  <c r="T69" i="144"/>
  <c r="S69" i="144"/>
  <c r="R69" i="144"/>
  <c r="Q69" i="144"/>
  <c r="P69" i="144"/>
  <c r="O69" i="144"/>
  <c r="N69" i="144"/>
  <c r="M69" i="144"/>
  <c r="L69" i="144"/>
  <c r="K69" i="144"/>
  <c r="I69" i="144"/>
  <c r="I71" i="144" s="1"/>
  <c r="H69" i="144"/>
  <c r="G69" i="144"/>
  <c r="G71" i="144" s="1"/>
  <c r="F69" i="144"/>
  <c r="F71" i="144" s="1"/>
  <c r="CL67" i="144"/>
  <c r="CK67" i="144"/>
  <c r="CJ67" i="144"/>
  <c r="CI67" i="144"/>
  <c r="CH67" i="144"/>
  <c r="CG67" i="144"/>
  <c r="CF67" i="144"/>
  <c r="CE67" i="144"/>
  <c r="CD67" i="144"/>
  <c r="CC67" i="144"/>
  <c r="CB67" i="144"/>
  <c r="CA67" i="144"/>
  <c r="BZ67" i="144"/>
  <c r="BY67" i="144"/>
  <c r="BX67" i="144"/>
  <c r="BW67" i="144"/>
  <c r="BV67" i="144"/>
  <c r="BU67" i="144"/>
  <c r="BT67" i="144"/>
  <c r="BS67" i="144"/>
  <c r="BR67" i="144"/>
  <c r="BQ67" i="144"/>
  <c r="BP67" i="144"/>
  <c r="BO67" i="144"/>
  <c r="BN67" i="144"/>
  <c r="BM67" i="144"/>
  <c r="BL67" i="144"/>
  <c r="BK67" i="144"/>
  <c r="BJ67" i="144"/>
  <c r="BI67" i="144"/>
  <c r="BH67" i="144"/>
  <c r="BG67" i="144"/>
  <c r="BF67" i="144"/>
  <c r="BE67" i="144"/>
  <c r="BD67" i="144"/>
  <c r="BC67" i="144"/>
  <c r="BB67" i="144"/>
  <c r="BA67" i="144"/>
  <c r="AZ67" i="144"/>
  <c r="AY67" i="144"/>
  <c r="AX67" i="144"/>
  <c r="AW67" i="144"/>
  <c r="AV67" i="144"/>
  <c r="AU67" i="144"/>
  <c r="I67" i="144"/>
  <c r="AS66" i="144"/>
  <c r="AR66" i="144"/>
  <c r="AQ66" i="144"/>
  <c r="AP66" i="144"/>
  <c r="AO66" i="144"/>
  <c r="AN66" i="144"/>
  <c r="AM66" i="144"/>
  <c r="AL66" i="144"/>
  <c r="AK66" i="144"/>
  <c r="AJ66" i="144"/>
  <c r="AI66" i="144"/>
  <c r="AH66" i="144"/>
  <c r="AG66" i="144"/>
  <c r="AF66" i="144"/>
  <c r="AE66" i="144"/>
  <c r="AD66" i="144"/>
  <c r="AC66" i="144"/>
  <c r="AB66" i="144"/>
  <c r="AA66" i="144"/>
  <c r="Z66" i="144"/>
  <c r="Y66" i="144"/>
  <c r="X66" i="144"/>
  <c r="W66" i="144"/>
  <c r="V66" i="144"/>
  <c r="U66" i="144"/>
  <c r="T66" i="144"/>
  <c r="S66" i="144"/>
  <c r="R66" i="144"/>
  <c r="Q66" i="144"/>
  <c r="P66" i="144"/>
  <c r="O66" i="144"/>
  <c r="N66" i="144"/>
  <c r="M66" i="144"/>
  <c r="L66" i="144"/>
  <c r="K66" i="144"/>
  <c r="I66" i="144"/>
  <c r="H66" i="144"/>
  <c r="G66" i="144"/>
  <c r="F66" i="144"/>
  <c r="AS65" i="144"/>
  <c r="AR65" i="144"/>
  <c r="AQ65" i="144"/>
  <c r="AP65" i="144"/>
  <c r="AO65" i="144"/>
  <c r="AN65" i="144"/>
  <c r="AM65" i="144"/>
  <c r="AL65" i="144"/>
  <c r="AK65" i="144"/>
  <c r="AJ65" i="144"/>
  <c r="AI65" i="144"/>
  <c r="H67" i="144"/>
  <c r="G67" i="144"/>
  <c r="F67" i="144"/>
  <c r="B65" i="144"/>
  <c r="A65" i="144"/>
  <c r="A64" i="144"/>
  <c r="AS63" i="144"/>
  <c r="AR63" i="144"/>
  <c r="AQ63" i="144"/>
  <c r="AP63" i="144"/>
  <c r="AO63" i="144"/>
  <c r="AN63" i="144"/>
  <c r="AM63" i="144"/>
  <c r="AL63" i="144"/>
  <c r="AK63" i="144"/>
  <c r="AJ63" i="144"/>
  <c r="AI63" i="144"/>
  <c r="AH63" i="144"/>
  <c r="AG63" i="144"/>
  <c r="AF63" i="144"/>
  <c r="AE63" i="144"/>
  <c r="AD63" i="144"/>
  <c r="AC63" i="144"/>
  <c r="AB63" i="144"/>
  <c r="AA63" i="144"/>
  <c r="Z63" i="144"/>
  <c r="Y63" i="144"/>
  <c r="X63" i="144"/>
  <c r="W63" i="144"/>
  <c r="V63" i="144"/>
  <c r="U63" i="144"/>
  <c r="T63" i="144"/>
  <c r="S63" i="144"/>
  <c r="R63" i="144"/>
  <c r="O63" i="144"/>
  <c r="N63" i="144"/>
  <c r="M63" i="144"/>
  <c r="L63" i="144"/>
  <c r="K63" i="144"/>
  <c r="A63" i="144"/>
  <c r="AS62" i="144"/>
  <c r="AR62" i="144"/>
  <c r="AQ62" i="144"/>
  <c r="AP62" i="144"/>
  <c r="AO62" i="144"/>
  <c r="AN62" i="144"/>
  <c r="AM62" i="144"/>
  <c r="AL62" i="144"/>
  <c r="AK62" i="144"/>
  <c r="AJ62" i="144"/>
  <c r="AI62" i="144"/>
  <c r="AH62" i="144"/>
  <c r="AG62" i="144"/>
  <c r="AF62" i="144"/>
  <c r="AE62" i="144"/>
  <c r="AD62" i="144"/>
  <c r="AC62" i="144"/>
  <c r="AB62" i="144"/>
  <c r="AA62" i="144"/>
  <c r="Z62" i="144"/>
  <c r="Y62" i="144"/>
  <c r="X62" i="144"/>
  <c r="W62" i="144"/>
  <c r="V62" i="144"/>
  <c r="U62" i="144"/>
  <c r="T62" i="144"/>
  <c r="S62" i="144"/>
  <c r="R62" i="144"/>
  <c r="O62" i="144"/>
  <c r="N62" i="144"/>
  <c r="M62" i="144"/>
  <c r="L62" i="144"/>
  <c r="K62" i="144"/>
  <c r="A62" i="144"/>
  <c r="AS61" i="144"/>
  <c r="AR61" i="144"/>
  <c r="AQ61" i="144"/>
  <c r="AP61" i="144"/>
  <c r="AO61" i="144"/>
  <c r="AN61" i="144"/>
  <c r="AM61" i="144"/>
  <c r="AL61" i="144"/>
  <c r="AK61" i="144"/>
  <c r="AJ61" i="144"/>
  <c r="AI61" i="144"/>
  <c r="AH61" i="144"/>
  <c r="AG61" i="144"/>
  <c r="AF61" i="144"/>
  <c r="AE61" i="144"/>
  <c r="AD61" i="144"/>
  <c r="AC61" i="144"/>
  <c r="AB61" i="144"/>
  <c r="Z61" i="144"/>
  <c r="Y61" i="144"/>
  <c r="X61" i="144"/>
  <c r="W61" i="144"/>
  <c r="V61" i="144"/>
  <c r="U61" i="144"/>
  <c r="T61" i="144"/>
  <c r="S61" i="144"/>
  <c r="R61" i="144"/>
  <c r="O61" i="144"/>
  <c r="N61" i="144"/>
  <c r="M61" i="144"/>
  <c r="L61" i="144"/>
  <c r="K61" i="144"/>
  <c r="A61" i="144"/>
  <c r="AS60" i="144"/>
  <c r="AR60" i="144"/>
  <c r="AQ60" i="144"/>
  <c r="AP60" i="144"/>
  <c r="AO60" i="144"/>
  <c r="AN60" i="144"/>
  <c r="AM60" i="144"/>
  <c r="AL60" i="144"/>
  <c r="AK60" i="144"/>
  <c r="AJ60" i="144"/>
  <c r="AI60" i="144"/>
  <c r="AH60" i="144"/>
  <c r="AG60" i="144"/>
  <c r="AF60" i="144"/>
  <c r="AE60" i="144"/>
  <c r="AD60" i="144"/>
  <c r="AC60" i="144"/>
  <c r="AB60" i="144"/>
  <c r="AA60" i="144"/>
  <c r="Z60" i="144"/>
  <c r="Y60" i="144"/>
  <c r="X60" i="144"/>
  <c r="W60" i="144"/>
  <c r="V60" i="144"/>
  <c r="U60" i="144"/>
  <c r="T60" i="144"/>
  <c r="S60" i="144"/>
  <c r="R60" i="144"/>
  <c r="O60" i="144"/>
  <c r="N60" i="144"/>
  <c r="M60" i="144"/>
  <c r="L60" i="144"/>
  <c r="K60" i="144"/>
  <c r="A60" i="144"/>
  <c r="AS59" i="144"/>
  <c r="AR59" i="144"/>
  <c r="AQ59" i="144"/>
  <c r="AP59" i="144"/>
  <c r="AO59" i="144"/>
  <c r="AN59" i="144"/>
  <c r="AM59" i="144"/>
  <c r="AL59" i="144"/>
  <c r="AK59" i="144"/>
  <c r="AJ59" i="144"/>
  <c r="AI59" i="144"/>
  <c r="AH59" i="144"/>
  <c r="A59" i="144"/>
  <c r="AS58" i="144"/>
  <c r="AR58" i="144"/>
  <c r="AQ58" i="144"/>
  <c r="AP58" i="144"/>
  <c r="AO58" i="144"/>
  <c r="AN58" i="144"/>
  <c r="AM58" i="144"/>
  <c r="AL58" i="144"/>
  <c r="AK58" i="144"/>
  <c r="AJ58" i="144"/>
  <c r="AI58" i="144"/>
  <c r="AH58" i="144"/>
  <c r="A58" i="144"/>
  <c r="AS57" i="144"/>
  <c r="AR57" i="144"/>
  <c r="AQ57" i="144"/>
  <c r="AP57" i="144"/>
  <c r="AO57" i="144"/>
  <c r="AN57" i="144"/>
  <c r="AM57" i="144"/>
  <c r="AL57" i="144"/>
  <c r="AK57" i="144"/>
  <c r="AJ57" i="144"/>
  <c r="AI57" i="144"/>
  <c r="AH57" i="144"/>
  <c r="AG57" i="144"/>
  <c r="AF57" i="144"/>
  <c r="AE57" i="144"/>
  <c r="AD57" i="144"/>
  <c r="AC57" i="144"/>
  <c r="AB57" i="144"/>
  <c r="AA57" i="144"/>
  <c r="Z57" i="144"/>
  <c r="X57" i="144"/>
  <c r="W57" i="144"/>
  <c r="V57" i="144"/>
  <c r="U57" i="144"/>
  <c r="T57" i="144"/>
  <c r="S57" i="144"/>
  <c r="R57" i="144"/>
  <c r="O57" i="144"/>
  <c r="N57" i="144"/>
  <c r="M57" i="144"/>
  <c r="L57" i="144"/>
  <c r="K57" i="144"/>
  <c r="A57" i="144"/>
  <c r="AS56" i="144"/>
  <c r="AR56" i="144"/>
  <c r="AQ56" i="144"/>
  <c r="AP56" i="144"/>
  <c r="AO56" i="144"/>
  <c r="AN56" i="144"/>
  <c r="AM56" i="144"/>
  <c r="AL56" i="144"/>
  <c r="AK56" i="144"/>
  <c r="AJ56" i="144"/>
  <c r="AI56" i="144"/>
  <c r="AH56" i="144"/>
  <c r="AG56" i="144"/>
  <c r="AF56" i="144"/>
  <c r="AE56" i="144"/>
  <c r="AD56" i="144"/>
  <c r="AC56" i="144"/>
  <c r="AB56" i="144"/>
  <c r="AA56" i="144"/>
  <c r="Z56" i="144"/>
  <c r="Y56" i="144"/>
  <c r="X56" i="144"/>
  <c r="W56" i="144"/>
  <c r="V56" i="144"/>
  <c r="U56" i="144"/>
  <c r="T56" i="144"/>
  <c r="S56" i="144"/>
  <c r="R56" i="144"/>
  <c r="O56" i="144"/>
  <c r="N56" i="144"/>
  <c r="M56" i="144"/>
  <c r="L56" i="144"/>
  <c r="K56" i="144"/>
  <c r="A56" i="144"/>
  <c r="A55" i="144"/>
  <c r="CL54" i="144"/>
  <c r="CK54" i="144"/>
  <c r="CJ54" i="144"/>
  <c r="AN54" i="144" s="1"/>
  <c r="CI54" i="144"/>
  <c r="AR54" i="144" s="1"/>
  <c r="CH54" i="144"/>
  <c r="AM54" i="144" s="1"/>
  <c r="CG54" i="144"/>
  <c r="CF54" i="144"/>
  <c r="CE54" i="144"/>
  <c r="AL54" i="144" s="1"/>
  <c r="CD54" i="144"/>
  <c r="AP54" i="144" s="1"/>
  <c r="CC54" i="144"/>
  <c r="AO54" i="144" s="1"/>
  <c r="CB54" i="144"/>
  <c r="AK54" i="144" s="1"/>
  <c r="CA54" i="144"/>
  <c r="AF54" i="144" s="1"/>
  <c r="BZ54" i="144"/>
  <c r="AH54" i="144" s="1"/>
  <c r="BY54" i="144"/>
  <c r="AJ54" i="144" s="1"/>
  <c r="BX54" i="144"/>
  <c r="AC54" i="144" s="1"/>
  <c r="BW54" i="144"/>
  <c r="AI54" i="144" s="1"/>
  <c r="BV54" i="144"/>
  <c r="AG54" i="144" s="1"/>
  <c r="BU54" i="144"/>
  <c r="AD54" i="144" s="1"/>
  <c r="BT54" i="144"/>
  <c r="BS54" i="144"/>
  <c r="BR54" i="144"/>
  <c r="W54" i="144" s="1"/>
  <c r="BQ54" i="144"/>
  <c r="BP54" i="144"/>
  <c r="AB54" i="144" s="1"/>
  <c r="BO54" i="144"/>
  <c r="BN54" i="144"/>
  <c r="BM54" i="144"/>
  <c r="Z54" i="144" s="1"/>
  <c r="BL54" i="144"/>
  <c r="BK54" i="144"/>
  <c r="BJ54" i="144"/>
  <c r="BI54" i="144"/>
  <c r="BH54" i="144"/>
  <c r="BG54" i="144"/>
  <c r="BF54" i="144"/>
  <c r="K54" i="144" s="1"/>
  <c r="BE54" i="144"/>
  <c r="O54" i="144" s="1"/>
  <c r="BD54" i="144"/>
  <c r="M54" i="144" s="1"/>
  <c r="BC54" i="144"/>
  <c r="U54" i="144" s="1"/>
  <c r="BB54" i="144"/>
  <c r="T54" i="144" s="1"/>
  <c r="BA54" i="144"/>
  <c r="AZ54" i="144"/>
  <c r="AY54" i="144"/>
  <c r="L54" i="144" s="1"/>
  <c r="AX54" i="144"/>
  <c r="AW54" i="144"/>
  <c r="N54" i="144" s="1"/>
  <c r="AV54" i="144"/>
  <c r="S54" i="144" s="1"/>
  <c r="AU54" i="144"/>
  <c r="Q54" i="144"/>
  <c r="I54" i="144"/>
  <c r="H54" i="144"/>
  <c r="G54" i="144"/>
  <c r="F54" i="144"/>
  <c r="B54" i="144"/>
  <c r="A54" i="144"/>
  <c r="CL53" i="144"/>
  <c r="CK53" i="144"/>
  <c r="CJ53" i="144"/>
  <c r="CI53" i="144"/>
  <c r="CH53" i="144"/>
  <c r="CG53" i="144"/>
  <c r="CE53" i="144"/>
  <c r="CD53" i="144"/>
  <c r="CC53" i="144"/>
  <c r="CB53" i="144"/>
  <c r="CA53" i="144"/>
  <c r="BZ53" i="144"/>
  <c r="BY53" i="144"/>
  <c r="BX53" i="144"/>
  <c r="BW53" i="144"/>
  <c r="BV53" i="144"/>
  <c r="BU53" i="144"/>
  <c r="BT53" i="144"/>
  <c r="BR53" i="144"/>
  <c r="BQ53" i="144"/>
  <c r="BP53" i="144"/>
  <c r="BN53" i="144"/>
  <c r="BM53" i="144"/>
  <c r="BJ53" i="144"/>
  <c r="BI53" i="144"/>
  <c r="BF53" i="144"/>
  <c r="BE53" i="144"/>
  <c r="BD53" i="144"/>
  <c r="BC53" i="144"/>
  <c r="BB53" i="144"/>
  <c r="BA53" i="144"/>
  <c r="AY53" i="144"/>
  <c r="AX53" i="144"/>
  <c r="AW53" i="144"/>
  <c r="AV53" i="144"/>
  <c r="I53" i="144"/>
  <c r="H53" i="144"/>
  <c r="G53" i="144"/>
  <c r="F53" i="144"/>
  <c r="B53" i="144"/>
  <c r="A53" i="144"/>
  <c r="AS52" i="144"/>
  <c r="AS53" i="144" s="1"/>
  <c r="AR52" i="144"/>
  <c r="AR53" i="144" s="1"/>
  <c r="AQ52" i="144"/>
  <c r="AQ53" i="144" s="1"/>
  <c r="AP52" i="144"/>
  <c r="AP53" i="144" s="1"/>
  <c r="AO52" i="144"/>
  <c r="AO53" i="144" s="1"/>
  <c r="AN52" i="144"/>
  <c r="AN53" i="144" s="1"/>
  <c r="AM52" i="144"/>
  <c r="AM53" i="144" s="1"/>
  <c r="AL52" i="144"/>
  <c r="AL53" i="144" s="1"/>
  <c r="AK52" i="144"/>
  <c r="AK53" i="144" s="1"/>
  <c r="AJ52" i="144"/>
  <c r="AJ53" i="144" s="1"/>
  <c r="AI52" i="144"/>
  <c r="AI53" i="144" s="1"/>
  <c r="AH52" i="144"/>
  <c r="AH53" i="144" s="1"/>
  <c r="AG52" i="144"/>
  <c r="AG53" i="144" s="1"/>
  <c r="AF52" i="144"/>
  <c r="AF53" i="144" s="1"/>
  <c r="AE52" i="144"/>
  <c r="AE53" i="144" s="1"/>
  <c r="AD52" i="144"/>
  <c r="AD53" i="144" s="1"/>
  <c r="AC52" i="144"/>
  <c r="AC53" i="144" s="1"/>
  <c r="AB52" i="144"/>
  <c r="AB53" i="144" s="1"/>
  <c r="AA52" i="144"/>
  <c r="AA53" i="144" s="1"/>
  <c r="Z52" i="144"/>
  <c r="Z53" i="144" s="1"/>
  <c r="Y52" i="144"/>
  <c r="Y53" i="144" s="1"/>
  <c r="X52" i="144"/>
  <c r="X53" i="144" s="1"/>
  <c r="W52" i="144"/>
  <c r="W53" i="144" s="1"/>
  <c r="V52" i="144"/>
  <c r="V53" i="144" s="1"/>
  <c r="U52" i="144"/>
  <c r="U53" i="144" s="1"/>
  <c r="T52" i="144"/>
  <c r="T53" i="144" s="1"/>
  <c r="S52" i="144"/>
  <c r="S53" i="144" s="1"/>
  <c r="R52" i="144"/>
  <c r="R53" i="144" s="1"/>
  <c r="Q52" i="144"/>
  <c r="Q53" i="144" s="1"/>
  <c r="P52" i="144"/>
  <c r="P53" i="144" s="1"/>
  <c r="O52" i="144"/>
  <c r="O53" i="144" s="1"/>
  <c r="N52" i="144"/>
  <c r="N53" i="144" s="1"/>
  <c r="M52" i="144"/>
  <c r="M53" i="144" s="1"/>
  <c r="L52" i="144"/>
  <c r="L53" i="144" s="1"/>
  <c r="K52" i="144"/>
  <c r="A52" i="144"/>
  <c r="AR51" i="144"/>
  <c r="AQ51" i="144"/>
  <c r="AP51" i="144"/>
  <c r="AO51" i="144"/>
  <c r="AN51" i="144"/>
  <c r="AM51" i="144"/>
  <c r="AL51" i="144"/>
  <c r="AK51" i="144"/>
  <c r="AJ51" i="144"/>
  <c r="AI51" i="144"/>
  <c r="AH51" i="144"/>
  <c r="AG51" i="144"/>
  <c r="AF51" i="144"/>
  <c r="AD51" i="144"/>
  <c r="AC51" i="144"/>
  <c r="AB51" i="144"/>
  <c r="Z51" i="144"/>
  <c r="W51" i="144"/>
  <c r="U51" i="144"/>
  <c r="T51" i="144"/>
  <c r="S51" i="144"/>
  <c r="Q51" i="144"/>
  <c r="O51" i="144"/>
  <c r="N51" i="144"/>
  <c r="M51" i="144"/>
  <c r="L51" i="144"/>
  <c r="K51" i="144"/>
  <c r="A51" i="144"/>
  <c r="AR50" i="144"/>
  <c r="AQ50" i="144"/>
  <c r="AP50" i="144"/>
  <c r="AO50" i="144"/>
  <c r="AN50" i="144"/>
  <c r="AM50" i="144"/>
  <c r="AL50" i="144"/>
  <c r="AK50" i="144"/>
  <c r="AJ50" i="144"/>
  <c r="AI50" i="144"/>
  <c r="AH50" i="144"/>
  <c r="AG50" i="144"/>
  <c r="AF50" i="144"/>
  <c r="AD50" i="144"/>
  <c r="AC50" i="144"/>
  <c r="AB50" i="144"/>
  <c r="Z50" i="144"/>
  <c r="W50" i="144"/>
  <c r="U50" i="144"/>
  <c r="T50" i="144"/>
  <c r="S50" i="144"/>
  <c r="Q50" i="144"/>
  <c r="O50" i="144"/>
  <c r="N50" i="144"/>
  <c r="M50" i="144"/>
  <c r="L50" i="144"/>
  <c r="K50" i="144"/>
  <c r="A50" i="144"/>
  <c r="AS49" i="144"/>
  <c r="AR49" i="144"/>
  <c r="AQ49" i="144"/>
  <c r="AP49" i="144"/>
  <c r="AO49" i="144"/>
  <c r="AN49" i="144"/>
  <c r="AM49" i="144"/>
  <c r="AL49" i="144"/>
  <c r="AK49" i="144"/>
  <c r="AJ49" i="144"/>
  <c r="AI49" i="144"/>
  <c r="AH49" i="144"/>
  <c r="AG49" i="144"/>
  <c r="AF49" i="144"/>
  <c r="AE49" i="144"/>
  <c r="AD49" i="144"/>
  <c r="AC49" i="144"/>
  <c r="AB49" i="144"/>
  <c r="AA49" i="144"/>
  <c r="Z49" i="144"/>
  <c r="Y49" i="144"/>
  <c r="X49" i="144"/>
  <c r="W49" i="144"/>
  <c r="U49" i="144"/>
  <c r="T49" i="144"/>
  <c r="S49" i="144"/>
  <c r="R49" i="144"/>
  <c r="Q49" i="144"/>
  <c r="P49" i="144"/>
  <c r="O49" i="144"/>
  <c r="N49" i="144"/>
  <c r="M49" i="144"/>
  <c r="L49" i="144"/>
  <c r="K49" i="144"/>
  <c r="A49" i="144"/>
  <c r="AS48" i="144"/>
  <c r="AR48" i="144"/>
  <c r="AQ48" i="144"/>
  <c r="AP48" i="144"/>
  <c r="AO48" i="144"/>
  <c r="AN48" i="144"/>
  <c r="AM48" i="144"/>
  <c r="AL48" i="144"/>
  <c r="AK48" i="144"/>
  <c r="AJ48" i="144"/>
  <c r="AI48" i="144"/>
  <c r="AH48" i="144"/>
  <c r="AG48" i="144"/>
  <c r="AF48" i="144"/>
  <c r="AE48" i="144"/>
  <c r="AD48" i="144"/>
  <c r="AC48" i="144"/>
  <c r="AB48" i="144"/>
  <c r="AA48" i="144"/>
  <c r="Z48" i="144"/>
  <c r="Y48" i="144"/>
  <c r="X48" i="144"/>
  <c r="W48" i="144"/>
  <c r="V48" i="144"/>
  <c r="U48" i="144"/>
  <c r="T48" i="144"/>
  <c r="S48" i="144"/>
  <c r="R48" i="144"/>
  <c r="Q48" i="144"/>
  <c r="P48" i="144"/>
  <c r="O48" i="144"/>
  <c r="N48" i="144"/>
  <c r="M48" i="144"/>
  <c r="L48" i="144"/>
  <c r="K48" i="144"/>
  <c r="A48" i="144"/>
  <c r="CL47" i="144"/>
  <c r="CK47" i="144"/>
  <c r="CJ47" i="144"/>
  <c r="AN47" i="144" s="1"/>
  <c r="CI47" i="144"/>
  <c r="AR47" i="144" s="1"/>
  <c r="CH47" i="144"/>
  <c r="AM47" i="144" s="1"/>
  <c r="CG47" i="144"/>
  <c r="CF47" i="144"/>
  <c r="CE47" i="144"/>
  <c r="AL47" i="144" s="1"/>
  <c r="CD47" i="144"/>
  <c r="AP47" i="144" s="1"/>
  <c r="CC47" i="144"/>
  <c r="AO47" i="144" s="1"/>
  <c r="CB47" i="144"/>
  <c r="AK47" i="144" s="1"/>
  <c r="AF47" i="144"/>
  <c r="BZ47" i="144"/>
  <c r="AH47" i="144" s="1"/>
  <c r="BY47" i="144"/>
  <c r="AJ47" i="144" s="1"/>
  <c r="BX47" i="144"/>
  <c r="AC47" i="144" s="1"/>
  <c r="BW47" i="144"/>
  <c r="AI47" i="144" s="1"/>
  <c r="BV47" i="144"/>
  <c r="AG47" i="144" s="1"/>
  <c r="BT47" i="144"/>
  <c r="BR47" i="144"/>
  <c r="W47" i="144" s="1"/>
  <c r="BQ47" i="144"/>
  <c r="BP47" i="144"/>
  <c r="AB47" i="144" s="1"/>
  <c r="BN47" i="144"/>
  <c r="BM47" i="144"/>
  <c r="Z47" i="144" s="1"/>
  <c r="BJ47" i="144"/>
  <c r="BI47" i="144"/>
  <c r="BF47" i="144"/>
  <c r="K47" i="144" s="1"/>
  <c r="BE47" i="144"/>
  <c r="O47" i="144" s="1"/>
  <c r="BD47" i="144"/>
  <c r="M47" i="144" s="1"/>
  <c r="BC47" i="144"/>
  <c r="U47" i="144" s="1"/>
  <c r="BB47" i="144"/>
  <c r="T47" i="144" s="1"/>
  <c r="BA47" i="144"/>
  <c r="AY47" i="144"/>
  <c r="L47" i="144" s="1"/>
  <c r="AX47" i="144"/>
  <c r="AW47" i="144"/>
  <c r="N47" i="144" s="1"/>
  <c r="AU47" i="144"/>
  <c r="Q47" i="144" s="1"/>
  <c r="AD47" i="144"/>
  <c r="S47" i="144"/>
  <c r="I47" i="144"/>
  <c r="H47" i="144"/>
  <c r="G47" i="144"/>
  <c r="A47" i="144"/>
  <c r="AS46" i="144"/>
  <c r="AR46" i="144"/>
  <c r="AQ46" i="144"/>
  <c r="AP46" i="144"/>
  <c r="AO46" i="144"/>
  <c r="AN46" i="144"/>
  <c r="AM46" i="144"/>
  <c r="AL46" i="144"/>
  <c r="AK46" i="144"/>
  <c r="AJ46" i="144"/>
  <c r="AI46" i="144"/>
  <c r="AH46" i="144"/>
  <c r="AG46" i="144"/>
  <c r="AF46" i="144"/>
  <c r="AD46" i="144"/>
  <c r="AC46" i="144"/>
  <c r="AB46" i="144"/>
  <c r="Z46" i="144"/>
  <c r="W46" i="144"/>
  <c r="U46" i="144"/>
  <c r="T46" i="144"/>
  <c r="S46" i="144"/>
  <c r="Q46" i="144"/>
  <c r="O46" i="144"/>
  <c r="N46" i="144"/>
  <c r="M46" i="144"/>
  <c r="L46" i="144"/>
  <c r="K46" i="144"/>
  <c r="A46" i="144"/>
  <c r="AS45" i="144"/>
  <c r="AR45" i="144"/>
  <c r="AQ45" i="144"/>
  <c r="AP45" i="144"/>
  <c r="AO45" i="144"/>
  <c r="AN45" i="144"/>
  <c r="AM45" i="144"/>
  <c r="AL45" i="144"/>
  <c r="AK45" i="144"/>
  <c r="AJ45" i="144"/>
  <c r="AI45" i="144"/>
  <c r="AH45" i="144"/>
  <c r="AG45" i="144"/>
  <c r="AF45" i="144"/>
  <c r="AD45" i="144"/>
  <c r="AC45" i="144"/>
  <c r="AB45" i="144"/>
  <c r="Z45" i="144"/>
  <c r="W45" i="144"/>
  <c r="U45" i="144"/>
  <c r="T45" i="144"/>
  <c r="S45" i="144"/>
  <c r="Q45" i="144"/>
  <c r="O45" i="144"/>
  <c r="N45" i="144"/>
  <c r="M45" i="144"/>
  <c r="L45" i="144"/>
  <c r="K45" i="144"/>
  <c r="A45" i="144"/>
  <c r="CL44" i="144"/>
  <c r="CK44" i="144"/>
  <c r="CK107" i="144" s="1"/>
  <c r="CJ44" i="144"/>
  <c r="CJ107" i="144" s="1"/>
  <c r="CI44" i="144"/>
  <c r="CI107" i="144" s="1"/>
  <c r="CH44" i="144"/>
  <c r="CH107" i="144" s="1"/>
  <c r="CG44" i="144"/>
  <c r="CF44" i="144"/>
  <c r="CE44" i="144"/>
  <c r="CE107" i="144" s="1"/>
  <c r="CD44" i="144"/>
  <c r="CD107" i="144" s="1"/>
  <c r="CC44" i="144"/>
  <c r="CC107" i="144" s="1"/>
  <c r="CB44" i="144"/>
  <c r="CB107" i="144" s="1"/>
  <c r="CA44" i="144"/>
  <c r="CA107" i="144" s="1"/>
  <c r="BZ44" i="144"/>
  <c r="BZ107" i="144" s="1"/>
  <c r="BY44" i="144"/>
  <c r="BX44" i="144"/>
  <c r="BW44" i="144"/>
  <c r="BW107" i="144" s="1"/>
  <c r="BV44" i="144"/>
  <c r="BV107" i="144" s="1"/>
  <c r="BU44" i="144"/>
  <c r="BU107" i="144" s="1"/>
  <c r="BT44" i="144"/>
  <c r="BT107" i="144" s="1"/>
  <c r="BS44" i="144"/>
  <c r="BS107" i="144" s="1"/>
  <c r="BR44" i="144"/>
  <c r="BR107" i="144" s="1"/>
  <c r="BQ44" i="144"/>
  <c r="BP44" i="144"/>
  <c r="BO44" i="144"/>
  <c r="BO107" i="144" s="1"/>
  <c r="BN44" i="144"/>
  <c r="BM44" i="144"/>
  <c r="BL44" i="144"/>
  <c r="BL107" i="144" s="1"/>
  <c r="BK44" i="144"/>
  <c r="BK107" i="144" s="1"/>
  <c r="BJ44" i="144"/>
  <c r="BJ107" i="144" s="1"/>
  <c r="BI44" i="144"/>
  <c r="BH44" i="144"/>
  <c r="BG44" i="144"/>
  <c r="BG107" i="144" s="1"/>
  <c r="BF44" i="144"/>
  <c r="BF107" i="144" s="1"/>
  <c r="BE44" i="144"/>
  <c r="BE107" i="144" s="1"/>
  <c r="BD44" i="144"/>
  <c r="BD107" i="144" s="1"/>
  <c r="BC44" i="144"/>
  <c r="BC107" i="144" s="1"/>
  <c r="BB44" i="144"/>
  <c r="BB107" i="144" s="1"/>
  <c r="BA44" i="144"/>
  <c r="AZ44" i="144"/>
  <c r="AY44" i="144"/>
  <c r="AY107" i="144" s="1"/>
  <c r="AX44" i="144"/>
  <c r="AX107" i="144" s="1"/>
  <c r="AW44" i="144"/>
  <c r="AW107" i="144" s="1"/>
  <c r="AV44" i="144"/>
  <c r="AV107" i="144" s="1"/>
  <c r="AU44" i="144"/>
  <c r="AU107" i="144" s="1"/>
  <c r="I44" i="144"/>
  <c r="H44" i="144"/>
  <c r="G44" i="144"/>
  <c r="F44" i="144"/>
  <c r="A44" i="144"/>
  <c r="AS43" i="144"/>
  <c r="AR43" i="144"/>
  <c r="AQ43" i="144"/>
  <c r="AP43" i="144"/>
  <c r="AP44" i="144" s="1"/>
  <c r="AO43" i="144"/>
  <c r="AO44" i="144" s="1"/>
  <c r="AN43" i="144"/>
  <c r="AM43" i="144"/>
  <c r="AL43" i="144"/>
  <c r="AL44" i="144" s="1"/>
  <c r="AK43" i="144"/>
  <c r="AJ43" i="144"/>
  <c r="AI43" i="144"/>
  <c r="AH43" i="144"/>
  <c r="AH44" i="144" s="1"/>
  <c r="AG43" i="144"/>
  <c r="AG44" i="144" s="1"/>
  <c r="AF43" i="144"/>
  <c r="AE43" i="144"/>
  <c r="AD43" i="144"/>
  <c r="AD44" i="144" s="1"/>
  <c r="AC43" i="144"/>
  <c r="AB43" i="144"/>
  <c r="AA43" i="144"/>
  <c r="Z43" i="144"/>
  <c r="Z44" i="144" s="1"/>
  <c r="Y43" i="144"/>
  <c r="Y44" i="144" s="1"/>
  <c r="X43" i="144"/>
  <c r="W43" i="144"/>
  <c r="V43" i="144"/>
  <c r="V44" i="144" s="1"/>
  <c r="U43" i="144"/>
  <c r="T43" i="144"/>
  <c r="S43" i="144"/>
  <c r="R43" i="144"/>
  <c r="R44" i="144" s="1"/>
  <c r="Q43" i="144"/>
  <c r="Q44" i="144" s="1"/>
  <c r="P43" i="144"/>
  <c r="O43" i="144"/>
  <c r="N43" i="144"/>
  <c r="N44" i="144" s="1"/>
  <c r="M43" i="144"/>
  <c r="L43" i="144"/>
  <c r="K43" i="144"/>
  <c r="A43" i="144"/>
  <c r="AS42" i="144"/>
  <c r="AS54" i="144" s="1"/>
  <c r="AR42" i="144"/>
  <c r="AQ42" i="144"/>
  <c r="AP42" i="144"/>
  <c r="AO42" i="144"/>
  <c r="AN42" i="144"/>
  <c r="AM42" i="144"/>
  <c r="AL42" i="144"/>
  <c r="AK42" i="144"/>
  <c r="AJ42" i="144"/>
  <c r="AI42" i="144"/>
  <c r="AH42" i="144"/>
  <c r="AG42" i="144"/>
  <c r="AF42" i="144"/>
  <c r="AE42" i="144"/>
  <c r="AD42" i="144"/>
  <c r="AC42" i="144"/>
  <c r="AB42" i="144"/>
  <c r="AA42" i="144"/>
  <c r="Z42" i="144"/>
  <c r="Y42" i="144"/>
  <c r="X42" i="144"/>
  <c r="X54" i="144" s="1"/>
  <c r="W42" i="144"/>
  <c r="V42" i="144"/>
  <c r="V54" i="144" s="1"/>
  <c r="U42" i="144"/>
  <c r="T42" i="144"/>
  <c r="S42" i="144"/>
  <c r="R42" i="144"/>
  <c r="Q42" i="144"/>
  <c r="P42" i="144"/>
  <c r="O42" i="144"/>
  <c r="N42" i="144"/>
  <c r="M42" i="144"/>
  <c r="L42" i="144"/>
  <c r="K42" i="144"/>
  <c r="A42" i="144"/>
  <c r="AS41" i="144"/>
  <c r="AR41" i="144"/>
  <c r="AQ41" i="144"/>
  <c r="AP41" i="144"/>
  <c r="AO41" i="144"/>
  <c r="AN41" i="144"/>
  <c r="AM41" i="144"/>
  <c r="AL41" i="144"/>
  <c r="AK41" i="144"/>
  <c r="AJ41" i="144"/>
  <c r="AI41" i="144"/>
  <c r="AH41" i="144"/>
  <c r="AG41" i="144"/>
  <c r="AF41" i="144"/>
  <c r="AE41" i="144"/>
  <c r="AD41" i="144"/>
  <c r="AC41" i="144"/>
  <c r="AB41" i="144"/>
  <c r="AA41" i="144"/>
  <c r="Z41" i="144"/>
  <c r="Y41" i="144"/>
  <c r="X41" i="144"/>
  <c r="W41" i="144"/>
  <c r="V41" i="144"/>
  <c r="U41" i="144"/>
  <c r="T41" i="144"/>
  <c r="S41" i="144"/>
  <c r="R41" i="144"/>
  <c r="O41" i="144"/>
  <c r="N41" i="144"/>
  <c r="M41" i="144"/>
  <c r="L41" i="144"/>
  <c r="K41" i="144"/>
  <c r="A41" i="144"/>
  <c r="A40" i="144"/>
  <c r="AS39" i="144"/>
  <c r="AR39" i="144"/>
  <c r="AQ39" i="144"/>
  <c r="AP39" i="144"/>
  <c r="AO39" i="144"/>
  <c r="AN39" i="144"/>
  <c r="AM39" i="144"/>
  <c r="AL39" i="144"/>
  <c r="AK39" i="144"/>
  <c r="AJ39" i="144"/>
  <c r="AI39" i="144"/>
  <c r="AH39" i="144"/>
  <c r="AG39" i="144"/>
  <c r="AF39" i="144"/>
  <c r="AE39" i="144"/>
  <c r="AD39" i="144"/>
  <c r="AC39" i="144"/>
  <c r="AB39" i="144"/>
  <c r="AA39" i="144"/>
  <c r="Z39" i="144"/>
  <c r="Y39" i="144"/>
  <c r="X39" i="144"/>
  <c r="W39" i="144"/>
  <c r="V39" i="144"/>
  <c r="U39" i="144"/>
  <c r="T39" i="144"/>
  <c r="S39" i="144"/>
  <c r="R39" i="144"/>
  <c r="O39" i="144"/>
  <c r="N39" i="144"/>
  <c r="M39" i="144"/>
  <c r="L39" i="144"/>
  <c r="K39" i="144"/>
  <c r="A39" i="144"/>
  <c r="AS38" i="144"/>
  <c r="AR38" i="144"/>
  <c r="AQ38" i="144"/>
  <c r="AP38" i="144"/>
  <c r="AO38" i="144"/>
  <c r="AN38" i="144"/>
  <c r="AM38" i="144"/>
  <c r="AL38" i="144"/>
  <c r="AK38" i="144"/>
  <c r="AJ38" i="144"/>
  <c r="AI38" i="144"/>
  <c r="AH38" i="144"/>
  <c r="AG38" i="144"/>
  <c r="AF38" i="144"/>
  <c r="AE38" i="144"/>
  <c r="AD38" i="144"/>
  <c r="AC38" i="144"/>
  <c r="AB38" i="144"/>
  <c r="AA38" i="144"/>
  <c r="Z38" i="144"/>
  <c r="Y38" i="144"/>
  <c r="X38" i="144"/>
  <c r="W38" i="144"/>
  <c r="V38" i="144"/>
  <c r="U38" i="144"/>
  <c r="T38" i="144"/>
  <c r="S38" i="144"/>
  <c r="R38" i="144"/>
  <c r="O38" i="144"/>
  <c r="N38" i="144"/>
  <c r="M38" i="144"/>
  <c r="L38" i="144"/>
  <c r="K38" i="144"/>
  <c r="A38" i="144"/>
  <c r="AS37" i="144"/>
  <c r="AR37" i="144"/>
  <c r="AQ37" i="144"/>
  <c r="AP37" i="144"/>
  <c r="AO37" i="144"/>
  <c r="AN37" i="144"/>
  <c r="AM37" i="144"/>
  <c r="AL37" i="144"/>
  <c r="AK37" i="144"/>
  <c r="AJ37" i="144"/>
  <c r="AI37" i="144"/>
  <c r="AH37" i="144"/>
  <c r="AG37" i="144"/>
  <c r="AF37" i="144"/>
  <c r="AE37" i="144"/>
  <c r="AD37" i="144"/>
  <c r="AC37" i="144"/>
  <c r="AB37" i="144"/>
  <c r="AA37" i="144"/>
  <c r="Z37" i="144"/>
  <c r="Y37" i="144"/>
  <c r="X37" i="144"/>
  <c r="W37" i="144"/>
  <c r="V37" i="144"/>
  <c r="U37" i="144"/>
  <c r="T37" i="144"/>
  <c r="S37" i="144"/>
  <c r="R37" i="144"/>
  <c r="O37" i="144"/>
  <c r="N37" i="144"/>
  <c r="M37" i="144"/>
  <c r="L37" i="144"/>
  <c r="K37" i="144"/>
  <c r="A37" i="144"/>
  <c r="AS36" i="144"/>
  <c r="AR36" i="144"/>
  <c r="AQ36" i="144"/>
  <c r="AP36" i="144"/>
  <c r="AO36" i="144"/>
  <c r="AN36" i="144"/>
  <c r="AM36" i="144"/>
  <c r="AL36" i="144"/>
  <c r="AK36" i="144"/>
  <c r="AJ36" i="144"/>
  <c r="AI36" i="144"/>
  <c r="AH36" i="144"/>
  <c r="AG36" i="144"/>
  <c r="AF36" i="144"/>
  <c r="AE36" i="144"/>
  <c r="AD36" i="144"/>
  <c r="AC36" i="144"/>
  <c r="AB36" i="144"/>
  <c r="AA36" i="144"/>
  <c r="Z36" i="144"/>
  <c r="X36" i="144"/>
  <c r="W36" i="144"/>
  <c r="V36" i="144"/>
  <c r="U36" i="144"/>
  <c r="T36" i="144"/>
  <c r="S36" i="144"/>
  <c r="R36" i="144"/>
  <c r="O36" i="144"/>
  <c r="N36" i="144"/>
  <c r="M36" i="144"/>
  <c r="L36" i="144"/>
  <c r="K36" i="144"/>
  <c r="A36" i="144"/>
  <c r="AS35" i="144"/>
  <c r="AR35" i="144"/>
  <c r="AQ35" i="144"/>
  <c r="AQ127" i="144" s="1"/>
  <c r="AP35" i="144"/>
  <c r="AO35" i="144"/>
  <c r="AN35" i="144"/>
  <c r="AM35" i="144"/>
  <c r="AL35" i="144"/>
  <c r="AK35" i="144"/>
  <c r="AJ35" i="144"/>
  <c r="AI35" i="144"/>
  <c r="AI127" i="144" s="1"/>
  <c r="AH35" i="144"/>
  <c r="AH67" i="144" s="1"/>
  <c r="AG35" i="144"/>
  <c r="AG67" i="144" s="1"/>
  <c r="AF35" i="144"/>
  <c r="AE35" i="144"/>
  <c r="AE93" i="144" s="1"/>
  <c r="AD35" i="144"/>
  <c r="AD67" i="144" s="1"/>
  <c r="AC35" i="144"/>
  <c r="AB35" i="144"/>
  <c r="AB67" i="144" s="1"/>
  <c r="AA35" i="144"/>
  <c r="AA67" i="144" s="1"/>
  <c r="Z35" i="144"/>
  <c r="Z67" i="144" s="1"/>
  <c r="Y35" i="144"/>
  <c r="Y50" i="144" s="1"/>
  <c r="X35" i="144"/>
  <c r="W35" i="144"/>
  <c r="W67" i="144" s="1"/>
  <c r="V35" i="144"/>
  <c r="V93" i="144" s="1"/>
  <c r="U35" i="144"/>
  <c r="T35" i="144"/>
  <c r="T67" i="144" s="1"/>
  <c r="S35" i="144"/>
  <c r="S127" i="144" s="1"/>
  <c r="R35" i="144"/>
  <c r="O35" i="144"/>
  <c r="O67" i="144" s="1"/>
  <c r="N35" i="144"/>
  <c r="N67" i="144" s="1"/>
  <c r="M35" i="144"/>
  <c r="L35" i="144"/>
  <c r="L67" i="144" s="1"/>
  <c r="K35" i="144"/>
  <c r="K127" i="144" s="1"/>
  <c r="A35" i="144"/>
  <c r="A34" i="144"/>
  <c r="CL33" i="144"/>
  <c r="CK33" i="144"/>
  <c r="CJ33" i="144"/>
  <c r="AN33" i="144" s="1"/>
  <c r="CI33" i="144"/>
  <c r="AR33" i="144" s="1"/>
  <c r="CH33" i="144"/>
  <c r="CG33" i="144"/>
  <c r="CF33" i="144"/>
  <c r="CE33" i="144"/>
  <c r="AL33" i="144" s="1"/>
  <c r="CD33" i="144"/>
  <c r="AP33" i="144" s="1"/>
  <c r="CC33" i="144"/>
  <c r="AO33" i="144" s="1"/>
  <c r="CB33" i="144"/>
  <c r="AK33" i="144" s="1"/>
  <c r="CA33" i="144"/>
  <c r="AF33" i="144" s="1"/>
  <c r="BZ33" i="144"/>
  <c r="AH33" i="144" s="1"/>
  <c r="BY33" i="144"/>
  <c r="AJ33" i="144" s="1"/>
  <c r="BX33" i="144"/>
  <c r="AC33" i="144" s="1"/>
  <c r="BW33" i="144"/>
  <c r="AI33" i="144" s="1"/>
  <c r="BV33" i="144"/>
  <c r="AG33" i="144" s="1"/>
  <c r="BU33" i="144"/>
  <c r="AD33" i="144" s="1"/>
  <c r="BT33" i="144"/>
  <c r="BS33" i="144"/>
  <c r="BR33" i="144"/>
  <c r="W33" i="144" s="1"/>
  <c r="BQ33" i="144"/>
  <c r="BP33" i="144"/>
  <c r="AB33" i="144" s="1"/>
  <c r="BO33" i="144"/>
  <c r="BN33" i="144"/>
  <c r="BM33" i="144"/>
  <c r="Z33" i="144" s="1"/>
  <c r="BL33" i="144"/>
  <c r="BK33" i="144"/>
  <c r="BJ33" i="144"/>
  <c r="BI33" i="144"/>
  <c r="BH33" i="144"/>
  <c r="BG33" i="144"/>
  <c r="BF33" i="144"/>
  <c r="K33" i="144" s="1"/>
  <c r="BE33" i="144"/>
  <c r="O33" i="144" s="1"/>
  <c r="BD33" i="144"/>
  <c r="M33" i="144" s="1"/>
  <c r="BC33" i="144"/>
  <c r="U33" i="144" s="1"/>
  <c r="BB33" i="144"/>
  <c r="T33" i="144" s="1"/>
  <c r="BA33" i="144"/>
  <c r="AZ33" i="144"/>
  <c r="AY33" i="144"/>
  <c r="L33" i="144" s="1"/>
  <c r="AX33" i="144"/>
  <c r="AW33" i="144"/>
  <c r="N33" i="144" s="1"/>
  <c r="AV33" i="144"/>
  <c r="S33" i="144" s="1"/>
  <c r="AU33" i="144"/>
  <c r="Q33" i="144" s="1"/>
  <c r="AM33" i="144"/>
  <c r="I33" i="144"/>
  <c r="H33" i="144"/>
  <c r="G33" i="144"/>
  <c r="F33" i="144"/>
  <c r="A33" i="144"/>
  <c r="AR32" i="144"/>
  <c r="AQ32" i="144"/>
  <c r="AP32" i="144"/>
  <c r="AO32" i="144"/>
  <c r="AN32" i="144"/>
  <c r="AM32" i="144"/>
  <c r="AL32" i="144"/>
  <c r="AK32" i="144"/>
  <c r="AJ32" i="144"/>
  <c r="AI32" i="144"/>
  <c r="AH32" i="144"/>
  <c r="AG32" i="144"/>
  <c r="AF32" i="144"/>
  <c r="AD32" i="144"/>
  <c r="AC32" i="144"/>
  <c r="AB32" i="144"/>
  <c r="W32" i="144"/>
  <c r="U32" i="144"/>
  <c r="T32" i="144"/>
  <c r="S32" i="144"/>
  <c r="O32" i="144"/>
  <c r="N32" i="144"/>
  <c r="M32" i="144"/>
  <c r="L32" i="144"/>
  <c r="K32" i="144"/>
  <c r="A32" i="144"/>
  <c r="CL31" i="144"/>
  <c r="BJ31" i="144"/>
  <c r="B31" i="144"/>
  <c r="A31" i="144"/>
  <c r="AH30" i="144"/>
  <c r="A30" i="144"/>
  <c r="AS29" i="144"/>
  <c r="AR29" i="144"/>
  <c r="AQ29" i="144"/>
  <c r="AP29" i="144"/>
  <c r="AO29" i="144"/>
  <c r="AN29" i="144"/>
  <c r="AM29" i="144"/>
  <c r="AL29" i="144"/>
  <c r="AK29" i="144"/>
  <c r="AJ29" i="144"/>
  <c r="AI29" i="144"/>
  <c r="AH29" i="144"/>
  <c r="AG29" i="144"/>
  <c r="AF29" i="144"/>
  <c r="AE29" i="144"/>
  <c r="AD29" i="144"/>
  <c r="AC29" i="144"/>
  <c r="AB29" i="144"/>
  <c r="AA29" i="144"/>
  <c r="Z29" i="144"/>
  <c r="Y29" i="144"/>
  <c r="X29" i="144"/>
  <c r="W29" i="144"/>
  <c r="V29" i="144"/>
  <c r="U29" i="144"/>
  <c r="T29" i="144"/>
  <c r="S29" i="144"/>
  <c r="R29" i="144"/>
  <c r="O29" i="144"/>
  <c r="N29" i="144"/>
  <c r="M29" i="144"/>
  <c r="L29" i="144"/>
  <c r="K29" i="144"/>
  <c r="A29" i="144"/>
  <c r="AS28" i="144"/>
  <c r="AR28" i="144"/>
  <c r="AQ28" i="144"/>
  <c r="AP28" i="144"/>
  <c r="AO28" i="144"/>
  <c r="AN28" i="144"/>
  <c r="AM28" i="144"/>
  <c r="AL28" i="144"/>
  <c r="AK28" i="144"/>
  <c r="AJ28" i="144"/>
  <c r="AI28" i="144"/>
  <c r="AH28" i="144"/>
  <c r="AG28" i="144"/>
  <c r="AF28" i="144"/>
  <c r="AE28" i="144"/>
  <c r="AD28" i="144"/>
  <c r="AC28" i="144"/>
  <c r="AB28" i="144"/>
  <c r="AA28" i="144"/>
  <c r="Z28" i="144"/>
  <c r="Y28" i="144"/>
  <c r="X28" i="144"/>
  <c r="W28" i="144"/>
  <c r="V28" i="144"/>
  <c r="U28" i="144"/>
  <c r="T28" i="144"/>
  <c r="S28" i="144"/>
  <c r="R28" i="144"/>
  <c r="O28" i="144"/>
  <c r="N28" i="144"/>
  <c r="M28" i="144"/>
  <c r="L28" i="144"/>
  <c r="K28" i="144"/>
  <c r="A28" i="144"/>
  <c r="AS27" i="144"/>
  <c r="AR27" i="144"/>
  <c r="AQ27" i="144"/>
  <c r="AP27" i="144"/>
  <c r="AO27" i="144"/>
  <c r="AN27" i="144"/>
  <c r="AM27" i="144"/>
  <c r="AL27" i="144"/>
  <c r="AK27" i="144"/>
  <c r="AJ27" i="144"/>
  <c r="AI27" i="144"/>
  <c r="AH27" i="144"/>
  <c r="AG27" i="144"/>
  <c r="AF27" i="144"/>
  <c r="AE27" i="144"/>
  <c r="AD27" i="144"/>
  <c r="AC27" i="144"/>
  <c r="AB27" i="144"/>
  <c r="AA27" i="144"/>
  <c r="Z27" i="144"/>
  <c r="Y27" i="144"/>
  <c r="X27" i="144"/>
  <c r="W27" i="144"/>
  <c r="V27" i="144"/>
  <c r="U27" i="144"/>
  <c r="T27" i="144"/>
  <c r="S27" i="144"/>
  <c r="R27" i="144"/>
  <c r="O27" i="144"/>
  <c r="N27" i="144"/>
  <c r="M27" i="144"/>
  <c r="L27" i="144"/>
  <c r="A27" i="144"/>
  <c r="AS26" i="144"/>
  <c r="AR26" i="144"/>
  <c r="AQ26" i="144"/>
  <c r="AP26" i="144"/>
  <c r="AO26" i="144"/>
  <c r="AN26" i="144"/>
  <c r="AM26" i="144"/>
  <c r="AL26" i="144"/>
  <c r="AK26" i="144"/>
  <c r="AJ26" i="144"/>
  <c r="AI26" i="144"/>
  <c r="AH26" i="144"/>
  <c r="AG26" i="144"/>
  <c r="AF26" i="144"/>
  <c r="AE26" i="144"/>
  <c r="AD26" i="144"/>
  <c r="AC26" i="144"/>
  <c r="AB26" i="144"/>
  <c r="AA26" i="144"/>
  <c r="Z26" i="144"/>
  <c r="Y26" i="144"/>
  <c r="X26" i="144"/>
  <c r="W26" i="144"/>
  <c r="V26" i="144"/>
  <c r="U26" i="144"/>
  <c r="T26" i="144"/>
  <c r="S26" i="144"/>
  <c r="R26" i="144"/>
  <c r="O26" i="144"/>
  <c r="N26" i="144"/>
  <c r="M26" i="144"/>
  <c r="L26" i="144"/>
  <c r="A26" i="144"/>
  <c r="AS25" i="144"/>
  <c r="AR25" i="144"/>
  <c r="AQ25" i="144"/>
  <c r="AP25" i="144"/>
  <c r="AO25" i="144"/>
  <c r="AN25" i="144"/>
  <c r="AM25" i="144"/>
  <c r="AL25" i="144"/>
  <c r="AK25" i="144"/>
  <c r="AJ25" i="144"/>
  <c r="AI25" i="144"/>
  <c r="AH25" i="144"/>
  <c r="AG25" i="144"/>
  <c r="AF25" i="144"/>
  <c r="AE25" i="144"/>
  <c r="AD25" i="144"/>
  <c r="AC25" i="144"/>
  <c r="AB25" i="144"/>
  <c r="AA25" i="144"/>
  <c r="Z25" i="144"/>
  <c r="Y25" i="144"/>
  <c r="X25" i="144"/>
  <c r="W25" i="144"/>
  <c r="V25" i="144"/>
  <c r="U25" i="144"/>
  <c r="T25" i="144"/>
  <c r="S25" i="144"/>
  <c r="R25" i="144"/>
  <c r="O25" i="144"/>
  <c r="N25" i="144"/>
  <c r="M25" i="144"/>
  <c r="L25" i="144"/>
  <c r="A25" i="144"/>
  <c r="AS24" i="144"/>
  <c r="AR24" i="144"/>
  <c r="AQ24" i="144"/>
  <c r="AP24" i="144"/>
  <c r="AO24" i="144"/>
  <c r="AN24" i="144"/>
  <c r="AM24" i="144"/>
  <c r="AL24" i="144"/>
  <c r="AK24" i="144"/>
  <c r="AJ24" i="144"/>
  <c r="AI24" i="144"/>
  <c r="AH24" i="144"/>
  <c r="AG24" i="144"/>
  <c r="AF24" i="144"/>
  <c r="AE24" i="144"/>
  <c r="AD24" i="144"/>
  <c r="AC24" i="144"/>
  <c r="AB24" i="144"/>
  <c r="AA24" i="144"/>
  <c r="Z24" i="144"/>
  <c r="Y24" i="144"/>
  <c r="X24" i="144"/>
  <c r="W24" i="144"/>
  <c r="V24" i="144"/>
  <c r="U24" i="144"/>
  <c r="T24" i="144"/>
  <c r="S24" i="144"/>
  <c r="R24" i="144"/>
  <c r="O24" i="144"/>
  <c r="N24" i="144"/>
  <c r="M24" i="144"/>
  <c r="L24" i="144"/>
  <c r="A24" i="144"/>
  <c r="AQ30" i="144"/>
  <c r="AN30" i="144"/>
  <c r="CI31" i="144"/>
  <c r="AR31" i="144" s="1"/>
  <c r="CH31" i="144"/>
  <c r="AM31" i="144" s="1"/>
  <c r="CF31" i="144"/>
  <c r="CE31" i="144"/>
  <c r="AL31" i="144" s="1"/>
  <c r="CC31" i="144"/>
  <c r="AO31" i="144" s="1"/>
  <c r="AK30" i="144"/>
  <c r="AF30" i="144"/>
  <c r="BZ31" i="144"/>
  <c r="AH31" i="144" s="1"/>
  <c r="AJ23" i="144"/>
  <c r="BX31" i="144"/>
  <c r="AC31" i="144" s="1"/>
  <c r="AI30" i="144"/>
  <c r="AD30" i="144"/>
  <c r="W30" i="144"/>
  <c r="AA23" i="144"/>
  <c r="BP31" i="144"/>
  <c r="AB31" i="144" s="1"/>
  <c r="BM31" i="144"/>
  <c r="Z31" i="144" s="1"/>
  <c r="V23" i="144"/>
  <c r="V32" i="144" s="1"/>
  <c r="V33" i="144" s="1"/>
  <c r="BH31" i="144"/>
  <c r="BG31" i="144"/>
  <c r="BE31" i="144"/>
  <c r="O31" i="144" s="1"/>
  <c r="M30" i="144"/>
  <c r="U30" i="144"/>
  <c r="T23" i="144"/>
  <c r="AZ31" i="144"/>
  <c r="L23" i="144"/>
  <c r="AS23" i="144"/>
  <c r="AS30" i="144" s="1"/>
  <c r="AO23" i="144"/>
  <c r="AL23" i="144"/>
  <c r="AI23" i="144"/>
  <c r="AH23" i="144"/>
  <c r="AC23" i="144"/>
  <c r="AB23" i="144"/>
  <c r="Z23" i="144"/>
  <c r="O23" i="144"/>
  <c r="A23" i="144"/>
  <c r="Q22" i="144"/>
  <c r="A22" i="144"/>
  <c r="A21" i="144"/>
  <c r="AS20" i="144"/>
  <c r="AS21" i="144" s="1"/>
  <c r="AR20" i="144"/>
  <c r="AR21" i="144" s="1"/>
  <c r="AQ20" i="144"/>
  <c r="AP20" i="144"/>
  <c r="AP21" i="144" s="1"/>
  <c r="AO20" i="144"/>
  <c r="AO21" i="144" s="1"/>
  <c r="AN20" i="144"/>
  <c r="AM20" i="144"/>
  <c r="AL20" i="144"/>
  <c r="AK20" i="144"/>
  <c r="AK21" i="144" s="1"/>
  <c r="AJ20" i="144"/>
  <c r="AJ21" i="144" s="1"/>
  <c r="AI20" i="144"/>
  <c r="AH20" i="144"/>
  <c r="AH21" i="144" s="1"/>
  <c r="AG20" i="144"/>
  <c r="AG21" i="144" s="1"/>
  <c r="AF20" i="144"/>
  <c r="AE20" i="144"/>
  <c r="AD20" i="144"/>
  <c r="AC20" i="144"/>
  <c r="AC21" i="144" s="1"/>
  <c r="AB20" i="144"/>
  <c r="AB21" i="144" s="1"/>
  <c r="AA20" i="144"/>
  <c r="Z20" i="144"/>
  <c r="Z21" i="144" s="1"/>
  <c r="Y20" i="144"/>
  <c r="Y21" i="144" s="1"/>
  <c r="X20" i="144"/>
  <c r="W20" i="144"/>
  <c r="V20" i="144"/>
  <c r="U20" i="144"/>
  <c r="U21" i="144" s="1"/>
  <c r="T20" i="144"/>
  <c r="T21" i="144" s="1"/>
  <c r="S20" i="144"/>
  <c r="R21" i="144"/>
  <c r="Q21" i="144"/>
  <c r="O20" i="144"/>
  <c r="N20" i="144"/>
  <c r="M20" i="144"/>
  <c r="M21" i="144" s="1"/>
  <c r="L20" i="144"/>
  <c r="L21" i="144" s="1"/>
  <c r="K20" i="144"/>
  <c r="A20" i="144"/>
  <c r="AS19" i="144"/>
  <c r="AR19" i="144"/>
  <c r="AQ19" i="144"/>
  <c r="AP19" i="144"/>
  <c r="AO19" i="144"/>
  <c r="AN19" i="144"/>
  <c r="AM19" i="144"/>
  <c r="AL19" i="144"/>
  <c r="AK19" i="144"/>
  <c r="AJ19" i="144"/>
  <c r="AI19" i="144"/>
  <c r="AH19" i="144"/>
  <c r="AG19" i="144"/>
  <c r="AF19" i="144"/>
  <c r="AE19" i="144"/>
  <c r="AD19" i="144"/>
  <c r="AC19" i="144"/>
  <c r="AB19" i="144"/>
  <c r="AA19" i="144"/>
  <c r="Z19" i="144"/>
  <c r="Y19" i="144"/>
  <c r="X19" i="144"/>
  <c r="W19" i="144"/>
  <c r="V19" i="144"/>
  <c r="U19" i="144"/>
  <c r="T19" i="144"/>
  <c r="S19" i="144"/>
  <c r="R19" i="144"/>
  <c r="Q19" i="144"/>
  <c r="P19" i="144"/>
  <c r="O19" i="144"/>
  <c r="N19" i="144"/>
  <c r="M19" i="144"/>
  <c r="L19" i="144"/>
  <c r="K19" i="144"/>
  <c r="I19" i="144"/>
  <c r="H19" i="144"/>
  <c r="G19" i="144"/>
  <c r="F19" i="144"/>
  <c r="A19" i="144"/>
  <c r="AS18" i="144"/>
  <c r="AR18" i="144"/>
  <c r="AQ18" i="144"/>
  <c r="AP18" i="144"/>
  <c r="AO18" i="144"/>
  <c r="AN18" i="144"/>
  <c r="AM18" i="144"/>
  <c r="AL18" i="144"/>
  <c r="AK18" i="144"/>
  <c r="AJ18" i="144"/>
  <c r="AI18" i="144"/>
  <c r="AH18" i="144"/>
  <c r="AG18" i="144"/>
  <c r="AF18" i="144"/>
  <c r="AE18" i="144"/>
  <c r="AD18" i="144"/>
  <c r="AC18" i="144"/>
  <c r="AB18" i="144"/>
  <c r="AA18" i="144"/>
  <c r="Z18" i="144"/>
  <c r="Y18" i="144"/>
  <c r="X18" i="144"/>
  <c r="W18" i="144"/>
  <c r="V18" i="144"/>
  <c r="U18" i="144"/>
  <c r="T18" i="144"/>
  <c r="S18" i="144"/>
  <c r="R18" i="144"/>
  <c r="Q18" i="144"/>
  <c r="P18" i="144"/>
  <c r="O18" i="144"/>
  <c r="N18" i="144"/>
  <c r="M18" i="144"/>
  <c r="L18" i="144"/>
  <c r="K18" i="144"/>
  <c r="A18" i="144"/>
  <c r="AR17" i="144"/>
  <c r="AQ17" i="144"/>
  <c r="AP17" i="144"/>
  <c r="AO17" i="144"/>
  <c r="AN17" i="144"/>
  <c r="AM17" i="144"/>
  <c r="AL17" i="144"/>
  <c r="AK17" i="144"/>
  <c r="AJ17" i="144"/>
  <c r="AI17" i="144"/>
  <c r="AH17" i="144"/>
  <c r="AG17" i="144"/>
  <c r="AF17" i="144"/>
  <c r="AD17" i="144"/>
  <c r="AC17" i="144"/>
  <c r="AB17" i="144"/>
  <c r="Z17" i="144"/>
  <c r="W17" i="144"/>
  <c r="U17" i="144"/>
  <c r="T17" i="144"/>
  <c r="S17" i="144"/>
  <c r="Q17" i="144"/>
  <c r="O17" i="144"/>
  <c r="N17" i="144"/>
  <c r="M17" i="144"/>
  <c r="L17" i="144"/>
  <c r="K17" i="144"/>
  <c r="I17" i="144"/>
  <c r="H17" i="144"/>
  <c r="G17" i="144"/>
  <c r="F17" i="144"/>
  <c r="A17" i="144"/>
  <c r="AS16" i="144"/>
  <c r="AS17" i="144" s="1"/>
  <c r="AR16" i="144"/>
  <c r="AQ16" i="144"/>
  <c r="AP16" i="144"/>
  <c r="AO16" i="144"/>
  <c r="AN16" i="144"/>
  <c r="AM16" i="144"/>
  <c r="AL16" i="144"/>
  <c r="AK16" i="144"/>
  <c r="AJ16" i="144"/>
  <c r="AI16" i="144"/>
  <c r="AH16" i="144"/>
  <c r="AG16" i="144"/>
  <c r="AF16" i="144"/>
  <c r="AE16" i="144"/>
  <c r="AE17" i="144" s="1"/>
  <c r="AD16" i="144"/>
  <c r="AC16" i="144"/>
  <c r="AB16" i="144"/>
  <c r="AA16" i="144"/>
  <c r="AA17" i="144" s="1"/>
  <c r="Z16" i="144"/>
  <c r="Y16" i="144"/>
  <c r="Y17" i="144" s="1"/>
  <c r="X16" i="144"/>
  <c r="X17" i="144" s="1"/>
  <c r="W16" i="144"/>
  <c r="V16" i="144"/>
  <c r="V17" i="144" s="1"/>
  <c r="U16" i="144"/>
  <c r="T16" i="144"/>
  <c r="S16" i="144"/>
  <c r="R16" i="144"/>
  <c r="R17" i="144" s="1"/>
  <c r="Q16" i="144"/>
  <c r="P16" i="144"/>
  <c r="P17" i="144" s="1"/>
  <c r="O16" i="144"/>
  <c r="N16" i="144"/>
  <c r="M16" i="144"/>
  <c r="L16" i="144"/>
  <c r="K16" i="144"/>
  <c r="A16" i="144"/>
  <c r="A15" i="144"/>
  <c r="CL14" i="144"/>
  <c r="CK14" i="144"/>
  <c r="CJ14" i="144"/>
  <c r="AN14" i="144" s="1"/>
  <c r="CI14" i="144"/>
  <c r="AR14" i="144" s="1"/>
  <c r="CH14" i="144"/>
  <c r="AM14" i="144" s="1"/>
  <c r="CG14" i="144"/>
  <c r="CF14" i="144"/>
  <c r="CE14" i="144"/>
  <c r="AL14" i="144" s="1"/>
  <c r="CD14" i="144"/>
  <c r="AP14" i="144" s="1"/>
  <c r="CC14" i="144"/>
  <c r="CB14" i="144"/>
  <c r="AK14" i="144" s="1"/>
  <c r="CA14" i="144"/>
  <c r="AF14" i="144" s="1"/>
  <c r="BZ14" i="144"/>
  <c r="BY14" i="144"/>
  <c r="AJ14" i="144" s="1"/>
  <c r="BX14" i="144"/>
  <c r="BW14" i="144"/>
  <c r="BV14" i="144"/>
  <c r="AG14" i="144" s="1"/>
  <c r="BU14" i="144"/>
  <c r="AD14" i="144" s="1"/>
  <c r="BT14" i="144"/>
  <c r="BS14" i="144"/>
  <c r="BR14" i="144"/>
  <c r="W14" i="144" s="1"/>
  <c r="BQ14" i="144"/>
  <c r="BP14" i="144"/>
  <c r="BO14" i="144"/>
  <c r="BN14" i="144"/>
  <c r="BM14" i="144"/>
  <c r="BL14" i="144"/>
  <c r="BK14" i="144"/>
  <c r="BJ14" i="144"/>
  <c r="BI14" i="144"/>
  <c r="BH14" i="144"/>
  <c r="BG14" i="144"/>
  <c r="BF14" i="144"/>
  <c r="K14" i="144" s="1"/>
  <c r="BE14" i="144"/>
  <c r="O14" i="144" s="1"/>
  <c r="BD14" i="144"/>
  <c r="M14" i="144" s="1"/>
  <c r="BC14" i="144"/>
  <c r="BB14" i="144"/>
  <c r="T14" i="144" s="1"/>
  <c r="BA14" i="144"/>
  <c r="AZ14" i="144"/>
  <c r="AY14" i="144"/>
  <c r="L14" i="144" s="1"/>
  <c r="AX14" i="144"/>
  <c r="AW14" i="144"/>
  <c r="N14" i="144" s="1"/>
  <c r="AV14" i="144"/>
  <c r="S14" i="144" s="1"/>
  <c r="AU14" i="144"/>
  <c r="Q14" i="144" s="1"/>
  <c r="A14" i="144"/>
  <c r="AS13" i="144"/>
  <c r="AR13" i="144"/>
  <c r="AQ13" i="144"/>
  <c r="AP13" i="144"/>
  <c r="AO13" i="144"/>
  <c r="AN13" i="144"/>
  <c r="AM13" i="144"/>
  <c r="AL13" i="144"/>
  <c r="AK13" i="144"/>
  <c r="AJ13" i="144"/>
  <c r="AI13" i="144"/>
  <c r="AH13" i="144"/>
  <c r="AG13" i="144"/>
  <c r="AF13" i="144"/>
  <c r="AE13" i="144"/>
  <c r="AD13" i="144"/>
  <c r="AC13" i="144"/>
  <c r="AB13" i="144"/>
  <c r="AA13" i="144"/>
  <c r="Z13" i="144"/>
  <c r="Y13" i="144"/>
  <c r="X13" i="144"/>
  <c r="W13" i="144"/>
  <c r="V13" i="144"/>
  <c r="U13" i="144"/>
  <c r="T13" i="144"/>
  <c r="S13" i="144"/>
  <c r="R13" i="144"/>
  <c r="R14" i="144" s="1"/>
  <c r="P13" i="144"/>
  <c r="O13" i="144"/>
  <c r="N13" i="144"/>
  <c r="M13" i="144"/>
  <c r="L13" i="144"/>
  <c r="K13" i="144"/>
  <c r="I13" i="144"/>
  <c r="I14" i="144" s="1"/>
  <c r="H13" i="144"/>
  <c r="G13" i="144"/>
  <c r="F13" i="144"/>
  <c r="A13" i="144"/>
  <c r="A12" i="144"/>
  <c r="AS11" i="144"/>
  <c r="AR11" i="144"/>
  <c r="AQ11" i="144"/>
  <c r="AP11" i="144"/>
  <c r="AO11" i="144"/>
  <c r="AN11" i="144"/>
  <c r="AM11" i="144"/>
  <c r="AL11" i="144"/>
  <c r="AK11" i="144"/>
  <c r="AJ11" i="144"/>
  <c r="AI11" i="144"/>
  <c r="AH11" i="144"/>
  <c r="AG11" i="144"/>
  <c r="AF11" i="144"/>
  <c r="AE11" i="144"/>
  <c r="AD11" i="144"/>
  <c r="AC11" i="144"/>
  <c r="AB11" i="144"/>
  <c r="AA11" i="144"/>
  <c r="Z11" i="144"/>
  <c r="Y11" i="144"/>
  <c r="X11" i="144"/>
  <c r="W11" i="144"/>
  <c r="V11" i="144"/>
  <c r="U11" i="144"/>
  <c r="T11" i="144"/>
  <c r="S11" i="144"/>
  <c r="R11" i="144"/>
  <c r="Q11" i="144"/>
  <c r="P11" i="144"/>
  <c r="O11" i="144"/>
  <c r="N11" i="144"/>
  <c r="M11" i="144"/>
  <c r="L11" i="144"/>
  <c r="K11" i="144"/>
  <c r="I11" i="144"/>
  <c r="H11" i="144"/>
  <c r="G11" i="144"/>
  <c r="F11" i="144"/>
  <c r="A11" i="144"/>
  <c r="AS10" i="144"/>
  <c r="AR10" i="144"/>
  <c r="AQ10" i="144"/>
  <c r="AP10" i="144"/>
  <c r="AO10" i="144"/>
  <c r="AN10" i="144"/>
  <c r="AM10" i="144"/>
  <c r="AL10" i="144"/>
  <c r="AK10" i="144"/>
  <c r="AJ10" i="144"/>
  <c r="AI10" i="144"/>
  <c r="AH10" i="144"/>
  <c r="AG10" i="144"/>
  <c r="AF10" i="144"/>
  <c r="AE10" i="144"/>
  <c r="AD10" i="144"/>
  <c r="AC10" i="144"/>
  <c r="AB10" i="144"/>
  <c r="AA10" i="144"/>
  <c r="Z10" i="144"/>
  <c r="Y10" i="144"/>
  <c r="X10" i="144"/>
  <c r="W10" i="144"/>
  <c r="V10" i="144"/>
  <c r="U10" i="144"/>
  <c r="T10" i="144"/>
  <c r="S10" i="144"/>
  <c r="R10" i="144"/>
  <c r="Q10" i="144"/>
  <c r="P10" i="144"/>
  <c r="O10" i="144"/>
  <c r="N10" i="144"/>
  <c r="M10" i="144"/>
  <c r="L10" i="144"/>
  <c r="K10" i="144"/>
  <c r="I10" i="144"/>
  <c r="H10" i="144"/>
  <c r="G10" i="144"/>
  <c r="F10" i="144"/>
  <c r="A10" i="144"/>
  <c r="AS9" i="144"/>
  <c r="AR9" i="144"/>
  <c r="AQ9" i="144"/>
  <c r="AP9" i="144"/>
  <c r="AO9" i="144"/>
  <c r="AN9" i="144"/>
  <c r="AM9" i="144"/>
  <c r="AL9" i="144"/>
  <c r="AK9" i="144"/>
  <c r="AJ9" i="144"/>
  <c r="AI9" i="144"/>
  <c r="AH9" i="144"/>
  <c r="AG9" i="144"/>
  <c r="AF9" i="144"/>
  <c r="AE9" i="144"/>
  <c r="AD9" i="144"/>
  <c r="AC9" i="144"/>
  <c r="AB9" i="144"/>
  <c r="AA9" i="144"/>
  <c r="Z9" i="144"/>
  <c r="Y9" i="144"/>
  <c r="X9" i="144"/>
  <c r="W9" i="144"/>
  <c r="V9" i="144"/>
  <c r="U9" i="144"/>
  <c r="T9" i="144"/>
  <c r="S9" i="144"/>
  <c r="R9" i="144"/>
  <c r="Q9" i="144"/>
  <c r="P9" i="144"/>
  <c r="O9" i="144"/>
  <c r="N9" i="144"/>
  <c r="M9" i="144"/>
  <c r="L9" i="144"/>
  <c r="K9" i="144"/>
  <c r="I9" i="144"/>
  <c r="H9" i="144"/>
  <c r="G9" i="144"/>
  <c r="F9" i="144"/>
  <c r="A9" i="144"/>
  <c r="AS8" i="144"/>
  <c r="AR8" i="144"/>
  <c r="AQ8" i="144"/>
  <c r="AP8" i="144"/>
  <c r="AO8" i="144"/>
  <c r="AN8" i="144"/>
  <c r="AM8" i="144"/>
  <c r="AL8" i="144"/>
  <c r="AK8" i="144"/>
  <c r="AJ8" i="144"/>
  <c r="A8" i="144"/>
  <c r="AS7" i="144"/>
  <c r="AR7" i="144"/>
  <c r="AQ7" i="144"/>
  <c r="AP7" i="144"/>
  <c r="AO7" i="144"/>
  <c r="AN7" i="144"/>
  <c r="AM7" i="144"/>
  <c r="AL7" i="144"/>
  <c r="AK7" i="144"/>
  <c r="AJ7" i="144"/>
  <c r="AI7" i="144"/>
  <c r="AH7" i="144"/>
  <c r="AG7" i="144"/>
  <c r="AF7" i="144"/>
  <c r="AE7" i="144"/>
  <c r="AD7" i="144"/>
  <c r="AC7" i="144"/>
  <c r="AB7" i="144"/>
  <c r="AA7" i="144"/>
  <c r="A7" i="144"/>
  <c r="A6" i="144"/>
  <c r="CL5" i="144"/>
  <c r="CK5" i="144"/>
  <c r="CJ5" i="144"/>
  <c r="CI5" i="144"/>
  <c r="CH5" i="144"/>
  <c r="CG5" i="144"/>
  <c r="CF5" i="144"/>
  <c r="CE5" i="144"/>
  <c r="CD5" i="144"/>
  <c r="CC5" i="144"/>
  <c r="CB5" i="144"/>
  <c r="CA5" i="144"/>
  <c r="BZ5" i="144"/>
  <c r="BY5" i="144"/>
  <c r="BX5" i="144"/>
  <c r="BW5" i="144"/>
  <c r="BV5" i="144"/>
  <c r="BU5" i="144"/>
  <c r="BT5" i="144"/>
  <c r="BS5" i="144"/>
  <c r="BR5" i="144"/>
  <c r="BQ5" i="144"/>
  <c r="BP5" i="144"/>
  <c r="BO5" i="144"/>
  <c r="BN5" i="144"/>
  <c r="BM5" i="144"/>
  <c r="BL5" i="144"/>
  <c r="BK5" i="144"/>
  <c r="BJ5" i="144"/>
  <c r="BI5" i="144"/>
  <c r="BH5" i="144"/>
  <c r="BG5" i="144"/>
  <c r="BF5" i="144"/>
  <c r="BE5" i="144"/>
  <c r="BD5" i="144"/>
  <c r="BC5" i="144"/>
  <c r="BB5" i="144"/>
  <c r="BA5" i="144"/>
  <c r="AZ5" i="144"/>
  <c r="AY5" i="144"/>
  <c r="AX5" i="144"/>
  <c r="AW5" i="144"/>
  <c r="AV5" i="144"/>
  <c r="AU5" i="144"/>
  <c r="AT5" i="144"/>
  <c r="AS5" i="144"/>
  <c r="AR5" i="144"/>
  <c r="AQ5" i="144"/>
  <c r="AP5" i="144"/>
  <c r="AO5" i="144"/>
  <c r="AN5" i="144"/>
  <c r="AM5" i="144"/>
  <c r="AL5" i="144"/>
  <c r="AK5" i="144"/>
  <c r="AJ5" i="144"/>
  <c r="AI5" i="144"/>
  <c r="AH5" i="144"/>
  <c r="AG5" i="144"/>
  <c r="AF5" i="144"/>
  <c r="AE5" i="144"/>
  <c r="AD5" i="144"/>
  <c r="AC5" i="144"/>
  <c r="AB5" i="144"/>
  <c r="AA5" i="144"/>
  <c r="Z5" i="144"/>
  <c r="Y5" i="144"/>
  <c r="X5" i="144"/>
  <c r="W5" i="144"/>
  <c r="V5" i="144"/>
  <c r="U5" i="144"/>
  <c r="T5" i="144"/>
  <c r="S5" i="144"/>
  <c r="R5" i="144"/>
  <c r="Q5" i="144"/>
  <c r="P5" i="144"/>
  <c r="O5" i="144"/>
  <c r="N5" i="144"/>
  <c r="M5" i="144"/>
  <c r="L5" i="144"/>
  <c r="K5" i="144"/>
  <c r="J5" i="144"/>
  <c r="I5" i="144"/>
  <c r="H5" i="144"/>
  <c r="G5" i="144"/>
  <c r="F5" i="144"/>
  <c r="A5" i="144"/>
  <c r="BM107" i="144" l="1"/>
  <c r="BN107" i="144"/>
  <c r="CL107" i="144"/>
  <c r="AZ107" i="144"/>
  <c r="BH107" i="144"/>
  <c r="BP107" i="144"/>
  <c r="BX107" i="144"/>
  <c r="CF107" i="144"/>
  <c r="BA107" i="144"/>
  <c r="BI107" i="144"/>
  <c r="BQ107" i="144"/>
  <c r="BY107" i="144"/>
  <c r="CG107" i="144"/>
  <c r="AA54" i="144"/>
  <c r="O44" i="144"/>
  <c r="W44" i="144"/>
  <c r="AE44" i="144"/>
  <c r="AM44" i="144"/>
  <c r="AQ33" i="144"/>
  <c r="AQ14" i="144"/>
  <c r="AQ47" i="144"/>
  <c r="AQ54" i="144"/>
  <c r="Y71" i="144"/>
  <c r="I84" i="144"/>
  <c r="R84" i="144"/>
  <c r="Z84" i="144"/>
  <c r="AH84" i="144"/>
  <c r="AP84" i="144"/>
  <c r="P51" i="144"/>
  <c r="K27" i="144"/>
  <c r="N21" i="144"/>
  <c r="V21" i="144"/>
  <c r="AD21" i="144"/>
  <c r="AL21" i="144"/>
  <c r="X21" i="144"/>
  <c r="AF21" i="144"/>
  <c r="AN21" i="144"/>
  <c r="AP67" i="144"/>
  <c r="L82" i="144"/>
  <c r="T82" i="144"/>
  <c r="AB82" i="144"/>
  <c r="AJ82" i="144"/>
  <c r="AR82" i="144"/>
  <c r="P44" i="144"/>
  <c r="X44" i="144"/>
  <c r="AF44" i="144"/>
  <c r="AN44" i="144"/>
  <c r="K21" i="144"/>
  <c r="S21" i="144"/>
  <c r="AA21" i="144"/>
  <c r="AI21" i="144"/>
  <c r="AQ21" i="144"/>
  <c r="O71" i="144"/>
  <c r="W71" i="144"/>
  <c r="AE71" i="144"/>
  <c r="Q82" i="144"/>
  <c r="Y82" i="144"/>
  <c r="AO82" i="144"/>
  <c r="L84" i="144"/>
  <c r="T84" i="144"/>
  <c r="AB84" i="144"/>
  <c r="AJ84" i="144"/>
  <c r="AR84" i="144"/>
  <c r="K25" i="144"/>
  <c r="M71" i="144"/>
  <c r="U71" i="144"/>
  <c r="AC71" i="144"/>
  <c r="AK71" i="144"/>
  <c r="AS71" i="144"/>
  <c r="N82" i="144"/>
  <c r="AL82" i="144"/>
  <c r="F14" i="144"/>
  <c r="Y14" i="144"/>
  <c r="H14" i="144"/>
  <c r="K26" i="144"/>
  <c r="Y54" i="144"/>
  <c r="AS47" i="144"/>
  <c r="N71" i="144"/>
  <c r="V71" i="144"/>
  <c r="AD71" i="144"/>
  <c r="AL71" i="144"/>
  <c r="N84" i="144"/>
  <c r="V84" i="144"/>
  <c r="AD84" i="144"/>
  <c r="AL84" i="144"/>
  <c r="CL82" i="144"/>
  <c r="M82" i="144"/>
  <c r="U82" i="144"/>
  <c r="AC82" i="144"/>
  <c r="AK82" i="144"/>
  <c r="AS82" i="144"/>
  <c r="AM71" i="144"/>
  <c r="F82" i="144"/>
  <c r="O82" i="144"/>
  <c r="H84" i="144"/>
  <c r="Q84" i="144"/>
  <c r="Y84" i="144"/>
  <c r="AG84" i="144"/>
  <c r="AO84" i="144"/>
  <c r="G82" i="144"/>
  <c r="P82" i="144"/>
  <c r="X82" i="144"/>
  <c r="AF82" i="144"/>
  <c r="AN82" i="144"/>
  <c r="K24" i="144"/>
  <c r="H71" i="144"/>
  <c r="R71" i="144"/>
  <c r="Z71" i="144"/>
  <c r="AH71" i="144"/>
  <c r="AP71" i="144"/>
  <c r="H82" i="144"/>
  <c r="AG82" i="144"/>
  <c r="M44" i="144"/>
  <c r="U44" i="144"/>
  <c r="AC44" i="144"/>
  <c r="AK44" i="144"/>
  <c r="AS44" i="144"/>
  <c r="K44" i="144"/>
  <c r="S44" i="144"/>
  <c r="AA44" i="144"/>
  <c r="AI44" i="144"/>
  <c r="AQ44" i="144"/>
  <c r="AE50" i="144"/>
  <c r="AJ67" i="144"/>
  <c r="AR67" i="144"/>
  <c r="U23" i="144"/>
  <c r="AO30" i="144"/>
  <c r="BO31" i="144"/>
  <c r="L44" i="144"/>
  <c r="T44" i="144"/>
  <c r="AB44" i="144"/>
  <c r="AJ44" i="144"/>
  <c r="AR44" i="144"/>
  <c r="X51" i="144"/>
  <c r="Y67" i="144"/>
  <c r="AL67" i="144"/>
  <c r="P71" i="144"/>
  <c r="X71" i="144"/>
  <c r="AF71" i="144"/>
  <c r="AN71" i="144"/>
  <c r="N127" i="144"/>
  <c r="V127" i="144"/>
  <c r="AD127" i="144"/>
  <c r="AL127" i="144"/>
  <c r="R23" i="144"/>
  <c r="R32" i="144" s="1"/>
  <c r="R33" i="144" s="1"/>
  <c r="AL30" i="144"/>
  <c r="BR31" i="144"/>
  <c r="W31" i="144" s="1"/>
  <c r="V50" i="144"/>
  <c r="AM67" i="144"/>
  <c r="AG71" i="144"/>
  <c r="AO71" i="144"/>
  <c r="G84" i="144"/>
  <c r="P84" i="144"/>
  <c r="X84" i="144"/>
  <c r="AF84" i="144"/>
  <c r="AN84" i="144"/>
  <c r="W82" i="144"/>
  <c r="AE82" i="144"/>
  <c r="AM82" i="144"/>
  <c r="K84" i="144"/>
  <c r="S84" i="144"/>
  <c r="AA84" i="144"/>
  <c r="AI84" i="144"/>
  <c r="AQ84" i="144"/>
  <c r="O127" i="144"/>
  <c r="W127" i="144"/>
  <c r="AE127" i="144"/>
  <c r="AM127" i="144"/>
  <c r="W23" i="144"/>
  <c r="AM23" i="144"/>
  <c r="L30" i="144"/>
  <c r="AB30" i="144"/>
  <c r="AU31" i="144"/>
  <c r="Q31" i="144" s="1"/>
  <c r="BW31" i="144"/>
  <c r="AI31" i="144" s="1"/>
  <c r="K67" i="144"/>
  <c r="AD82" i="144"/>
  <c r="V82" i="144"/>
  <c r="O21" i="144"/>
  <c r="W21" i="144"/>
  <c r="AE21" i="144"/>
  <c r="AM21" i="144"/>
  <c r="X23" i="144"/>
  <c r="X32" i="144" s="1"/>
  <c r="X33" i="144" s="1"/>
  <c r="AM30" i="144"/>
  <c r="AY31" i="144"/>
  <c r="L31" i="144" s="1"/>
  <c r="AE67" i="144"/>
  <c r="K71" i="144"/>
  <c r="S71" i="144"/>
  <c r="AA71" i="144"/>
  <c r="AI71" i="144"/>
  <c r="AQ71" i="144"/>
  <c r="M84" i="144"/>
  <c r="U84" i="144"/>
  <c r="AC84" i="144"/>
  <c r="AK84" i="144"/>
  <c r="AS84" i="144"/>
  <c r="Y127" i="144"/>
  <c r="AG127" i="144"/>
  <c r="V30" i="144"/>
  <c r="T30" i="144"/>
  <c r="BB31" i="144"/>
  <c r="T31" i="144" s="1"/>
  <c r="L71" i="144"/>
  <c r="T71" i="144"/>
  <c r="AB71" i="144"/>
  <c r="AJ71" i="144"/>
  <c r="AR71" i="144"/>
  <c r="I82" i="144"/>
  <c r="R82" i="144"/>
  <c r="Z82" i="144"/>
  <c r="AH82" i="144"/>
  <c r="AP82" i="144"/>
  <c r="Z127" i="144"/>
  <c r="AH127" i="144"/>
  <c r="S67" i="144"/>
  <c r="AI67" i="144"/>
  <c r="AQ67" i="144"/>
  <c r="K82" i="144"/>
  <c r="S82" i="144"/>
  <c r="AA82" i="144"/>
  <c r="AI82" i="144"/>
  <c r="AQ82" i="144"/>
  <c r="F84" i="144"/>
  <c r="O84" i="144"/>
  <c r="W84" i="144"/>
  <c r="AE84" i="144"/>
  <c r="AM84" i="144"/>
  <c r="Y23" i="144"/>
  <c r="Y30" i="144" s="1"/>
  <c r="AC30" i="144"/>
  <c r="BI31" i="144"/>
  <c r="V51" i="144"/>
  <c r="V67" i="144"/>
  <c r="V31" i="144"/>
  <c r="Q71" i="144"/>
  <c r="P54" i="144"/>
  <c r="AE14" i="144"/>
  <c r="Q67" i="144"/>
  <c r="AO67" i="144"/>
  <c r="Q127" i="144"/>
  <c r="AO127" i="144"/>
  <c r="R127" i="144"/>
  <c r="AP127" i="144"/>
  <c r="AS32" i="144"/>
  <c r="AS33" i="144" s="1"/>
  <c r="AC14" i="144"/>
  <c r="AI14" i="144"/>
  <c r="AA14" i="144"/>
  <c r="AS14" i="144"/>
  <c r="V14" i="144"/>
  <c r="G14" i="144"/>
  <c r="P14" i="144"/>
  <c r="X14" i="144"/>
  <c r="S30" i="144"/>
  <c r="S23" i="144"/>
  <c r="BD31" i="144"/>
  <c r="M31" i="144" s="1"/>
  <c r="N23" i="144"/>
  <c r="AW31" i="144"/>
  <c r="N31" i="144" s="1"/>
  <c r="AD23" i="144"/>
  <c r="BU31" i="144"/>
  <c r="AD31" i="144" s="1"/>
  <c r="CK31" i="144"/>
  <c r="AQ23" i="144"/>
  <c r="O30" i="144"/>
  <c r="BS31" i="144"/>
  <c r="CG31" i="144"/>
  <c r="AS31" i="144" s="1"/>
  <c r="L127" i="144"/>
  <c r="T127" i="144"/>
  <c r="AB127" i="144"/>
  <c r="AJ127" i="144"/>
  <c r="AR127" i="144"/>
  <c r="AP30" i="144"/>
  <c r="CD31" i="144"/>
  <c r="AP31" i="144" s="1"/>
  <c r="BT31" i="144"/>
  <c r="AE51" i="144"/>
  <c r="AE54" i="144"/>
  <c r="AO14" i="144"/>
  <c r="AF23" i="144"/>
  <c r="AA32" i="144"/>
  <c r="AA33" i="144" s="1"/>
  <c r="AV31" i="144"/>
  <c r="S31" i="144" s="1"/>
  <c r="AX31" i="144"/>
  <c r="AG30" i="144"/>
  <c r="BV31" i="144"/>
  <c r="AG31" i="144" s="1"/>
  <c r="P93" i="144"/>
  <c r="X50" i="144"/>
  <c r="X93" i="144"/>
  <c r="Z14" i="144"/>
  <c r="AH14" i="144"/>
  <c r="AG23" i="144"/>
  <c r="AP23" i="144"/>
  <c r="N30" i="144"/>
  <c r="BK31" i="144"/>
  <c r="BY31" i="144"/>
  <c r="AJ31" i="144" s="1"/>
  <c r="CJ31" i="144"/>
  <c r="AN31" i="144" s="1"/>
  <c r="R50" i="144"/>
  <c r="R93" i="144"/>
  <c r="R67" i="144"/>
  <c r="AN23" i="144"/>
  <c r="K30" i="144"/>
  <c r="BF31" i="144"/>
  <c r="K31" i="144" s="1"/>
  <c r="K23" i="144"/>
  <c r="BA31" i="144"/>
  <c r="BL31" i="144"/>
  <c r="AA50" i="144"/>
  <c r="AA93" i="144"/>
  <c r="AA127" i="144"/>
  <c r="R54" i="144"/>
  <c r="R51" i="144"/>
  <c r="P67" i="144"/>
  <c r="X67" i="144"/>
  <c r="AF67" i="144"/>
  <c r="AN67" i="144"/>
  <c r="P127" i="144"/>
  <c r="X127" i="144"/>
  <c r="AF127" i="144"/>
  <c r="AN127" i="144"/>
  <c r="AE23" i="144"/>
  <c r="AE32" i="144" s="1"/>
  <c r="AE33" i="144" s="1"/>
  <c r="BN31" i="144"/>
  <c r="M23" i="144"/>
  <c r="AB14" i="144"/>
  <c r="AA30" i="144"/>
  <c r="AJ30" i="144"/>
  <c r="CA31" i="144"/>
  <c r="AF31" i="144" s="1"/>
  <c r="U14" i="144"/>
  <c r="P30" i="144"/>
  <c r="AK23" i="144"/>
  <c r="AR23" i="144"/>
  <c r="AR30" i="144"/>
  <c r="BC31" i="144"/>
  <c r="U31" i="144" s="1"/>
  <c r="BQ31" i="144"/>
  <c r="CB31" i="144"/>
  <c r="AK31" i="144" s="1"/>
  <c r="M67" i="144"/>
  <c r="M127" i="144"/>
  <c r="U67" i="144"/>
  <c r="U127" i="144"/>
  <c r="AC67" i="144"/>
  <c r="AC127" i="144"/>
  <c r="AK67" i="144"/>
  <c r="AK127" i="144"/>
  <c r="AS93" i="144"/>
  <c r="AS67" i="144"/>
  <c r="AS127" i="144"/>
  <c r="AS50" i="144"/>
  <c r="Y51" i="144"/>
  <c r="Y93" i="144"/>
  <c r="AA51" i="144"/>
  <c r="AS51" i="144"/>
  <c r="I57" i="143"/>
  <c r="H57" i="143"/>
  <c r="G57" i="143"/>
  <c r="F57" i="143"/>
  <c r="I56" i="143"/>
  <c r="H56" i="143"/>
  <c r="G56" i="143"/>
  <c r="F56" i="143"/>
  <c r="CL63" i="143"/>
  <c r="CL62" i="143"/>
  <c r="CL57" i="143"/>
  <c r="CL56" i="143"/>
  <c r="AQ31" i="144" l="1"/>
  <c r="AQ107" i="144" s="1"/>
  <c r="AH107" i="144"/>
  <c r="E21" i="122"/>
  <c r="AL107" i="144"/>
  <c r="O107" i="144"/>
  <c r="R30" i="144"/>
  <c r="AA31" i="144"/>
  <c r="AA107" i="144" s="1"/>
  <c r="W107" i="144"/>
  <c r="AG107" i="144"/>
  <c r="X30" i="144"/>
  <c r="R31" i="144"/>
  <c r="Y32" i="144"/>
  <c r="Y33" i="144" s="1"/>
  <c r="L107" i="144"/>
  <c r="T107" i="144"/>
  <c r="AI107" i="144"/>
  <c r="AM107" i="144"/>
  <c r="AJ107" i="144"/>
  <c r="AN107" i="144"/>
  <c r="AP107" i="144"/>
  <c r="X31" i="144"/>
  <c r="Z107" i="144"/>
  <c r="N107" i="144"/>
  <c r="AB107" i="144"/>
  <c r="K107" i="144"/>
  <c r="M107" i="144"/>
  <c r="AO107" i="144"/>
  <c r="V107" i="144"/>
  <c r="P31" i="144"/>
  <c r="U107" i="144"/>
  <c r="AD107" i="144"/>
  <c r="P32" i="144"/>
  <c r="P33" i="144" s="1"/>
  <c r="AK107" i="144"/>
  <c r="AF107" i="144"/>
  <c r="Y31" i="144"/>
  <c r="Q107" i="144"/>
  <c r="AR107" i="144"/>
  <c r="S107" i="144"/>
  <c r="AC107" i="144"/>
  <c r="AS107" i="144"/>
  <c r="AE30" i="144"/>
  <c r="AE31" i="144"/>
  <c r="W13" i="140"/>
  <c r="K107" i="141"/>
  <c r="W13" i="141"/>
  <c r="R107" i="144" l="1"/>
  <c r="Y107" i="144"/>
  <c r="X107" i="144"/>
  <c r="AE107" i="144"/>
  <c r="P107" i="144"/>
  <c r="S66" i="137"/>
  <c r="CL66" i="143" l="1"/>
  <c r="G16" i="124" l="1"/>
  <c r="G17" i="124"/>
  <c r="CL127" i="143"/>
  <c r="CK127" i="143"/>
  <c r="CJ127" i="143"/>
  <c r="CI127" i="143"/>
  <c r="CH127" i="143"/>
  <c r="CG127" i="143"/>
  <c r="CF127" i="143"/>
  <c r="CE127" i="143"/>
  <c r="CD127" i="143"/>
  <c r="CC127" i="143"/>
  <c r="CB127" i="143"/>
  <c r="CA127" i="143"/>
  <c r="BZ127" i="143"/>
  <c r="BY127" i="143"/>
  <c r="BX127" i="143"/>
  <c r="BW127" i="143"/>
  <c r="BV127" i="143"/>
  <c r="BU127" i="143"/>
  <c r="BT127" i="143"/>
  <c r="BS127" i="143"/>
  <c r="BR127" i="143"/>
  <c r="BQ127" i="143"/>
  <c r="BP127" i="143"/>
  <c r="BO127" i="143"/>
  <c r="BN127" i="143"/>
  <c r="BM127" i="143"/>
  <c r="BL127" i="143"/>
  <c r="BK127" i="143"/>
  <c r="BJ127" i="143"/>
  <c r="BI127" i="143"/>
  <c r="BH127" i="143"/>
  <c r="BG127" i="143"/>
  <c r="BF127" i="143"/>
  <c r="BE127" i="143"/>
  <c r="BD127" i="143"/>
  <c r="BC127" i="143"/>
  <c r="BB127" i="143"/>
  <c r="BA127" i="143"/>
  <c r="AZ127" i="143"/>
  <c r="AY127" i="143"/>
  <c r="AX127" i="143"/>
  <c r="AW127" i="143"/>
  <c r="AV127" i="143"/>
  <c r="AU127" i="143"/>
  <c r="AT127" i="143"/>
  <c r="H127" i="143"/>
  <c r="AS126" i="143"/>
  <c r="AR126" i="143"/>
  <c r="AQ126" i="143"/>
  <c r="AP126" i="143"/>
  <c r="AO126" i="143"/>
  <c r="AN126" i="143"/>
  <c r="AM126" i="143"/>
  <c r="AL126" i="143"/>
  <c r="AK126" i="143"/>
  <c r="AJ126" i="143"/>
  <c r="AI126" i="143"/>
  <c r="AH126" i="143"/>
  <c r="AG126" i="143"/>
  <c r="AF126" i="143"/>
  <c r="AE126" i="143"/>
  <c r="AD126" i="143"/>
  <c r="AC126" i="143"/>
  <c r="AB126" i="143"/>
  <c r="AA126" i="143"/>
  <c r="Z126" i="143"/>
  <c r="Y126" i="143"/>
  <c r="X126" i="143"/>
  <c r="W126" i="143"/>
  <c r="V126" i="143"/>
  <c r="U126" i="143"/>
  <c r="T126" i="143"/>
  <c r="S126" i="143"/>
  <c r="R126" i="143"/>
  <c r="Q126" i="143"/>
  <c r="P126" i="143"/>
  <c r="O126" i="143"/>
  <c r="N126" i="143"/>
  <c r="M126" i="143"/>
  <c r="L126" i="143"/>
  <c r="K126" i="143"/>
  <c r="I126" i="143"/>
  <c r="I127" i="143" s="1"/>
  <c r="H126" i="143"/>
  <c r="G126" i="143"/>
  <c r="G127" i="143" s="1"/>
  <c r="F126" i="143"/>
  <c r="F127" i="143" s="1"/>
  <c r="AS123" i="143"/>
  <c r="AR123" i="143"/>
  <c r="AQ123" i="143"/>
  <c r="AP123" i="143"/>
  <c r="AO123" i="143"/>
  <c r="AN123" i="143"/>
  <c r="AM123" i="143"/>
  <c r="AL123" i="143"/>
  <c r="AK123" i="143"/>
  <c r="AJ123" i="143"/>
  <c r="AI123" i="143"/>
  <c r="AH123" i="143"/>
  <c r="AG123" i="143"/>
  <c r="AF123" i="143"/>
  <c r="AE123" i="143"/>
  <c r="AD123" i="143"/>
  <c r="AC123" i="143"/>
  <c r="AB123" i="143"/>
  <c r="AA123" i="143"/>
  <c r="Z123" i="143"/>
  <c r="Y123" i="143"/>
  <c r="X123" i="143"/>
  <c r="W123" i="143"/>
  <c r="V123" i="143"/>
  <c r="U123" i="143"/>
  <c r="T123" i="143"/>
  <c r="S123" i="143"/>
  <c r="R123" i="143"/>
  <c r="Q123" i="143"/>
  <c r="P123" i="143"/>
  <c r="O123" i="143"/>
  <c r="N123" i="143"/>
  <c r="M123" i="143"/>
  <c r="L123" i="143"/>
  <c r="K123" i="143"/>
  <c r="AS118" i="143"/>
  <c r="AR118" i="143"/>
  <c r="AQ118" i="143"/>
  <c r="AP118" i="143"/>
  <c r="AO118" i="143"/>
  <c r="AN118" i="143"/>
  <c r="AM118" i="143"/>
  <c r="AL118" i="143"/>
  <c r="AK118" i="143"/>
  <c r="AJ118" i="143"/>
  <c r="AI118" i="143"/>
  <c r="AH118" i="143"/>
  <c r="AG118" i="143"/>
  <c r="AF118" i="143"/>
  <c r="AE118" i="143"/>
  <c r="AD118" i="143"/>
  <c r="AC118" i="143"/>
  <c r="AB118" i="143"/>
  <c r="AA118" i="143"/>
  <c r="Z118" i="143"/>
  <c r="Y118" i="143"/>
  <c r="X118" i="143"/>
  <c r="W118" i="143"/>
  <c r="V118" i="143"/>
  <c r="U118" i="143"/>
  <c r="T118" i="143"/>
  <c r="S118" i="143"/>
  <c r="R118" i="143"/>
  <c r="Q118" i="143"/>
  <c r="P118" i="143"/>
  <c r="O118" i="143"/>
  <c r="N118" i="143"/>
  <c r="M118" i="143"/>
  <c r="L118" i="143"/>
  <c r="K118" i="143"/>
  <c r="AS117" i="143"/>
  <c r="AR117" i="143"/>
  <c r="AQ117" i="143"/>
  <c r="AP117" i="143"/>
  <c r="AO117" i="143"/>
  <c r="AN117" i="143"/>
  <c r="AM117" i="143"/>
  <c r="AL117" i="143"/>
  <c r="AK117" i="143"/>
  <c r="AJ117" i="143"/>
  <c r="AI117" i="143"/>
  <c r="AH117" i="143"/>
  <c r="AG117" i="143"/>
  <c r="AF117" i="143"/>
  <c r="AE117" i="143"/>
  <c r="AD117" i="143"/>
  <c r="AC117" i="143"/>
  <c r="AB117" i="143"/>
  <c r="AA117" i="143"/>
  <c r="Z117" i="143"/>
  <c r="Y117" i="143"/>
  <c r="X117" i="143"/>
  <c r="W117" i="143"/>
  <c r="V117" i="143"/>
  <c r="U117" i="143"/>
  <c r="T117" i="143"/>
  <c r="S117" i="143"/>
  <c r="R117" i="143"/>
  <c r="Q117" i="143"/>
  <c r="P117" i="143"/>
  <c r="O117" i="143"/>
  <c r="N117" i="143"/>
  <c r="M117" i="143"/>
  <c r="L117" i="143"/>
  <c r="K117" i="143"/>
  <c r="J107" i="143"/>
  <c r="AS106" i="143"/>
  <c r="AR106" i="143"/>
  <c r="AQ106" i="143"/>
  <c r="AP106" i="143"/>
  <c r="AO106" i="143"/>
  <c r="AN106" i="143"/>
  <c r="AM106" i="143"/>
  <c r="AL106" i="143"/>
  <c r="AK106" i="143"/>
  <c r="AJ106" i="143"/>
  <c r="AI106" i="143"/>
  <c r="AH106" i="143"/>
  <c r="AG106" i="143"/>
  <c r="AF106" i="143"/>
  <c r="AE106" i="143"/>
  <c r="AD106" i="143"/>
  <c r="AC106" i="143"/>
  <c r="AB106" i="143"/>
  <c r="AA106" i="143"/>
  <c r="Z106" i="143"/>
  <c r="Y106" i="143"/>
  <c r="X106" i="143"/>
  <c r="W106" i="143"/>
  <c r="V106" i="143"/>
  <c r="U106" i="143"/>
  <c r="T106" i="143"/>
  <c r="S106" i="143"/>
  <c r="R106" i="143"/>
  <c r="Q106" i="143"/>
  <c r="P106" i="143"/>
  <c r="O106" i="143"/>
  <c r="N106" i="143"/>
  <c r="M106" i="143"/>
  <c r="L106" i="143"/>
  <c r="K106" i="143"/>
  <c r="A106" i="143"/>
  <c r="AS105" i="143"/>
  <c r="AR105" i="143"/>
  <c r="AQ105" i="143"/>
  <c r="AP105" i="143"/>
  <c r="AO105" i="143"/>
  <c r="AN105" i="143"/>
  <c r="AM105" i="143"/>
  <c r="AL105" i="143"/>
  <c r="AK105" i="143"/>
  <c r="AJ105" i="143"/>
  <c r="AI105" i="143"/>
  <c r="AH105" i="143"/>
  <c r="AG105" i="143"/>
  <c r="AF105" i="143"/>
  <c r="AE105" i="143"/>
  <c r="AD105" i="143"/>
  <c r="AC105" i="143"/>
  <c r="AB105" i="143"/>
  <c r="AA105" i="143"/>
  <c r="Z105" i="143"/>
  <c r="Y105" i="143"/>
  <c r="X105" i="143"/>
  <c r="W105" i="143"/>
  <c r="V105" i="143"/>
  <c r="U105" i="143"/>
  <c r="T105" i="143"/>
  <c r="S105" i="143"/>
  <c r="R105" i="143"/>
  <c r="Q105" i="143"/>
  <c r="P105" i="143"/>
  <c r="O105" i="143"/>
  <c r="N105" i="143"/>
  <c r="M105" i="143"/>
  <c r="L105" i="143"/>
  <c r="K105" i="143"/>
  <c r="A105" i="143"/>
  <c r="AS104" i="143"/>
  <c r="AR104" i="143"/>
  <c r="AQ104" i="143"/>
  <c r="AP104" i="143"/>
  <c r="AO104" i="143"/>
  <c r="AN104" i="143"/>
  <c r="AM104" i="143"/>
  <c r="AL104" i="143"/>
  <c r="AK104" i="143"/>
  <c r="AJ104" i="143"/>
  <c r="AI104" i="143"/>
  <c r="AH104" i="143"/>
  <c r="AG104" i="143"/>
  <c r="AF104" i="143"/>
  <c r="AE104" i="143"/>
  <c r="AD104" i="143"/>
  <c r="AC104" i="143"/>
  <c r="AB104" i="143"/>
  <c r="AA104" i="143"/>
  <c r="Z104" i="143"/>
  <c r="Y104" i="143"/>
  <c r="X104" i="143"/>
  <c r="W104" i="143"/>
  <c r="V104" i="143"/>
  <c r="U104" i="143"/>
  <c r="T104" i="143"/>
  <c r="S104" i="143"/>
  <c r="R104" i="143"/>
  <c r="Q104" i="143"/>
  <c r="P104" i="143"/>
  <c r="O104" i="143"/>
  <c r="N104" i="143"/>
  <c r="M104" i="143"/>
  <c r="L104" i="143"/>
  <c r="K104" i="143"/>
  <c r="A104" i="143"/>
  <c r="AS103" i="143"/>
  <c r="AR103" i="143"/>
  <c r="AQ103" i="143"/>
  <c r="AP103" i="143"/>
  <c r="AO103" i="143"/>
  <c r="AN103" i="143"/>
  <c r="AM103" i="143"/>
  <c r="AL103" i="143"/>
  <c r="AK103" i="143"/>
  <c r="AJ103" i="143"/>
  <c r="AI103" i="143"/>
  <c r="AH103" i="143"/>
  <c r="AG103" i="143"/>
  <c r="AF103" i="143"/>
  <c r="AE103" i="143"/>
  <c r="AD103" i="143"/>
  <c r="AC103" i="143"/>
  <c r="AB103" i="143"/>
  <c r="AA103" i="143"/>
  <c r="Z103" i="143"/>
  <c r="Y103" i="143"/>
  <c r="X103" i="143"/>
  <c r="W103" i="143"/>
  <c r="V103" i="143"/>
  <c r="U103" i="143"/>
  <c r="T103" i="143"/>
  <c r="S103" i="143"/>
  <c r="R103" i="143"/>
  <c r="Q103" i="143"/>
  <c r="P103" i="143"/>
  <c r="O103" i="143"/>
  <c r="N103" i="143"/>
  <c r="M103" i="143"/>
  <c r="L103" i="143"/>
  <c r="K103" i="143"/>
  <c r="A103" i="143"/>
  <c r="A102" i="143"/>
  <c r="A101" i="143"/>
  <c r="AS100" i="143"/>
  <c r="AR100" i="143"/>
  <c r="AQ100" i="143"/>
  <c r="AP100" i="143"/>
  <c r="AO100" i="143"/>
  <c r="AN100" i="143"/>
  <c r="AM100" i="143"/>
  <c r="AL100" i="143"/>
  <c r="AK100" i="143"/>
  <c r="AJ100" i="143"/>
  <c r="AI100" i="143"/>
  <c r="AH100" i="143"/>
  <c r="AG100" i="143"/>
  <c r="AF100" i="143"/>
  <c r="AE100" i="143"/>
  <c r="AD100" i="143"/>
  <c r="AC100" i="143"/>
  <c r="AB100" i="143"/>
  <c r="AA100" i="143"/>
  <c r="Z100" i="143"/>
  <c r="Y100" i="143"/>
  <c r="X100" i="143"/>
  <c r="W100" i="143"/>
  <c r="V100" i="143"/>
  <c r="U100" i="143"/>
  <c r="T100" i="143"/>
  <c r="S100" i="143"/>
  <c r="R100" i="143"/>
  <c r="Q100" i="143"/>
  <c r="P100" i="143"/>
  <c r="O100" i="143"/>
  <c r="N100" i="143"/>
  <c r="M100" i="143"/>
  <c r="L100" i="143"/>
  <c r="K100" i="143"/>
  <c r="A100" i="143"/>
  <c r="A99" i="143"/>
  <c r="AS98" i="143"/>
  <c r="AR98" i="143"/>
  <c r="AQ98" i="143"/>
  <c r="AP98" i="143"/>
  <c r="AO98" i="143"/>
  <c r="AN98" i="143"/>
  <c r="AM98" i="143"/>
  <c r="AL98" i="143"/>
  <c r="AK98" i="143"/>
  <c r="AJ98" i="143"/>
  <c r="AI98" i="143"/>
  <c r="AH98" i="143"/>
  <c r="AG98" i="143"/>
  <c r="AF98" i="143"/>
  <c r="AE98" i="143"/>
  <c r="AD98" i="143"/>
  <c r="AC98" i="143"/>
  <c r="AB98" i="143"/>
  <c r="AA98" i="143"/>
  <c r="Z98" i="143"/>
  <c r="Y98" i="143"/>
  <c r="X98" i="143"/>
  <c r="W98" i="143"/>
  <c r="V98" i="143"/>
  <c r="U98" i="143"/>
  <c r="T98" i="143"/>
  <c r="S98" i="143"/>
  <c r="R98" i="143"/>
  <c r="Q98" i="143"/>
  <c r="P98" i="143"/>
  <c r="O98" i="143"/>
  <c r="N98" i="143"/>
  <c r="M98" i="143"/>
  <c r="L98" i="143"/>
  <c r="K98" i="143"/>
  <c r="C98" i="143"/>
  <c r="A98" i="143"/>
  <c r="AS97" i="143"/>
  <c r="AR97" i="143"/>
  <c r="AQ97" i="143"/>
  <c r="AP97" i="143"/>
  <c r="AO97" i="143"/>
  <c r="AN97" i="143"/>
  <c r="AM97" i="143"/>
  <c r="AL97" i="143"/>
  <c r="AK97" i="143"/>
  <c r="AJ97" i="143"/>
  <c r="AI97" i="143"/>
  <c r="AH97" i="143"/>
  <c r="AG97" i="143"/>
  <c r="AF97" i="143"/>
  <c r="AE97" i="143"/>
  <c r="AD97" i="143"/>
  <c r="AC97" i="143"/>
  <c r="AB97" i="143"/>
  <c r="AA97" i="143"/>
  <c r="Z97" i="143"/>
  <c r="Y97" i="143"/>
  <c r="X97" i="143"/>
  <c r="W97" i="143"/>
  <c r="V97" i="143"/>
  <c r="U97" i="143"/>
  <c r="T97" i="143"/>
  <c r="S97" i="143"/>
  <c r="R97" i="143"/>
  <c r="Q97" i="143"/>
  <c r="P97" i="143"/>
  <c r="O97" i="143"/>
  <c r="N97" i="143"/>
  <c r="M97" i="143"/>
  <c r="L97" i="143"/>
  <c r="K97" i="143"/>
  <c r="A97" i="143"/>
  <c r="AS96" i="143"/>
  <c r="AR96" i="143"/>
  <c r="AQ96" i="143"/>
  <c r="AP96" i="143"/>
  <c r="AO96" i="143"/>
  <c r="AN96" i="143"/>
  <c r="AM96" i="143"/>
  <c r="AL96" i="143"/>
  <c r="AK96" i="143"/>
  <c r="AJ96" i="143"/>
  <c r="AI96" i="143"/>
  <c r="AH96" i="143"/>
  <c r="AG96" i="143"/>
  <c r="AF96" i="143"/>
  <c r="AE96" i="143"/>
  <c r="AD96" i="143"/>
  <c r="AC96" i="143"/>
  <c r="AB96" i="143"/>
  <c r="AA96" i="143"/>
  <c r="Z96" i="143"/>
  <c r="Y96" i="143"/>
  <c r="X96" i="143"/>
  <c r="W96" i="143"/>
  <c r="V96" i="143"/>
  <c r="U96" i="143"/>
  <c r="T96" i="143"/>
  <c r="S96" i="143"/>
  <c r="R96" i="143"/>
  <c r="Q96" i="143"/>
  <c r="P96" i="143"/>
  <c r="O96" i="143"/>
  <c r="N96" i="143"/>
  <c r="M96" i="143"/>
  <c r="L96" i="143"/>
  <c r="K96" i="143"/>
  <c r="I96" i="143"/>
  <c r="H96" i="143"/>
  <c r="G96" i="143"/>
  <c r="F96" i="143"/>
  <c r="A96" i="143"/>
  <c r="AS95" i="143"/>
  <c r="AR95" i="143"/>
  <c r="AQ95" i="143"/>
  <c r="AP95" i="143"/>
  <c r="AO95" i="143"/>
  <c r="AN95" i="143"/>
  <c r="AM95" i="143"/>
  <c r="AL95" i="143"/>
  <c r="AK95" i="143"/>
  <c r="AJ95" i="143"/>
  <c r="AI95" i="143"/>
  <c r="AH95" i="143"/>
  <c r="AG95" i="143"/>
  <c r="AF95" i="143"/>
  <c r="AE95" i="143"/>
  <c r="AD95" i="143"/>
  <c r="AC95" i="143"/>
  <c r="AB95" i="143"/>
  <c r="AA95" i="143"/>
  <c r="Z95" i="143"/>
  <c r="Y95" i="143"/>
  <c r="X95" i="143"/>
  <c r="W95" i="143"/>
  <c r="V95" i="143"/>
  <c r="U95" i="143"/>
  <c r="T95" i="143"/>
  <c r="S95" i="143"/>
  <c r="R95" i="143"/>
  <c r="Q95" i="143"/>
  <c r="P95" i="143"/>
  <c r="O95" i="143"/>
  <c r="N95" i="143"/>
  <c r="M95" i="143"/>
  <c r="L95" i="143"/>
  <c r="K95" i="143"/>
  <c r="I95" i="143"/>
  <c r="H95" i="143"/>
  <c r="G95" i="143"/>
  <c r="F95" i="143"/>
  <c r="A95" i="143"/>
  <c r="A94" i="143"/>
  <c r="AR93" i="143"/>
  <c r="AQ93" i="143"/>
  <c r="AP93" i="143"/>
  <c r="AO93" i="143"/>
  <c r="AN93" i="143"/>
  <c r="AM93" i="143"/>
  <c r="AL93" i="143"/>
  <c r="AK93" i="143"/>
  <c r="AJ93" i="143"/>
  <c r="AI93" i="143"/>
  <c r="AH93" i="143"/>
  <c r="AG93" i="143"/>
  <c r="AF93" i="143"/>
  <c r="AD93" i="143"/>
  <c r="AC93" i="143"/>
  <c r="AB93" i="143"/>
  <c r="Z93" i="143"/>
  <c r="W93" i="143"/>
  <c r="U93" i="143"/>
  <c r="T93" i="143"/>
  <c r="S93" i="143"/>
  <c r="Q93" i="143"/>
  <c r="P93" i="143"/>
  <c r="O93" i="143"/>
  <c r="N93" i="143"/>
  <c r="M93" i="143"/>
  <c r="L93" i="143"/>
  <c r="K93" i="143"/>
  <c r="A93" i="143"/>
  <c r="AS92" i="143"/>
  <c r="AR92" i="143"/>
  <c r="AQ92" i="143"/>
  <c r="AP92" i="143"/>
  <c r="AO92" i="143"/>
  <c r="AN92" i="143"/>
  <c r="AM92" i="143"/>
  <c r="AL92" i="143"/>
  <c r="AK92" i="143"/>
  <c r="AJ92" i="143"/>
  <c r="AI92" i="143"/>
  <c r="AH92" i="143"/>
  <c r="AG92" i="143"/>
  <c r="AF92" i="143"/>
  <c r="AE92" i="143"/>
  <c r="AD92" i="143"/>
  <c r="AC92" i="143"/>
  <c r="AB92" i="143"/>
  <c r="AA92" i="143"/>
  <c r="Z92" i="143"/>
  <c r="Y92" i="143"/>
  <c r="X92" i="143"/>
  <c r="W92" i="143"/>
  <c r="V92" i="143"/>
  <c r="U92" i="143"/>
  <c r="T92" i="143"/>
  <c r="S92" i="143"/>
  <c r="R92" i="143"/>
  <c r="Q92" i="143"/>
  <c r="P92" i="143"/>
  <c r="O92" i="143"/>
  <c r="N92" i="143"/>
  <c r="M92" i="143"/>
  <c r="L92" i="143"/>
  <c r="K92" i="143"/>
  <c r="A92" i="143"/>
  <c r="AS91" i="143"/>
  <c r="AR91" i="143"/>
  <c r="AQ91" i="143"/>
  <c r="AP91" i="143"/>
  <c r="AO91" i="143"/>
  <c r="AN91" i="143"/>
  <c r="AM91" i="143"/>
  <c r="AL91" i="143"/>
  <c r="AK91" i="143"/>
  <c r="AJ91" i="143"/>
  <c r="AI91" i="143"/>
  <c r="AH91" i="143"/>
  <c r="AG91" i="143"/>
  <c r="AF91" i="143"/>
  <c r="AE91" i="143"/>
  <c r="AD91" i="143"/>
  <c r="AC91" i="143"/>
  <c r="AB91" i="143"/>
  <c r="AA91" i="143"/>
  <c r="Z91" i="143"/>
  <c r="Y91" i="143"/>
  <c r="X91" i="143"/>
  <c r="W91" i="143"/>
  <c r="V91" i="143"/>
  <c r="U91" i="143"/>
  <c r="T91" i="143"/>
  <c r="S91" i="143"/>
  <c r="R91" i="143"/>
  <c r="Q91" i="143"/>
  <c r="P91" i="143"/>
  <c r="O91" i="143"/>
  <c r="N91" i="143"/>
  <c r="M91" i="143"/>
  <c r="L91" i="143"/>
  <c r="K91" i="143"/>
  <c r="A91" i="143"/>
  <c r="AS90" i="143"/>
  <c r="AR90" i="143"/>
  <c r="AQ90" i="143"/>
  <c r="AP90" i="143"/>
  <c r="AO90" i="143"/>
  <c r="AN90" i="143"/>
  <c r="AM90" i="143"/>
  <c r="AL90" i="143"/>
  <c r="AK90" i="143"/>
  <c r="AJ90" i="143"/>
  <c r="AI90" i="143"/>
  <c r="AH90" i="143"/>
  <c r="AG90" i="143"/>
  <c r="AF90" i="143"/>
  <c r="AE90" i="143"/>
  <c r="AD90" i="143"/>
  <c r="AC90" i="143"/>
  <c r="AB90" i="143"/>
  <c r="AA90" i="143"/>
  <c r="Z90" i="143"/>
  <c r="Y90" i="143"/>
  <c r="X90" i="143"/>
  <c r="W90" i="143"/>
  <c r="V90" i="143"/>
  <c r="U90" i="143"/>
  <c r="T90" i="143"/>
  <c r="S90" i="143"/>
  <c r="R90" i="143"/>
  <c r="Q90" i="143"/>
  <c r="P90" i="143"/>
  <c r="O90" i="143"/>
  <c r="N90" i="143"/>
  <c r="M90" i="143"/>
  <c r="L90" i="143"/>
  <c r="K90" i="143"/>
  <c r="A90" i="143"/>
  <c r="AS89" i="143"/>
  <c r="AR89" i="143"/>
  <c r="AQ89" i="143"/>
  <c r="AP89" i="143"/>
  <c r="AO89" i="143"/>
  <c r="AN89" i="143"/>
  <c r="AM89" i="143"/>
  <c r="AL89" i="143"/>
  <c r="AK89" i="143"/>
  <c r="AJ89" i="143"/>
  <c r="AI89" i="143"/>
  <c r="AH89" i="143"/>
  <c r="AG89" i="143"/>
  <c r="AF89" i="143"/>
  <c r="AE89" i="143"/>
  <c r="AD89" i="143"/>
  <c r="AC89" i="143"/>
  <c r="AB89" i="143"/>
  <c r="AA89" i="143"/>
  <c r="Z89" i="143"/>
  <c r="Y89" i="143"/>
  <c r="X89" i="143"/>
  <c r="W89" i="143"/>
  <c r="V89" i="143"/>
  <c r="U89" i="143"/>
  <c r="T89" i="143"/>
  <c r="S89" i="143"/>
  <c r="R89" i="143"/>
  <c r="Q89" i="143"/>
  <c r="P89" i="143"/>
  <c r="O89" i="143"/>
  <c r="N89" i="143"/>
  <c r="M89" i="143"/>
  <c r="L89" i="143"/>
  <c r="K89" i="143"/>
  <c r="A89" i="143"/>
  <c r="A88" i="143"/>
  <c r="AS87" i="143"/>
  <c r="AR87" i="143"/>
  <c r="AQ87" i="143"/>
  <c r="AP87" i="143"/>
  <c r="AO87" i="143"/>
  <c r="AN87" i="143"/>
  <c r="AM87" i="143"/>
  <c r="AL87" i="143"/>
  <c r="AK87" i="143"/>
  <c r="AJ87" i="143"/>
  <c r="AI87" i="143"/>
  <c r="AH87" i="143"/>
  <c r="AG87" i="143"/>
  <c r="AF87" i="143"/>
  <c r="AE87" i="143"/>
  <c r="AD87" i="143"/>
  <c r="AC87" i="143"/>
  <c r="AB87" i="143"/>
  <c r="AA87" i="143"/>
  <c r="Z87" i="143"/>
  <c r="Y87" i="143"/>
  <c r="X87" i="143"/>
  <c r="W87" i="143"/>
  <c r="V87" i="143"/>
  <c r="U87" i="143"/>
  <c r="T87" i="143"/>
  <c r="S87" i="143"/>
  <c r="R87" i="143"/>
  <c r="Q87" i="143"/>
  <c r="P87" i="143"/>
  <c r="O87" i="143"/>
  <c r="N87" i="143"/>
  <c r="M87" i="143"/>
  <c r="L87" i="143"/>
  <c r="K87" i="143"/>
  <c r="A87" i="143"/>
  <c r="A86" i="143"/>
  <c r="A85" i="143"/>
  <c r="CK84" i="143"/>
  <c r="CJ84" i="143"/>
  <c r="CI84" i="143"/>
  <c r="CH84" i="143"/>
  <c r="CG84" i="143"/>
  <c r="CF84" i="143"/>
  <c r="CE84" i="143"/>
  <c r="CD84" i="143"/>
  <c r="CC84" i="143"/>
  <c r="CB84" i="143"/>
  <c r="CA84" i="143"/>
  <c r="BZ84" i="143"/>
  <c r="BY84" i="143"/>
  <c r="BX84" i="143"/>
  <c r="BW84" i="143"/>
  <c r="BV84" i="143"/>
  <c r="BU84" i="143"/>
  <c r="BT84" i="143"/>
  <c r="BS84" i="143"/>
  <c r="BR84" i="143"/>
  <c r="BQ84" i="143"/>
  <c r="BP84" i="143"/>
  <c r="BO84" i="143"/>
  <c r="BN84" i="143"/>
  <c r="BM84" i="143"/>
  <c r="BL84" i="143"/>
  <c r="BK84" i="143"/>
  <c r="BJ84" i="143"/>
  <c r="BI84" i="143"/>
  <c r="BH84" i="143"/>
  <c r="BG84" i="143"/>
  <c r="BF84" i="143"/>
  <c r="BE84" i="143"/>
  <c r="BD84" i="143"/>
  <c r="BC84" i="143"/>
  <c r="BB84" i="143"/>
  <c r="BA84" i="143"/>
  <c r="AZ84" i="143"/>
  <c r="AY84" i="143"/>
  <c r="AX84" i="143"/>
  <c r="AW84" i="143"/>
  <c r="AV84" i="143"/>
  <c r="AU84" i="143"/>
  <c r="AT84" i="143"/>
  <c r="A84" i="143"/>
  <c r="CL83" i="143"/>
  <c r="AS83" i="143"/>
  <c r="AR83" i="143"/>
  <c r="AQ83" i="143"/>
  <c r="AP83" i="143"/>
  <c r="AO83" i="143"/>
  <c r="AN83" i="143"/>
  <c r="AM83" i="143"/>
  <c r="AL83" i="143"/>
  <c r="AK83" i="143"/>
  <c r="AJ83" i="143"/>
  <c r="AI83" i="143"/>
  <c r="AH83" i="143"/>
  <c r="AG83" i="143"/>
  <c r="AF83" i="143"/>
  <c r="AE83" i="143"/>
  <c r="AD83" i="143"/>
  <c r="AC83" i="143"/>
  <c r="AB83" i="143"/>
  <c r="AA83" i="143"/>
  <c r="Z83" i="143"/>
  <c r="Y83" i="143"/>
  <c r="X83" i="143"/>
  <c r="W83" i="143"/>
  <c r="V83" i="143"/>
  <c r="U83" i="143"/>
  <c r="T83" i="143"/>
  <c r="S83" i="143"/>
  <c r="R83" i="143"/>
  <c r="Q83" i="143"/>
  <c r="P83" i="143"/>
  <c r="O83" i="143"/>
  <c r="N83" i="143"/>
  <c r="M83" i="143"/>
  <c r="L83" i="143"/>
  <c r="K83" i="143"/>
  <c r="I83" i="143"/>
  <c r="H83" i="143"/>
  <c r="G83" i="143"/>
  <c r="F83" i="143"/>
  <c r="A83" i="143"/>
  <c r="CK82" i="143"/>
  <c r="CJ82" i="143"/>
  <c r="CI82" i="143"/>
  <c r="CH82" i="143"/>
  <c r="CG82" i="143"/>
  <c r="CF82" i="143"/>
  <c r="CE82" i="143"/>
  <c r="CD82" i="143"/>
  <c r="CC82" i="143"/>
  <c r="CB82" i="143"/>
  <c r="CA82" i="143"/>
  <c r="BZ82" i="143"/>
  <c r="BY82" i="143"/>
  <c r="BX82" i="143"/>
  <c r="BW82" i="143"/>
  <c r="BV82" i="143"/>
  <c r="BU82" i="143"/>
  <c r="BT82" i="143"/>
  <c r="BS82" i="143"/>
  <c r="BR82" i="143"/>
  <c r="BQ82" i="143"/>
  <c r="BP82" i="143"/>
  <c r="BO82" i="143"/>
  <c r="BN82" i="143"/>
  <c r="BM82" i="143"/>
  <c r="BL82" i="143"/>
  <c r="BK82" i="143"/>
  <c r="BJ82" i="143"/>
  <c r="BI82" i="143"/>
  <c r="BH82" i="143"/>
  <c r="BG82" i="143"/>
  <c r="BF82" i="143"/>
  <c r="BE82" i="143"/>
  <c r="BD82" i="143"/>
  <c r="BC82" i="143"/>
  <c r="BB82" i="143"/>
  <c r="BA82" i="143"/>
  <c r="AZ82" i="143"/>
  <c r="AY82" i="143"/>
  <c r="AX82" i="143"/>
  <c r="AW82" i="143"/>
  <c r="AV82" i="143"/>
  <c r="AU82" i="143"/>
  <c r="AT82" i="143"/>
  <c r="A82" i="143"/>
  <c r="CL81" i="143"/>
  <c r="AS81" i="143"/>
  <c r="AR81" i="143"/>
  <c r="AQ81" i="143"/>
  <c r="AP81" i="143"/>
  <c r="AO81" i="143"/>
  <c r="AN81" i="143"/>
  <c r="AM81" i="143"/>
  <c r="AL81" i="143"/>
  <c r="AK81" i="143"/>
  <c r="AJ81" i="143"/>
  <c r="AI81" i="143"/>
  <c r="AH81" i="143"/>
  <c r="AG81" i="143"/>
  <c r="AF81" i="143"/>
  <c r="AE81" i="143"/>
  <c r="AD81" i="143"/>
  <c r="AC81" i="143"/>
  <c r="AB81" i="143"/>
  <c r="AA81" i="143"/>
  <c r="Z81" i="143"/>
  <c r="Y81" i="143"/>
  <c r="X81" i="143"/>
  <c r="W81" i="143"/>
  <c r="V81" i="143"/>
  <c r="U81" i="143"/>
  <c r="T81" i="143"/>
  <c r="S81" i="143"/>
  <c r="R81" i="143"/>
  <c r="Q81" i="143"/>
  <c r="P81" i="143"/>
  <c r="O81" i="143"/>
  <c r="N81" i="143"/>
  <c r="M81" i="143"/>
  <c r="L81" i="143"/>
  <c r="K81" i="143"/>
  <c r="I81" i="143"/>
  <c r="H81" i="143"/>
  <c r="G81" i="143"/>
  <c r="F81" i="143"/>
  <c r="A81" i="143"/>
  <c r="AS80" i="143"/>
  <c r="AR80" i="143"/>
  <c r="AQ80" i="143"/>
  <c r="AP80" i="143"/>
  <c r="AO80" i="143"/>
  <c r="AN80" i="143"/>
  <c r="AM80" i="143"/>
  <c r="AL80" i="143"/>
  <c r="AK80" i="143"/>
  <c r="AJ80" i="143"/>
  <c r="AI80" i="143"/>
  <c r="AH80" i="143"/>
  <c r="AG80" i="143"/>
  <c r="AF80" i="143"/>
  <c r="AE80" i="143"/>
  <c r="AD80" i="143"/>
  <c r="AC80" i="143"/>
  <c r="AB80" i="143"/>
  <c r="AA80" i="143"/>
  <c r="Z80" i="143"/>
  <c r="Y80" i="143"/>
  <c r="X80" i="143"/>
  <c r="X84" i="143" s="1"/>
  <c r="W80" i="143"/>
  <c r="V80" i="143"/>
  <c r="U80" i="143"/>
  <c r="T80" i="143"/>
  <c r="S80" i="143"/>
  <c r="R80" i="143"/>
  <c r="Q80" i="143"/>
  <c r="P80" i="143"/>
  <c r="P84" i="143" s="1"/>
  <c r="O80" i="143"/>
  <c r="N80" i="143"/>
  <c r="M80" i="143"/>
  <c r="L80" i="143"/>
  <c r="K80" i="143"/>
  <c r="I80" i="143"/>
  <c r="H80" i="143"/>
  <c r="G80" i="143"/>
  <c r="F80" i="143"/>
  <c r="A80" i="143"/>
  <c r="A79" i="143"/>
  <c r="AS78" i="143"/>
  <c r="AR78" i="143"/>
  <c r="AQ78" i="143"/>
  <c r="AP78" i="143"/>
  <c r="AO78" i="143"/>
  <c r="AN78" i="143"/>
  <c r="AM78" i="143"/>
  <c r="AL78" i="143"/>
  <c r="AK78" i="143"/>
  <c r="AJ78" i="143"/>
  <c r="AI78" i="143"/>
  <c r="AH78" i="143"/>
  <c r="AG78" i="143"/>
  <c r="AF78" i="143"/>
  <c r="AE78" i="143"/>
  <c r="AD78" i="143"/>
  <c r="AC78" i="143"/>
  <c r="AB78" i="143"/>
  <c r="AA78" i="143"/>
  <c r="Z78" i="143"/>
  <c r="Y78" i="143"/>
  <c r="X78" i="143"/>
  <c r="W78" i="143"/>
  <c r="V78" i="143"/>
  <c r="U78" i="143"/>
  <c r="T78" i="143"/>
  <c r="S78" i="143"/>
  <c r="R78" i="143"/>
  <c r="Q78" i="143"/>
  <c r="P78" i="143"/>
  <c r="O78" i="143"/>
  <c r="N78" i="143"/>
  <c r="M78" i="143"/>
  <c r="L78" i="143"/>
  <c r="K78" i="143"/>
  <c r="A78" i="143"/>
  <c r="AS77" i="143"/>
  <c r="AR77" i="143"/>
  <c r="AQ77" i="143"/>
  <c r="AP77" i="143"/>
  <c r="AO77" i="143"/>
  <c r="AN77" i="143"/>
  <c r="AM77" i="143"/>
  <c r="AL77" i="143"/>
  <c r="AK77" i="143"/>
  <c r="AJ77" i="143"/>
  <c r="AI77" i="143"/>
  <c r="AH77" i="143"/>
  <c r="AG77" i="143"/>
  <c r="AF77" i="143"/>
  <c r="AE77" i="143"/>
  <c r="AD77" i="143"/>
  <c r="AC77" i="143"/>
  <c r="AB77" i="143"/>
  <c r="AA77" i="143"/>
  <c r="Z77" i="143"/>
  <c r="Y77" i="143"/>
  <c r="X77" i="143"/>
  <c r="W77" i="143"/>
  <c r="V77" i="143"/>
  <c r="U77" i="143"/>
  <c r="T77" i="143"/>
  <c r="S77" i="143"/>
  <c r="R77" i="143"/>
  <c r="Q77" i="143"/>
  <c r="P77" i="143"/>
  <c r="O77" i="143"/>
  <c r="N77" i="143"/>
  <c r="M77" i="143"/>
  <c r="L77" i="143"/>
  <c r="K77" i="143"/>
  <c r="A77" i="143"/>
  <c r="AS76" i="143"/>
  <c r="AR76" i="143"/>
  <c r="AQ76" i="143"/>
  <c r="AP76" i="143"/>
  <c r="AO76" i="143"/>
  <c r="AN76" i="143"/>
  <c r="AM76" i="143"/>
  <c r="AL76" i="143"/>
  <c r="AK76" i="143"/>
  <c r="AJ76" i="143"/>
  <c r="AI76" i="143"/>
  <c r="AH76" i="143"/>
  <c r="AG76" i="143"/>
  <c r="AF76" i="143"/>
  <c r="AE76" i="143"/>
  <c r="AD76" i="143"/>
  <c r="AC76" i="143"/>
  <c r="AB76" i="143"/>
  <c r="AA76" i="143"/>
  <c r="Z76" i="143"/>
  <c r="Y76" i="143"/>
  <c r="X76" i="143"/>
  <c r="W76" i="143"/>
  <c r="V76" i="143"/>
  <c r="U76" i="143"/>
  <c r="T76" i="143"/>
  <c r="S76" i="143"/>
  <c r="R76" i="143"/>
  <c r="Q76" i="143"/>
  <c r="P76" i="143"/>
  <c r="O76" i="143"/>
  <c r="N76" i="143"/>
  <c r="M76" i="143"/>
  <c r="L76" i="143"/>
  <c r="K76" i="143"/>
  <c r="A76" i="143"/>
  <c r="AS75" i="143"/>
  <c r="AR75" i="143"/>
  <c r="AQ75" i="143"/>
  <c r="AP75" i="143"/>
  <c r="AO75" i="143"/>
  <c r="AN75" i="143"/>
  <c r="AM75" i="143"/>
  <c r="AL75" i="143"/>
  <c r="AK75" i="143"/>
  <c r="AJ75" i="143"/>
  <c r="AI75" i="143"/>
  <c r="AH75" i="143"/>
  <c r="AG75" i="143"/>
  <c r="AF75" i="143"/>
  <c r="AE75" i="143"/>
  <c r="AD75" i="143"/>
  <c r="AC75" i="143"/>
  <c r="AB75" i="143"/>
  <c r="AA75" i="143"/>
  <c r="Z75" i="143"/>
  <c r="Y75" i="143"/>
  <c r="X75" i="143"/>
  <c r="W75" i="143"/>
  <c r="V75" i="143"/>
  <c r="U75" i="143"/>
  <c r="T75" i="143"/>
  <c r="S75" i="143"/>
  <c r="R75" i="143"/>
  <c r="Q75" i="143"/>
  <c r="P75" i="143"/>
  <c r="O75" i="143"/>
  <c r="N75" i="143"/>
  <c r="M75" i="143"/>
  <c r="L75" i="143"/>
  <c r="K75" i="143"/>
  <c r="A75" i="143"/>
  <c r="AS74" i="143"/>
  <c r="AR74" i="143"/>
  <c r="AQ74" i="143"/>
  <c r="AP74" i="143"/>
  <c r="AO74" i="143"/>
  <c r="AN74" i="143"/>
  <c r="AM74" i="143"/>
  <c r="AL74" i="143"/>
  <c r="AK74" i="143"/>
  <c r="AJ74" i="143"/>
  <c r="AI74" i="143"/>
  <c r="AH74" i="143"/>
  <c r="AG74" i="143"/>
  <c r="AF74" i="143"/>
  <c r="AE74" i="143"/>
  <c r="AD74" i="143"/>
  <c r="AC74" i="143"/>
  <c r="AB74" i="143"/>
  <c r="AA74" i="143"/>
  <c r="Z74" i="143"/>
  <c r="Y74" i="143"/>
  <c r="X74" i="143"/>
  <c r="W74" i="143"/>
  <c r="V74" i="143"/>
  <c r="U74" i="143"/>
  <c r="T74" i="143"/>
  <c r="S74" i="143"/>
  <c r="R74" i="143"/>
  <c r="Q74" i="143"/>
  <c r="P74" i="143"/>
  <c r="O74" i="143"/>
  <c r="N74" i="143"/>
  <c r="M74" i="143"/>
  <c r="L74" i="143"/>
  <c r="K74" i="143"/>
  <c r="A74" i="143"/>
  <c r="AS73" i="143"/>
  <c r="AR73" i="143"/>
  <c r="AQ73" i="143"/>
  <c r="AP73" i="143"/>
  <c r="AO73" i="143"/>
  <c r="AN73" i="143"/>
  <c r="AM73" i="143"/>
  <c r="AL73" i="143"/>
  <c r="AK73" i="143"/>
  <c r="AJ73" i="143"/>
  <c r="AI73" i="143"/>
  <c r="AH73" i="143"/>
  <c r="AG73" i="143"/>
  <c r="AF73" i="143"/>
  <c r="AE73" i="143"/>
  <c r="AD73" i="143"/>
  <c r="AC73" i="143"/>
  <c r="AB73" i="143"/>
  <c r="AA73" i="143"/>
  <c r="Z73" i="143"/>
  <c r="Y73" i="143"/>
  <c r="X73" i="143"/>
  <c r="W73" i="143"/>
  <c r="V73" i="143"/>
  <c r="U73" i="143"/>
  <c r="T73" i="143"/>
  <c r="S73" i="143"/>
  <c r="R73" i="143"/>
  <c r="Q73" i="143"/>
  <c r="P73" i="143"/>
  <c r="O73" i="143"/>
  <c r="N73" i="143"/>
  <c r="M73" i="143"/>
  <c r="L73" i="143"/>
  <c r="K73" i="143"/>
  <c r="A73" i="143"/>
  <c r="A72" i="143"/>
  <c r="CK71" i="143"/>
  <c r="CJ71" i="143"/>
  <c r="CI71" i="143"/>
  <c r="CH71" i="143"/>
  <c r="CG71" i="143"/>
  <c r="CF71" i="143"/>
  <c r="CE71" i="143"/>
  <c r="CD71" i="143"/>
  <c r="CC71" i="143"/>
  <c r="CB71" i="143"/>
  <c r="CA71" i="143"/>
  <c r="BZ71" i="143"/>
  <c r="BY71" i="143"/>
  <c r="BX71" i="143"/>
  <c r="BW71" i="143"/>
  <c r="BV71" i="143"/>
  <c r="BU71" i="143"/>
  <c r="BT71" i="143"/>
  <c r="BS71" i="143"/>
  <c r="BR71" i="143"/>
  <c r="BQ71" i="143"/>
  <c r="BP71" i="143"/>
  <c r="BO71" i="143"/>
  <c r="BN71" i="143"/>
  <c r="BM71" i="143"/>
  <c r="BL71" i="143"/>
  <c r="BK71" i="143"/>
  <c r="BJ71" i="143"/>
  <c r="BI71" i="143"/>
  <c r="BH71" i="143"/>
  <c r="BG71" i="143"/>
  <c r="BF71" i="143"/>
  <c r="BE71" i="143"/>
  <c r="BD71" i="143"/>
  <c r="BC71" i="143"/>
  <c r="BB71" i="143"/>
  <c r="BA71" i="143"/>
  <c r="AZ71" i="143"/>
  <c r="AY71" i="143"/>
  <c r="AX71" i="143"/>
  <c r="AW71" i="143"/>
  <c r="AV71" i="143"/>
  <c r="AU71" i="143"/>
  <c r="AT71" i="143"/>
  <c r="A71" i="143"/>
  <c r="AS70" i="143"/>
  <c r="AR70" i="143"/>
  <c r="AR71" i="143" s="1"/>
  <c r="AQ70" i="143"/>
  <c r="AP70" i="143"/>
  <c r="AO70" i="143"/>
  <c r="AO71" i="143" s="1"/>
  <c r="AN70" i="143"/>
  <c r="AM70" i="143"/>
  <c r="AL70" i="143"/>
  <c r="AK70" i="143"/>
  <c r="AJ70" i="143"/>
  <c r="AJ71" i="143" s="1"/>
  <c r="AI70" i="143"/>
  <c r="AH70" i="143"/>
  <c r="AG70" i="143"/>
  <c r="AG71" i="143" s="1"/>
  <c r="AF70" i="143"/>
  <c r="AE70" i="143"/>
  <c r="AD70" i="143"/>
  <c r="AC70" i="143"/>
  <c r="AB70" i="143"/>
  <c r="AB71" i="143" s="1"/>
  <c r="AA70" i="143"/>
  <c r="Z70" i="143"/>
  <c r="Y70" i="143"/>
  <c r="X70" i="143"/>
  <c r="W70" i="143"/>
  <c r="V70" i="143"/>
  <c r="U70" i="143"/>
  <c r="T70" i="143"/>
  <c r="T71" i="143" s="1"/>
  <c r="S70" i="143"/>
  <c r="R70" i="143"/>
  <c r="Q70" i="143"/>
  <c r="Q71" i="143" s="1"/>
  <c r="P70" i="143"/>
  <c r="O70" i="143"/>
  <c r="N70" i="143"/>
  <c r="M70" i="143"/>
  <c r="L70" i="143"/>
  <c r="L71" i="143" s="1"/>
  <c r="K70" i="143"/>
  <c r="H70" i="143"/>
  <c r="A70" i="143"/>
  <c r="CL71" i="143"/>
  <c r="AS69" i="143"/>
  <c r="AR69" i="143"/>
  <c r="AQ69" i="143"/>
  <c r="AP69" i="143"/>
  <c r="AO69" i="143"/>
  <c r="AN69" i="143"/>
  <c r="AM69" i="143"/>
  <c r="AL69" i="143"/>
  <c r="AK69" i="143"/>
  <c r="AJ69" i="143"/>
  <c r="AI69" i="143"/>
  <c r="AH69" i="143"/>
  <c r="AG69" i="143"/>
  <c r="AF69" i="143"/>
  <c r="AE69" i="143"/>
  <c r="AD69" i="143"/>
  <c r="AC69" i="143"/>
  <c r="AB69" i="143"/>
  <c r="AA69" i="143"/>
  <c r="Z69" i="143"/>
  <c r="Y69" i="143"/>
  <c r="X69" i="143"/>
  <c r="W69" i="143"/>
  <c r="V69" i="143"/>
  <c r="U69" i="143"/>
  <c r="T69" i="143"/>
  <c r="S69" i="143"/>
  <c r="R69" i="143"/>
  <c r="Q69" i="143"/>
  <c r="P69" i="143"/>
  <c r="O69" i="143"/>
  <c r="N69" i="143"/>
  <c r="M69" i="143"/>
  <c r="L69" i="143"/>
  <c r="K69" i="143"/>
  <c r="I69" i="143"/>
  <c r="I71" i="143" s="1"/>
  <c r="H69" i="143"/>
  <c r="G69" i="143"/>
  <c r="G71" i="143" s="1"/>
  <c r="F69" i="143"/>
  <c r="F71" i="143" s="1"/>
  <c r="A69" i="143"/>
  <c r="A68" i="143"/>
  <c r="CL67" i="143"/>
  <c r="CK67" i="143"/>
  <c r="CJ67" i="143"/>
  <c r="CI67" i="143"/>
  <c r="CH67" i="143"/>
  <c r="CG67" i="143"/>
  <c r="CF67" i="143"/>
  <c r="CE67" i="143"/>
  <c r="CD67" i="143"/>
  <c r="CC67" i="143"/>
  <c r="CB67" i="143"/>
  <c r="CA67" i="143"/>
  <c r="BZ67" i="143"/>
  <c r="BY67" i="143"/>
  <c r="BX67" i="143"/>
  <c r="BW67" i="143"/>
  <c r="BV67" i="143"/>
  <c r="BU67" i="143"/>
  <c r="BT67" i="143"/>
  <c r="BS67" i="143"/>
  <c r="BR67" i="143"/>
  <c r="BQ67" i="143"/>
  <c r="BP67" i="143"/>
  <c r="BO67" i="143"/>
  <c r="BN67" i="143"/>
  <c r="BM67" i="143"/>
  <c r="BL67" i="143"/>
  <c r="BK67" i="143"/>
  <c r="BJ67" i="143"/>
  <c r="BI67" i="143"/>
  <c r="BH67" i="143"/>
  <c r="BG67" i="143"/>
  <c r="BF67" i="143"/>
  <c r="BE67" i="143"/>
  <c r="BD67" i="143"/>
  <c r="BC67" i="143"/>
  <c r="BB67" i="143"/>
  <c r="BA67" i="143"/>
  <c r="AZ67" i="143"/>
  <c r="AY67" i="143"/>
  <c r="AX67" i="143"/>
  <c r="AW67" i="143"/>
  <c r="AV67" i="143"/>
  <c r="AU67" i="143"/>
  <c r="AT67" i="143"/>
  <c r="A67" i="143"/>
  <c r="AS66" i="143"/>
  <c r="AR66" i="143"/>
  <c r="AQ66" i="143"/>
  <c r="AP66" i="143"/>
  <c r="AO66" i="143"/>
  <c r="AN66" i="143"/>
  <c r="AM66" i="143"/>
  <c r="AL66" i="143"/>
  <c r="AK66" i="143"/>
  <c r="AJ66" i="143"/>
  <c r="AI66" i="143"/>
  <c r="AH66" i="143"/>
  <c r="AG66" i="143"/>
  <c r="AF66" i="143"/>
  <c r="AE66" i="143"/>
  <c r="AD66" i="143"/>
  <c r="AC66" i="143"/>
  <c r="AB66" i="143"/>
  <c r="AA66" i="143"/>
  <c r="Z66" i="143"/>
  <c r="Y66" i="143"/>
  <c r="X66" i="143"/>
  <c r="W66" i="143"/>
  <c r="V66" i="143"/>
  <c r="U66" i="143"/>
  <c r="T66" i="143"/>
  <c r="S66" i="143"/>
  <c r="R66" i="143"/>
  <c r="Q66" i="143"/>
  <c r="P66" i="143"/>
  <c r="O66" i="143"/>
  <c r="N66" i="143"/>
  <c r="M66" i="143"/>
  <c r="L66" i="143"/>
  <c r="K66" i="143"/>
  <c r="I66" i="143"/>
  <c r="H66" i="143"/>
  <c r="G66" i="143"/>
  <c r="F66" i="143"/>
  <c r="A66" i="143"/>
  <c r="AS65" i="143"/>
  <c r="AR65" i="143"/>
  <c r="AQ65" i="143"/>
  <c r="AP65" i="143"/>
  <c r="AO65" i="143"/>
  <c r="AN65" i="143"/>
  <c r="AM65" i="143"/>
  <c r="AL65" i="143"/>
  <c r="AK65" i="143"/>
  <c r="AJ65" i="143"/>
  <c r="AI65" i="143"/>
  <c r="AH65" i="143"/>
  <c r="AG65" i="143"/>
  <c r="AF65" i="143"/>
  <c r="AE65" i="143"/>
  <c r="AD65" i="143"/>
  <c r="AC65" i="143"/>
  <c r="AB65" i="143"/>
  <c r="AA65" i="143"/>
  <c r="Z65" i="143"/>
  <c r="Y65" i="143"/>
  <c r="X65" i="143"/>
  <c r="W65" i="143"/>
  <c r="V65" i="143"/>
  <c r="U65" i="143"/>
  <c r="T65" i="143"/>
  <c r="S65" i="143"/>
  <c r="R65" i="143"/>
  <c r="Q65" i="143"/>
  <c r="P65" i="143"/>
  <c r="O65" i="143"/>
  <c r="N65" i="143"/>
  <c r="M65" i="143"/>
  <c r="L65" i="143"/>
  <c r="K65" i="143"/>
  <c r="I65" i="143"/>
  <c r="I67" i="143" s="1"/>
  <c r="H65" i="143"/>
  <c r="H67" i="143" s="1"/>
  <c r="G65" i="143"/>
  <c r="G67" i="143" s="1"/>
  <c r="F65" i="143"/>
  <c r="F67" i="143" s="1"/>
  <c r="B65" i="143"/>
  <c r="A65" i="143"/>
  <c r="A64" i="143"/>
  <c r="AS63" i="143"/>
  <c r="AR63" i="143"/>
  <c r="AQ63" i="143"/>
  <c r="AP63" i="143"/>
  <c r="AO63" i="143"/>
  <c r="AN63" i="143"/>
  <c r="AM63" i="143"/>
  <c r="AL63" i="143"/>
  <c r="AK63" i="143"/>
  <c r="AJ63" i="143"/>
  <c r="AI63" i="143"/>
  <c r="AH63" i="143"/>
  <c r="AG63" i="143"/>
  <c r="AF63" i="143"/>
  <c r="AE63" i="143"/>
  <c r="AD63" i="143"/>
  <c r="AC63" i="143"/>
  <c r="AB63" i="143"/>
  <c r="AA63" i="143"/>
  <c r="Z63" i="143"/>
  <c r="Y63" i="143"/>
  <c r="X63" i="143"/>
  <c r="W63" i="143"/>
  <c r="V63" i="143"/>
  <c r="U63" i="143"/>
  <c r="T63" i="143"/>
  <c r="S63" i="143"/>
  <c r="R63" i="143"/>
  <c r="Q63" i="143"/>
  <c r="P63" i="143"/>
  <c r="O63" i="143"/>
  <c r="N63" i="143"/>
  <c r="M63" i="143"/>
  <c r="L63" i="143"/>
  <c r="K63" i="143"/>
  <c r="I63" i="143"/>
  <c r="H63" i="143"/>
  <c r="G63" i="143"/>
  <c r="F63" i="143"/>
  <c r="A63" i="143"/>
  <c r="AS62" i="143"/>
  <c r="AR62" i="143"/>
  <c r="AQ62" i="143"/>
  <c r="AP62" i="143"/>
  <c r="AO62" i="143"/>
  <c r="AN62" i="143"/>
  <c r="AM62" i="143"/>
  <c r="AL62" i="143"/>
  <c r="AK62" i="143"/>
  <c r="AJ62" i="143"/>
  <c r="AI62" i="143"/>
  <c r="AH62" i="143"/>
  <c r="AG62" i="143"/>
  <c r="AF62" i="143"/>
  <c r="AE62" i="143"/>
  <c r="AD62" i="143"/>
  <c r="AC62" i="143"/>
  <c r="AB62" i="143"/>
  <c r="AA62" i="143"/>
  <c r="Z62" i="143"/>
  <c r="Y62" i="143"/>
  <c r="X62" i="143"/>
  <c r="W62" i="143"/>
  <c r="V62" i="143"/>
  <c r="U62" i="143"/>
  <c r="T62" i="143"/>
  <c r="S62" i="143"/>
  <c r="R62" i="143"/>
  <c r="Q62" i="143"/>
  <c r="P62" i="143"/>
  <c r="O62" i="143"/>
  <c r="N62" i="143"/>
  <c r="M62" i="143"/>
  <c r="L62" i="143"/>
  <c r="K62" i="143"/>
  <c r="I62" i="143"/>
  <c r="H62" i="143"/>
  <c r="G62" i="143"/>
  <c r="F62" i="143"/>
  <c r="A62" i="143"/>
  <c r="AS61" i="143"/>
  <c r="AR61" i="143"/>
  <c r="AQ61" i="143"/>
  <c r="AP61" i="143"/>
  <c r="AO61" i="143"/>
  <c r="AN61" i="143"/>
  <c r="AM61" i="143"/>
  <c r="AL61" i="143"/>
  <c r="AK61" i="143"/>
  <c r="AJ61" i="143"/>
  <c r="AI61" i="143"/>
  <c r="AH61" i="143"/>
  <c r="AG61" i="143"/>
  <c r="AF61" i="143"/>
  <c r="AE61" i="143"/>
  <c r="AD61" i="143"/>
  <c r="AC61" i="143"/>
  <c r="AB61" i="143"/>
  <c r="AA61" i="143"/>
  <c r="Z61" i="143"/>
  <c r="Y61" i="143"/>
  <c r="X61" i="143"/>
  <c r="W61" i="143"/>
  <c r="V61" i="143"/>
  <c r="U61" i="143"/>
  <c r="T61" i="143"/>
  <c r="S61" i="143"/>
  <c r="R61" i="143"/>
  <c r="Q61" i="143"/>
  <c r="P61" i="143"/>
  <c r="O61" i="143"/>
  <c r="N61" i="143"/>
  <c r="M61" i="143"/>
  <c r="L61" i="143"/>
  <c r="K61" i="143"/>
  <c r="A61" i="143"/>
  <c r="AS60" i="143"/>
  <c r="AR60" i="143"/>
  <c r="AQ60" i="143"/>
  <c r="AP60" i="143"/>
  <c r="AO60" i="143"/>
  <c r="AN60" i="143"/>
  <c r="AM60" i="143"/>
  <c r="AL60" i="143"/>
  <c r="AK60" i="143"/>
  <c r="AJ60" i="143"/>
  <c r="AI60" i="143"/>
  <c r="AH60" i="143"/>
  <c r="AG60" i="143"/>
  <c r="AF60" i="143"/>
  <c r="AE60" i="143"/>
  <c r="AD60" i="143"/>
  <c r="AC60" i="143"/>
  <c r="AB60" i="143"/>
  <c r="AA60" i="143"/>
  <c r="Z60" i="143"/>
  <c r="Y60" i="143"/>
  <c r="X60" i="143"/>
  <c r="W60" i="143"/>
  <c r="V60" i="143"/>
  <c r="U60" i="143"/>
  <c r="T60" i="143"/>
  <c r="S60" i="143"/>
  <c r="R60" i="143"/>
  <c r="Q60" i="143"/>
  <c r="P60" i="143"/>
  <c r="O60" i="143"/>
  <c r="N60" i="143"/>
  <c r="M60" i="143"/>
  <c r="L60" i="143"/>
  <c r="K60" i="143"/>
  <c r="A60" i="143"/>
  <c r="AS59" i="143"/>
  <c r="AR59" i="143"/>
  <c r="AQ59" i="143"/>
  <c r="AP59" i="143"/>
  <c r="AO59" i="143"/>
  <c r="AN59" i="143"/>
  <c r="AM59" i="143"/>
  <c r="AL59" i="143"/>
  <c r="AK59" i="143"/>
  <c r="AJ59" i="143"/>
  <c r="AI59" i="143"/>
  <c r="AH59" i="143"/>
  <c r="AG59" i="143"/>
  <c r="AF59" i="143"/>
  <c r="AE59" i="143"/>
  <c r="AD59" i="143"/>
  <c r="AC59" i="143"/>
  <c r="AB59" i="143"/>
  <c r="AA59" i="143"/>
  <c r="Z59" i="143"/>
  <c r="Y59" i="143"/>
  <c r="X59" i="143"/>
  <c r="W59" i="143"/>
  <c r="V59" i="143"/>
  <c r="U59" i="143"/>
  <c r="T59" i="143"/>
  <c r="S59" i="143"/>
  <c r="R59" i="143"/>
  <c r="Q59" i="143"/>
  <c r="P59" i="143"/>
  <c r="O59" i="143"/>
  <c r="N59" i="143"/>
  <c r="M59" i="143"/>
  <c r="L59" i="143"/>
  <c r="K59" i="143"/>
  <c r="A59" i="143"/>
  <c r="AS58" i="143"/>
  <c r="AR58" i="143"/>
  <c r="AQ58" i="143"/>
  <c r="AP58" i="143"/>
  <c r="AO58" i="143"/>
  <c r="AN58" i="143"/>
  <c r="AM58" i="143"/>
  <c r="AL58" i="143"/>
  <c r="AK58" i="143"/>
  <c r="AJ58" i="143"/>
  <c r="AI58" i="143"/>
  <c r="AH58" i="143"/>
  <c r="AG58" i="143"/>
  <c r="AF58" i="143"/>
  <c r="AE58" i="143"/>
  <c r="AD58" i="143"/>
  <c r="AC58" i="143"/>
  <c r="AB58" i="143"/>
  <c r="AA58" i="143"/>
  <c r="Z58" i="143"/>
  <c r="Y58" i="143"/>
  <c r="X58" i="143"/>
  <c r="W58" i="143"/>
  <c r="V58" i="143"/>
  <c r="U58" i="143"/>
  <c r="T58" i="143"/>
  <c r="S58" i="143"/>
  <c r="R58" i="143"/>
  <c r="Q58" i="143"/>
  <c r="P58" i="143"/>
  <c r="O58" i="143"/>
  <c r="N58" i="143"/>
  <c r="M58" i="143"/>
  <c r="L58" i="143"/>
  <c r="K58" i="143"/>
  <c r="A58" i="143"/>
  <c r="AS57" i="143"/>
  <c r="AR57" i="143"/>
  <c r="AQ57" i="143"/>
  <c r="AP57" i="143"/>
  <c r="AO57" i="143"/>
  <c r="AN57" i="143"/>
  <c r="AM57" i="143"/>
  <c r="AL57" i="143"/>
  <c r="AK57" i="143"/>
  <c r="AJ57" i="143"/>
  <c r="AI57" i="143"/>
  <c r="AH57" i="143"/>
  <c r="AG57" i="143"/>
  <c r="AF57" i="143"/>
  <c r="AE57" i="143"/>
  <c r="AD57" i="143"/>
  <c r="AC57" i="143"/>
  <c r="AB57" i="143"/>
  <c r="AA57" i="143"/>
  <c r="Z57" i="143"/>
  <c r="X57" i="143"/>
  <c r="W57" i="143"/>
  <c r="V57" i="143"/>
  <c r="U57" i="143"/>
  <c r="T57" i="143"/>
  <c r="S57" i="143"/>
  <c r="R57" i="143"/>
  <c r="Q57" i="143"/>
  <c r="P57" i="143"/>
  <c r="O57" i="143"/>
  <c r="N57" i="143"/>
  <c r="M57" i="143"/>
  <c r="L57" i="143"/>
  <c r="K57" i="143"/>
  <c r="A57" i="143"/>
  <c r="AS56" i="143"/>
  <c r="AR56" i="143"/>
  <c r="AQ56" i="143"/>
  <c r="AP56" i="143"/>
  <c r="AO56" i="143"/>
  <c r="AN56" i="143"/>
  <c r="AM56" i="143"/>
  <c r="AL56" i="143"/>
  <c r="AK56" i="143"/>
  <c r="AJ56" i="143"/>
  <c r="AI56" i="143"/>
  <c r="AH56" i="143"/>
  <c r="AG56" i="143"/>
  <c r="AF56" i="143"/>
  <c r="AE56" i="143"/>
  <c r="AD56" i="143"/>
  <c r="AC56" i="143"/>
  <c r="AB56" i="143"/>
  <c r="AA56" i="143"/>
  <c r="Z56" i="143"/>
  <c r="Y56" i="143"/>
  <c r="X56" i="143"/>
  <c r="W56" i="143"/>
  <c r="V56" i="143"/>
  <c r="U56" i="143"/>
  <c r="T56" i="143"/>
  <c r="S56" i="143"/>
  <c r="R56" i="143"/>
  <c r="Q56" i="143"/>
  <c r="P56" i="143"/>
  <c r="O56" i="143"/>
  <c r="N56" i="143"/>
  <c r="M56" i="143"/>
  <c r="L56" i="143"/>
  <c r="K56" i="143"/>
  <c r="A56" i="143"/>
  <c r="A55" i="143"/>
  <c r="CL54" i="143"/>
  <c r="CK54" i="143"/>
  <c r="AQ54" i="143" s="1"/>
  <c r="CJ54" i="143"/>
  <c r="AN54" i="143" s="1"/>
  <c r="CI54" i="143"/>
  <c r="AR54" i="143" s="1"/>
  <c r="CH54" i="143"/>
  <c r="CG54" i="143"/>
  <c r="CF54" i="143"/>
  <c r="CE54" i="143"/>
  <c r="AL54" i="143" s="1"/>
  <c r="CD54" i="143"/>
  <c r="AP54" i="143" s="1"/>
  <c r="CC54" i="143"/>
  <c r="AO54" i="143" s="1"/>
  <c r="CB54" i="143"/>
  <c r="CA54" i="143"/>
  <c r="AF54" i="143" s="1"/>
  <c r="BZ54" i="143"/>
  <c r="AH54" i="143" s="1"/>
  <c r="BY54" i="143"/>
  <c r="AJ54" i="143" s="1"/>
  <c r="BX54" i="143"/>
  <c r="AC54" i="143" s="1"/>
  <c r="BW54" i="143"/>
  <c r="AI54" i="143" s="1"/>
  <c r="BV54" i="143"/>
  <c r="AG54" i="143" s="1"/>
  <c r="BU54" i="143"/>
  <c r="AD54" i="143" s="1"/>
  <c r="BT54" i="143"/>
  <c r="BS54" i="143"/>
  <c r="BR54" i="143"/>
  <c r="W54" i="143" s="1"/>
  <c r="BQ54" i="143"/>
  <c r="BP54" i="143"/>
  <c r="AB54" i="143" s="1"/>
  <c r="BO54" i="143"/>
  <c r="BN54" i="143"/>
  <c r="BM54" i="143"/>
  <c r="Z54" i="143" s="1"/>
  <c r="BL54" i="143"/>
  <c r="BK54" i="143"/>
  <c r="BJ54" i="143"/>
  <c r="BI54" i="143"/>
  <c r="BH54" i="143"/>
  <c r="BG54" i="143"/>
  <c r="BF54" i="143"/>
  <c r="K54" i="143" s="1"/>
  <c r="BE54" i="143"/>
  <c r="O54" i="143" s="1"/>
  <c r="BD54" i="143"/>
  <c r="M54" i="143" s="1"/>
  <c r="BC54" i="143"/>
  <c r="U54" i="143" s="1"/>
  <c r="BB54" i="143"/>
  <c r="BA54" i="143"/>
  <c r="AZ54" i="143"/>
  <c r="AY54" i="143"/>
  <c r="L54" i="143" s="1"/>
  <c r="AX54" i="143"/>
  <c r="AW54" i="143"/>
  <c r="N54" i="143" s="1"/>
  <c r="AV54" i="143"/>
  <c r="S54" i="143" s="1"/>
  <c r="AU54" i="143"/>
  <c r="AT54" i="143"/>
  <c r="AM54" i="143"/>
  <c r="AK54" i="143"/>
  <c r="T54" i="143"/>
  <c r="Q54" i="143"/>
  <c r="I54" i="143"/>
  <c r="H54" i="143"/>
  <c r="G54" i="143"/>
  <c r="F54" i="143"/>
  <c r="B54" i="143"/>
  <c r="A54" i="143"/>
  <c r="CL53" i="143"/>
  <c r="CK53" i="143"/>
  <c r="CJ53" i="143"/>
  <c r="CI53" i="143"/>
  <c r="CH53" i="143"/>
  <c r="CG53" i="143"/>
  <c r="CE53" i="143"/>
  <c r="CD53" i="143"/>
  <c r="CC53" i="143"/>
  <c r="CB53" i="143"/>
  <c r="CA53" i="143"/>
  <c r="BZ53" i="143"/>
  <c r="BY53" i="143"/>
  <c r="BX53" i="143"/>
  <c r="BW53" i="143"/>
  <c r="BV53" i="143"/>
  <c r="BU53" i="143"/>
  <c r="BT53" i="143"/>
  <c r="BR53" i="143"/>
  <c r="BQ53" i="143"/>
  <c r="BP53" i="143"/>
  <c r="BN53" i="143"/>
  <c r="BM53" i="143"/>
  <c r="BJ53" i="143"/>
  <c r="BI53" i="143"/>
  <c r="BF53" i="143"/>
  <c r="BE53" i="143"/>
  <c r="BD53" i="143"/>
  <c r="BC53" i="143"/>
  <c r="BB53" i="143"/>
  <c r="BA53" i="143"/>
  <c r="AY53" i="143"/>
  <c r="AX53" i="143"/>
  <c r="AW53" i="143"/>
  <c r="AV53" i="143"/>
  <c r="AU53" i="143"/>
  <c r="I53" i="143"/>
  <c r="H53" i="143"/>
  <c r="G53" i="143"/>
  <c r="F53" i="143"/>
  <c r="B53" i="143"/>
  <c r="A53" i="143"/>
  <c r="AS52" i="143"/>
  <c r="AS53" i="143" s="1"/>
  <c r="AR52" i="143"/>
  <c r="AR53" i="143" s="1"/>
  <c r="AQ52" i="143"/>
  <c r="AQ53" i="143" s="1"/>
  <c r="AP52" i="143"/>
  <c r="AP53" i="143" s="1"/>
  <c r="AO52" i="143"/>
  <c r="AO53" i="143" s="1"/>
  <c r="AN52" i="143"/>
  <c r="AN53" i="143" s="1"/>
  <c r="AM52" i="143"/>
  <c r="AM53" i="143" s="1"/>
  <c r="AL52" i="143"/>
  <c r="AL53" i="143" s="1"/>
  <c r="AK52" i="143"/>
  <c r="AK53" i="143" s="1"/>
  <c r="AJ52" i="143"/>
  <c r="AJ53" i="143" s="1"/>
  <c r="AI52" i="143"/>
  <c r="AI53" i="143" s="1"/>
  <c r="AH52" i="143"/>
  <c r="AH53" i="143" s="1"/>
  <c r="AG52" i="143"/>
  <c r="AG53" i="143" s="1"/>
  <c r="AF52" i="143"/>
  <c r="AF53" i="143" s="1"/>
  <c r="AE52" i="143"/>
  <c r="AE53" i="143" s="1"/>
  <c r="AD52" i="143"/>
  <c r="AD53" i="143" s="1"/>
  <c r="AC52" i="143"/>
  <c r="AC53" i="143" s="1"/>
  <c r="AB52" i="143"/>
  <c r="AB53" i="143" s="1"/>
  <c r="AA52" i="143"/>
  <c r="AA53" i="143" s="1"/>
  <c r="Z52" i="143"/>
  <c r="Z53" i="143" s="1"/>
  <c r="Y52" i="143"/>
  <c r="Y53" i="143" s="1"/>
  <c r="X52" i="143"/>
  <c r="X53" i="143" s="1"/>
  <c r="W52" i="143"/>
  <c r="W53" i="143" s="1"/>
  <c r="V52" i="143"/>
  <c r="V53" i="143" s="1"/>
  <c r="U52" i="143"/>
  <c r="U53" i="143" s="1"/>
  <c r="T52" i="143"/>
  <c r="T53" i="143" s="1"/>
  <c r="S52" i="143"/>
  <c r="S53" i="143" s="1"/>
  <c r="R52" i="143"/>
  <c r="R53" i="143" s="1"/>
  <c r="Q52" i="143"/>
  <c r="Q53" i="143" s="1"/>
  <c r="P52" i="143"/>
  <c r="P53" i="143" s="1"/>
  <c r="O52" i="143"/>
  <c r="O53" i="143" s="1"/>
  <c r="N52" i="143"/>
  <c r="N53" i="143" s="1"/>
  <c r="M52" i="143"/>
  <c r="M53" i="143" s="1"/>
  <c r="L52" i="143"/>
  <c r="L53" i="143" s="1"/>
  <c r="K52" i="143"/>
  <c r="K53" i="143" s="1"/>
  <c r="A52" i="143"/>
  <c r="AR51" i="143"/>
  <c r="AQ51" i="143"/>
  <c r="AP51" i="143"/>
  <c r="AO51" i="143"/>
  <c r="AN51" i="143"/>
  <c r="AM51" i="143"/>
  <c r="AL51" i="143"/>
  <c r="AK51" i="143"/>
  <c r="AJ51" i="143"/>
  <c r="AI51" i="143"/>
  <c r="AH51" i="143"/>
  <c r="AG51" i="143"/>
  <c r="AF51" i="143"/>
  <c r="AD51" i="143"/>
  <c r="AC51" i="143"/>
  <c r="AB51" i="143"/>
  <c r="Z51" i="143"/>
  <c r="W51" i="143"/>
  <c r="U51" i="143"/>
  <c r="T51" i="143"/>
  <c r="S51" i="143"/>
  <c r="Q51" i="143"/>
  <c r="O51" i="143"/>
  <c r="N51" i="143"/>
  <c r="M51" i="143"/>
  <c r="L51" i="143"/>
  <c r="K51" i="143"/>
  <c r="A51" i="143"/>
  <c r="AR50" i="143"/>
  <c r="AQ50" i="143"/>
  <c r="AP50" i="143"/>
  <c r="AO50" i="143"/>
  <c r="AN50" i="143"/>
  <c r="AM50" i="143"/>
  <c r="AL50" i="143"/>
  <c r="AK50" i="143"/>
  <c r="AJ50" i="143"/>
  <c r="AI50" i="143"/>
  <c r="AH50" i="143"/>
  <c r="AG50" i="143"/>
  <c r="AF50" i="143"/>
  <c r="AD50" i="143"/>
  <c r="AC50" i="143"/>
  <c r="AB50" i="143"/>
  <c r="Z50" i="143"/>
  <c r="W50" i="143"/>
  <c r="U50" i="143"/>
  <c r="T50" i="143"/>
  <c r="S50" i="143"/>
  <c r="Q50" i="143"/>
  <c r="O50" i="143"/>
  <c r="N50" i="143"/>
  <c r="M50" i="143"/>
  <c r="L50" i="143"/>
  <c r="K50" i="143"/>
  <c r="A50" i="143"/>
  <c r="AS49" i="143"/>
  <c r="AR49" i="143"/>
  <c r="AQ49" i="143"/>
  <c r="AP49" i="143"/>
  <c r="AO49" i="143"/>
  <c r="AN49" i="143"/>
  <c r="AM49" i="143"/>
  <c r="AL49" i="143"/>
  <c r="AK49" i="143"/>
  <c r="AJ49" i="143"/>
  <c r="AI49" i="143"/>
  <c r="AH49" i="143"/>
  <c r="AG49" i="143"/>
  <c r="AF49" i="143"/>
  <c r="AE49" i="143"/>
  <c r="AD49" i="143"/>
  <c r="AC49" i="143"/>
  <c r="AB49" i="143"/>
  <c r="AA49" i="143"/>
  <c r="Z49" i="143"/>
  <c r="Y49" i="143"/>
  <c r="X49" i="143"/>
  <c r="W49" i="143"/>
  <c r="V49" i="143"/>
  <c r="U49" i="143"/>
  <c r="T49" i="143"/>
  <c r="S49" i="143"/>
  <c r="R49" i="143"/>
  <c r="Q49" i="143"/>
  <c r="P49" i="143"/>
  <c r="O49" i="143"/>
  <c r="N49" i="143"/>
  <c r="M49" i="143"/>
  <c r="L49" i="143"/>
  <c r="K49" i="143"/>
  <c r="A49" i="143"/>
  <c r="AS48" i="143"/>
  <c r="AR48" i="143"/>
  <c r="AQ48" i="143"/>
  <c r="AP48" i="143"/>
  <c r="AO48" i="143"/>
  <c r="AN48" i="143"/>
  <c r="AM48" i="143"/>
  <c r="AL48" i="143"/>
  <c r="AK48" i="143"/>
  <c r="AJ48" i="143"/>
  <c r="AI48" i="143"/>
  <c r="AH48" i="143"/>
  <c r="AG48" i="143"/>
  <c r="AF48" i="143"/>
  <c r="AE48" i="143"/>
  <c r="AD48" i="143"/>
  <c r="AC48" i="143"/>
  <c r="AB48" i="143"/>
  <c r="AA48" i="143"/>
  <c r="Z48" i="143"/>
  <c r="Y48" i="143"/>
  <c r="X48" i="143"/>
  <c r="W48" i="143"/>
  <c r="V48" i="143"/>
  <c r="U48" i="143"/>
  <c r="T48" i="143"/>
  <c r="S48" i="143"/>
  <c r="R48" i="143"/>
  <c r="Q48" i="143"/>
  <c r="P48" i="143"/>
  <c r="O48" i="143"/>
  <c r="N48" i="143"/>
  <c r="M48" i="143"/>
  <c r="L48" i="143"/>
  <c r="K48" i="143"/>
  <c r="A48" i="143"/>
  <c r="CL47" i="143"/>
  <c r="CK47" i="143"/>
  <c r="AQ47" i="143" s="1"/>
  <c r="CJ47" i="143"/>
  <c r="AN47" i="143" s="1"/>
  <c r="CI47" i="143"/>
  <c r="CH47" i="143"/>
  <c r="AM47" i="143" s="1"/>
  <c r="CG47" i="143"/>
  <c r="CF47" i="143"/>
  <c r="CE47" i="143"/>
  <c r="CD47" i="143"/>
  <c r="AP47" i="143" s="1"/>
  <c r="CC47" i="143"/>
  <c r="AO47" i="143" s="1"/>
  <c r="CB47" i="143"/>
  <c r="AK47" i="143" s="1"/>
  <c r="CA47" i="143"/>
  <c r="BZ47" i="143"/>
  <c r="AH47" i="143" s="1"/>
  <c r="BY47" i="143"/>
  <c r="AJ47" i="143" s="1"/>
  <c r="BX47" i="143"/>
  <c r="BW47" i="143"/>
  <c r="AI47" i="143" s="1"/>
  <c r="BV47" i="143"/>
  <c r="AG47" i="143" s="1"/>
  <c r="BT47" i="143"/>
  <c r="BR47" i="143"/>
  <c r="W47" i="143" s="1"/>
  <c r="BQ47" i="143"/>
  <c r="BP47" i="143"/>
  <c r="AB47" i="143" s="1"/>
  <c r="BN47" i="143"/>
  <c r="BM47" i="143"/>
  <c r="Z47" i="143" s="1"/>
  <c r="BK47" i="143"/>
  <c r="BJ47" i="143"/>
  <c r="BI47" i="143"/>
  <c r="BF47" i="143"/>
  <c r="K47" i="143" s="1"/>
  <c r="BE47" i="143"/>
  <c r="O47" i="143" s="1"/>
  <c r="BD47" i="143"/>
  <c r="M47" i="143" s="1"/>
  <c r="BC47" i="143"/>
  <c r="U47" i="143" s="1"/>
  <c r="BB47" i="143"/>
  <c r="BA47" i="143"/>
  <c r="AY47" i="143"/>
  <c r="L47" i="143" s="1"/>
  <c r="AX47" i="143"/>
  <c r="AW47" i="143"/>
  <c r="AU47" i="143"/>
  <c r="Q47" i="143" s="1"/>
  <c r="AR47" i="143"/>
  <c r="AL47" i="143"/>
  <c r="AF47" i="143"/>
  <c r="AD47" i="143"/>
  <c r="AC47" i="143"/>
  <c r="T47" i="143"/>
  <c r="S47" i="143"/>
  <c r="N47" i="143"/>
  <c r="I47" i="143"/>
  <c r="H47" i="143"/>
  <c r="G47" i="143"/>
  <c r="F47" i="143"/>
  <c r="A47" i="143"/>
  <c r="AS46" i="143"/>
  <c r="AR46" i="143"/>
  <c r="AQ46" i="143"/>
  <c r="AP46" i="143"/>
  <c r="AO46" i="143"/>
  <c r="AN46" i="143"/>
  <c r="AM46" i="143"/>
  <c r="AL46" i="143"/>
  <c r="AK46" i="143"/>
  <c r="AJ46" i="143"/>
  <c r="AI46" i="143"/>
  <c r="AH46" i="143"/>
  <c r="AG46" i="143"/>
  <c r="AF46" i="143"/>
  <c r="AD46" i="143"/>
  <c r="AC46" i="143"/>
  <c r="AB46" i="143"/>
  <c r="Z46" i="143"/>
  <c r="W46" i="143"/>
  <c r="U46" i="143"/>
  <c r="T46" i="143"/>
  <c r="S46" i="143"/>
  <c r="Q46" i="143"/>
  <c r="O46" i="143"/>
  <c r="N46" i="143"/>
  <c r="M46" i="143"/>
  <c r="L46" i="143"/>
  <c r="K46" i="143"/>
  <c r="A46" i="143"/>
  <c r="AS45" i="143"/>
  <c r="AS47" i="143" s="1"/>
  <c r="AR45" i="143"/>
  <c r="AQ45" i="143"/>
  <c r="AP45" i="143"/>
  <c r="AO45" i="143"/>
  <c r="AN45" i="143"/>
  <c r="AM45" i="143"/>
  <c r="AL45" i="143"/>
  <c r="AK45" i="143"/>
  <c r="AJ45" i="143"/>
  <c r="AI45" i="143"/>
  <c r="AH45" i="143"/>
  <c r="AG45" i="143"/>
  <c r="AF45" i="143"/>
  <c r="AD45" i="143"/>
  <c r="AC45" i="143"/>
  <c r="AB45" i="143"/>
  <c r="Z45" i="143"/>
  <c r="W45" i="143"/>
  <c r="U45" i="143"/>
  <c r="T45" i="143"/>
  <c r="S45" i="143"/>
  <c r="Q45" i="143"/>
  <c r="O45" i="143"/>
  <c r="N45" i="143"/>
  <c r="M45" i="143"/>
  <c r="L45" i="143"/>
  <c r="K45" i="143"/>
  <c r="A45" i="143"/>
  <c r="CL44" i="143"/>
  <c r="CK44" i="143"/>
  <c r="CJ44" i="143"/>
  <c r="CI44" i="143"/>
  <c r="CH44" i="143"/>
  <c r="CG44" i="143"/>
  <c r="CF44" i="143"/>
  <c r="CE44" i="143"/>
  <c r="CD44" i="143"/>
  <c r="CC44" i="143"/>
  <c r="CB44" i="143"/>
  <c r="CA44" i="143"/>
  <c r="BZ44" i="143"/>
  <c r="BY44" i="143"/>
  <c r="BX44" i="143"/>
  <c r="BW44" i="143"/>
  <c r="BV44" i="143"/>
  <c r="BU44" i="143"/>
  <c r="BT44" i="143"/>
  <c r="BS44" i="143"/>
  <c r="BR44" i="143"/>
  <c r="BQ44" i="143"/>
  <c r="BP44" i="143"/>
  <c r="BO44" i="143"/>
  <c r="BN44" i="143"/>
  <c r="BM44" i="143"/>
  <c r="BL44" i="143"/>
  <c r="BK44" i="143"/>
  <c r="BJ44" i="143"/>
  <c r="BI44" i="143"/>
  <c r="BH44" i="143"/>
  <c r="BG44" i="143"/>
  <c r="BF44" i="143"/>
  <c r="BE44" i="143"/>
  <c r="BD44" i="143"/>
  <c r="BC44" i="143"/>
  <c r="BB44" i="143"/>
  <c r="BA44" i="143"/>
  <c r="AZ44" i="143"/>
  <c r="AY44" i="143"/>
  <c r="AX44" i="143"/>
  <c r="AW44" i="143"/>
  <c r="AV44" i="143"/>
  <c r="AU44" i="143"/>
  <c r="AT44" i="143"/>
  <c r="I44" i="143"/>
  <c r="H44" i="143"/>
  <c r="G44" i="143"/>
  <c r="F44" i="143"/>
  <c r="A44" i="143"/>
  <c r="AS43" i="143"/>
  <c r="AS44" i="143" s="1"/>
  <c r="AR43" i="143"/>
  <c r="AQ43" i="143"/>
  <c r="AP43" i="143"/>
  <c r="AP44" i="143" s="1"/>
  <c r="AO43" i="143"/>
  <c r="AN43" i="143"/>
  <c r="AN44" i="143" s="1"/>
  <c r="AM43" i="143"/>
  <c r="AM44" i="143" s="1"/>
  <c r="AL43" i="143"/>
  <c r="AL44" i="143" s="1"/>
  <c r="AK43" i="143"/>
  <c r="AK44" i="143" s="1"/>
  <c r="AJ43" i="143"/>
  <c r="AI43" i="143"/>
  <c r="AH43" i="143"/>
  <c r="AH44" i="143" s="1"/>
  <c r="AG43" i="143"/>
  <c r="AF43" i="143"/>
  <c r="AF44" i="143" s="1"/>
  <c r="AE43" i="143"/>
  <c r="AE44" i="143" s="1"/>
  <c r="AD43" i="143"/>
  <c r="AD44" i="143" s="1"/>
  <c r="AC43" i="143"/>
  <c r="AC44" i="143" s="1"/>
  <c r="AB43" i="143"/>
  <c r="AA43" i="143"/>
  <c r="Z43" i="143"/>
  <c r="Z44" i="143" s="1"/>
  <c r="Y43" i="143"/>
  <c r="X43" i="143"/>
  <c r="X44" i="143" s="1"/>
  <c r="W43" i="143"/>
  <c r="W44" i="143" s="1"/>
  <c r="V43" i="143"/>
  <c r="V44" i="143" s="1"/>
  <c r="U43" i="143"/>
  <c r="U44" i="143" s="1"/>
  <c r="T43" i="143"/>
  <c r="S43" i="143"/>
  <c r="R43" i="143"/>
  <c r="R44" i="143" s="1"/>
  <c r="Q43" i="143"/>
  <c r="P43" i="143"/>
  <c r="P44" i="143" s="1"/>
  <c r="O43" i="143"/>
  <c r="O44" i="143" s="1"/>
  <c r="N43" i="143"/>
  <c r="N44" i="143" s="1"/>
  <c r="M43" i="143"/>
  <c r="M44" i="143" s="1"/>
  <c r="L43" i="143"/>
  <c r="K43" i="143"/>
  <c r="A43" i="143"/>
  <c r="AS42" i="143"/>
  <c r="AS54" i="143" s="1"/>
  <c r="AR42" i="143"/>
  <c r="AQ42" i="143"/>
  <c r="AP42" i="143"/>
  <c r="AO42" i="143"/>
  <c r="AN42" i="143"/>
  <c r="AM42" i="143"/>
  <c r="AL42" i="143"/>
  <c r="AK42" i="143"/>
  <c r="AJ42" i="143"/>
  <c r="AI42" i="143"/>
  <c r="AH42" i="143"/>
  <c r="AG42" i="143"/>
  <c r="AF42" i="143"/>
  <c r="AE42" i="143"/>
  <c r="AE54" i="143" s="1"/>
  <c r="AD42" i="143"/>
  <c r="AC42" i="143"/>
  <c r="AB42" i="143"/>
  <c r="AA42" i="143"/>
  <c r="AA51" i="143" s="1"/>
  <c r="Z42" i="143"/>
  <c r="Y42" i="143"/>
  <c r="X42" i="143"/>
  <c r="X54" i="143" s="1"/>
  <c r="W42" i="143"/>
  <c r="V42" i="143"/>
  <c r="U42" i="143"/>
  <c r="T42" i="143"/>
  <c r="S42" i="143"/>
  <c r="R42" i="143"/>
  <c r="R54" i="143" s="1"/>
  <c r="Q42" i="143"/>
  <c r="P42" i="143"/>
  <c r="P54" i="143" s="1"/>
  <c r="O42" i="143"/>
  <c r="N42" i="143"/>
  <c r="M42" i="143"/>
  <c r="L42" i="143"/>
  <c r="K42" i="143"/>
  <c r="A42" i="143"/>
  <c r="AS41" i="143"/>
  <c r="AR41" i="143"/>
  <c r="AQ41" i="143"/>
  <c r="AP41" i="143"/>
  <c r="AO41" i="143"/>
  <c r="AN41" i="143"/>
  <c r="AM41" i="143"/>
  <c r="AL41" i="143"/>
  <c r="AK41" i="143"/>
  <c r="AJ41" i="143"/>
  <c r="AI41" i="143"/>
  <c r="AH41" i="143"/>
  <c r="AG41" i="143"/>
  <c r="AF41" i="143"/>
  <c r="AE41" i="143"/>
  <c r="AD41" i="143"/>
  <c r="AC41" i="143"/>
  <c r="AB41" i="143"/>
  <c r="AA41" i="143"/>
  <c r="Z41" i="143"/>
  <c r="Y41" i="143"/>
  <c r="X41" i="143"/>
  <c r="W41" i="143"/>
  <c r="V41" i="143"/>
  <c r="U41" i="143"/>
  <c r="T41" i="143"/>
  <c r="S41" i="143"/>
  <c r="R41" i="143"/>
  <c r="Q41" i="143"/>
  <c r="P41" i="143"/>
  <c r="O41" i="143"/>
  <c r="N41" i="143"/>
  <c r="M41" i="143"/>
  <c r="L41" i="143"/>
  <c r="K41" i="143"/>
  <c r="A41" i="143"/>
  <c r="A40" i="143"/>
  <c r="AS39" i="143"/>
  <c r="AR39" i="143"/>
  <c r="AQ39" i="143"/>
  <c r="AP39" i="143"/>
  <c r="AO39" i="143"/>
  <c r="AN39" i="143"/>
  <c r="AM39" i="143"/>
  <c r="AL39" i="143"/>
  <c r="AK39" i="143"/>
  <c r="AJ39" i="143"/>
  <c r="AI39" i="143"/>
  <c r="AH39" i="143"/>
  <c r="AG39" i="143"/>
  <c r="AF39" i="143"/>
  <c r="AE39" i="143"/>
  <c r="AD39" i="143"/>
  <c r="AC39" i="143"/>
  <c r="AB39" i="143"/>
  <c r="AA39" i="143"/>
  <c r="Z39" i="143"/>
  <c r="Y39" i="143"/>
  <c r="X39" i="143"/>
  <c r="W39" i="143"/>
  <c r="V39" i="143"/>
  <c r="U39" i="143"/>
  <c r="T39" i="143"/>
  <c r="S39" i="143"/>
  <c r="R39" i="143"/>
  <c r="Q39" i="143"/>
  <c r="P39" i="143"/>
  <c r="O39" i="143"/>
  <c r="N39" i="143"/>
  <c r="M39" i="143"/>
  <c r="L39" i="143"/>
  <c r="K39" i="143"/>
  <c r="A39" i="143"/>
  <c r="AS38" i="143"/>
  <c r="AR38" i="143"/>
  <c r="AQ38" i="143"/>
  <c r="AP38" i="143"/>
  <c r="AO38" i="143"/>
  <c r="AN38" i="143"/>
  <c r="AM38" i="143"/>
  <c r="AL38" i="143"/>
  <c r="AK38" i="143"/>
  <c r="AJ38" i="143"/>
  <c r="AI38" i="143"/>
  <c r="AH38" i="143"/>
  <c r="AG38" i="143"/>
  <c r="AF38" i="143"/>
  <c r="AE38" i="143"/>
  <c r="AD38" i="143"/>
  <c r="AC38" i="143"/>
  <c r="AB38" i="143"/>
  <c r="AA38" i="143"/>
  <c r="Z38" i="143"/>
  <c r="Y38" i="143"/>
  <c r="X38" i="143"/>
  <c r="W38" i="143"/>
  <c r="V38" i="143"/>
  <c r="U38" i="143"/>
  <c r="T38" i="143"/>
  <c r="S38" i="143"/>
  <c r="R38" i="143"/>
  <c r="Q38" i="143"/>
  <c r="P38" i="143"/>
  <c r="O38" i="143"/>
  <c r="N38" i="143"/>
  <c r="M38" i="143"/>
  <c r="L38" i="143"/>
  <c r="K38" i="143"/>
  <c r="A38" i="143"/>
  <c r="AS37" i="143"/>
  <c r="AR37" i="143"/>
  <c r="AQ37" i="143"/>
  <c r="AP37" i="143"/>
  <c r="AO37" i="143"/>
  <c r="AN37" i="143"/>
  <c r="AM37" i="143"/>
  <c r="AL37" i="143"/>
  <c r="AK37" i="143"/>
  <c r="AJ37" i="143"/>
  <c r="AI37" i="143"/>
  <c r="AH37" i="143"/>
  <c r="AG37" i="143"/>
  <c r="AF37" i="143"/>
  <c r="AE37" i="143"/>
  <c r="AD37" i="143"/>
  <c r="AC37" i="143"/>
  <c r="AB37" i="143"/>
  <c r="AA37" i="143"/>
  <c r="Z37" i="143"/>
  <c r="Y37" i="143"/>
  <c r="X37" i="143"/>
  <c r="W37" i="143"/>
  <c r="V37" i="143"/>
  <c r="U37" i="143"/>
  <c r="T37" i="143"/>
  <c r="S37" i="143"/>
  <c r="R37" i="143"/>
  <c r="Q37" i="143"/>
  <c r="P37" i="143"/>
  <c r="O37" i="143"/>
  <c r="N37" i="143"/>
  <c r="M37" i="143"/>
  <c r="L37" i="143"/>
  <c r="K37" i="143"/>
  <c r="A37" i="143"/>
  <c r="AS36" i="143"/>
  <c r="AR36" i="143"/>
  <c r="AQ36" i="143"/>
  <c r="AP36" i="143"/>
  <c r="AO36" i="143"/>
  <c r="AN36" i="143"/>
  <c r="AM36" i="143"/>
  <c r="AL36" i="143"/>
  <c r="AK36" i="143"/>
  <c r="AJ36" i="143"/>
  <c r="AI36" i="143"/>
  <c r="AH36" i="143"/>
  <c r="AG36" i="143"/>
  <c r="AF36" i="143"/>
  <c r="AE36" i="143"/>
  <c r="AD36" i="143"/>
  <c r="AC36" i="143"/>
  <c r="AB36" i="143"/>
  <c r="AA36" i="143"/>
  <c r="Z36" i="143"/>
  <c r="Y36" i="143"/>
  <c r="X36" i="143"/>
  <c r="W36" i="143"/>
  <c r="V36" i="143"/>
  <c r="U36" i="143"/>
  <c r="T36" i="143"/>
  <c r="S36" i="143"/>
  <c r="R36" i="143"/>
  <c r="Q36" i="143"/>
  <c r="P36" i="143"/>
  <c r="O36" i="143"/>
  <c r="N36" i="143"/>
  <c r="M36" i="143"/>
  <c r="L36" i="143"/>
  <c r="K36" i="143"/>
  <c r="A36" i="143"/>
  <c r="AS35" i="143"/>
  <c r="AS93" i="143" s="1"/>
  <c r="AR35" i="143"/>
  <c r="AQ35" i="143"/>
  <c r="AP35" i="143"/>
  <c r="AO35" i="143"/>
  <c r="AO127" i="143" s="1"/>
  <c r="AN35" i="143"/>
  <c r="AM35" i="143"/>
  <c r="AL35" i="143"/>
  <c r="AL127" i="143" s="1"/>
  <c r="AK35" i="143"/>
  <c r="AJ35" i="143"/>
  <c r="AI35" i="143"/>
  <c r="AI127" i="143" s="1"/>
  <c r="AH35" i="143"/>
  <c r="AG35" i="143"/>
  <c r="AG127" i="143" s="1"/>
  <c r="AF35" i="143"/>
  <c r="AE35" i="143"/>
  <c r="AD35" i="143"/>
  <c r="AD127" i="143" s="1"/>
  <c r="AC35" i="143"/>
  <c r="AB35" i="143"/>
  <c r="AA35" i="143"/>
  <c r="AA93" i="143" s="1"/>
  <c r="Z35" i="143"/>
  <c r="Y35" i="143"/>
  <c r="Y127" i="143" s="1"/>
  <c r="X35" i="143"/>
  <c r="X50" i="143" s="1"/>
  <c r="W35" i="143"/>
  <c r="V35" i="143"/>
  <c r="V93" i="143" s="1"/>
  <c r="U35" i="143"/>
  <c r="T35" i="143"/>
  <c r="S35" i="143"/>
  <c r="S67" i="143" s="1"/>
  <c r="R35" i="143"/>
  <c r="R93" i="143" s="1"/>
  <c r="Q35" i="143"/>
  <c r="Q127" i="143" s="1"/>
  <c r="P35" i="143"/>
  <c r="P50" i="143" s="1"/>
  <c r="O35" i="143"/>
  <c r="N35" i="143"/>
  <c r="N127" i="143" s="1"/>
  <c r="M35" i="143"/>
  <c r="L35" i="143"/>
  <c r="K35" i="143"/>
  <c r="K127" i="143" s="1"/>
  <c r="A35" i="143"/>
  <c r="A34" i="143"/>
  <c r="CL33" i="143"/>
  <c r="CK33" i="143"/>
  <c r="AQ33" i="143" s="1"/>
  <c r="CJ33" i="143"/>
  <c r="AN33" i="143" s="1"/>
  <c r="CI33" i="143"/>
  <c r="AR33" i="143" s="1"/>
  <c r="CH33" i="143"/>
  <c r="CG33" i="143"/>
  <c r="CF33" i="143"/>
  <c r="CE33" i="143"/>
  <c r="AL33" i="143" s="1"/>
  <c r="CD33" i="143"/>
  <c r="AP33" i="143" s="1"/>
  <c r="CC33" i="143"/>
  <c r="AO33" i="143" s="1"/>
  <c r="CB33" i="143"/>
  <c r="CA33" i="143"/>
  <c r="AF33" i="143" s="1"/>
  <c r="BZ33" i="143"/>
  <c r="AH33" i="143" s="1"/>
  <c r="BY33" i="143"/>
  <c r="BX33" i="143"/>
  <c r="AC33" i="143" s="1"/>
  <c r="BW33" i="143"/>
  <c r="AI33" i="143" s="1"/>
  <c r="BV33" i="143"/>
  <c r="AG33" i="143" s="1"/>
  <c r="BU33" i="143"/>
  <c r="AD33" i="143" s="1"/>
  <c r="BT33" i="143"/>
  <c r="BS33" i="143"/>
  <c r="BR33" i="143"/>
  <c r="BQ33" i="143"/>
  <c r="BP33" i="143"/>
  <c r="AB33" i="143" s="1"/>
  <c r="BO33" i="143"/>
  <c r="BN33" i="143"/>
  <c r="BM33" i="143"/>
  <c r="Z33" i="143" s="1"/>
  <c r="BL33" i="143"/>
  <c r="BK33" i="143"/>
  <c r="BJ33" i="143"/>
  <c r="BI33" i="143"/>
  <c r="BH33" i="143"/>
  <c r="BG33" i="143"/>
  <c r="BF33" i="143"/>
  <c r="K33" i="143" s="1"/>
  <c r="BE33" i="143"/>
  <c r="O33" i="143" s="1"/>
  <c r="BD33" i="143"/>
  <c r="M33" i="143" s="1"/>
  <c r="BC33" i="143"/>
  <c r="BB33" i="143"/>
  <c r="T33" i="143" s="1"/>
  <c r="BA33" i="143"/>
  <c r="AZ33" i="143"/>
  <c r="AY33" i="143"/>
  <c r="L33" i="143" s="1"/>
  <c r="AX33" i="143"/>
  <c r="AW33" i="143"/>
  <c r="N33" i="143" s="1"/>
  <c r="AV33" i="143"/>
  <c r="S33" i="143" s="1"/>
  <c r="AU33" i="143"/>
  <c r="Q33" i="143" s="1"/>
  <c r="AT33" i="143"/>
  <c r="AM33" i="143"/>
  <c r="AK33" i="143"/>
  <c r="AJ33" i="143"/>
  <c r="W33" i="143"/>
  <c r="U33" i="143"/>
  <c r="I33" i="143"/>
  <c r="H33" i="143"/>
  <c r="G33" i="143"/>
  <c r="F33" i="143"/>
  <c r="A33" i="143"/>
  <c r="AR32" i="143"/>
  <c r="AQ32" i="143"/>
  <c r="AP32" i="143"/>
  <c r="AO32" i="143"/>
  <c r="AN32" i="143"/>
  <c r="AM32" i="143"/>
  <c r="AL32" i="143"/>
  <c r="AK32" i="143"/>
  <c r="AJ32" i="143"/>
  <c r="AI32" i="143"/>
  <c r="AH32" i="143"/>
  <c r="AG32" i="143"/>
  <c r="AF32" i="143"/>
  <c r="AD32" i="143"/>
  <c r="AC32" i="143"/>
  <c r="AB32" i="143"/>
  <c r="Z32" i="143"/>
  <c r="W32" i="143"/>
  <c r="U32" i="143"/>
  <c r="T32" i="143"/>
  <c r="S32" i="143"/>
  <c r="Q32" i="143"/>
  <c r="O32" i="143"/>
  <c r="N32" i="143"/>
  <c r="M32" i="143"/>
  <c r="L32" i="143"/>
  <c r="K32" i="143"/>
  <c r="A32" i="143"/>
  <c r="CL31" i="143"/>
  <c r="BF31" i="143"/>
  <c r="K31" i="143" s="1"/>
  <c r="I31" i="143"/>
  <c r="B31" i="143"/>
  <c r="A31" i="143"/>
  <c r="CL30" i="143"/>
  <c r="CJ30" i="143"/>
  <c r="AN30" i="143" s="1"/>
  <c r="CB30" i="143"/>
  <c r="AK30" i="143" s="1"/>
  <c r="BL30" i="143"/>
  <c r="BD30" i="143"/>
  <c r="M30" i="143" s="1"/>
  <c r="A30" i="143"/>
  <c r="AS29" i="143"/>
  <c r="AR29" i="143"/>
  <c r="AQ29" i="143"/>
  <c r="AP29" i="143"/>
  <c r="AO29" i="143"/>
  <c r="AN29" i="143"/>
  <c r="AM29" i="143"/>
  <c r="AL29" i="143"/>
  <c r="AK29" i="143"/>
  <c r="AJ29" i="143"/>
  <c r="AI29" i="143"/>
  <c r="AH29" i="143"/>
  <c r="AG29" i="143"/>
  <c r="AF29" i="143"/>
  <c r="AE29" i="143"/>
  <c r="AD29" i="143"/>
  <c r="AC29" i="143"/>
  <c r="AB29" i="143"/>
  <c r="AA29" i="143"/>
  <c r="Z29" i="143"/>
  <c r="Y29" i="143"/>
  <c r="X29" i="143"/>
  <c r="W29" i="143"/>
  <c r="V29" i="143"/>
  <c r="U29" i="143"/>
  <c r="T29" i="143"/>
  <c r="S29" i="143"/>
  <c r="R29" i="143"/>
  <c r="Q29" i="143"/>
  <c r="P29" i="143"/>
  <c r="O29" i="143"/>
  <c r="N29" i="143"/>
  <c r="M29" i="143"/>
  <c r="L29" i="143"/>
  <c r="K29" i="143"/>
  <c r="A29" i="143"/>
  <c r="AS28" i="143"/>
  <c r="AR28" i="143"/>
  <c r="AQ28" i="143"/>
  <c r="AP28" i="143"/>
  <c r="AO28" i="143"/>
  <c r="AN28" i="143"/>
  <c r="AM28" i="143"/>
  <c r="AL28" i="143"/>
  <c r="AK28" i="143"/>
  <c r="AJ28" i="143"/>
  <c r="AI28" i="143"/>
  <c r="AH28" i="143"/>
  <c r="AG28" i="143"/>
  <c r="AF28" i="143"/>
  <c r="AE28" i="143"/>
  <c r="AD28" i="143"/>
  <c r="AC28" i="143"/>
  <c r="AB28" i="143"/>
  <c r="AA28" i="143"/>
  <c r="Z28" i="143"/>
  <c r="Y28" i="143"/>
  <c r="X28" i="143"/>
  <c r="W28" i="143"/>
  <c r="V28" i="143"/>
  <c r="U28" i="143"/>
  <c r="T28" i="143"/>
  <c r="S28" i="143"/>
  <c r="R28" i="143"/>
  <c r="Q28" i="143"/>
  <c r="P28" i="143"/>
  <c r="O28" i="143"/>
  <c r="N28" i="143"/>
  <c r="M28" i="143"/>
  <c r="L28" i="143"/>
  <c r="K28" i="143"/>
  <c r="A28" i="143"/>
  <c r="AS27" i="143"/>
  <c r="AR27" i="143"/>
  <c r="AQ27" i="143"/>
  <c r="AP27" i="143"/>
  <c r="AO27" i="143"/>
  <c r="AN27" i="143"/>
  <c r="AM27" i="143"/>
  <c r="AL27" i="143"/>
  <c r="AK27" i="143"/>
  <c r="AJ27" i="143"/>
  <c r="AI27" i="143"/>
  <c r="AH27" i="143"/>
  <c r="AG27" i="143"/>
  <c r="AF27" i="143"/>
  <c r="AE27" i="143"/>
  <c r="AD27" i="143"/>
  <c r="AC27" i="143"/>
  <c r="AB27" i="143"/>
  <c r="AA27" i="143"/>
  <c r="Z27" i="143"/>
  <c r="Y27" i="143"/>
  <c r="X27" i="143"/>
  <c r="W27" i="143"/>
  <c r="V27" i="143"/>
  <c r="U27" i="143"/>
  <c r="T27" i="143"/>
  <c r="S27" i="143"/>
  <c r="R27" i="143"/>
  <c r="Q27" i="143"/>
  <c r="P27" i="143"/>
  <c r="O27" i="143"/>
  <c r="N27" i="143"/>
  <c r="M27" i="143"/>
  <c r="L27" i="143"/>
  <c r="K27" i="143"/>
  <c r="A27" i="143"/>
  <c r="AS26" i="143"/>
  <c r="AR26" i="143"/>
  <c r="AQ26" i="143"/>
  <c r="AP26" i="143"/>
  <c r="AO26" i="143"/>
  <c r="AN26" i="143"/>
  <c r="AM26" i="143"/>
  <c r="AL26" i="143"/>
  <c r="AK26" i="143"/>
  <c r="AJ26" i="143"/>
  <c r="AI26" i="143"/>
  <c r="AH26" i="143"/>
  <c r="AG26" i="143"/>
  <c r="AF26" i="143"/>
  <c r="AE26" i="143"/>
  <c r="AD26" i="143"/>
  <c r="AC26" i="143"/>
  <c r="AB26" i="143"/>
  <c r="AA26" i="143"/>
  <c r="Z26" i="143"/>
  <c r="Y26" i="143"/>
  <c r="X26" i="143"/>
  <c r="W26" i="143"/>
  <c r="V26" i="143"/>
  <c r="U26" i="143"/>
  <c r="T26" i="143"/>
  <c r="S26" i="143"/>
  <c r="R26" i="143"/>
  <c r="Q26" i="143"/>
  <c r="P26" i="143"/>
  <c r="O26" i="143"/>
  <c r="N26" i="143"/>
  <c r="M26" i="143"/>
  <c r="L26" i="143"/>
  <c r="K26" i="143"/>
  <c r="A26" i="143"/>
  <c r="AS25" i="143"/>
  <c r="AR25" i="143"/>
  <c r="AQ25" i="143"/>
  <c r="AP25" i="143"/>
  <c r="AO25" i="143"/>
  <c r="AN25" i="143"/>
  <c r="AM25" i="143"/>
  <c r="AL25" i="143"/>
  <c r="AK25" i="143"/>
  <c r="AJ25" i="143"/>
  <c r="AI25" i="143"/>
  <c r="AH25" i="143"/>
  <c r="AG25" i="143"/>
  <c r="AF25" i="143"/>
  <c r="AE25" i="143"/>
  <c r="AD25" i="143"/>
  <c r="AC25" i="143"/>
  <c r="AB25" i="143"/>
  <c r="AA25" i="143"/>
  <c r="Z25" i="143"/>
  <c r="Y25" i="143"/>
  <c r="X25" i="143"/>
  <c r="W25" i="143"/>
  <c r="V25" i="143"/>
  <c r="U25" i="143"/>
  <c r="T25" i="143"/>
  <c r="S25" i="143"/>
  <c r="R25" i="143"/>
  <c r="Q25" i="143"/>
  <c r="P25" i="143"/>
  <c r="O25" i="143"/>
  <c r="N25" i="143"/>
  <c r="M25" i="143"/>
  <c r="L25" i="143"/>
  <c r="K25" i="143"/>
  <c r="A25" i="143"/>
  <c r="AS24" i="143"/>
  <c r="AR24" i="143"/>
  <c r="AQ24" i="143"/>
  <c r="AP24" i="143"/>
  <c r="AO24" i="143"/>
  <c r="AN24" i="143"/>
  <c r="AM24" i="143"/>
  <c r="AL24" i="143"/>
  <c r="AK24" i="143"/>
  <c r="AJ24" i="143"/>
  <c r="AI24" i="143"/>
  <c r="AH24" i="143"/>
  <c r="AG24" i="143"/>
  <c r="AF24" i="143"/>
  <c r="AE24" i="143"/>
  <c r="AD24" i="143"/>
  <c r="AC24" i="143"/>
  <c r="AB24" i="143"/>
  <c r="AA24" i="143"/>
  <c r="Z24" i="143"/>
  <c r="Y24" i="143"/>
  <c r="X24" i="143"/>
  <c r="W24" i="143"/>
  <c r="V24" i="143"/>
  <c r="U24" i="143"/>
  <c r="T24" i="143"/>
  <c r="S24" i="143"/>
  <c r="R24" i="143"/>
  <c r="Q24" i="143"/>
  <c r="P24" i="143"/>
  <c r="O24" i="143"/>
  <c r="N24" i="143"/>
  <c r="M24" i="143"/>
  <c r="L24" i="143"/>
  <c r="K24" i="143"/>
  <c r="A24" i="143"/>
  <c r="CK23" i="143"/>
  <c r="CK31" i="143" s="1"/>
  <c r="AQ31" i="143" s="1"/>
  <c r="CJ23" i="143"/>
  <c r="CJ31" i="143" s="1"/>
  <c r="AN31" i="143" s="1"/>
  <c r="CI23" i="143"/>
  <c r="CI30" i="143" s="1"/>
  <c r="AR30" i="143" s="1"/>
  <c r="CH23" i="143"/>
  <c r="CH30" i="143" s="1"/>
  <c r="AM30" i="143" s="1"/>
  <c r="CG23" i="143"/>
  <c r="CG30" i="143" s="1"/>
  <c r="CF23" i="143"/>
  <c r="CE23" i="143"/>
  <c r="CE30" i="143" s="1"/>
  <c r="AL30" i="143" s="1"/>
  <c r="CD23" i="143"/>
  <c r="CD30" i="143" s="1"/>
  <c r="AP30" i="143" s="1"/>
  <c r="CC23" i="143"/>
  <c r="CC31" i="143" s="1"/>
  <c r="AO31" i="143" s="1"/>
  <c r="CB23" i="143"/>
  <c r="CB31" i="143" s="1"/>
  <c r="AK31" i="143" s="1"/>
  <c r="CA23" i="143"/>
  <c r="CA30" i="143" s="1"/>
  <c r="AF30" i="143" s="1"/>
  <c r="BZ23" i="143"/>
  <c r="BZ30" i="143" s="1"/>
  <c r="AH30" i="143" s="1"/>
  <c r="BY23" i="143"/>
  <c r="BY30" i="143" s="1"/>
  <c r="AJ30" i="143" s="1"/>
  <c r="BX23" i="143"/>
  <c r="BW23" i="143"/>
  <c r="BW30" i="143" s="1"/>
  <c r="AI30" i="143" s="1"/>
  <c r="BV23" i="143"/>
  <c r="BV30" i="143" s="1"/>
  <c r="AG30" i="143" s="1"/>
  <c r="BU23" i="143"/>
  <c r="BU31" i="143" s="1"/>
  <c r="AD31" i="143" s="1"/>
  <c r="BT23" i="143"/>
  <c r="BT31" i="143" s="1"/>
  <c r="BS23" i="143"/>
  <c r="BS30" i="143" s="1"/>
  <c r="BR23" i="143"/>
  <c r="BR30" i="143" s="1"/>
  <c r="W30" i="143" s="1"/>
  <c r="BQ23" i="143"/>
  <c r="BQ30" i="143" s="1"/>
  <c r="BP23" i="143"/>
  <c r="AB23" i="143" s="1"/>
  <c r="BO23" i="143"/>
  <c r="BO30" i="143" s="1"/>
  <c r="BN23" i="143"/>
  <c r="BN30" i="143" s="1"/>
  <c r="BM23" i="143"/>
  <c r="BM31" i="143" s="1"/>
  <c r="Z31" i="143" s="1"/>
  <c r="BL23" i="143"/>
  <c r="BL31" i="143" s="1"/>
  <c r="BK23" i="143"/>
  <c r="BK30" i="143" s="1"/>
  <c r="BJ23" i="143"/>
  <c r="BJ30" i="143" s="1"/>
  <c r="BI23" i="143"/>
  <c r="BI30" i="143" s="1"/>
  <c r="BH23" i="143"/>
  <c r="BG23" i="143"/>
  <c r="BF23" i="143"/>
  <c r="BF30" i="143" s="1"/>
  <c r="K30" i="143" s="1"/>
  <c r="BE23" i="143"/>
  <c r="BE31" i="143" s="1"/>
  <c r="O31" i="143" s="1"/>
  <c r="BD23" i="143"/>
  <c r="BD31" i="143" s="1"/>
  <c r="M31" i="143" s="1"/>
  <c r="BC23" i="143"/>
  <c r="BC30" i="143" s="1"/>
  <c r="U30" i="143" s="1"/>
  <c r="BB23" i="143"/>
  <c r="BB30" i="143" s="1"/>
  <c r="T30" i="143" s="1"/>
  <c r="BA23" i="143"/>
  <c r="BA30" i="143" s="1"/>
  <c r="AZ23" i="143"/>
  <c r="AY23" i="143"/>
  <c r="AY30" i="143" s="1"/>
  <c r="L30" i="143" s="1"/>
  <c r="AX23" i="143"/>
  <c r="AX30" i="143" s="1"/>
  <c r="AW23" i="143"/>
  <c r="AW31" i="143" s="1"/>
  <c r="N31" i="143" s="1"/>
  <c r="AV23" i="143"/>
  <c r="AV31" i="143" s="1"/>
  <c r="S31" i="143" s="1"/>
  <c r="AU23" i="143"/>
  <c r="AU30" i="143" s="1"/>
  <c r="Q30" i="143" s="1"/>
  <c r="AT23" i="143"/>
  <c r="AT30" i="143" s="1"/>
  <c r="AN23" i="143"/>
  <c r="AL23" i="143"/>
  <c r="AI23" i="143"/>
  <c r="Q23" i="143"/>
  <c r="L23" i="143"/>
  <c r="K23" i="143"/>
  <c r="I23" i="143"/>
  <c r="I30" i="143" s="1"/>
  <c r="H23" i="143"/>
  <c r="H31" i="143" s="1"/>
  <c r="G23" i="143"/>
  <c r="G31" i="143" s="1"/>
  <c r="F23" i="143"/>
  <c r="F30" i="143" s="1"/>
  <c r="A23" i="143"/>
  <c r="Q22" i="143"/>
  <c r="A22" i="143"/>
  <c r="A21" i="143"/>
  <c r="AS20" i="143"/>
  <c r="AS21" i="143" s="1"/>
  <c r="AR20" i="143"/>
  <c r="AQ20" i="143"/>
  <c r="AQ21" i="143" s="1"/>
  <c r="AP20" i="143"/>
  <c r="AP21" i="143" s="1"/>
  <c r="AO20" i="143"/>
  <c r="AN20" i="143"/>
  <c r="AN21" i="143" s="1"/>
  <c r="AM20" i="143"/>
  <c r="AL20" i="143"/>
  <c r="AL21" i="143" s="1"/>
  <c r="AK20" i="143"/>
  <c r="AK21" i="143" s="1"/>
  <c r="AJ20" i="143"/>
  <c r="AI20" i="143"/>
  <c r="AI21" i="143" s="1"/>
  <c r="AH20" i="143"/>
  <c r="AH21" i="143" s="1"/>
  <c r="AG20" i="143"/>
  <c r="AF20" i="143"/>
  <c r="AF21" i="143" s="1"/>
  <c r="AE20" i="143"/>
  <c r="AD20" i="143"/>
  <c r="AD21" i="143" s="1"/>
  <c r="AC20" i="143"/>
  <c r="AC21" i="143" s="1"/>
  <c r="AB20" i="143"/>
  <c r="AA20" i="143"/>
  <c r="AA21" i="143" s="1"/>
  <c r="Z20" i="143"/>
  <c r="Z21" i="143" s="1"/>
  <c r="Y20" i="143"/>
  <c r="X20" i="143"/>
  <c r="X21" i="143" s="1"/>
  <c r="W20" i="143"/>
  <c r="V20" i="143"/>
  <c r="U20" i="143"/>
  <c r="U21" i="143" s="1"/>
  <c r="T20" i="143"/>
  <c r="S20" i="143"/>
  <c r="S21" i="143" s="1"/>
  <c r="R20" i="143"/>
  <c r="R21" i="143" s="1"/>
  <c r="Q20" i="143"/>
  <c r="P20" i="143"/>
  <c r="P21" i="143" s="1"/>
  <c r="O20" i="143"/>
  <c r="N20" i="143"/>
  <c r="N21" i="143" s="1"/>
  <c r="M20" i="143"/>
  <c r="M21" i="143" s="1"/>
  <c r="L20" i="143"/>
  <c r="K20" i="143"/>
  <c r="K21" i="143" s="1"/>
  <c r="A20" i="143"/>
  <c r="CL19" i="143"/>
  <c r="AS19" i="143"/>
  <c r="AR19" i="143"/>
  <c r="AQ19" i="143"/>
  <c r="AP19" i="143"/>
  <c r="AO19" i="143"/>
  <c r="AN19" i="143"/>
  <c r="AM19" i="143"/>
  <c r="AL19" i="143"/>
  <c r="AK19" i="143"/>
  <c r="AJ19" i="143"/>
  <c r="AI19" i="143"/>
  <c r="AH19" i="143"/>
  <c r="AG19" i="143"/>
  <c r="AF19" i="143"/>
  <c r="AE19" i="143"/>
  <c r="AD19" i="143"/>
  <c r="AC19" i="143"/>
  <c r="AB19" i="143"/>
  <c r="AA19" i="143"/>
  <c r="Z19" i="143"/>
  <c r="Y19" i="143"/>
  <c r="X19" i="143"/>
  <c r="W19" i="143"/>
  <c r="V19" i="143"/>
  <c r="U19" i="143"/>
  <c r="T19" i="143"/>
  <c r="S19" i="143"/>
  <c r="R19" i="143"/>
  <c r="Q19" i="143"/>
  <c r="P19" i="143"/>
  <c r="O19" i="143"/>
  <c r="N19" i="143"/>
  <c r="M19" i="143"/>
  <c r="L19" i="143"/>
  <c r="K19" i="143"/>
  <c r="I19" i="143"/>
  <c r="H19" i="143"/>
  <c r="G19" i="143"/>
  <c r="F19" i="143"/>
  <c r="A19" i="143"/>
  <c r="AS18" i="143"/>
  <c r="AR18" i="143"/>
  <c r="AQ18" i="143"/>
  <c r="AP18" i="143"/>
  <c r="AO18" i="143"/>
  <c r="AN18" i="143"/>
  <c r="AM18" i="143"/>
  <c r="AL18" i="143"/>
  <c r="AK18" i="143"/>
  <c r="AJ18" i="143"/>
  <c r="AI18" i="143"/>
  <c r="AH18" i="143"/>
  <c r="AG18" i="143"/>
  <c r="AF18" i="143"/>
  <c r="AE18" i="143"/>
  <c r="AD18" i="143"/>
  <c r="AC18" i="143"/>
  <c r="AB18" i="143"/>
  <c r="AA18" i="143"/>
  <c r="Z18" i="143"/>
  <c r="Y18" i="143"/>
  <c r="X18" i="143"/>
  <c r="W18" i="143"/>
  <c r="V18" i="143"/>
  <c r="U18" i="143"/>
  <c r="T18" i="143"/>
  <c r="S18" i="143"/>
  <c r="R18" i="143"/>
  <c r="Q18" i="143"/>
  <c r="P18" i="143"/>
  <c r="O18" i="143"/>
  <c r="N18" i="143"/>
  <c r="M18" i="143"/>
  <c r="L18" i="143"/>
  <c r="K18" i="143"/>
  <c r="A18" i="143"/>
  <c r="AR17" i="143"/>
  <c r="AQ17" i="143"/>
  <c r="AP17" i="143"/>
  <c r="AO17" i="143"/>
  <c r="AN17" i="143"/>
  <c r="AM17" i="143"/>
  <c r="AL17" i="143"/>
  <c r="AK17" i="143"/>
  <c r="AJ17" i="143"/>
  <c r="AI17" i="143"/>
  <c r="AH17" i="143"/>
  <c r="AG17" i="143"/>
  <c r="AF17" i="143"/>
  <c r="AD17" i="143"/>
  <c r="AC17" i="143"/>
  <c r="AB17" i="143"/>
  <c r="Z17" i="143"/>
  <c r="W17" i="143"/>
  <c r="U17" i="143"/>
  <c r="T17" i="143"/>
  <c r="S17" i="143"/>
  <c r="Q17" i="143"/>
  <c r="O17" i="143"/>
  <c r="N17" i="143"/>
  <c r="M17" i="143"/>
  <c r="L17" i="143"/>
  <c r="K17" i="143"/>
  <c r="I17" i="143"/>
  <c r="H17" i="143"/>
  <c r="G17" i="143"/>
  <c r="F17" i="143"/>
  <c r="A17" i="143"/>
  <c r="AS16" i="143"/>
  <c r="AS17" i="143" s="1"/>
  <c r="AR16" i="143"/>
  <c r="AQ16" i="143"/>
  <c r="AP16" i="143"/>
  <c r="AO16" i="143"/>
  <c r="AN16" i="143"/>
  <c r="AM16" i="143"/>
  <c r="AL16" i="143"/>
  <c r="AK16" i="143"/>
  <c r="AJ16" i="143"/>
  <c r="AI16" i="143"/>
  <c r="AH16" i="143"/>
  <c r="AG16" i="143"/>
  <c r="AF16" i="143"/>
  <c r="AE16" i="143"/>
  <c r="AE17" i="143" s="1"/>
  <c r="AD16" i="143"/>
  <c r="AC16" i="143"/>
  <c r="AB16" i="143"/>
  <c r="AA16" i="143"/>
  <c r="AA17" i="143" s="1"/>
  <c r="Z16" i="143"/>
  <c r="Y16" i="143"/>
  <c r="Y17" i="143" s="1"/>
  <c r="X16" i="143"/>
  <c r="X17" i="143" s="1"/>
  <c r="W16" i="143"/>
  <c r="V16" i="143"/>
  <c r="V17" i="143" s="1"/>
  <c r="U16" i="143"/>
  <c r="T16" i="143"/>
  <c r="S16" i="143"/>
  <c r="R16" i="143"/>
  <c r="R17" i="143" s="1"/>
  <c r="Q16" i="143"/>
  <c r="P16" i="143"/>
  <c r="P17" i="143" s="1"/>
  <c r="O16" i="143"/>
  <c r="N16" i="143"/>
  <c r="M16" i="143"/>
  <c r="L16" i="143"/>
  <c r="K16" i="143"/>
  <c r="A16" i="143"/>
  <c r="A15" i="143"/>
  <c r="CL14" i="143"/>
  <c r="CK14" i="143"/>
  <c r="AQ14" i="143" s="1"/>
  <c r="CJ14" i="143"/>
  <c r="AN14" i="143" s="1"/>
  <c r="CI14" i="143"/>
  <c r="AR14" i="143" s="1"/>
  <c r="CH14" i="143"/>
  <c r="AM14" i="143" s="1"/>
  <c r="CG14" i="143"/>
  <c r="CF14" i="143"/>
  <c r="CE14" i="143"/>
  <c r="CD14" i="143"/>
  <c r="AP14" i="143" s="1"/>
  <c r="CC14" i="143"/>
  <c r="AO14" i="143" s="1"/>
  <c r="CB14" i="143"/>
  <c r="AK14" i="143" s="1"/>
  <c r="CA14" i="143"/>
  <c r="AF14" i="143" s="1"/>
  <c r="BZ14" i="143"/>
  <c r="BY14" i="143"/>
  <c r="AJ14" i="143" s="1"/>
  <c r="BX14" i="143"/>
  <c r="AC14" i="143" s="1"/>
  <c r="BW14" i="143"/>
  <c r="AI14" i="143" s="1"/>
  <c r="BV14" i="143"/>
  <c r="AG14" i="143" s="1"/>
  <c r="BU14" i="143"/>
  <c r="AD14" i="143" s="1"/>
  <c r="BT14" i="143"/>
  <c r="BS14" i="143"/>
  <c r="BR14" i="143"/>
  <c r="W14" i="143" s="1"/>
  <c r="BQ14" i="143"/>
  <c r="BP14" i="143"/>
  <c r="BO14" i="143"/>
  <c r="BN14" i="143"/>
  <c r="BM14" i="143"/>
  <c r="BL14" i="143"/>
  <c r="BK14" i="143"/>
  <c r="BJ14" i="143"/>
  <c r="BI14" i="143"/>
  <c r="BH14" i="143"/>
  <c r="BG14" i="143"/>
  <c r="BF14" i="143"/>
  <c r="K14" i="143" s="1"/>
  <c r="BE14" i="143"/>
  <c r="O14" i="143" s="1"/>
  <c r="BD14" i="143"/>
  <c r="M14" i="143" s="1"/>
  <c r="BC14" i="143"/>
  <c r="U14" i="143" s="1"/>
  <c r="BB14" i="143"/>
  <c r="BA14" i="143"/>
  <c r="AZ14" i="143"/>
  <c r="AY14" i="143"/>
  <c r="AX14" i="143"/>
  <c r="AW14" i="143"/>
  <c r="N14" i="143" s="1"/>
  <c r="AV14" i="143"/>
  <c r="AU14" i="143"/>
  <c r="Q14" i="143" s="1"/>
  <c r="AT14" i="143"/>
  <c r="AH14" i="143"/>
  <c r="Z14" i="143"/>
  <c r="T14" i="143"/>
  <c r="S14" i="143"/>
  <c r="A14" i="143"/>
  <c r="AS13" i="143"/>
  <c r="AR13" i="143"/>
  <c r="AQ13" i="143"/>
  <c r="AP13" i="143"/>
  <c r="AO13" i="143"/>
  <c r="AN13" i="143"/>
  <c r="AM13" i="143"/>
  <c r="AL13" i="143"/>
  <c r="AK13" i="143"/>
  <c r="AJ13" i="143"/>
  <c r="AI13" i="143"/>
  <c r="AH13" i="143"/>
  <c r="AG13" i="143"/>
  <c r="AF13" i="143"/>
  <c r="AE13" i="143"/>
  <c r="AD13" i="143"/>
  <c r="AC13" i="143"/>
  <c r="AB13" i="143"/>
  <c r="AA13" i="143"/>
  <c r="Z13" i="143"/>
  <c r="Y13" i="143"/>
  <c r="X13" i="143"/>
  <c r="W13" i="143"/>
  <c r="V13" i="143"/>
  <c r="U13" i="143"/>
  <c r="T13" i="143"/>
  <c r="S13" i="143"/>
  <c r="R13" i="143"/>
  <c r="Q13" i="143"/>
  <c r="P13" i="143"/>
  <c r="O13" i="143"/>
  <c r="N13" i="143"/>
  <c r="M13" i="143"/>
  <c r="L13" i="143"/>
  <c r="K13" i="143"/>
  <c r="I13" i="143"/>
  <c r="H13" i="143"/>
  <c r="G13" i="143"/>
  <c r="F13" i="143"/>
  <c r="A13" i="143"/>
  <c r="CL12" i="143"/>
  <c r="AS12" i="143"/>
  <c r="AR12" i="143"/>
  <c r="AQ12" i="143"/>
  <c r="AP12" i="143"/>
  <c r="AO12" i="143"/>
  <c r="AN12" i="143"/>
  <c r="AM12" i="143"/>
  <c r="AL12" i="143"/>
  <c r="AK12" i="143"/>
  <c r="AJ12" i="143"/>
  <c r="AI12" i="143"/>
  <c r="AH12" i="143"/>
  <c r="AG12" i="143"/>
  <c r="AF12" i="143"/>
  <c r="AE12" i="143"/>
  <c r="AD12" i="143"/>
  <c r="AC12" i="143"/>
  <c r="AB12" i="143"/>
  <c r="AA12" i="143"/>
  <c r="Z12" i="143"/>
  <c r="Y12" i="143"/>
  <c r="X12" i="143"/>
  <c r="W12" i="143"/>
  <c r="V12" i="143"/>
  <c r="U12" i="143"/>
  <c r="T12" i="143"/>
  <c r="S12" i="143"/>
  <c r="R12" i="143"/>
  <c r="Q12" i="143"/>
  <c r="P12" i="143"/>
  <c r="O12" i="143"/>
  <c r="N12" i="143"/>
  <c r="M12" i="143"/>
  <c r="L12" i="143"/>
  <c r="K12" i="143"/>
  <c r="I12" i="143"/>
  <c r="H12" i="143"/>
  <c r="G12" i="143"/>
  <c r="F12" i="143"/>
  <c r="A12" i="143"/>
  <c r="AS11" i="143"/>
  <c r="AR11" i="143"/>
  <c r="AQ11" i="143"/>
  <c r="AP11" i="143"/>
  <c r="AO11" i="143"/>
  <c r="AN11" i="143"/>
  <c r="AM11" i="143"/>
  <c r="AL11" i="143"/>
  <c r="AK11" i="143"/>
  <c r="AJ11" i="143"/>
  <c r="AI11" i="143"/>
  <c r="AH11" i="143"/>
  <c r="AG11" i="143"/>
  <c r="AF11" i="143"/>
  <c r="AE11" i="143"/>
  <c r="AD11" i="143"/>
  <c r="AC11" i="143"/>
  <c r="AB11" i="143"/>
  <c r="AA11" i="143"/>
  <c r="Z11" i="143"/>
  <c r="Y11" i="143"/>
  <c r="X11" i="143"/>
  <c r="W11" i="143"/>
  <c r="V11" i="143"/>
  <c r="U11" i="143"/>
  <c r="T11" i="143"/>
  <c r="S11" i="143"/>
  <c r="R11" i="143"/>
  <c r="Q11" i="143"/>
  <c r="P11" i="143"/>
  <c r="O11" i="143"/>
  <c r="N11" i="143"/>
  <c r="M11" i="143"/>
  <c r="L11" i="143"/>
  <c r="K11" i="143"/>
  <c r="I11" i="143"/>
  <c r="H11" i="143"/>
  <c r="G11" i="143"/>
  <c r="F11" i="143"/>
  <c r="A11" i="143"/>
  <c r="AS10" i="143"/>
  <c r="AR10" i="143"/>
  <c r="AQ10" i="143"/>
  <c r="AP10" i="143"/>
  <c r="AO10" i="143"/>
  <c r="AN10" i="143"/>
  <c r="AM10" i="143"/>
  <c r="AL10" i="143"/>
  <c r="AK10" i="143"/>
  <c r="AJ10" i="143"/>
  <c r="AI10" i="143"/>
  <c r="AH10" i="143"/>
  <c r="AG10" i="143"/>
  <c r="AF10" i="143"/>
  <c r="AE10" i="143"/>
  <c r="AD10" i="143"/>
  <c r="AC10" i="143"/>
  <c r="AB10" i="143"/>
  <c r="AA10" i="143"/>
  <c r="Z10" i="143"/>
  <c r="Y10" i="143"/>
  <c r="X10" i="143"/>
  <c r="W10" i="143"/>
  <c r="V10" i="143"/>
  <c r="U10" i="143"/>
  <c r="T10" i="143"/>
  <c r="S10" i="143"/>
  <c r="R10" i="143"/>
  <c r="Q10" i="143"/>
  <c r="P10" i="143"/>
  <c r="O10" i="143"/>
  <c r="N10" i="143"/>
  <c r="M10" i="143"/>
  <c r="L10" i="143"/>
  <c r="K10" i="143"/>
  <c r="I10" i="143"/>
  <c r="H10" i="143"/>
  <c r="G10" i="143"/>
  <c r="F10" i="143"/>
  <c r="A10" i="143"/>
  <c r="AS9" i="143"/>
  <c r="AR9" i="143"/>
  <c r="AQ9" i="143"/>
  <c r="AP9" i="143"/>
  <c r="AO9" i="143"/>
  <c r="AN9" i="143"/>
  <c r="AM9" i="143"/>
  <c r="AL9" i="143"/>
  <c r="AK9" i="143"/>
  <c r="AJ9" i="143"/>
  <c r="AI9" i="143"/>
  <c r="AH9" i="143"/>
  <c r="AG9" i="143"/>
  <c r="AF9" i="143"/>
  <c r="AE9" i="143"/>
  <c r="AD9" i="143"/>
  <c r="AC9" i="143"/>
  <c r="AB9" i="143"/>
  <c r="AA9" i="143"/>
  <c r="Z9" i="143"/>
  <c r="Y9" i="143"/>
  <c r="X9" i="143"/>
  <c r="W9" i="143"/>
  <c r="V9" i="143"/>
  <c r="U9" i="143"/>
  <c r="T9" i="143"/>
  <c r="S9" i="143"/>
  <c r="R9" i="143"/>
  <c r="Q9" i="143"/>
  <c r="P9" i="143"/>
  <c r="O9" i="143"/>
  <c r="N9" i="143"/>
  <c r="M9" i="143"/>
  <c r="L9" i="143"/>
  <c r="K9" i="143"/>
  <c r="I9" i="143"/>
  <c r="H9" i="143"/>
  <c r="G9" i="143"/>
  <c r="F9" i="143"/>
  <c r="A9" i="143"/>
  <c r="AS8" i="143"/>
  <c r="AR8" i="143"/>
  <c r="AQ8" i="143"/>
  <c r="AP8" i="143"/>
  <c r="AO8" i="143"/>
  <c r="AN8" i="143"/>
  <c r="AM8" i="143"/>
  <c r="AL8" i="143"/>
  <c r="AK8" i="143"/>
  <c r="AJ8" i="143"/>
  <c r="AI8" i="143"/>
  <c r="AH8" i="143"/>
  <c r="AG8" i="143"/>
  <c r="AF8" i="143"/>
  <c r="AE8" i="143"/>
  <c r="AD8" i="143"/>
  <c r="AC8" i="143"/>
  <c r="AB8" i="143"/>
  <c r="AA8" i="143"/>
  <c r="Z8" i="143"/>
  <c r="Y8" i="143"/>
  <c r="X8" i="143"/>
  <c r="W8" i="143"/>
  <c r="V8" i="143"/>
  <c r="U8" i="143"/>
  <c r="T8" i="143"/>
  <c r="S8" i="143"/>
  <c r="R8" i="143"/>
  <c r="Q8" i="143"/>
  <c r="P8" i="143"/>
  <c r="O8" i="143"/>
  <c r="N8" i="143"/>
  <c r="M8" i="143"/>
  <c r="L8" i="143"/>
  <c r="K8" i="143"/>
  <c r="I8" i="143"/>
  <c r="H8" i="143"/>
  <c r="G8" i="143"/>
  <c r="F8" i="143"/>
  <c r="A8" i="143"/>
  <c r="AS7" i="143"/>
  <c r="AR7" i="143"/>
  <c r="AQ7" i="143"/>
  <c r="AP7" i="143"/>
  <c r="AO7" i="143"/>
  <c r="AN7" i="143"/>
  <c r="AM7" i="143"/>
  <c r="AL7" i="143"/>
  <c r="AK7" i="143"/>
  <c r="AJ7" i="143"/>
  <c r="AI7" i="143"/>
  <c r="AH7" i="143"/>
  <c r="AG7" i="143"/>
  <c r="AF7" i="143"/>
  <c r="AE7" i="143"/>
  <c r="AD7" i="143"/>
  <c r="AC7" i="143"/>
  <c r="AB7" i="143"/>
  <c r="AA7" i="143"/>
  <c r="Z7" i="143"/>
  <c r="Y7" i="143"/>
  <c r="X7" i="143"/>
  <c r="W7" i="143"/>
  <c r="V7" i="143"/>
  <c r="U7" i="143"/>
  <c r="T7" i="143"/>
  <c r="S7" i="143"/>
  <c r="R7" i="143"/>
  <c r="Q7" i="143"/>
  <c r="P7" i="143"/>
  <c r="O7" i="143"/>
  <c r="N7" i="143"/>
  <c r="M7" i="143"/>
  <c r="L7" i="143"/>
  <c r="K7" i="143"/>
  <c r="I7" i="143"/>
  <c r="H7" i="143"/>
  <c r="G7" i="143"/>
  <c r="F7" i="143"/>
  <c r="A7" i="143"/>
  <c r="A6" i="143"/>
  <c r="CL5" i="143"/>
  <c r="CK5" i="143"/>
  <c r="CJ5" i="143"/>
  <c r="CI5" i="143"/>
  <c r="CH5" i="143"/>
  <c r="CG5" i="143"/>
  <c r="CF5" i="143"/>
  <c r="CE5" i="143"/>
  <c r="CD5" i="143"/>
  <c r="CC5" i="143"/>
  <c r="CB5" i="143"/>
  <c r="CA5" i="143"/>
  <c r="BZ5" i="143"/>
  <c r="BY5" i="143"/>
  <c r="BX5" i="143"/>
  <c r="BW5" i="143"/>
  <c r="BV5" i="143"/>
  <c r="BU5" i="143"/>
  <c r="BT5" i="143"/>
  <c r="BS5" i="143"/>
  <c r="BR5" i="143"/>
  <c r="BQ5" i="143"/>
  <c r="BP5" i="143"/>
  <c r="BO5" i="143"/>
  <c r="BN5" i="143"/>
  <c r="BM5" i="143"/>
  <c r="BL5" i="143"/>
  <c r="BK5" i="143"/>
  <c r="BJ5" i="143"/>
  <c r="BI5" i="143"/>
  <c r="BH5" i="143"/>
  <c r="BG5" i="143"/>
  <c r="BF5" i="143"/>
  <c r="BE5" i="143"/>
  <c r="BD5" i="143"/>
  <c r="BC5" i="143"/>
  <c r="BB5" i="143"/>
  <c r="BA5" i="143"/>
  <c r="AZ5" i="143"/>
  <c r="AY5" i="143"/>
  <c r="AX5" i="143"/>
  <c r="AW5" i="143"/>
  <c r="AV5" i="143"/>
  <c r="AU5" i="143"/>
  <c r="AT5" i="143"/>
  <c r="AS5" i="143"/>
  <c r="AR5" i="143"/>
  <c r="AQ5" i="143"/>
  <c r="AP5" i="143"/>
  <c r="AO5" i="143"/>
  <c r="AN5" i="143"/>
  <c r="AM5" i="143"/>
  <c r="AL5" i="143"/>
  <c r="AK5" i="143"/>
  <c r="AJ5" i="143"/>
  <c r="AI5" i="143"/>
  <c r="AH5" i="143"/>
  <c r="AG5" i="143"/>
  <c r="AF5" i="143"/>
  <c r="AE5" i="143"/>
  <c r="AD5" i="143"/>
  <c r="AC5" i="143"/>
  <c r="AB5" i="143"/>
  <c r="AA5" i="143"/>
  <c r="Z5" i="143"/>
  <c r="Y5" i="143"/>
  <c r="X5" i="143"/>
  <c r="W5" i="143"/>
  <c r="V5" i="143"/>
  <c r="U5" i="143"/>
  <c r="T5" i="143"/>
  <c r="S5" i="143"/>
  <c r="R5" i="143"/>
  <c r="Q5" i="143"/>
  <c r="P5" i="143"/>
  <c r="O5" i="143"/>
  <c r="N5" i="143"/>
  <c r="M5" i="143"/>
  <c r="L5" i="143"/>
  <c r="K5" i="143"/>
  <c r="J5" i="143"/>
  <c r="I5" i="143"/>
  <c r="H5" i="143"/>
  <c r="G5" i="143"/>
  <c r="F5" i="143"/>
  <c r="A5" i="143"/>
  <c r="Q82" i="143" l="1"/>
  <c r="H82" i="143"/>
  <c r="AG82" i="143"/>
  <c r="Y82" i="143"/>
  <c r="AO82" i="143"/>
  <c r="Y71" i="143"/>
  <c r="AA67" i="143"/>
  <c r="AE71" i="143"/>
  <c r="Q21" i="143"/>
  <c r="Y21" i="143"/>
  <c r="AG21" i="143"/>
  <c r="AO21" i="143"/>
  <c r="S23" i="143"/>
  <c r="H71" i="143"/>
  <c r="R71" i="143"/>
  <c r="Z71" i="143"/>
  <c r="AH71" i="143"/>
  <c r="AP71" i="143"/>
  <c r="L84" i="143"/>
  <c r="T84" i="143"/>
  <c r="AB84" i="143"/>
  <c r="AJ84" i="143"/>
  <c r="AR84" i="143"/>
  <c r="G14" i="143"/>
  <c r="P14" i="143"/>
  <c r="X14" i="143"/>
  <c r="AA23" i="143"/>
  <c r="AA30" i="143" s="1"/>
  <c r="M127" i="143"/>
  <c r="U127" i="143"/>
  <c r="AC127" i="143"/>
  <c r="AK127" i="143"/>
  <c r="Q67" i="143"/>
  <c r="Y67" i="143"/>
  <c r="AG67" i="143"/>
  <c r="AO67" i="143"/>
  <c r="M84" i="143"/>
  <c r="U84" i="143"/>
  <c r="AC84" i="143"/>
  <c r="AK84" i="143"/>
  <c r="AS84" i="143"/>
  <c r="AM71" i="143"/>
  <c r="R67" i="143"/>
  <c r="Z67" i="143"/>
  <c r="AH67" i="143"/>
  <c r="AP67" i="143"/>
  <c r="S127" i="143"/>
  <c r="AA127" i="143"/>
  <c r="AQ127" i="143"/>
  <c r="AA14" i="143"/>
  <c r="AJ23" i="143"/>
  <c r="L67" i="143"/>
  <c r="T67" i="143"/>
  <c r="AB67" i="143"/>
  <c r="AJ67" i="143"/>
  <c r="AR67" i="143"/>
  <c r="N82" i="143"/>
  <c r="V82" i="143"/>
  <c r="AD82" i="143"/>
  <c r="AL82" i="143"/>
  <c r="G84" i="143"/>
  <c r="AF84" i="143"/>
  <c r="AN84" i="143"/>
  <c r="V21" i="143"/>
  <c r="L127" i="143"/>
  <c r="T127" i="143"/>
  <c r="AB127" i="143"/>
  <c r="AJ127" i="143"/>
  <c r="AR127" i="143"/>
  <c r="O21" i="143"/>
  <c r="W21" i="143"/>
  <c r="AE21" i="143"/>
  <c r="AM21" i="143"/>
  <c r="F82" i="143"/>
  <c r="O82" i="143"/>
  <c r="W82" i="143"/>
  <c r="AE82" i="143"/>
  <c r="AM82" i="143"/>
  <c r="I14" i="143"/>
  <c r="R14" i="143"/>
  <c r="AD23" i="143"/>
  <c r="AM23" i="143"/>
  <c r="BT30" i="143"/>
  <c r="AX31" i="143"/>
  <c r="AX107" i="143" s="1"/>
  <c r="AI67" i="143"/>
  <c r="AQ67" i="143"/>
  <c r="K71" i="143"/>
  <c r="S71" i="143"/>
  <c r="AA71" i="143"/>
  <c r="AI71" i="143"/>
  <c r="AQ71" i="143"/>
  <c r="N84" i="143"/>
  <c r="V84" i="143"/>
  <c r="AD84" i="143"/>
  <c r="AL84" i="143"/>
  <c r="CL84" i="143"/>
  <c r="T23" i="143"/>
  <c r="K44" i="143"/>
  <c r="S44" i="143"/>
  <c r="AA44" i="143"/>
  <c r="AI44" i="143"/>
  <c r="AQ44" i="143"/>
  <c r="F84" i="143"/>
  <c r="O84" i="143"/>
  <c r="W84" i="143"/>
  <c r="AE84" i="143"/>
  <c r="AM84" i="143"/>
  <c r="Y14" i="143"/>
  <c r="M67" i="143"/>
  <c r="U67" i="143"/>
  <c r="AC67" i="143"/>
  <c r="AK67" i="143"/>
  <c r="AS67" i="143"/>
  <c r="I82" i="143"/>
  <c r="R82" i="143"/>
  <c r="Z82" i="143"/>
  <c r="AH82" i="143"/>
  <c r="AP82" i="143"/>
  <c r="P127" i="143"/>
  <c r="X127" i="143"/>
  <c r="AF127" i="143"/>
  <c r="AN127" i="143"/>
  <c r="AE23" i="143"/>
  <c r="W23" i="143"/>
  <c r="AG23" i="143"/>
  <c r="AP23" i="143"/>
  <c r="G30" i="143"/>
  <c r="BV31" i="143"/>
  <c r="AG31" i="143" s="1"/>
  <c r="Y54" i="143"/>
  <c r="Y50" i="143"/>
  <c r="N67" i="143"/>
  <c r="V67" i="143"/>
  <c r="AD67" i="143"/>
  <c r="AL67" i="143"/>
  <c r="N71" i="143"/>
  <c r="V71" i="143"/>
  <c r="AD71" i="143"/>
  <c r="AL71" i="143"/>
  <c r="K82" i="143"/>
  <c r="S82" i="143"/>
  <c r="AA82" i="143"/>
  <c r="AI82" i="143"/>
  <c r="AQ82" i="143"/>
  <c r="H84" i="143"/>
  <c r="Q84" i="143"/>
  <c r="Y84" i="143"/>
  <c r="AG84" i="143"/>
  <c r="AO84" i="143"/>
  <c r="R23" i="143"/>
  <c r="R30" i="143" s="1"/>
  <c r="V23" i="143"/>
  <c r="V30" i="143" s="1"/>
  <c r="AO23" i="143"/>
  <c r="V14" i="143"/>
  <c r="N23" i="143"/>
  <c r="Y23" i="143"/>
  <c r="AH23" i="143"/>
  <c r="AQ23" i="143"/>
  <c r="CD31" i="143"/>
  <c r="AP31" i="143" s="1"/>
  <c r="O71" i="143"/>
  <c r="W71" i="143"/>
  <c r="L82" i="143"/>
  <c r="T82" i="143"/>
  <c r="AB82" i="143"/>
  <c r="AJ82" i="143"/>
  <c r="AR82" i="143"/>
  <c r="I84" i="143"/>
  <c r="I107" i="143" s="1"/>
  <c r="R84" i="143"/>
  <c r="Z84" i="143"/>
  <c r="AH84" i="143"/>
  <c r="AP84" i="143"/>
  <c r="X93" i="143"/>
  <c r="L21" i="143"/>
  <c r="T21" i="143"/>
  <c r="AB21" i="143"/>
  <c r="AJ21" i="143"/>
  <c r="AR21" i="143"/>
  <c r="R127" i="143"/>
  <c r="Z127" i="143"/>
  <c r="AH127" i="143"/>
  <c r="AP127" i="143"/>
  <c r="H14" i="143"/>
  <c r="Y32" i="143"/>
  <c r="Y33" i="143" s="1"/>
  <c r="AF23" i="143"/>
  <c r="BN31" i="143"/>
  <c r="F14" i="143"/>
  <c r="AE14" i="143"/>
  <c r="O23" i="143"/>
  <c r="Z23" i="143"/>
  <c r="AR23" i="143"/>
  <c r="AV30" i="143"/>
  <c r="S30" i="143" s="1"/>
  <c r="P67" i="143"/>
  <c r="X67" i="143"/>
  <c r="AF67" i="143"/>
  <c r="AN67" i="143"/>
  <c r="P71" i="143"/>
  <c r="X71" i="143"/>
  <c r="AF71" i="143"/>
  <c r="AN71" i="143"/>
  <c r="CL82" i="143"/>
  <c r="CL107" i="143" s="1"/>
  <c r="M82" i="143"/>
  <c r="U82" i="143"/>
  <c r="AC82" i="143"/>
  <c r="AK82" i="143"/>
  <c r="AS82" i="143"/>
  <c r="K84" i="143"/>
  <c r="S84" i="143"/>
  <c r="AA84" i="143"/>
  <c r="AI84" i="143"/>
  <c r="AQ84" i="143"/>
  <c r="L44" i="143"/>
  <c r="T44" i="143"/>
  <c r="AB44" i="143"/>
  <c r="AJ44" i="143"/>
  <c r="AR44" i="143"/>
  <c r="AS51" i="143"/>
  <c r="AE51" i="143"/>
  <c r="AA54" i="143"/>
  <c r="O67" i="143"/>
  <c r="W67" i="143"/>
  <c r="AE67" i="143"/>
  <c r="AM67" i="143"/>
  <c r="M71" i="143"/>
  <c r="U71" i="143"/>
  <c r="AC71" i="143"/>
  <c r="AK71" i="143"/>
  <c r="AS71" i="143"/>
  <c r="G82" i="143"/>
  <c r="P82" i="143"/>
  <c r="X82" i="143"/>
  <c r="AF82" i="143"/>
  <c r="AN82" i="143"/>
  <c r="BD107" i="143"/>
  <c r="BT107" i="143"/>
  <c r="BH30" i="143"/>
  <c r="X23" i="143"/>
  <c r="X32" i="143" s="1"/>
  <c r="X33" i="143" s="1"/>
  <c r="BH31" i="143"/>
  <c r="BX30" i="143"/>
  <c r="AC30" i="143" s="1"/>
  <c r="BX31" i="143"/>
  <c r="AC31" i="143" s="1"/>
  <c r="AC23" i="143"/>
  <c r="BL107" i="143"/>
  <c r="CB107" i="143"/>
  <c r="CJ107" i="143"/>
  <c r="AZ30" i="143"/>
  <c r="AZ107" i="143" s="1"/>
  <c r="P23" i="143"/>
  <c r="P32" i="143" s="1"/>
  <c r="P33" i="143" s="1"/>
  <c r="AZ31" i="143"/>
  <c r="BP30" i="143"/>
  <c r="AB30" i="143" s="1"/>
  <c r="BP31" i="143"/>
  <c r="AB31" i="143" s="1"/>
  <c r="CF30" i="143"/>
  <c r="CF31" i="143"/>
  <c r="AS23" i="143"/>
  <c r="AS32" i="143" s="1"/>
  <c r="AS33" i="143" s="1"/>
  <c r="BF107" i="143"/>
  <c r="BN107" i="143"/>
  <c r="BV107" i="143"/>
  <c r="CD107" i="143"/>
  <c r="AL14" i="143"/>
  <c r="Q44" i="143"/>
  <c r="Y44" i="143"/>
  <c r="AG44" i="143"/>
  <c r="AG107" i="143" s="1"/>
  <c r="AO44" i="143"/>
  <c r="AE93" i="143"/>
  <c r="AE30" i="143"/>
  <c r="AE50" i="143"/>
  <c r="V54" i="143"/>
  <c r="V51" i="143"/>
  <c r="O127" i="143"/>
  <c r="W127" i="143"/>
  <c r="AE127" i="143"/>
  <c r="AM127" i="143"/>
  <c r="L14" i="143"/>
  <c r="AB14" i="143"/>
  <c r="AS14" i="143"/>
  <c r="M23" i="143"/>
  <c r="U23" i="143"/>
  <c r="AK23" i="143"/>
  <c r="H30" i="143"/>
  <c r="Y30" i="143"/>
  <c r="AW30" i="143"/>
  <c r="N30" i="143" s="1"/>
  <c r="BE30" i="143"/>
  <c r="O30" i="143" s="1"/>
  <c r="BM30" i="143"/>
  <c r="Z30" i="143" s="1"/>
  <c r="BU30" i="143"/>
  <c r="AD30" i="143" s="1"/>
  <c r="CC30" i="143"/>
  <c r="AO30" i="143" s="1"/>
  <c r="CK30" i="143"/>
  <c r="AQ30" i="143" s="1"/>
  <c r="AY31" i="143"/>
  <c r="L31" i="143" s="1"/>
  <c r="BG31" i="143"/>
  <c r="BO31" i="143"/>
  <c r="BO107" i="143" s="1"/>
  <c r="BW31" i="143"/>
  <c r="AI31" i="143" s="1"/>
  <c r="CE31" i="143"/>
  <c r="AL31" i="143" s="1"/>
  <c r="R50" i="143"/>
  <c r="Y93" i="143"/>
  <c r="AA32" i="143"/>
  <c r="AA33" i="143" s="1"/>
  <c r="AA50" i="143"/>
  <c r="AS127" i="143"/>
  <c r="BG30" i="143"/>
  <c r="BG107" i="143" s="1"/>
  <c r="BA31" i="143"/>
  <c r="BA107" i="143" s="1"/>
  <c r="BI31" i="143"/>
  <c r="BI107" i="143" s="1"/>
  <c r="BQ31" i="143"/>
  <c r="BQ107" i="143" s="1"/>
  <c r="BY31" i="143"/>
  <c r="AJ31" i="143" s="1"/>
  <c r="CG31" i="143"/>
  <c r="CG107" i="143" s="1"/>
  <c r="P51" i="143"/>
  <c r="X51" i="143"/>
  <c r="V127" i="143"/>
  <c r="AT31" i="143"/>
  <c r="BB31" i="143"/>
  <c r="T31" i="143" s="1"/>
  <c r="BJ31" i="143"/>
  <c r="BJ107" i="143" s="1"/>
  <c r="BR31" i="143"/>
  <c r="W31" i="143" s="1"/>
  <c r="BZ31" i="143"/>
  <c r="AH31" i="143" s="1"/>
  <c r="CH31" i="143"/>
  <c r="AM31" i="143" s="1"/>
  <c r="AS50" i="143"/>
  <c r="Y51" i="143"/>
  <c r="F31" i="143"/>
  <c r="AU31" i="143"/>
  <c r="Q31" i="143" s="1"/>
  <c r="BC31" i="143"/>
  <c r="U31" i="143" s="1"/>
  <c r="BK31" i="143"/>
  <c r="BK107" i="143" s="1"/>
  <c r="BS31" i="143"/>
  <c r="AE31" i="143" s="1"/>
  <c r="CA31" i="143"/>
  <c r="AF31" i="143" s="1"/>
  <c r="CI31" i="143"/>
  <c r="AR31" i="143" s="1"/>
  <c r="V50" i="143"/>
  <c r="R51" i="143"/>
  <c r="AE32" i="143"/>
  <c r="AE33" i="143" s="1"/>
  <c r="C89" i="122"/>
  <c r="B89" i="124" s="1"/>
  <c r="C88" i="122"/>
  <c r="B88" i="124" s="1"/>
  <c r="C87" i="122"/>
  <c r="B87" i="124" s="1"/>
  <c r="C86" i="122"/>
  <c r="C84" i="122"/>
  <c r="C81" i="122"/>
  <c r="C80" i="122"/>
  <c r="B80" i="124" s="1"/>
  <c r="C79" i="122"/>
  <c r="B79" i="124" s="1"/>
  <c r="C78" i="122"/>
  <c r="B78" i="124" s="1"/>
  <c r="C77" i="122"/>
  <c r="B77" i="124" s="1"/>
  <c r="C75" i="122"/>
  <c r="B75" i="124" s="1"/>
  <c r="C74" i="122"/>
  <c r="C73" i="122"/>
  <c r="C72" i="122"/>
  <c r="C71" i="122"/>
  <c r="C70" i="122"/>
  <c r="B70" i="124" s="1"/>
  <c r="C68" i="122"/>
  <c r="B68" i="124" s="1"/>
  <c r="C67" i="122"/>
  <c r="B67" i="124" s="1"/>
  <c r="C66" i="122"/>
  <c r="B66" i="124" s="1"/>
  <c r="C64" i="122"/>
  <c r="C63" i="122"/>
  <c r="C62" i="122"/>
  <c r="C60" i="122"/>
  <c r="C59" i="122"/>
  <c r="B59" i="124" s="1"/>
  <c r="C58" i="122"/>
  <c r="B58" i="124" s="1"/>
  <c r="C57" i="122"/>
  <c r="B57" i="124" s="1"/>
  <c r="C56" i="122"/>
  <c r="B56" i="124" s="1"/>
  <c r="C55" i="122"/>
  <c r="C54" i="122"/>
  <c r="C53" i="122"/>
  <c r="C51" i="122"/>
  <c r="B51" i="124" s="1"/>
  <c r="C50" i="122"/>
  <c r="B50" i="124" s="1"/>
  <c r="C49" i="122"/>
  <c r="C48" i="122"/>
  <c r="B48" i="124" s="1"/>
  <c r="C47" i="122"/>
  <c r="B47" i="124" s="1"/>
  <c r="C46" i="122"/>
  <c r="C45" i="122"/>
  <c r="C44" i="122"/>
  <c r="C43" i="122"/>
  <c r="B43" i="124" s="1"/>
  <c r="C42" i="122"/>
  <c r="B42" i="124" s="1"/>
  <c r="C41" i="122"/>
  <c r="B41" i="124" s="1"/>
  <c r="C40" i="122"/>
  <c r="B40" i="124" s="1"/>
  <c r="C39" i="122"/>
  <c r="B39" i="124" s="1"/>
  <c r="C38" i="122"/>
  <c r="C36" i="122"/>
  <c r="C35" i="122"/>
  <c r="C34" i="122"/>
  <c r="B34" i="124" s="1"/>
  <c r="C33" i="122"/>
  <c r="B33" i="124" s="1"/>
  <c r="C32" i="122"/>
  <c r="B32" i="124" s="1"/>
  <c r="C30" i="122"/>
  <c r="B30" i="124" s="1"/>
  <c r="C29" i="122"/>
  <c r="B29" i="124" s="1"/>
  <c r="C28" i="122"/>
  <c r="C27" i="122"/>
  <c r="C26" i="122"/>
  <c r="C24" i="122"/>
  <c r="B24" i="124" s="1"/>
  <c r="C23" i="122"/>
  <c r="C22" i="122"/>
  <c r="B22" i="124" s="1"/>
  <c r="C21" i="122"/>
  <c r="B21" i="124" s="1"/>
  <c r="C20" i="122"/>
  <c r="C18" i="122"/>
  <c r="C17" i="122"/>
  <c r="C16" i="122"/>
  <c r="B16" i="124" s="1"/>
  <c r="C15" i="122"/>
  <c r="B15" i="124" s="1"/>
  <c r="C14" i="122"/>
  <c r="B14" i="124" s="1"/>
  <c r="C13" i="122"/>
  <c r="B13" i="124" s="1"/>
  <c r="C11" i="122"/>
  <c r="B11" i="124" s="1"/>
  <c r="C10" i="122"/>
  <c r="C9" i="122"/>
  <c r="C8" i="122"/>
  <c r="C7" i="122"/>
  <c r="B7" i="124" s="1"/>
  <c r="C6" i="122"/>
  <c r="B6" i="124" s="1"/>
  <c r="C5" i="122"/>
  <c r="B5" i="124" s="1"/>
  <c r="C4" i="122"/>
  <c r="B4" i="124" s="1"/>
  <c r="AA61" i="142"/>
  <c r="AA60" i="142"/>
  <c r="W13" i="142"/>
  <c r="P61" i="142"/>
  <c r="P60" i="142"/>
  <c r="P87" i="142"/>
  <c r="R100" i="142"/>
  <c r="R87" i="142"/>
  <c r="V87" i="142"/>
  <c r="V100" i="142"/>
  <c r="X100" i="142"/>
  <c r="X87" i="142"/>
  <c r="Y87" i="142"/>
  <c r="AA100" i="142"/>
  <c r="AA87" i="142"/>
  <c r="AE87" i="142"/>
  <c r="AE100" i="142"/>
  <c r="R100" i="141"/>
  <c r="V100" i="141"/>
  <c r="X100" i="141"/>
  <c r="AA100" i="141"/>
  <c r="AE100" i="141"/>
  <c r="AA87" i="141"/>
  <c r="Y87" i="141"/>
  <c r="X87" i="141"/>
  <c r="V87" i="141"/>
  <c r="R87" i="141"/>
  <c r="P87" i="141"/>
  <c r="AE87" i="141"/>
  <c r="CL80" i="142"/>
  <c r="I63" i="142"/>
  <c r="H63" i="142"/>
  <c r="G63" i="142"/>
  <c r="F63" i="142"/>
  <c r="I62" i="142"/>
  <c r="H62" i="142"/>
  <c r="G62" i="142"/>
  <c r="F62" i="142"/>
  <c r="R52" i="142"/>
  <c r="R52" i="141"/>
  <c r="R66" i="137"/>
  <c r="G15" i="124"/>
  <c r="I19" i="142"/>
  <c r="H19" i="142"/>
  <c r="G19" i="142"/>
  <c r="F19" i="142"/>
  <c r="CL19" i="142"/>
  <c r="CL14" i="142"/>
  <c r="CL12" i="142"/>
  <c r="CL127" i="142"/>
  <c r="CK127" i="142"/>
  <c r="CJ127" i="142"/>
  <c r="CI127" i="142"/>
  <c r="CH127" i="142"/>
  <c r="CG127" i="142"/>
  <c r="CF127" i="142"/>
  <c r="CE127" i="142"/>
  <c r="CD127" i="142"/>
  <c r="CC127" i="142"/>
  <c r="CB127" i="142"/>
  <c r="CA127" i="142"/>
  <c r="BZ127" i="142"/>
  <c r="BY127" i="142"/>
  <c r="BX127" i="142"/>
  <c r="BW127" i="142"/>
  <c r="BV127" i="142"/>
  <c r="BU127" i="142"/>
  <c r="BT127" i="142"/>
  <c r="BS127" i="142"/>
  <c r="BR127" i="142"/>
  <c r="BQ127" i="142"/>
  <c r="BP127" i="142"/>
  <c r="BO127" i="142"/>
  <c r="BN127" i="142"/>
  <c r="BM127" i="142"/>
  <c r="BL127" i="142"/>
  <c r="BK127" i="142"/>
  <c r="BJ127" i="142"/>
  <c r="BI127" i="142"/>
  <c r="BH127" i="142"/>
  <c r="BG127" i="142"/>
  <c r="BF127" i="142"/>
  <c r="BE127" i="142"/>
  <c r="BD127" i="142"/>
  <c r="BC127" i="142"/>
  <c r="BB127" i="142"/>
  <c r="BA127" i="142"/>
  <c r="AZ127" i="142"/>
  <c r="AY127" i="142"/>
  <c r="AX127" i="142"/>
  <c r="AW127" i="142"/>
  <c r="AV127" i="142"/>
  <c r="AU127" i="142"/>
  <c r="AT127" i="142"/>
  <c r="AS126" i="142"/>
  <c r="AR126" i="142"/>
  <c r="AQ126" i="142"/>
  <c r="AP126" i="142"/>
  <c r="AO126" i="142"/>
  <c r="AN126" i="142"/>
  <c r="AM126" i="142"/>
  <c r="AL126" i="142"/>
  <c r="AK126" i="142"/>
  <c r="AJ126" i="142"/>
  <c r="AI126" i="142"/>
  <c r="AH126" i="142"/>
  <c r="AG126" i="142"/>
  <c r="AF126" i="142"/>
  <c r="AE126" i="142"/>
  <c r="AD126" i="142"/>
  <c r="AC126" i="142"/>
  <c r="AB126" i="142"/>
  <c r="AA126" i="142"/>
  <c r="Z126" i="142"/>
  <c r="Y126" i="142"/>
  <c r="X126" i="142"/>
  <c r="W126" i="142"/>
  <c r="V126" i="142"/>
  <c r="U126" i="142"/>
  <c r="T126" i="142"/>
  <c r="S126" i="142"/>
  <c r="R126" i="142"/>
  <c r="Q126" i="142"/>
  <c r="P126" i="142"/>
  <c r="O126" i="142"/>
  <c r="N126" i="142"/>
  <c r="M126" i="142"/>
  <c r="L126" i="142"/>
  <c r="K126" i="142"/>
  <c r="I126" i="142"/>
  <c r="I127" i="142" s="1"/>
  <c r="H126" i="142"/>
  <c r="H127" i="142" s="1"/>
  <c r="G126" i="142"/>
  <c r="G127" i="142" s="1"/>
  <c r="F126" i="142"/>
  <c r="F127" i="142" s="1"/>
  <c r="AS123" i="142"/>
  <c r="AR123" i="142"/>
  <c r="AQ123" i="142"/>
  <c r="AP123" i="142"/>
  <c r="AO123" i="142"/>
  <c r="AN123" i="142"/>
  <c r="AM123" i="142"/>
  <c r="AL123" i="142"/>
  <c r="AK123" i="142"/>
  <c r="AJ123" i="142"/>
  <c r="AI123" i="142"/>
  <c r="AH123" i="142"/>
  <c r="AG123" i="142"/>
  <c r="AF123" i="142"/>
  <c r="AE123" i="142"/>
  <c r="AD123" i="142"/>
  <c r="AC123" i="142"/>
  <c r="AB123" i="142"/>
  <c r="AA123" i="142"/>
  <c r="Z123" i="142"/>
  <c r="Y123" i="142"/>
  <c r="X123" i="142"/>
  <c r="W123" i="142"/>
  <c r="V123" i="142"/>
  <c r="U123" i="142"/>
  <c r="T123" i="142"/>
  <c r="S123" i="142"/>
  <c r="R123" i="142"/>
  <c r="Q123" i="142"/>
  <c r="P123" i="142"/>
  <c r="O123" i="142"/>
  <c r="N123" i="142"/>
  <c r="M123" i="142"/>
  <c r="L123" i="142"/>
  <c r="K123" i="142"/>
  <c r="AS118" i="142"/>
  <c r="AR118" i="142"/>
  <c r="AQ118" i="142"/>
  <c r="AP118" i="142"/>
  <c r="AO118" i="142"/>
  <c r="AN118" i="142"/>
  <c r="AM118" i="142"/>
  <c r="AL118" i="142"/>
  <c r="AK118" i="142"/>
  <c r="AJ118" i="142"/>
  <c r="AI118" i="142"/>
  <c r="AH118" i="142"/>
  <c r="AG118" i="142"/>
  <c r="AF118" i="142"/>
  <c r="AE118" i="142"/>
  <c r="AD118" i="142"/>
  <c r="AC118" i="142"/>
  <c r="AB118" i="142"/>
  <c r="AA118" i="142"/>
  <c r="Z118" i="142"/>
  <c r="Y118" i="142"/>
  <c r="X118" i="142"/>
  <c r="W118" i="142"/>
  <c r="V118" i="142"/>
  <c r="U118" i="142"/>
  <c r="T118" i="142"/>
  <c r="S118" i="142"/>
  <c r="R118" i="142"/>
  <c r="Q118" i="142"/>
  <c r="P118" i="142"/>
  <c r="O118" i="142"/>
  <c r="N118" i="142"/>
  <c r="M118" i="142"/>
  <c r="L118" i="142"/>
  <c r="K118" i="142"/>
  <c r="AS117" i="142"/>
  <c r="AR117" i="142"/>
  <c r="AQ117" i="142"/>
  <c r="AP117" i="142"/>
  <c r="AO117" i="142"/>
  <c r="AN117" i="142"/>
  <c r="AM117" i="142"/>
  <c r="AL117" i="142"/>
  <c r="AK117" i="142"/>
  <c r="AJ117" i="142"/>
  <c r="AI117" i="142"/>
  <c r="AH117" i="142"/>
  <c r="AG117" i="142"/>
  <c r="AF117" i="142"/>
  <c r="AE117" i="142"/>
  <c r="AD117" i="142"/>
  <c r="AC117" i="142"/>
  <c r="AB117" i="142"/>
  <c r="AA117" i="142"/>
  <c r="Z117" i="142"/>
  <c r="Y117" i="142"/>
  <c r="X117" i="142"/>
  <c r="W117" i="142"/>
  <c r="V117" i="142"/>
  <c r="U117" i="142"/>
  <c r="T117" i="142"/>
  <c r="S117" i="142"/>
  <c r="R117" i="142"/>
  <c r="Q117" i="142"/>
  <c r="P117" i="142"/>
  <c r="O117" i="142"/>
  <c r="N117" i="142"/>
  <c r="M117" i="142"/>
  <c r="L117" i="142"/>
  <c r="K117" i="142"/>
  <c r="J107" i="142"/>
  <c r="AS106" i="142"/>
  <c r="AR106" i="142"/>
  <c r="AQ106" i="142"/>
  <c r="AP106" i="142"/>
  <c r="AO106" i="142"/>
  <c r="AN106" i="142"/>
  <c r="AM106" i="142"/>
  <c r="AL106" i="142"/>
  <c r="AK106" i="142"/>
  <c r="AJ106" i="142"/>
  <c r="AI106" i="142"/>
  <c r="AH106" i="142"/>
  <c r="AG106" i="142"/>
  <c r="AF106" i="142"/>
  <c r="AE106" i="142"/>
  <c r="AD106" i="142"/>
  <c r="AC106" i="142"/>
  <c r="AB106" i="142"/>
  <c r="AA106" i="142"/>
  <c r="Z106" i="142"/>
  <c r="Y106" i="142"/>
  <c r="X106" i="142"/>
  <c r="W106" i="142"/>
  <c r="V106" i="142"/>
  <c r="U106" i="142"/>
  <c r="T106" i="142"/>
  <c r="S106" i="142"/>
  <c r="R106" i="142"/>
  <c r="Q106" i="142"/>
  <c r="P106" i="142"/>
  <c r="O106" i="142"/>
  <c r="N106" i="142"/>
  <c r="M106" i="142"/>
  <c r="L106" i="142"/>
  <c r="K106" i="142"/>
  <c r="A106" i="142"/>
  <c r="AS105" i="142"/>
  <c r="AR105" i="142"/>
  <c r="AQ105" i="142"/>
  <c r="AP105" i="142"/>
  <c r="AO105" i="142"/>
  <c r="AN105" i="142"/>
  <c r="AM105" i="142"/>
  <c r="AL105" i="142"/>
  <c r="AK105" i="142"/>
  <c r="AJ105" i="142"/>
  <c r="AI105" i="142"/>
  <c r="AH105" i="142"/>
  <c r="AG105" i="142"/>
  <c r="AF105" i="142"/>
  <c r="AE105" i="142"/>
  <c r="AD105" i="142"/>
  <c r="AC105" i="142"/>
  <c r="AB105" i="142"/>
  <c r="AA105" i="142"/>
  <c r="Z105" i="142"/>
  <c r="Y105" i="142"/>
  <c r="X105" i="142"/>
  <c r="W105" i="142"/>
  <c r="V105" i="142"/>
  <c r="U105" i="142"/>
  <c r="T105" i="142"/>
  <c r="S105" i="142"/>
  <c r="R105" i="142"/>
  <c r="Q105" i="142"/>
  <c r="P105" i="142"/>
  <c r="O105" i="142"/>
  <c r="N105" i="142"/>
  <c r="M105" i="142"/>
  <c r="L105" i="142"/>
  <c r="K105" i="142"/>
  <c r="A105" i="142"/>
  <c r="AS104" i="142"/>
  <c r="AR104" i="142"/>
  <c r="AQ104" i="142"/>
  <c r="AP104" i="142"/>
  <c r="AO104" i="142"/>
  <c r="AN104" i="142"/>
  <c r="AM104" i="142"/>
  <c r="AL104" i="142"/>
  <c r="AK104" i="142"/>
  <c r="AJ104" i="142"/>
  <c r="AI104" i="142"/>
  <c r="AH104" i="142"/>
  <c r="AG104" i="142"/>
  <c r="AF104" i="142"/>
  <c r="AE104" i="142"/>
  <c r="AD104" i="142"/>
  <c r="AC104" i="142"/>
  <c r="AB104" i="142"/>
  <c r="AA104" i="142"/>
  <c r="Z104" i="142"/>
  <c r="Y104" i="142"/>
  <c r="X104" i="142"/>
  <c r="W104" i="142"/>
  <c r="V104" i="142"/>
  <c r="U104" i="142"/>
  <c r="T104" i="142"/>
  <c r="S104" i="142"/>
  <c r="R104" i="142"/>
  <c r="Q104" i="142"/>
  <c r="P104" i="142"/>
  <c r="O104" i="142"/>
  <c r="N104" i="142"/>
  <c r="M104" i="142"/>
  <c r="L104" i="142"/>
  <c r="K104" i="142"/>
  <c r="A104" i="142"/>
  <c r="AS103" i="142"/>
  <c r="AR103" i="142"/>
  <c r="AQ103" i="142"/>
  <c r="AP103" i="142"/>
  <c r="AO103" i="142"/>
  <c r="AN103" i="142"/>
  <c r="AM103" i="142"/>
  <c r="AL103" i="142"/>
  <c r="AK103" i="142"/>
  <c r="AJ103" i="142"/>
  <c r="AI103" i="142"/>
  <c r="AH103" i="142"/>
  <c r="AG103" i="142"/>
  <c r="AF103" i="142"/>
  <c r="AE103" i="142"/>
  <c r="AD103" i="142"/>
  <c r="AC103" i="142"/>
  <c r="AB103" i="142"/>
  <c r="AA103" i="142"/>
  <c r="Z103" i="142"/>
  <c r="Y103" i="142"/>
  <c r="X103" i="142"/>
  <c r="W103" i="142"/>
  <c r="V103" i="142"/>
  <c r="U103" i="142"/>
  <c r="T103" i="142"/>
  <c r="S103" i="142"/>
  <c r="R103" i="142"/>
  <c r="Q103" i="142"/>
  <c r="P103" i="142"/>
  <c r="O103" i="142"/>
  <c r="N103" i="142"/>
  <c r="M103" i="142"/>
  <c r="L103" i="142"/>
  <c r="K103" i="142"/>
  <c r="A103" i="142"/>
  <c r="A102" i="142"/>
  <c r="A101" i="142"/>
  <c r="AS100" i="142"/>
  <c r="AR100" i="142"/>
  <c r="AQ100" i="142"/>
  <c r="AP100" i="142"/>
  <c r="AO100" i="142"/>
  <c r="AN100" i="142"/>
  <c r="AM100" i="142"/>
  <c r="AL100" i="142"/>
  <c r="AK100" i="142"/>
  <c r="AJ100" i="142"/>
  <c r="AI100" i="142"/>
  <c r="AH100" i="142"/>
  <c r="AG100" i="142"/>
  <c r="AF100" i="142"/>
  <c r="AD100" i="142"/>
  <c r="AC100" i="142"/>
  <c r="AB100" i="142"/>
  <c r="Z100" i="142"/>
  <c r="Y100" i="142"/>
  <c r="W100" i="142"/>
  <c r="U100" i="142"/>
  <c r="T100" i="142"/>
  <c r="S100" i="142"/>
  <c r="Q100" i="142"/>
  <c r="P100" i="142"/>
  <c r="O100" i="142"/>
  <c r="N100" i="142"/>
  <c r="M100" i="142"/>
  <c r="L100" i="142"/>
  <c r="K100" i="142"/>
  <c r="A100" i="142"/>
  <c r="A99" i="142"/>
  <c r="AS98" i="142"/>
  <c r="AR98" i="142"/>
  <c r="AQ98" i="142"/>
  <c r="AP98" i="142"/>
  <c r="AO98" i="142"/>
  <c r="AN98" i="142"/>
  <c r="AM98" i="142"/>
  <c r="AL98" i="142"/>
  <c r="AK98" i="142"/>
  <c r="AJ98" i="142"/>
  <c r="AI98" i="142"/>
  <c r="AH98" i="142"/>
  <c r="AG98" i="142"/>
  <c r="AF98" i="142"/>
  <c r="AE98" i="142"/>
  <c r="AD98" i="142"/>
  <c r="AC98" i="142"/>
  <c r="AB98" i="142"/>
  <c r="AA98" i="142"/>
  <c r="Z98" i="142"/>
  <c r="Y98" i="142"/>
  <c r="X98" i="142"/>
  <c r="W98" i="142"/>
  <c r="V98" i="142"/>
  <c r="U98" i="142"/>
  <c r="T98" i="142"/>
  <c r="S98" i="142"/>
  <c r="R98" i="142"/>
  <c r="Q98" i="142"/>
  <c r="P98" i="142"/>
  <c r="O98" i="142"/>
  <c r="N98" i="142"/>
  <c r="M98" i="142"/>
  <c r="L98" i="142"/>
  <c r="K98" i="142"/>
  <c r="C98" i="142"/>
  <c r="A98" i="142"/>
  <c r="AS97" i="142"/>
  <c r="AR97" i="142"/>
  <c r="AQ97" i="142"/>
  <c r="AP97" i="142"/>
  <c r="AO97" i="142"/>
  <c r="AN97" i="142"/>
  <c r="AM97" i="142"/>
  <c r="AL97" i="142"/>
  <c r="AK97" i="142"/>
  <c r="AJ97" i="142"/>
  <c r="AI97" i="142"/>
  <c r="AH97" i="142"/>
  <c r="AG97" i="142"/>
  <c r="AF97" i="142"/>
  <c r="AE97" i="142"/>
  <c r="AD97" i="142"/>
  <c r="AC97" i="142"/>
  <c r="AB97" i="142"/>
  <c r="AA97" i="142"/>
  <c r="Z97" i="142"/>
  <c r="Y97" i="142"/>
  <c r="X97" i="142"/>
  <c r="W97" i="142"/>
  <c r="V97" i="142"/>
  <c r="U97" i="142"/>
  <c r="T97" i="142"/>
  <c r="S97" i="142"/>
  <c r="R97" i="142"/>
  <c r="Q97" i="142"/>
  <c r="P97" i="142"/>
  <c r="O97" i="142"/>
  <c r="N97" i="142"/>
  <c r="M97" i="142"/>
  <c r="L97" i="142"/>
  <c r="K97" i="142"/>
  <c r="A97" i="142"/>
  <c r="AS96" i="142"/>
  <c r="AR96" i="142"/>
  <c r="AQ96" i="142"/>
  <c r="AP96" i="142"/>
  <c r="AO96" i="142"/>
  <c r="AN96" i="142"/>
  <c r="AM96" i="142"/>
  <c r="AL96" i="142"/>
  <c r="AK96" i="142"/>
  <c r="AJ96" i="142"/>
  <c r="AI96" i="142"/>
  <c r="AH96" i="142"/>
  <c r="AG96" i="142"/>
  <c r="AF96" i="142"/>
  <c r="AE96" i="142"/>
  <c r="AD96" i="142"/>
  <c r="AC96" i="142"/>
  <c r="AB96" i="142"/>
  <c r="AA96" i="142"/>
  <c r="Z96" i="142"/>
  <c r="Y96" i="142"/>
  <c r="X96" i="142"/>
  <c r="W96" i="142"/>
  <c r="V96" i="142"/>
  <c r="U96" i="142"/>
  <c r="T96" i="142"/>
  <c r="S96" i="142"/>
  <c r="R96" i="142"/>
  <c r="Q96" i="142"/>
  <c r="P96" i="142"/>
  <c r="O96" i="142"/>
  <c r="N96" i="142"/>
  <c r="M96" i="142"/>
  <c r="L96" i="142"/>
  <c r="K96" i="142"/>
  <c r="I96" i="142"/>
  <c r="H96" i="142"/>
  <c r="G96" i="142"/>
  <c r="F96" i="142"/>
  <c r="A96" i="142"/>
  <c r="AS95" i="142"/>
  <c r="AR95" i="142"/>
  <c r="AQ95" i="142"/>
  <c r="AP95" i="142"/>
  <c r="AO95" i="142"/>
  <c r="AN95" i="142"/>
  <c r="AM95" i="142"/>
  <c r="AL95" i="142"/>
  <c r="AK95" i="142"/>
  <c r="AJ95" i="142"/>
  <c r="AI95" i="142"/>
  <c r="AH95" i="142"/>
  <c r="AG95" i="142"/>
  <c r="AF95" i="142"/>
  <c r="AE95" i="142"/>
  <c r="AD95" i="142"/>
  <c r="AC95" i="142"/>
  <c r="AB95" i="142"/>
  <c r="AA95" i="142"/>
  <c r="Z95" i="142"/>
  <c r="Y95" i="142"/>
  <c r="X95" i="142"/>
  <c r="W95" i="142"/>
  <c r="V95" i="142"/>
  <c r="U95" i="142"/>
  <c r="T95" i="142"/>
  <c r="S95" i="142"/>
  <c r="R95" i="142"/>
  <c r="Q95" i="142"/>
  <c r="P95" i="142"/>
  <c r="O95" i="142"/>
  <c r="N95" i="142"/>
  <c r="M95" i="142"/>
  <c r="L95" i="142"/>
  <c r="K95" i="142"/>
  <c r="I95" i="142"/>
  <c r="H95" i="142"/>
  <c r="G95" i="142"/>
  <c r="F95" i="142"/>
  <c r="A95" i="142"/>
  <c r="A94" i="142"/>
  <c r="AR93" i="142"/>
  <c r="AQ93" i="142"/>
  <c r="AP93" i="142"/>
  <c r="AO93" i="142"/>
  <c r="AN93" i="142"/>
  <c r="AM93" i="142"/>
  <c r="AL93" i="142"/>
  <c r="AK93" i="142"/>
  <c r="AJ93" i="142"/>
  <c r="AI93" i="142"/>
  <c r="AH93" i="142"/>
  <c r="AG93" i="142"/>
  <c r="AF93" i="142"/>
  <c r="AD93" i="142"/>
  <c r="AC93" i="142"/>
  <c r="AB93" i="142"/>
  <c r="Z93" i="142"/>
  <c r="W93" i="142"/>
  <c r="U93" i="142"/>
  <c r="T93" i="142"/>
  <c r="S93" i="142"/>
  <c r="Q93" i="142"/>
  <c r="O93" i="142"/>
  <c r="N93" i="142"/>
  <c r="M93" i="142"/>
  <c r="L93" i="142"/>
  <c r="K93" i="142"/>
  <c r="A93" i="142"/>
  <c r="AS92" i="142"/>
  <c r="AR92" i="142"/>
  <c r="AQ92" i="142"/>
  <c r="AP92" i="142"/>
  <c r="AO92" i="142"/>
  <c r="AN92" i="142"/>
  <c r="AM92" i="142"/>
  <c r="AL92" i="142"/>
  <c r="AK92" i="142"/>
  <c r="AJ92" i="142"/>
  <c r="AI92" i="142"/>
  <c r="AH92" i="142"/>
  <c r="AG92" i="142"/>
  <c r="AF92" i="142"/>
  <c r="AE92" i="142"/>
  <c r="AD92" i="142"/>
  <c r="AC92" i="142"/>
  <c r="AB92" i="142"/>
  <c r="AA92" i="142"/>
  <c r="Z92" i="142"/>
  <c r="Y92" i="142"/>
  <c r="X92" i="142"/>
  <c r="W92" i="142"/>
  <c r="V92" i="142"/>
  <c r="U92" i="142"/>
  <c r="T92" i="142"/>
  <c r="S92" i="142"/>
  <c r="R92" i="142"/>
  <c r="Q92" i="142"/>
  <c r="P92" i="142"/>
  <c r="O92" i="142"/>
  <c r="N92" i="142"/>
  <c r="M92" i="142"/>
  <c r="L92" i="142"/>
  <c r="K92" i="142"/>
  <c r="A92" i="142"/>
  <c r="AS91" i="142"/>
  <c r="AR91" i="142"/>
  <c r="AQ91" i="142"/>
  <c r="AP91" i="142"/>
  <c r="AO91" i="142"/>
  <c r="AN91" i="142"/>
  <c r="AM91" i="142"/>
  <c r="AL91" i="142"/>
  <c r="AK91" i="142"/>
  <c r="AJ91" i="142"/>
  <c r="AI91" i="142"/>
  <c r="AH91" i="142"/>
  <c r="AG91" i="142"/>
  <c r="AF91" i="142"/>
  <c r="AE91" i="142"/>
  <c r="AD91" i="142"/>
  <c r="AC91" i="142"/>
  <c r="AB91" i="142"/>
  <c r="AA91" i="142"/>
  <c r="Z91" i="142"/>
  <c r="Y91" i="142"/>
  <c r="X91" i="142"/>
  <c r="W91" i="142"/>
  <c r="V91" i="142"/>
  <c r="U91" i="142"/>
  <c r="T91" i="142"/>
  <c r="S91" i="142"/>
  <c r="R91" i="142"/>
  <c r="Q91" i="142"/>
  <c r="P91" i="142"/>
  <c r="O91" i="142"/>
  <c r="N91" i="142"/>
  <c r="M91" i="142"/>
  <c r="L91" i="142"/>
  <c r="K91" i="142"/>
  <c r="A91" i="142"/>
  <c r="AS90" i="142"/>
  <c r="AR90" i="142"/>
  <c r="AQ90" i="142"/>
  <c r="AP90" i="142"/>
  <c r="AO90" i="142"/>
  <c r="AN90" i="142"/>
  <c r="AM90" i="142"/>
  <c r="AL90" i="142"/>
  <c r="AK90" i="142"/>
  <c r="AJ90" i="142"/>
  <c r="AI90" i="142"/>
  <c r="AH90" i="142"/>
  <c r="AG90" i="142"/>
  <c r="AF90" i="142"/>
  <c r="AE90" i="142"/>
  <c r="AD90" i="142"/>
  <c r="AC90" i="142"/>
  <c r="AB90" i="142"/>
  <c r="AA90" i="142"/>
  <c r="Z90" i="142"/>
  <c r="Y90" i="142"/>
  <c r="X90" i="142"/>
  <c r="W90" i="142"/>
  <c r="V90" i="142"/>
  <c r="U90" i="142"/>
  <c r="T90" i="142"/>
  <c r="S90" i="142"/>
  <c r="R90" i="142"/>
  <c r="Q90" i="142"/>
  <c r="P90" i="142"/>
  <c r="O90" i="142"/>
  <c r="N90" i="142"/>
  <c r="M90" i="142"/>
  <c r="L90" i="142"/>
  <c r="K90" i="142"/>
  <c r="A90" i="142"/>
  <c r="AS89" i="142"/>
  <c r="AR89" i="142"/>
  <c r="AQ89" i="142"/>
  <c r="AP89" i="142"/>
  <c r="AO89" i="142"/>
  <c r="AN89" i="142"/>
  <c r="AM89" i="142"/>
  <c r="AL89" i="142"/>
  <c r="AK89" i="142"/>
  <c r="AJ89" i="142"/>
  <c r="AI89" i="142"/>
  <c r="AH89" i="142"/>
  <c r="AG89" i="142"/>
  <c r="AF89" i="142"/>
  <c r="AE89" i="142"/>
  <c r="AD89" i="142"/>
  <c r="AC89" i="142"/>
  <c r="AB89" i="142"/>
  <c r="AA89" i="142"/>
  <c r="Z89" i="142"/>
  <c r="Y89" i="142"/>
  <c r="X89" i="142"/>
  <c r="W89" i="142"/>
  <c r="V89" i="142"/>
  <c r="U89" i="142"/>
  <c r="T89" i="142"/>
  <c r="S89" i="142"/>
  <c r="R89" i="142"/>
  <c r="Q89" i="142"/>
  <c r="P89" i="142"/>
  <c r="O89" i="142"/>
  <c r="N89" i="142"/>
  <c r="M89" i="142"/>
  <c r="L89" i="142"/>
  <c r="K89" i="142"/>
  <c r="A89" i="142"/>
  <c r="A88" i="142"/>
  <c r="AS87" i="142"/>
  <c r="AR87" i="142"/>
  <c r="AQ87" i="142"/>
  <c r="AP87" i="142"/>
  <c r="AO87" i="142"/>
  <c r="AN87" i="142"/>
  <c r="AM87" i="142"/>
  <c r="AL87" i="142"/>
  <c r="AK87" i="142"/>
  <c r="AJ87" i="142"/>
  <c r="AI87" i="142"/>
  <c r="AH87" i="142"/>
  <c r="AG87" i="142"/>
  <c r="AF87" i="142"/>
  <c r="AD87" i="142"/>
  <c r="AC87" i="142"/>
  <c r="AB87" i="142"/>
  <c r="Z87" i="142"/>
  <c r="W87" i="142"/>
  <c r="U87" i="142"/>
  <c r="T87" i="142"/>
  <c r="S87" i="142"/>
  <c r="Q87" i="142"/>
  <c r="O87" i="142"/>
  <c r="N87" i="142"/>
  <c r="M87" i="142"/>
  <c r="L87" i="142"/>
  <c r="K87" i="142"/>
  <c r="A87" i="142"/>
  <c r="A86" i="142"/>
  <c r="A85" i="142"/>
  <c r="CK84" i="142"/>
  <c r="CJ84" i="142"/>
  <c r="CI84" i="142"/>
  <c r="CH84" i="142"/>
  <c r="CG84" i="142"/>
  <c r="CF84" i="142"/>
  <c r="CE84" i="142"/>
  <c r="CD84" i="142"/>
  <c r="CC84" i="142"/>
  <c r="CB84" i="142"/>
  <c r="CA84" i="142"/>
  <c r="BZ84" i="142"/>
  <c r="BY84" i="142"/>
  <c r="BX84" i="142"/>
  <c r="BW84" i="142"/>
  <c r="BV84" i="142"/>
  <c r="BU84" i="142"/>
  <c r="BT84" i="142"/>
  <c r="BS84" i="142"/>
  <c r="BR84" i="142"/>
  <c r="BQ84" i="142"/>
  <c r="BP84" i="142"/>
  <c r="BO84" i="142"/>
  <c r="BN84" i="142"/>
  <c r="BM84" i="142"/>
  <c r="BL84" i="142"/>
  <c r="BK84" i="142"/>
  <c r="BJ84" i="142"/>
  <c r="BI84" i="142"/>
  <c r="BH84" i="142"/>
  <c r="BG84" i="142"/>
  <c r="BF84" i="142"/>
  <c r="BE84" i="142"/>
  <c r="BD84" i="142"/>
  <c r="BC84" i="142"/>
  <c r="BB84" i="142"/>
  <c r="BA84" i="142"/>
  <c r="AZ84" i="142"/>
  <c r="AY84" i="142"/>
  <c r="AX84" i="142"/>
  <c r="AW84" i="142"/>
  <c r="AV84" i="142"/>
  <c r="AU84" i="142"/>
  <c r="AT84" i="142"/>
  <c r="A84" i="142"/>
  <c r="CL83" i="142"/>
  <c r="AS83" i="142"/>
  <c r="AR83" i="142"/>
  <c r="AQ83" i="142"/>
  <c r="AP83" i="142"/>
  <c r="AO83" i="142"/>
  <c r="AN83" i="142"/>
  <c r="AM83" i="142"/>
  <c r="AL83" i="142"/>
  <c r="AK83" i="142"/>
  <c r="AJ83" i="142"/>
  <c r="AI83" i="142"/>
  <c r="AH83" i="142"/>
  <c r="AG83" i="142"/>
  <c r="AF83" i="142"/>
  <c r="AE83" i="142"/>
  <c r="AD83" i="142"/>
  <c r="AC83" i="142"/>
  <c r="AB83" i="142"/>
  <c r="AA83" i="142"/>
  <c r="Z83" i="142"/>
  <c r="Y83" i="142"/>
  <c r="X83" i="142"/>
  <c r="W83" i="142"/>
  <c r="V83" i="142"/>
  <c r="U83" i="142"/>
  <c r="T83" i="142"/>
  <c r="S83" i="142"/>
  <c r="R83" i="142"/>
  <c r="Q83" i="142"/>
  <c r="P83" i="142"/>
  <c r="O83" i="142"/>
  <c r="N83" i="142"/>
  <c r="M83" i="142"/>
  <c r="L83" i="142"/>
  <c r="K83" i="142"/>
  <c r="I83" i="142"/>
  <c r="H83" i="142"/>
  <c r="G83" i="142"/>
  <c r="F83" i="142"/>
  <c r="A83" i="142"/>
  <c r="CK82" i="142"/>
  <c r="CJ82" i="142"/>
  <c r="CI82" i="142"/>
  <c r="CH82" i="142"/>
  <c r="CG82" i="142"/>
  <c r="CF82" i="142"/>
  <c r="CE82" i="142"/>
  <c r="CD82" i="142"/>
  <c r="CC82" i="142"/>
  <c r="CB82" i="142"/>
  <c r="CA82" i="142"/>
  <c r="BZ82" i="142"/>
  <c r="BY82" i="142"/>
  <c r="BX82" i="142"/>
  <c r="BW82" i="142"/>
  <c r="BV82" i="142"/>
  <c r="BU82" i="142"/>
  <c r="BT82" i="142"/>
  <c r="BS82" i="142"/>
  <c r="BR82" i="142"/>
  <c r="BQ82" i="142"/>
  <c r="BP82" i="142"/>
  <c r="BO82" i="142"/>
  <c r="BN82" i="142"/>
  <c r="BM82" i="142"/>
  <c r="BL82" i="142"/>
  <c r="BK82" i="142"/>
  <c r="BJ82" i="142"/>
  <c r="BI82" i="142"/>
  <c r="BH82" i="142"/>
  <c r="BG82" i="142"/>
  <c r="BF82" i="142"/>
  <c r="BE82" i="142"/>
  <c r="BD82" i="142"/>
  <c r="BC82" i="142"/>
  <c r="BB82" i="142"/>
  <c r="BA82" i="142"/>
  <c r="AZ82" i="142"/>
  <c r="AY82" i="142"/>
  <c r="AX82" i="142"/>
  <c r="AW82" i="142"/>
  <c r="AV82" i="142"/>
  <c r="AU82" i="142"/>
  <c r="AT82" i="142"/>
  <c r="A82" i="142"/>
  <c r="CL81" i="142"/>
  <c r="AS81" i="142"/>
  <c r="AR81" i="142"/>
  <c r="AQ81" i="142"/>
  <c r="AP81" i="142"/>
  <c r="AO81" i="142"/>
  <c r="AN81" i="142"/>
  <c r="AM81" i="142"/>
  <c r="AL81" i="142"/>
  <c r="AK81" i="142"/>
  <c r="AJ81" i="142"/>
  <c r="AI81" i="142"/>
  <c r="AI82" i="142" s="1"/>
  <c r="AH81" i="142"/>
  <c r="AG81" i="142"/>
  <c r="AF81" i="142"/>
  <c r="AE81" i="142"/>
  <c r="AD81" i="142"/>
  <c r="AC81" i="142"/>
  <c r="AB81" i="142"/>
  <c r="AA81" i="142"/>
  <c r="Z81" i="142"/>
  <c r="Z82" i="142" s="1"/>
  <c r="Y81" i="142"/>
  <c r="Y82" i="142" s="1"/>
  <c r="X81" i="142"/>
  <c r="W81" i="142"/>
  <c r="V81" i="142"/>
  <c r="U81" i="142"/>
  <c r="T81" i="142"/>
  <c r="S81" i="142"/>
  <c r="R81" i="142"/>
  <c r="Q81" i="142"/>
  <c r="Q82" i="142" s="1"/>
  <c r="P81" i="142"/>
  <c r="O81" i="142"/>
  <c r="N81" i="142"/>
  <c r="M81" i="142"/>
  <c r="L81" i="142"/>
  <c r="K81" i="142"/>
  <c r="K82" i="142" s="1"/>
  <c r="I81" i="142"/>
  <c r="H81" i="142"/>
  <c r="G81" i="142"/>
  <c r="F81" i="142"/>
  <c r="A81" i="142"/>
  <c r="AS80" i="142"/>
  <c r="AS82" i="142" s="1"/>
  <c r="AR80" i="142"/>
  <c r="AR84" i="142" s="1"/>
  <c r="AQ80" i="142"/>
  <c r="AQ82" i="142" s="1"/>
  <c r="AP80" i="142"/>
  <c r="AO80" i="142"/>
  <c r="AO82" i="142" s="1"/>
  <c r="AN80" i="142"/>
  <c r="AN84" i="142" s="1"/>
  <c r="AM80" i="142"/>
  <c r="AM82" i="142"/>
  <c r="AL80" i="142"/>
  <c r="AK80" i="142"/>
  <c r="AK82" i="142"/>
  <c r="AJ80" i="142"/>
  <c r="AJ84" i="142"/>
  <c r="AI80" i="142"/>
  <c r="AH80" i="142"/>
  <c r="AH82" i="142"/>
  <c r="AG80" i="142"/>
  <c r="AG82" i="142"/>
  <c r="AF80" i="142"/>
  <c r="AF84" i="142" s="1"/>
  <c r="AF82" i="142"/>
  <c r="AE80" i="142"/>
  <c r="AE82" i="142" s="1"/>
  <c r="AD80" i="142"/>
  <c r="AC80" i="142"/>
  <c r="AC82" i="142" s="1"/>
  <c r="AB80" i="142"/>
  <c r="AB84" i="142"/>
  <c r="AA80" i="142"/>
  <c r="AA82" i="142"/>
  <c r="Z80" i="142"/>
  <c r="Y80" i="142"/>
  <c r="X80" i="142"/>
  <c r="X82" i="142"/>
  <c r="X84" i="142"/>
  <c r="W80" i="142"/>
  <c r="W82" i="142" s="1"/>
  <c r="V80" i="142"/>
  <c r="U80" i="142"/>
  <c r="T80" i="142"/>
  <c r="T84" i="142"/>
  <c r="S80" i="142"/>
  <c r="S82" i="142"/>
  <c r="R80" i="142"/>
  <c r="R82" i="142"/>
  <c r="Q80" i="142"/>
  <c r="P80" i="142"/>
  <c r="P84" i="142" s="1"/>
  <c r="P82" i="142"/>
  <c r="O80" i="142"/>
  <c r="O82" i="142" s="1"/>
  <c r="N80" i="142"/>
  <c r="M80" i="142"/>
  <c r="M82" i="142" s="1"/>
  <c r="L80" i="142"/>
  <c r="L84" i="142"/>
  <c r="K80" i="142"/>
  <c r="I80" i="142"/>
  <c r="I82" i="142"/>
  <c r="H80" i="142"/>
  <c r="H82" i="142"/>
  <c r="G80" i="142"/>
  <c r="G82" i="142"/>
  <c r="G84" i="142"/>
  <c r="F80" i="142"/>
  <c r="A80" i="142"/>
  <c r="A79" i="142"/>
  <c r="AS78" i="142"/>
  <c r="AR78" i="142"/>
  <c r="AQ78" i="142"/>
  <c r="AP78" i="142"/>
  <c r="AO78" i="142"/>
  <c r="AN78" i="142"/>
  <c r="AM78" i="142"/>
  <c r="AL78" i="142"/>
  <c r="AK78" i="142"/>
  <c r="AJ78" i="142"/>
  <c r="AI78" i="142"/>
  <c r="AH78" i="142"/>
  <c r="AG78" i="142"/>
  <c r="AF78" i="142"/>
  <c r="AE78" i="142"/>
  <c r="AD78" i="142"/>
  <c r="AC78" i="142"/>
  <c r="AB78" i="142"/>
  <c r="AA78" i="142"/>
  <c r="Z78" i="142"/>
  <c r="Y78" i="142"/>
  <c r="X78" i="142"/>
  <c r="W78" i="142"/>
  <c r="V78" i="142"/>
  <c r="U78" i="142"/>
  <c r="T78" i="142"/>
  <c r="S78" i="142"/>
  <c r="R78" i="142"/>
  <c r="Q78" i="142"/>
  <c r="P78" i="142"/>
  <c r="O78" i="142"/>
  <c r="N78" i="142"/>
  <c r="M78" i="142"/>
  <c r="L78" i="142"/>
  <c r="K78" i="142"/>
  <c r="A78" i="142"/>
  <c r="AS77" i="142"/>
  <c r="AR77" i="142"/>
  <c r="AQ77" i="142"/>
  <c r="AP77" i="142"/>
  <c r="AO77" i="142"/>
  <c r="AN77" i="142"/>
  <c r="AM77" i="142"/>
  <c r="AL77" i="142"/>
  <c r="AK77" i="142"/>
  <c r="AJ77" i="142"/>
  <c r="AI77" i="142"/>
  <c r="AH77" i="142"/>
  <c r="AG77" i="142"/>
  <c r="AF77" i="142"/>
  <c r="AE77" i="142"/>
  <c r="AD77" i="142"/>
  <c r="AC77" i="142"/>
  <c r="AB77" i="142"/>
  <c r="AA77" i="142"/>
  <c r="Z77" i="142"/>
  <c r="Y77" i="142"/>
  <c r="X77" i="142"/>
  <c r="W77" i="142"/>
  <c r="V77" i="142"/>
  <c r="U77" i="142"/>
  <c r="T77" i="142"/>
  <c r="S77" i="142"/>
  <c r="R77" i="142"/>
  <c r="Q77" i="142"/>
  <c r="P77" i="142"/>
  <c r="O77" i="142"/>
  <c r="N77" i="142"/>
  <c r="M77" i="142"/>
  <c r="L77" i="142"/>
  <c r="K77" i="142"/>
  <c r="A77" i="142"/>
  <c r="AS76" i="142"/>
  <c r="AR76" i="142"/>
  <c r="AQ76" i="142"/>
  <c r="AP76" i="142"/>
  <c r="AO76" i="142"/>
  <c r="AN76" i="142"/>
  <c r="AM76" i="142"/>
  <c r="AL76" i="142"/>
  <c r="AK76" i="142"/>
  <c r="AJ76" i="142"/>
  <c r="AI76" i="142"/>
  <c r="AH76" i="142"/>
  <c r="AG76" i="142"/>
  <c r="AF76" i="142"/>
  <c r="AE76" i="142"/>
  <c r="AD76" i="142"/>
  <c r="AC76" i="142"/>
  <c r="AB76" i="142"/>
  <c r="AA76" i="142"/>
  <c r="Z76" i="142"/>
  <c r="Y76" i="142"/>
  <c r="X76" i="142"/>
  <c r="W76" i="142"/>
  <c r="V76" i="142"/>
  <c r="U76" i="142"/>
  <c r="T76" i="142"/>
  <c r="S76" i="142"/>
  <c r="R76" i="142"/>
  <c r="Q76" i="142"/>
  <c r="P76" i="142"/>
  <c r="O76" i="142"/>
  <c r="N76" i="142"/>
  <c r="M76" i="142"/>
  <c r="L76" i="142"/>
  <c r="K76" i="142"/>
  <c r="A76" i="142"/>
  <c r="AS75" i="142"/>
  <c r="AR75" i="142"/>
  <c r="AQ75" i="142"/>
  <c r="AP75" i="142"/>
  <c r="AO75" i="142"/>
  <c r="AN75" i="142"/>
  <c r="AM75" i="142"/>
  <c r="AL75" i="142"/>
  <c r="AK75" i="142"/>
  <c r="AJ75" i="142"/>
  <c r="AI75" i="142"/>
  <c r="AH75" i="142"/>
  <c r="AG75" i="142"/>
  <c r="AF75" i="142"/>
  <c r="AE75" i="142"/>
  <c r="AD75" i="142"/>
  <c r="AC75" i="142"/>
  <c r="AB75" i="142"/>
  <c r="AA75" i="142"/>
  <c r="Z75" i="142"/>
  <c r="Y75" i="142"/>
  <c r="X75" i="142"/>
  <c r="W75" i="142"/>
  <c r="V75" i="142"/>
  <c r="U75" i="142"/>
  <c r="T75" i="142"/>
  <c r="S75" i="142"/>
  <c r="R75" i="142"/>
  <c r="Q75" i="142"/>
  <c r="P75" i="142"/>
  <c r="O75" i="142"/>
  <c r="N75" i="142"/>
  <c r="M75" i="142"/>
  <c r="L75" i="142"/>
  <c r="K75" i="142"/>
  <c r="A75" i="142"/>
  <c r="AS74" i="142"/>
  <c r="AR74" i="142"/>
  <c r="AQ74" i="142"/>
  <c r="AP74" i="142"/>
  <c r="AO74" i="142"/>
  <c r="AN74" i="142"/>
  <c r="AM74" i="142"/>
  <c r="AL74" i="142"/>
  <c r="AK74" i="142"/>
  <c r="AJ74" i="142"/>
  <c r="AI74" i="142"/>
  <c r="AH74" i="142"/>
  <c r="AG74" i="142"/>
  <c r="AF74" i="142"/>
  <c r="AE74" i="142"/>
  <c r="AD74" i="142"/>
  <c r="AC74" i="142"/>
  <c r="AB74" i="142"/>
  <c r="AA74" i="142"/>
  <c r="Z74" i="142"/>
  <c r="Y74" i="142"/>
  <c r="X74" i="142"/>
  <c r="W74" i="142"/>
  <c r="V74" i="142"/>
  <c r="U74" i="142"/>
  <c r="T74" i="142"/>
  <c r="S74" i="142"/>
  <c r="R74" i="142"/>
  <c r="Q74" i="142"/>
  <c r="P74" i="142"/>
  <c r="O74" i="142"/>
  <c r="N74" i="142"/>
  <c r="M74" i="142"/>
  <c r="L74" i="142"/>
  <c r="K74" i="142"/>
  <c r="A74" i="142"/>
  <c r="AS73" i="142"/>
  <c r="AR73" i="142"/>
  <c r="AQ73" i="142"/>
  <c r="AP73" i="142"/>
  <c r="AO73" i="142"/>
  <c r="AN73" i="142"/>
  <c r="AM73" i="142"/>
  <c r="AL73" i="142"/>
  <c r="AK73" i="142"/>
  <c r="AJ73" i="142"/>
  <c r="AI73" i="142"/>
  <c r="AH73" i="142"/>
  <c r="AG73" i="142"/>
  <c r="AF73" i="142"/>
  <c r="AE73" i="142"/>
  <c r="AD73" i="142"/>
  <c r="AC73" i="142"/>
  <c r="AB73" i="142"/>
  <c r="AA73" i="142"/>
  <c r="Z73" i="142"/>
  <c r="Y73" i="142"/>
  <c r="X73" i="142"/>
  <c r="W73" i="142"/>
  <c r="V73" i="142"/>
  <c r="U73" i="142"/>
  <c r="T73" i="142"/>
  <c r="S73" i="142"/>
  <c r="R73" i="142"/>
  <c r="Q73" i="142"/>
  <c r="P73" i="142"/>
  <c r="O73" i="142"/>
  <c r="N73" i="142"/>
  <c r="M73" i="142"/>
  <c r="L73" i="142"/>
  <c r="K73" i="142"/>
  <c r="A73" i="142"/>
  <c r="A72" i="142"/>
  <c r="CK71" i="142"/>
  <c r="CJ71" i="142"/>
  <c r="CI71" i="142"/>
  <c r="CH71" i="142"/>
  <c r="CG71" i="142"/>
  <c r="CF71" i="142"/>
  <c r="CE71" i="142"/>
  <c r="CD71" i="142"/>
  <c r="CC71" i="142"/>
  <c r="CB71" i="142"/>
  <c r="CA71" i="142"/>
  <c r="BZ71" i="142"/>
  <c r="BY71" i="142"/>
  <c r="BX71" i="142"/>
  <c r="BW71" i="142"/>
  <c r="BV71" i="142"/>
  <c r="BU71" i="142"/>
  <c r="BT71" i="142"/>
  <c r="BS71" i="142"/>
  <c r="BR71" i="142"/>
  <c r="BQ71" i="142"/>
  <c r="BP71" i="142"/>
  <c r="BO71" i="142"/>
  <c r="BN71" i="142"/>
  <c r="BM71" i="142"/>
  <c r="BL71" i="142"/>
  <c r="BK71" i="142"/>
  <c r="BJ71" i="142"/>
  <c r="BI71" i="142"/>
  <c r="BH71" i="142"/>
  <c r="BG71" i="142"/>
  <c r="BF71" i="142"/>
  <c r="BE71" i="142"/>
  <c r="BD71" i="142"/>
  <c r="BC71" i="142"/>
  <c r="BB71" i="142"/>
  <c r="BA71" i="142"/>
  <c r="AZ71" i="142"/>
  <c r="AY71" i="142"/>
  <c r="AX71" i="142"/>
  <c r="AW71" i="142"/>
  <c r="AV71" i="142"/>
  <c r="AU71" i="142"/>
  <c r="AT71" i="142"/>
  <c r="A71" i="142"/>
  <c r="AS70" i="142"/>
  <c r="AR70" i="142"/>
  <c r="AQ70" i="142"/>
  <c r="AP70" i="142"/>
  <c r="AO70" i="142"/>
  <c r="AN70" i="142"/>
  <c r="AM70" i="142"/>
  <c r="AL70" i="142"/>
  <c r="AK70" i="142"/>
  <c r="AJ70" i="142"/>
  <c r="AI70" i="142"/>
  <c r="AH70" i="142"/>
  <c r="AG70" i="142"/>
  <c r="AF70" i="142"/>
  <c r="AE70" i="142"/>
  <c r="AD70" i="142"/>
  <c r="AC70" i="142"/>
  <c r="AB70" i="142"/>
  <c r="AA70" i="142"/>
  <c r="Z70" i="142"/>
  <c r="Y70" i="142"/>
  <c r="X70" i="142"/>
  <c r="W70" i="142"/>
  <c r="V70" i="142"/>
  <c r="U70" i="142"/>
  <c r="U71" i="142" s="1"/>
  <c r="T70" i="142"/>
  <c r="T71" i="142" s="1"/>
  <c r="S70" i="142"/>
  <c r="R70" i="142"/>
  <c r="Q70" i="142"/>
  <c r="Q71" i="142" s="1"/>
  <c r="P70" i="142"/>
  <c r="P71" i="142" s="1"/>
  <c r="O70" i="142"/>
  <c r="N70" i="142"/>
  <c r="M70" i="142"/>
  <c r="M71" i="142" s="1"/>
  <c r="L70" i="142"/>
  <c r="L71" i="142" s="1"/>
  <c r="K70" i="142"/>
  <c r="H70" i="142"/>
  <c r="A70" i="142"/>
  <c r="CL69" i="142"/>
  <c r="AS69" i="142"/>
  <c r="AR69" i="142"/>
  <c r="AQ69" i="142"/>
  <c r="AP69" i="142"/>
  <c r="AO69" i="142"/>
  <c r="AN69" i="142"/>
  <c r="AM69" i="142"/>
  <c r="AL69" i="142"/>
  <c r="AK69" i="142"/>
  <c r="AJ69" i="142"/>
  <c r="AI69" i="142"/>
  <c r="AH69" i="142"/>
  <c r="AG69" i="142"/>
  <c r="AF69" i="142"/>
  <c r="AE69" i="142"/>
  <c r="AD69" i="142"/>
  <c r="AC69" i="142"/>
  <c r="AB69" i="142"/>
  <c r="AA69" i="142"/>
  <c r="Z69" i="142"/>
  <c r="Y69" i="142"/>
  <c r="X69" i="142"/>
  <c r="W69" i="142"/>
  <c r="V69" i="142"/>
  <c r="U69" i="142"/>
  <c r="T69" i="142"/>
  <c r="S69" i="142"/>
  <c r="R69" i="142"/>
  <c r="Q69" i="142"/>
  <c r="P69" i="142"/>
  <c r="O69" i="142"/>
  <c r="N69" i="142"/>
  <c r="M69" i="142"/>
  <c r="L69" i="142"/>
  <c r="K69" i="142"/>
  <c r="I69" i="142"/>
  <c r="I71" i="142" s="1"/>
  <c r="H69" i="142"/>
  <c r="H71" i="142"/>
  <c r="G69" i="142"/>
  <c r="G71" i="142" s="1"/>
  <c r="F69" i="142"/>
  <c r="F71" i="142"/>
  <c r="A69" i="142"/>
  <c r="A68" i="142"/>
  <c r="CL67" i="142"/>
  <c r="G64" i="122" s="1"/>
  <c r="CK67" i="142"/>
  <c r="CJ67" i="142"/>
  <c r="CI67" i="142"/>
  <c r="CH67" i="142"/>
  <c r="CG67" i="142"/>
  <c r="CF67" i="142"/>
  <c r="CE67" i="142"/>
  <c r="CD67" i="142"/>
  <c r="CC67" i="142"/>
  <c r="CB67" i="142"/>
  <c r="CA67" i="142"/>
  <c r="BZ67" i="142"/>
  <c r="BY67" i="142"/>
  <c r="BX67" i="142"/>
  <c r="BW67" i="142"/>
  <c r="BV67" i="142"/>
  <c r="BU67" i="142"/>
  <c r="BT67" i="142"/>
  <c r="BS67" i="142"/>
  <c r="BR67" i="142"/>
  <c r="BQ67" i="142"/>
  <c r="BP67" i="142"/>
  <c r="BO67" i="142"/>
  <c r="BN67" i="142"/>
  <c r="BM67" i="142"/>
  <c r="BL67" i="142"/>
  <c r="BK67" i="142"/>
  <c r="BJ67" i="142"/>
  <c r="BI67" i="142"/>
  <c r="BH67" i="142"/>
  <c r="BG67" i="142"/>
  <c r="BF67" i="142"/>
  <c r="BE67" i="142"/>
  <c r="BD67" i="142"/>
  <c r="BC67" i="142"/>
  <c r="BB67" i="142"/>
  <c r="BA67" i="142"/>
  <c r="AZ67" i="142"/>
  <c r="AY67" i="142"/>
  <c r="AX67" i="142"/>
  <c r="AW67" i="142"/>
  <c r="AV67" i="142"/>
  <c r="AU67" i="142"/>
  <c r="AT67" i="142"/>
  <c r="A67" i="142"/>
  <c r="AS66" i="142"/>
  <c r="AR66" i="142"/>
  <c r="AQ66" i="142"/>
  <c r="AP66" i="142"/>
  <c r="AO66" i="142"/>
  <c r="AN66" i="142"/>
  <c r="AM66" i="142"/>
  <c r="AL66" i="142"/>
  <c r="AK66" i="142"/>
  <c r="AJ66" i="142"/>
  <c r="AI66" i="142"/>
  <c r="AH66" i="142"/>
  <c r="AG66" i="142"/>
  <c r="AF66" i="142"/>
  <c r="AE66" i="142"/>
  <c r="AD66" i="142"/>
  <c r="AC66" i="142"/>
  <c r="AB66" i="142"/>
  <c r="AA66" i="142"/>
  <c r="Z66" i="142"/>
  <c r="Y66" i="142"/>
  <c r="X66" i="142"/>
  <c r="W66" i="142"/>
  <c r="V66" i="142"/>
  <c r="U66" i="142"/>
  <c r="T66" i="142"/>
  <c r="S66" i="142"/>
  <c r="R66" i="142"/>
  <c r="Q66" i="142"/>
  <c r="P66" i="142"/>
  <c r="O66" i="142"/>
  <c r="N66" i="142"/>
  <c r="M66" i="142"/>
  <c r="L66" i="142"/>
  <c r="K66" i="142"/>
  <c r="I66" i="142"/>
  <c r="H66" i="142"/>
  <c r="G66" i="142"/>
  <c r="F66" i="142"/>
  <c r="A66" i="142"/>
  <c r="AS65" i="142"/>
  <c r="AR65" i="142"/>
  <c r="AQ65" i="142"/>
  <c r="AP65" i="142"/>
  <c r="AO65" i="142"/>
  <c r="AN65" i="142"/>
  <c r="AM65" i="142"/>
  <c r="AL65" i="142"/>
  <c r="AK65" i="142"/>
  <c r="AJ65" i="142"/>
  <c r="AI65" i="142"/>
  <c r="AH65" i="142"/>
  <c r="AG65" i="142"/>
  <c r="AF65" i="142"/>
  <c r="AE65" i="142"/>
  <c r="AD65" i="142"/>
  <c r="AC65" i="142"/>
  <c r="AB65" i="142"/>
  <c r="AA65" i="142"/>
  <c r="Z65" i="142"/>
  <c r="Y65" i="142"/>
  <c r="X65" i="142"/>
  <c r="W65" i="142"/>
  <c r="V65" i="142"/>
  <c r="U65" i="142"/>
  <c r="T65" i="142"/>
  <c r="S65" i="142"/>
  <c r="R65" i="142"/>
  <c r="Q65" i="142"/>
  <c r="P65" i="142"/>
  <c r="O65" i="142"/>
  <c r="N65" i="142"/>
  <c r="M65" i="142"/>
  <c r="L65" i="142"/>
  <c r="K65" i="142"/>
  <c r="I65" i="142"/>
  <c r="I67" i="142" s="1"/>
  <c r="H65" i="142"/>
  <c r="H67" i="142" s="1"/>
  <c r="G65" i="142"/>
  <c r="G67" i="142" s="1"/>
  <c r="F65" i="142"/>
  <c r="F67" i="142" s="1"/>
  <c r="B65" i="142"/>
  <c r="A65" i="142"/>
  <c r="A64" i="142"/>
  <c r="AS63" i="142"/>
  <c r="AR63" i="142"/>
  <c r="AQ63" i="142"/>
  <c r="AP63" i="142"/>
  <c r="AO63" i="142"/>
  <c r="AN63" i="142"/>
  <c r="AM63" i="142"/>
  <c r="AL63" i="142"/>
  <c r="AK63" i="142"/>
  <c r="AJ63" i="142"/>
  <c r="AI63" i="142"/>
  <c r="AH63" i="142"/>
  <c r="AG63" i="142"/>
  <c r="AF63" i="142"/>
  <c r="AE63" i="142"/>
  <c r="AD63" i="142"/>
  <c r="AC63" i="142"/>
  <c r="AB63" i="142"/>
  <c r="AA63" i="142"/>
  <c r="Z63" i="142"/>
  <c r="Y63" i="142"/>
  <c r="X63" i="142"/>
  <c r="W63" i="142"/>
  <c r="V63" i="142"/>
  <c r="U63" i="142"/>
  <c r="T63" i="142"/>
  <c r="S63" i="142"/>
  <c r="R63" i="142"/>
  <c r="Q63" i="142"/>
  <c r="P63" i="142"/>
  <c r="O63" i="142"/>
  <c r="N63" i="142"/>
  <c r="M63" i="142"/>
  <c r="L63" i="142"/>
  <c r="K63" i="142"/>
  <c r="A63" i="142"/>
  <c r="AS62" i="142"/>
  <c r="AR62" i="142"/>
  <c r="AQ62" i="142"/>
  <c r="AP62" i="142"/>
  <c r="AO62" i="142"/>
  <c r="AN62" i="142"/>
  <c r="AM62" i="142"/>
  <c r="AL62" i="142"/>
  <c r="AK62" i="142"/>
  <c r="AJ62" i="142"/>
  <c r="AI62" i="142"/>
  <c r="AH62" i="142"/>
  <c r="AG62" i="142"/>
  <c r="AF62" i="142"/>
  <c r="AE62" i="142"/>
  <c r="AD62" i="142"/>
  <c r="AC62" i="142"/>
  <c r="AB62" i="142"/>
  <c r="AA62" i="142"/>
  <c r="Z62" i="142"/>
  <c r="Y62" i="142"/>
  <c r="X62" i="142"/>
  <c r="W62" i="142"/>
  <c r="V62" i="142"/>
  <c r="U62" i="142"/>
  <c r="T62" i="142"/>
  <c r="S62" i="142"/>
  <c r="R62" i="142"/>
  <c r="Q62" i="142"/>
  <c r="P62" i="142"/>
  <c r="O62" i="142"/>
  <c r="N62" i="142"/>
  <c r="M62" i="142"/>
  <c r="L62" i="142"/>
  <c r="K62" i="142"/>
  <c r="A62" i="142"/>
  <c r="AS61" i="142"/>
  <c r="AR61" i="142"/>
  <c r="AQ61" i="142"/>
  <c r="AP61" i="142"/>
  <c r="AO61" i="142"/>
  <c r="AN61" i="142"/>
  <c r="AM61" i="142"/>
  <c r="AL61" i="142"/>
  <c r="AK61" i="142"/>
  <c r="AJ61" i="142"/>
  <c r="AI61" i="142"/>
  <c r="AH61" i="142"/>
  <c r="AG61" i="142"/>
  <c r="AF61" i="142"/>
  <c r="AE61" i="142"/>
  <c r="AD61" i="142"/>
  <c r="AC61" i="142"/>
  <c r="AB61" i="142"/>
  <c r="Z61" i="142"/>
  <c r="Y61" i="142"/>
  <c r="X61" i="142"/>
  <c r="W61" i="142"/>
  <c r="V61" i="142"/>
  <c r="U61" i="142"/>
  <c r="T61" i="142"/>
  <c r="S61" i="142"/>
  <c r="R61" i="142"/>
  <c r="Q61" i="142"/>
  <c r="O61" i="142"/>
  <c r="N61" i="142"/>
  <c r="M61" i="142"/>
  <c r="L61" i="142"/>
  <c r="K61" i="142"/>
  <c r="A61" i="142"/>
  <c r="AS60" i="142"/>
  <c r="AR60" i="142"/>
  <c r="AQ60" i="142"/>
  <c r="AP60" i="142"/>
  <c r="AO60" i="142"/>
  <c r="AN60" i="142"/>
  <c r="AM60" i="142"/>
  <c r="AL60" i="142"/>
  <c r="AK60" i="142"/>
  <c r="AJ60" i="142"/>
  <c r="AI60" i="142"/>
  <c r="AH60" i="142"/>
  <c r="AG60" i="142"/>
  <c r="AF60" i="142"/>
  <c r="AE60" i="142"/>
  <c r="AD60" i="142"/>
  <c r="AC60" i="142"/>
  <c r="AB60" i="142"/>
  <c r="Z60" i="142"/>
  <c r="Y60" i="142"/>
  <c r="X60" i="142"/>
  <c r="W60" i="142"/>
  <c r="V60" i="142"/>
  <c r="U60" i="142"/>
  <c r="T60" i="142"/>
  <c r="S60" i="142"/>
  <c r="R60" i="142"/>
  <c r="Q60" i="142"/>
  <c r="O60" i="142"/>
  <c r="N60" i="142"/>
  <c r="M60" i="142"/>
  <c r="L60" i="142"/>
  <c r="K60" i="142"/>
  <c r="A60" i="142"/>
  <c r="AS59" i="142"/>
  <c r="AR59" i="142"/>
  <c r="AQ59" i="142"/>
  <c r="AP59" i="142"/>
  <c r="AO59" i="142"/>
  <c r="AN59" i="142"/>
  <c r="AM59" i="142"/>
  <c r="AL59" i="142"/>
  <c r="AK59" i="142"/>
  <c r="AJ59" i="142"/>
  <c r="AI59" i="142"/>
  <c r="AH59" i="142"/>
  <c r="AG59" i="142"/>
  <c r="AF59" i="142"/>
  <c r="AE59" i="142"/>
  <c r="AD59" i="142"/>
  <c r="AC59" i="142"/>
  <c r="AB59" i="142"/>
  <c r="AA59" i="142"/>
  <c r="Z59" i="142"/>
  <c r="Y59" i="142"/>
  <c r="X59" i="142"/>
  <c r="W59" i="142"/>
  <c r="V59" i="142"/>
  <c r="U59" i="142"/>
  <c r="T59" i="142"/>
  <c r="S59" i="142"/>
  <c r="R59" i="142"/>
  <c r="Q59" i="142"/>
  <c r="P59" i="142"/>
  <c r="O59" i="142"/>
  <c r="N59" i="142"/>
  <c r="M59" i="142"/>
  <c r="L59" i="142"/>
  <c r="K59" i="142"/>
  <c r="A59" i="142"/>
  <c r="AS58" i="142"/>
  <c r="AR58" i="142"/>
  <c r="AQ58" i="142"/>
  <c r="AP58" i="142"/>
  <c r="AO58" i="142"/>
  <c r="AN58" i="142"/>
  <c r="AM58" i="142"/>
  <c r="AL58" i="142"/>
  <c r="AK58" i="142"/>
  <c r="AJ58" i="142"/>
  <c r="AI58" i="142"/>
  <c r="AH58" i="142"/>
  <c r="AG58" i="142"/>
  <c r="AF58" i="142"/>
  <c r="AE58" i="142"/>
  <c r="AD58" i="142"/>
  <c r="AC58" i="142"/>
  <c r="AB58" i="142"/>
  <c r="AA58" i="142"/>
  <c r="Z58" i="142"/>
  <c r="Y58" i="142"/>
  <c r="X58" i="142"/>
  <c r="W58" i="142"/>
  <c r="V58" i="142"/>
  <c r="U58" i="142"/>
  <c r="T58" i="142"/>
  <c r="S58" i="142"/>
  <c r="R58" i="142"/>
  <c r="Q58" i="142"/>
  <c r="P58" i="142"/>
  <c r="O58" i="142"/>
  <c r="N58" i="142"/>
  <c r="M58" i="142"/>
  <c r="L58" i="142"/>
  <c r="K58" i="142"/>
  <c r="A58" i="142"/>
  <c r="AS57" i="142"/>
  <c r="AR57" i="142"/>
  <c r="AQ57" i="142"/>
  <c r="AP57" i="142"/>
  <c r="AO57" i="142"/>
  <c r="AN57" i="142"/>
  <c r="AM57" i="142"/>
  <c r="AL57" i="142"/>
  <c r="AK57" i="142"/>
  <c r="AJ57" i="142"/>
  <c r="AI57" i="142"/>
  <c r="AH57" i="142"/>
  <c r="AG57" i="142"/>
  <c r="AF57" i="142"/>
  <c r="AE57" i="142"/>
  <c r="AD57" i="142"/>
  <c r="AC57" i="142"/>
  <c r="AB57" i="142"/>
  <c r="AA57" i="142"/>
  <c r="Z57" i="142"/>
  <c r="Y57" i="142"/>
  <c r="X57" i="142"/>
  <c r="W57" i="142"/>
  <c r="V57" i="142"/>
  <c r="U57" i="142"/>
  <c r="T57" i="142"/>
  <c r="S57" i="142"/>
  <c r="R57" i="142"/>
  <c r="Q57" i="142"/>
  <c r="P57" i="142"/>
  <c r="O57" i="142"/>
  <c r="N57" i="142"/>
  <c r="M57" i="142"/>
  <c r="L57" i="142"/>
  <c r="K57" i="142"/>
  <c r="A57" i="142"/>
  <c r="AS56" i="142"/>
  <c r="AR56" i="142"/>
  <c r="AQ56" i="142"/>
  <c r="AP56" i="142"/>
  <c r="AO56" i="142"/>
  <c r="AN56" i="142"/>
  <c r="AM56" i="142"/>
  <c r="AL56" i="142"/>
  <c r="AK56" i="142"/>
  <c r="AJ56" i="142"/>
  <c r="AI56" i="142"/>
  <c r="AH56" i="142"/>
  <c r="AG56" i="142"/>
  <c r="AF56" i="142"/>
  <c r="AE56" i="142"/>
  <c r="AD56" i="142"/>
  <c r="AC56" i="142"/>
  <c r="AB56" i="142"/>
  <c r="AA56" i="142"/>
  <c r="Z56" i="142"/>
  <c r="Y56" i="142"/>
  <c r="X56" i="142"/>
  <c r="W56" i="142"/>
  <c r="V56" i="142"/>
  <c r="U56" i="142"/>
  <c r="T56" i="142"/>
  <c r="S56" i="142"/>
  <c r="R56" i="142"/>
  <c r="Q56" i="142"/>
  <c r="P56" i="142"/>
  <c r="O56" i="142"/>
  <c r="N56" i="142"/>
  <c r="M56" i="142"/>
  <c r="L56" i="142"/>
  <c r="K56" i="142"/>
  <c r="A56" i="142"/>
  <c r="A55" i="142"/>
  <c r="BS54" i="142"/>
  <c r="BO54" i="142"/>
  <c r="BL54" i="142"/>
  <c r="BH54" i="142"/>
  <c r="BG54" i="142"/>
  <c r="AZ54" i="142"/>
  <c r="AT54" i="142"/>
  <c r="B54" i="142"/>
  <c r="A54" i="142"/>
  <c r="CL53" i="142"/>
  <c r="CK53" i="142"/>
  <c r="CJ53" i="142"/>
  <c r="CI53" i="142"/>
  <c r="CH53" i="142"/>
  <c r="CG53" i="142"/>
  <c r="CE53" i="142"/>
  <c r="CD53" i="142"/>
  <c r="CC53" i="142"/>
  <c r="CB53" i="142"/>
  <c r="CA53" i="142"/>
  <c r="BZ53" i="142"/>
  <c r="BY53" i="142"/>
  <c r="BX53" i="142"/>
  <c r="BW53" i="142"/>
  <c r="BV53" i="142"/>
  <c r="BU53" i="142"/>
  <c r="BT53" i="142"/>
  <c r="BR53" i="142"/>
  <c r="BQ53" i="142"/>
  <c r="BP53" i="142"/>
  <c r="BN53" i="142"/>
  <c r="BM53" i="142"/>
  <c r="BJ53" i="142"/>
  <c r="BI53" i="142"/>
  <c r="BF53" i="142"/>
  <c r="BE53" i="142"/>
  <c r="BD53" i="142"/>
  <c r="BC53" i="142"/>
  <c r="BB53" i="142"/>
  <c r="BA53" i="142"/>
  <c r="AY53" i="142"/>
  <c r="AX53" i="142"/>
  <c r="AW53" i="142"/>
  <c r="AV53" i="142"/>
  <c r="AU53" i="142"/>
  <c r="I53" i="142"/>
  <c r="H53" i="142"/>
  <c r="G53" i="142"/>
  <c r="F53" i="142"/>
  <c r="B53" i="142"/>
  <c r="A53" i="142"/>
  <c r="AS52" i="142"/>
  <c r="AR52" i="142"/>
  <c r="AQ52" i="142"/>
  <c r="AP52" i="142"/>
  <c r="AO52" i="142"/>
  <c r="AN52" i="142"/>
  <c r="AM52" i="142"/>
  <c r="AL52" i="142"/>
  <c r="AK52" i="142"/>
  <c r="AJ52" i="142"/>
  <c r="AI52" i="142"/>
  <c r="AH52" i="142"/>
  <c r="AG52" i="142"/>
  <c r="AF52" i="142"/>
  <c r="AE52" i="142"/>
  <c r="AD52" i="142"/>
  <c r="AC52" i="142"/>
  <c r="AB52" i="142"/>
  <c r="AA52" i="142"/>
  <c r="Z52" i="142"/>
  <c r="Y52" i="142"/>
  <c r="X52" i="142"/>
  <c r="W52" i="142"/>
  <c r="V52" i="142"/>
  <c r="U52" i="142"/>
  <c r="T52" i="142"/>
  <c r="S52" i="142"/>
  <c r="Q52" i="142"/>
  <c r="P52" i="142"/>
  <c r="O52" i="142"/>
  <c r="N52" i="142"/>
  <c r="M52" i="142"/>
  <c r="L52" i="142"/>
  <c r="K52" i="142"/>
  <c r="A52" i="142"/>
  <c r="AR51" i="142"/>
  <c r="AQ51" i="142"/>
  <c r="AP51" i="142"/>
  <c r="AO51" i="142"/>
  <c r="AN51" i="142"/>
  <c r="AM51" i="142"/>
  <c r="AL51" i="142"/>
  <c r="AK51" i="142"/>
  <c r="AJ51" i="142"/>
  <c r="AI51" i="142"/>
  <c r="AH51" i="142"/>
  <c r="AG51" i="142"/>
  <c r="AF51" i="142"/>
  <c r="AD51" i="142"/>
  <c r="AC51" i="142"/>
  <c r="AB51" i="142"/>
  <c r="Z51" i="142"/>
  <c r="W51" i="142"/>
  <c r="U51" i="142"/>
  <c r="T51" i="142"/>
  <c r="S51" i="142"/>
  <c r="O51" i="142"/>
  <c r="N51" i="142"/>
  <c r="M51" i="142"/>
  <c r="L51" i="142"/>
  <c r="K51" i="142"/>
  <c r="A51" i="142"/>
  <c r="AR50" i="142"/>
  <c r="AQ50" i="142"/>
  <c r="AP50" i="142"/>
  <c r="AO50" i="142"/>
  <c r="AN50" i="142"/>
  <c r="AM50" i="142"/>
  <c r="AL50" i="142"/>
  <c r="AK50" i="142"/>
  <c r="AJ50" i="142"/>
  <c r="AI50" i="142"/>
  <c r="AH50" i="142"/>
  <c r="AG50" i="142"/>
  <c r="AF50" i="142"/>
  <c r="AD50" i="142"/>
  <c r="AC50" i="142"/>
  <c r="AB50" i="142"/>
  <c r="Z50" i="142"/>
  <c r="W50" i="142"/>
  <c r="U50" i="142"/>
  <c r="T50" i="142"/>
  <c r="S50" i="142"/>
  <c r="Q50" i="142"/>
  <c r="O50" i="142"/>
  <c r="N50" i="142"/>
  <c r="M50" i="142"/>
  <c r="L50" i="142"/>
  <c r="K50" i="142"/>
  <c r="A50" i="142"/>
  <c r="AS49" i="142"/>
  <c r="AR49" i="142"/>
  <c r="AQ49" i="142"/>
  <c r="AP49" i="142"/>
  <c r="AO49" i="142"/>
  <c r="AN49" i="142"/>
  <c r="AM49" i="142"/>
  <c r="AL49" i="142"/>
  <c r="AK49" i="142"/>
  <c r="AJ49" i="142"/>
  <c r="AI49" i="142"/>
  <c r="AH49" i="142"/>
  <c r="AG49" i="142"/>
  <c r="AF49" i="142"/>
  <c r="AE49" i="142"/>
  <c r="AD49" i="142"/>
  <c r="AC49" i="142"/>
  <c r="AB49" i="142"/>
  <c r="AA49" i="142"/>
  <c r="Z49" i="142"/>
  <c r="Y49" i="142"/>
  <c r="X49" i="142"/>
  <c r="W49" i="142"/>
  <c r="V49" i="142"/>
  <c r="U49" i="142"/>
  <c r="T49" i="142"/>
  <c r="S49" i="142"/>
  <c r="R49" i="142"/>
  <c r="Q49" i="142"/>
  <c r="P49" i="142"/>
  <c r="O49" i="142"/>
  <c r="N49" i="142"/>
  <c r="M49" i="142"/>
  <c r="L49" i="142"/>
  <c r="K49" i="142"/>
  <c r="A49" i="142"/>
  <c r="AS48" i="142"/>
  <c r="AR48" i="142"/>
  <c r="AQ48" i="142"/>
  <c r="AP48" i="142"/>
  <c r="AO48" i="142"/>
  <c r="AN48" i="142"/>
  <c r="AM48" i="142"/>
  <c r="AL48" i="142"/>
  <c r="AK48" i="142"/>
  <c r="AJ48" i="142"/>
  <c r="AI48" i="142"/>
  <c r="AH48" i="142"/>
  <c r="AG48" i="142"/>
  <c r="AF48" i="142"/>
  <c r="AE48" i="142"/>
  <c r="AD48" i="142"/>
  <c r="AC48" i="142"/>
  <c r="AB48" i="142"/>
  <c r="AA48" i="142"/>
  <c r="Z48" i="142"/>
  <c r="Y48" i="142"/>
  <c r="X48" i="142"/>
  <c r="W48" i="142"/>
  <c r="V48" i="142"/>
  <c r="U48" i="142"/>
  <c r="T48" i="142"/>
  <c r="S48" i="142"/>
  <c r="R48" i="142"/>
  <c r="Q48" i="142"/>
  <c r="P48" i="142"/>
  <c r="O48" i="142"/>
  <c r="N48" i="142"/>
  <c r="M48" i="142"/>
  <c r="L48" i="142"/>
  <c r="K48" i="142"/>
  <c r="A48" i="142"/>
  <c r="CL47" i="142"/>
  <c r="CK47" i="142"/>
  <c r="AQ47" i="142" s="1"/>
  <c r="CJ47" i="142"/>
  <c r="AN47" i="142" s="1"/>
  <c r="CI47" i="142"/>
  <c r="AR47" i="142" s="1"/>
  <c r="CH47" i="142"/>
  <c r="AM47" i="142" s="1"/>
  <c r="CG47" i="142"/>
  <c r="CF47" i="142"/>
  <c r="CE47" i="142"/>
  <c r="AL47" i="142" s="1"/>
  <c r="CD47" i="142"/>
  <c r="CC47" i="142"/>
  <c r="AO47" i="142"/>
  <c r="CB47" i="142"/>
  <c r="CA47" i="142"/>
  <c r="AF47" i="142" s="1"/>
  <c r="BZ47" i="142"/>
  <c r="BY47" i="142"/>
  <c r="AJ47" i="142" s="1"/>
  <c r="BX47" i="142"/>
  <c r="BW47" i="142"/>
  <c r="AI47" i="142" s="1"/>
  <c r="BV47" i="142"/>
  <c r="AG47" i="142" s="1"/>
  <c r="BT47" i="142"/>
  <c r="BR47" i="142"/>
  <c r="W47" i="142" s="1"/>
  <c r="BQ47" i="142"/>
  <c r="BP47" i="142"/>
  <c r="BN47" i="142"/>
  <c r="BM47" i="142"/>
  <c r="Z47" i="142" s="1"/>
  <c r="BK47" i="142"/>
  <c r="BJ47" i="142"/>
  <c r="BI47" i="142"/>
  <c r="BF47" i="142"/>
  <c r="K47" i="142" s="1"/>
  <c r="BE47" i="142"/>
  <c r="O47" i="142" s="1"/>
  <c r="BD47" i="142"/>
  <c r="M47" i="142" s="1"/>
  <c r="BC47" i="142"/>
  <c r="BB47" i="142"/>
  <c r="T47" i="142" s="1"/>
  <c r="BA47" i="142"/>
  <c r="AY47" i="142"/>
  <c r="L47" i="142" s="1"/>
  <c r="AX47" i="142"/>
  <c r="AW47" i="142"/>
  <c r="AU47" i="142"/>
  <c r="Q47" i="142" s="1"/>
  <c r="AP47" i="142"/>
  <c r="AK47" i="142"/>
  <c r="AH47" i="142"/>
  <c r="AD47" i="142"/>
  <c r="AC47" i="142"/>
  <c r="AB47" i="142"/>
  <c r="U47" i="142"/>
  <c r="S47" i="142"/>
  <c r="N47" i="142"/>
  <c r="I47" i="142"/>
  <c r="H47" i="142"/>
  <c r="G47" i="142"/>
  <c r="F47" i="142"/>
  <c r="A47" i="142"/>
  <c r="AS46" i="142"/>
  <c r="AR46" i="142"/>
  <c r="AQ46" i="142"/>
  <c r="AP46" i="142"/>
  <c r="AO46" i="142"/>
  <c r="AN46" i="142"/>
  <c r="AM46" i="142"/>
  <c r="AL46" i="142"/>
  <c r="AK46" i="142"/>
  <c r="AJ46" i="142"/>
  <c r="AI46" i="142"/>
  <c r="AH46" i="142"/>
  <c r="AG46" i="142"/>
  <c r="AF46" i="142"/>
  <c r="AD46" i="142"/>
  <c r="AC46" i="142"/>
  <c r="AB46" i="142"/>
  <c r="Z46" i="142"/>
  <c r="W46" i="142"/>
  <c r="U46" i="142"/>
  <c r="T46" i="142"/>
  <c r="S46" i="142"/>
  <c r="Q46" i="142"/>
  <c r="O46" i="142"/>
  <c r="N46" i="142"/>
  <c r="M46" i="142"/>
  <c r="L46" i="142"/>
  <c r="K46" i="142"/>
  <c r="A46" i="142"/>
  <c r="AS45" i="142"/>
  <c r="AR45" i="142"/>
  <c r="AQ45" i="142"/>
  <c r="AP45" i="142"/>
  <c r="AO45" i="142"/>
  <c r="AN45" i="142"/>
  <c r="AM45" i="142"/>
  <c r="AL45" i="142"/>
  <c r="AK45" i="142"/>
  <c r="AJ45" i="142"/>
  <c r="AI45" i="142"/>
  <c r="AH45" i="142"/>
  <c r="AG45" i="142"/>
  <c r="AF45" i="142"/>
  <c r="AD45" i="142"/>
  <c r="AC45" i="142"/>
  <c r="AB45" i="142"/>
  <c r="Z45" i="142"/>
  <c r="W45" i="142"/>
  <c r="U45" i="142"/>
  <c r="T45" i="142"/>
  <c r="S45" i="142"/>
  <c r="Q45" i="142"/>
  <c r="O45" i="142"/>
  <c r="N45" i="142"/>
  <c r="M45" i="142"/>
  <c r="L45" i="142"/>
  <c r="K45" i="142"/>
  <c r="A45" i="142"/>
  <c r="CL44" i="142"/>
  <c r="CK44" i="142"/>
  <c r="CJ44" i="142"/>
  <c r="CI44" i="142"/>
  <c r="CH44" i="142"/>
  <c r="CG44" i="142"/>
  <c r="CF44" i="142"/>
  <c r="CE44" i="142"/>
  <c r="CD44" i="142"/>
  <c r="CC44" i="142"/>
  <c r="CB44" i="142"/>
  <c r="CA44" i="142"/>
  <c r="BZ44" i="142"/>
  <c r="BY44" i="142"/>
  <c r="BX44" i="142"/>
  <c r="BW44" i="142"/>
  <c r="BV44" i="142"/>
  <c r="BU44" i="142"/>
  <c r="BT44" i="142"/>
  <c r="BS44" i="142"/>
  <c r="BR44" i="142"/>
  <c r="BQ44" i="142"/>
  <c r="BP44" i="142"/>
  <c r="BO44" i="142"/>
  <c r="BN44" i="142"/>
  <c r="BM44" i="142"/>
  <c r="BL44" i="142"/>
  <c r="BK44" i="142"/>
  <c r="BJ44" i="142"/>
  <c r="BI44" i="142"/>
  <c r="BH44" i="142"/>
  <c r="BG44" i="142"/>
  <c r="BF44" i="142"/>
  <c r="BE44" i="142"/>
  <c r="BD44" i="142"/>
  <c r="BC44" i="142"/>
  <c r="BB44" i="142"/>
  <c r="BA44" i="142"/>
  <c r="AZ44" i="142"/>
  <c r="AY44" i="142"/>
  <c r="AX44" i="142"/>
  <c r="AW44" i="142"/>
  <c r="AV44" i="142"/>
  <c r="AU44" i="142"/>
  <c r="AT44" i="142"/>
  <c r="I44" i="142"/>
  <c r="H44" i="142"/>
  <c r="G44" i="142"/>
  <c r="F44" i="142"/>
  <c r="A44" i="142"/>
  <c r="AS43" i="142"/>
  <c r="AS44" i="142" s="1"/>
  <c r="AR43" i="142"/>
  <c r="AR44" i="142"/>
  <c r="AQ43" i="142"/>
  <c r="AQ44" i="142"/>
  <c r="AP43" i="142"/>
  <c r="AP44" i="142" s="1"/>
  <c r="AO43" i="142"/>
  <c r="AO44" i="142" s="1"/>
  <c r="AN43" i="142"/>
  <c r="AN44" i="142"/>
  <c r="AM43" i="142"/>
  <c r="AM44" i="142"/>
  <c r="AL43" i="142"/>
  <c r="AL44" i="142" s="1"/>
  <c r="AK43" i="142"/>
  <c r="AK44" i="142" s="1"/>
  <c r="AJ43" i="142"/>
  <c r="AJ44" i="142"/>
  <c r="AI43" i="142"/>
  <c r="AI44" i="142" s="1"/>
  <c r="AH43" i="142"/>
  <c r="AH44" i="142" s="1"/>
  <c r="AG43" i="142"/>
  <c r="AG44" i="142" s="1"/>
  <c r="AF43" i="142"/>
  <c r="AF44" i="142" s="1"/>
  <c r="AE43" i="142"/>
  <c r="AE44" i="142" s="1"/>
  <c r="AD43" i="142"/>
  <c r="AD44" i="142" s="1"/>
  <c r="AC43" i="142"/>
  <c r="AC44" i="142" s="1"/>
  <c r="AB43" i="142"/>
  <c r="AB44" i="142" s="1"/>
  <c r="AA43" i="142"/>
  <c r="AA44" i="142" s="1"/>
  <c r="Z43" i="142"/>
  <c r="Z44" i="142" s="1"/>
  <c r="Y43" i="142"/>
  <c r="Y44" i="142" s="1"/>
  <c r="X43" i="142"/>
  <c r="X44" i="142" s="1"/>
  <c r="W43" i="142"/>
  <c r="W44" i="142" s="1"/>
  <c r="V43" i="142"/>
  <c r="V44" i="142" s="1"/>
  <c r="U43" i="142"/>
  <c r="U44" i="142" s="1"/>
  <c r="T43" i="142"/>
  <c r="T44" i="142" s="1"/>
  <c r="S43" i="142"/>
  <c r="S44" i="142" s="1"/>
  <c r="R43" i="142"/>
  <c r="R44" i="142" s="1"/>
  <c r="Q43" i="142"/>
  <c r="Q44" i="142" s="1"/>
  <c r="P43" i="142"/>
  <c r="P44" i="142" s="1"/>
  <c r="O43" i="142"/>
  <c r="O44" i="142" s="1"/>
  <c r="N43" i="142"/>
  <c r="N44" i="142" s="1"/>
  <c r="M43" i="142"/>
  <c r="M44" i="142" s="1"/>
  <c r="L43" i="142"/>
  <c r="L44" i="142" s="1"/>
  <c r="K43" i="142"/>
  <c r="K44" i="142" s="1"/>
  <c r="A43" i="142"/>
  <c r="CL54" i="142"/>
  <c r="CK54" i="142"/>
  <c r="AQ54" i="142" s="1"/>
  <c r="CJ54" i="142"/>
  <c r="AN54" i="142"/>
  <c r="CI54" i="142"/>
  <c r="AR54" i="142" s="1"/>
  <c r="CH54" i="142"/>
  <c r="AM54" i="142" s="1"/>
  <c r="CG54" i="142"/>
  <c r="CF54" i="142"/>
  <c r="CE54" i="142"/>
  <c r="AL54" i="142"/>
  <c r="CD54" i="142"/>
  <c r="AP54" i="142"/>
  <c r="CC54" i="142"/>
  <c r="AO54" i="142" s="1"/>
  <c r="CB54" i="142"/>
  <c r="AK54" i="142" s="1"/>
  <c r="CA54" i="142"/>
  <c r="AF54" i="142" s="1"/>
  <c r="BZ54" i="142"/>
  <c r="AH54" i="142"/>
  <c r="BY54" i="142"/>
  <c r="AJ54" i="142" s="1"/>
  <c r="BX54" i="142"/>
  <c r="AC54" i="142" s="1"/>
  <c r="BW54" i="142"/>
  <c r="AI54" i="142" s="1"/>
  <c r="BV54" i="142"/>
  <c r="AG54" i="142" s="1"/>
  <c r="BU54" i="142"/>
  <c r="AD54" i="142" s="1"/>
  <c r="BT54" i="142"/>
  <c r="BR54" i="142"/>
  <c r="W54" i="142" s="1"/>
  <c r="BQ54" i="142"/>
  <c r="BP54" i="142"/>
  <c r="AB54" i="142"/>
  <c r="BN54" i="142"/>
  <c r="BM54" i="142"/>
  <c r="Z54" i="142" s="1"/>
  <c r="BK54" i="142"/>
  <c r="BJ54" i="142"/>
  <c r="BI54" i="142"/>
  <c r="BF54" i="142"/>
  <c r="K54" i="142" s="1"/>
  <c r="BE54" i="142"/>
  <c r="O54" i="142"/>
  <c r="BD54" i="142"/>
  <c r="M54" i="142" s="1"/>
  <c r="BC54" i="142"/>
  <c r="U54" i="142" s="1"/>
  <c r="BB54" i="142"/>
  <c r="T54" i="142" s="1"/>
  <c r="BA54" i="142"/>
  <c r="AY54" i="142"/>
  <c r="L54" i="142" s="1"/>
  <c r="AX54" i="142"/>
  <c r="AW54" i="142"/>
  <c r="N54" i="142"/>
  <c r="AV54" i="142"/>
  <c r="S54" i="142" s="1"/>
  <c r="AU54" i="142"/>
  <c r="AS42" i="142"/>
  <c r="AS54" i="142" s="1"/>
  <c r="AR42" i="142"/>
  <c r="AQ42" i="142"/>
  <c r="AP42" i="142"/>
  <c r="AO42" i="142"/>
  <c r="AN42" i="142"/>
  <c r="AM42" i="142"/>
  <c r="AL42" i="142"/>
  <c r="AK42" i="142"/>
  <c r="AJ42" i="142"/>
  <c r="AI42" i="142"/>
  <c r="AH42" i="142"/>
  <c r="AG42" i="142"/>
  <c r="AF42" i="142"/>
  <c r="AE42" i="142"/>
  <c r="AE54" i="142" s="1"/>
  <c r="AD42" i="142"/>
  <c r="AC42" i="142"/>
  <c r="AB42" i="142"/>
  <c r="AA42" i="142"/>
  <c r="AA54" i="142" s="1"/>
  <c r="Z42" i="142"/>
  <c r="Y42" i="142"/>
  <c r="Y54" i="142" s="1"/>
  <c r="W42" i="142"/>
  <c r="V42" i="142"/>
  <c r="V54" i="142" s="1"/>
  <c r="U42" i="142"/>
  <c r="T42" i="142"/>
  <c r="S42" i="142"/>
  <c r="Q42" i="142"/>
  <c r="O42" i="142"/>
  <c r="N42" i="142"/>
  <c r="M42" i="142"/>
  <c r="L42" i="142"/>
  <c r="K42" i="142"/>
  <c r="I54" i="142"/>
  <c r="H54" i="142"/>
  <c r="G54" i="142"/>
  <c r="F54" i="142"/>
  <c r="A42" i="142"/>
  <c r="AS41" i="142"/>
  <c r="AR41" i="142"/>
  <c r="AQ41" i="142"/>
  <c r="AP41" i="142"/>
  <c r="AO41" i="142"/>
  <c r="AN41" i="142"/>
  <c r="AM41" i="142"/>
  <c r="AL41" i="142"/>
  <c r="AK41" i="142"/>
  <c r="AJ41" i="142"/>
  <c r="AI41" i="142"/>
  <c r="AH41" i="142"/>
  <c r="AG41" i="142"/>
  <c r="AF41" i="142"/>
  <c r="AE41" i="142"/>
  <c r="AD41" i="142"/>
  <c r="AC41" i="142"/>
  <c r="AB41" i="142"/>
  <c r="AA41" i="142"/>
  <c r="Z41" i="142"/>
  <c r="Y41" i="142"/>
  <c r="X41" i="142"/>
  <c r="W41" i="142"/>
  <c r="V41" i="142"/>
  <c r="U41" i="142"/>
  <c r="T41" i="142"/>
  <c r="S41" i="142"/>
  <c r="R41" i="142"/>
  <c r="Q41" i="142"/>
  <c r="P41" i="142"/>
  <c r="O41" i="142"/>
  <c r="N41" i="142"/>
  <c r="M41" i="142"/>
  <c r="L41" i="142"/>
  <c r="K41" i="142"/>
  <c r="A41" i="142"/>
  <c r="A40" i="142"/>
  <c r="AS39" i="142"/>
  <c r="AR39" i="142"/>
  <c r="AQ39" i="142"/>
  <c r="AP39" i="142"/>
  <c r="AO39" i="142"/>
  <c r="AN39" i="142"/>
  <c r="AM39" i="142"/>
  <c r="AL39" i="142"/>
  <c r="AK39" i="142"/>
  <c r="AJ39" i="142"/>
  <c r="AI39" i="142"/>
  <c r="AH39" i="142"/>
  <c r="AG39" i="142"/>
  <c r="AF39" i="142"/>
  <c r="AE39" i="142"/>
  <c r="AD39" i="142"/>
  <c r="AC39" i="142"/>
  <c r="AB39" i="142"/>
  <c r="AA39" i="142"/>
  <c r="Z39" i="142"/>
  <c r="Y39" i="142"/>
  <c r="X39" i="142"/>
  <c r="W39" i="142"/>
  <c r="V39" i="142"/>
  <c r="U39" i="142"/>
  <c r="T39" i="142"/>
  <c r="S39" i="142"/>
  <c r="R39" i="142"/>
  <c r="Q39" i="142"/>
  <c r="P39" i="142"/>
  <c r="O39" i="142"/>
  <c r="N39" i="142"/>
  <c r="M39" i="142"/>
  <c r="L39" i="142"/>
  <c r="K39" i="142"/>
  <c r="A39" i="142"/>
  <c r="AS38" i="142"/>
  <c r="AR38" i="142"/>
  <c r="AQ38" i="142"/>
  <c r="AP38" i="142"/>
  <c r="AO38" i="142"/>
  <c r="AN38" i="142"/>
  <c r="AM38" i="142"/>
  <c r="AL38" i="142"/>
  <c r="AK38" i="142"/>
  <c r="AJ38" i="142"/>
  <c r="AI38" i="142"/>
  <c r="AH38" i="142"/>
  <c r="AG38" i="142"/>
  <c r="AF38" i="142"/>
  <c r="AE38" i="142"/>
  <c r="AD38" i="142"/>
  <c r="AC38" i="142"/>
  <c r="AB38" i="142"/>
  <c r="AA38" i="142"/>
  <c r="Z38" i="142"/>
  <c r="Y38" i="142"/>
  <c r="X38" i="142"/>
  <c r="W38" i="142"/>
  <c r="V38" i="142"/>
  <c r="U38" i="142"/>
  <c r="T38" i="142"/>
  <c r="S38" i="142"/>
  <c r="R38" i="142"/>
  <c r="Q38" i="142"/>
  <c r="P38" i="142"/>
  <c r="O38" i="142"/>
  <c r="N38" i="142"/>
  <c r="M38" i="142"/>
  <c r="L38" i="142"/>
  <c r="K38" i="142"/>
  <c r="A38" i="142"/>
  <c r="AS37" i="142"/>
  <c r="AR37" i="142"/>
  <c r="AQ37" i="142"/>
  <c r="AP37" i="142"/>
  <c r="AO37" i="142"/>
  <c r="AN37" i="142"/>
  <c r="AM37" i="142"/>
  <c r="AL37" i="142"/>
  <c r="AK37" i="142"/>
  <c r="AJ37" i="142"/>
  <c r="AI37" i="142"/>
  <c r="AH37" i="142"/>
  <c r="AG37" i="142"/>
  <c r="AF37" i="142"/>
  <c r="AE37" i="142"/>
  <c r="AD37" i="142"/>
  <c r="AC37" i="142"/>
  <c r="AB37" i="142"/>
  <c r="AA37" i="142"/>
  <c r="Z37" i="142"/>
  <c r="Y37" i="142"/>
  <c r="X37" i="142"/>
  <c r="W37" i="142"/>
  <c r="V37" i="142"/>
  <c r="U37" i="142"/>
  <c r="T37" i="142"/>
  <c r="S37" i="142"/>
  <c r="R37" i="142"/>
  <c r="Q37" i="142"/>
  <c r="P37" i="142"/>
  <c r="O37" i="142"/>
  <c r="N37" i="142"/>
  <c r="M37" i="142"/>
  <c r="L37" i="142"/>
  <c r="K37" i="142"/>
  <c r="A37" i="142"/>
  <c r="AS36" i="142"/>
  <c r="AR36" i="142"/>
  <c r="AQ36" i="142"/>
  <c r="AP36" i="142"/>
  <c r="AO36" i="142"/>
  <c r="AN36" i="142"/>
  <c r="AM36" i="142"/>
  <c r="AL36" i="142"/>
  <c r="AK36" i="142"/>
  <c r="AJ36" i="142"/>
  <c r="AI36" i="142"/>
  <c r="AH36" i="142"/>
  <c r="AG36" i="142"/>
  <c r="AF36" i="142"/>
  <c r="AE36" i="142"/>
  <c r="AD36" i="142"/>
  <c r="AC36" i="142"/>
  <c r="AB36" i="142"/>
  <c r="AA36" i="142"/>
  <c r="Z36" i="142"/>
  <c r="Y36" i="142"/>
  <c r="X36" i="142"/>
  <c r="W36" i="142"/>
  <c r="V36" i="142"/>
  <c r="U36" i="142"/>
  <c r="T36" i="142"/>
  <c r="S36" i="142"/>
  <c r="R36" i="142"/>
  <c r="Q36" i="142"/>
  <c r="P36" i="142"/>
  <c r="O36" i="142"/>
  <c r="N36" i="142"/>
  <c r="M36" i="142"/>
  <c r="L36" i="142"/>
  <c r="K36" i="142"/>
  <c r="A36" i="142"/>
  <c r="AS35" i="142"/>
  <c r="AS93" i="142" s="1"/>
  <c r="AR35" i="142"/>
  <c r="AR127" i="142" s="1"/>
  <c r="AQ35" i="142"/>
  <c r="AP35" i="142"/>
  <c r="AP127" i="142"/>
  <c r="AO35" i="142"/>
  <c r="AN35" i="142"/>
  <c r="AN127" i="142" s="1"/>
  <c r="AM35" i="142"/>
  <c r="AL35" i="142"/>
  <c r="AL127" i="142" s="1"/>
  <c r="AK35" i="142"/>
  <c r="AJ35" i="142"/>
  <c r="AJ127" i="142" s="1"/>
  <c r="AI35" i="142"/>
  <c r="AH35" i="142"/>
  <c r="AH127" i="142" s="1"/>
  <c r="AG35" i="142"/>
  <c r="AF35" i="142"/>
  <c r="AF127" i="142"/>
  <c r="AE35" i="142"/>
  <c r="AE93" i="142" s="1"/>
  <c r="AD35" i="142"/>
  <c r="AD127" i="142"/>
  <c r="AC35" i="142"/>
  <c r="AB35" i="142"/>
  <c r="AB127" i="142" s="1"/>
  <c r="AA35" i="142"/>
  <c r="AA93" i="142" s="1"/>
  <c r="Z35" i="142"/>
  <c r="Z127" i="142" s="1"/>
  <c r="Y35" i="142"/>
  <c r="Y93" i="142" s="1"/>
  <c r="X35" i="142"/>
  <c r="W35" i="142"/>
  <c r="V35" i="142"/>
  <c r="U35" i="142"/>
  <c r="T35" i="142"/>
  <c r="T127" i="142" s="1"/>
  <c r="S35" i="142"/>
  <c r="R35" i="142"/>
  <c r="Q35" i="142"/>
  <c r="P35" i="142"/>
  <c r="O35" i="142"/>
  <c r="N35" i="142"/>
  <c r="N127" i="142"/>
  <c r="M35" i="142"/>
  <c r="L35" i="142"/>
  <c r="L127" i="142" s="1"/>
  <c r="K35" i="142"/>
  <c r="A35" i="142"/>
  <c r="A34" i="142"/>
  <c r="CL33" i="142"/>
  <c r="CK33" i="142"/>
  <c r="AQ33" i="142" s="1"/>
  <c r="CJ33" i="142"/>
  <c r="AN33" i="142" s="1"/>
  <c r="CI33" i="142"/>
  <c r="CH33" i="142"/>
  <c r="AM33" i="142"/>
  <c r="CG33" i="142"/>
  <c r="CF33" i="142"/>
  <c r="CE33" i="142"/>
  <c r="CD33" i="142"/>
  <c r="CC33" i="142"/>
  <c r="AO33" i="142" s="1"/>
  <c r="CB33" i="142"/>
  <c r="AK33" i="142" s="1"/>
  <c r="CA33" i="142"/>
  <c r="AF33" i="142" s="1"/>
  <c r="BZ33" i="142"/>
  <c r="AH33" i="142" s="1"/>
  <c r="BY33" i="142"/>
  <c r="BX33" i="142"/>
  <c r="AC33" i="142" s="1"/>
  <c r="BW33" i="142"/>
  <c r="AI33" i="142" s="1"/>
  <c r="BV33" i="142"/>
  <c r="AG33" i="142" s="1"/>
  <c r="BU33" i="142"/>
  <c r="BT33" i="142"/>
  <c r="BS33" i="142"/>
  <c r="BR33" i="142"/>
  <c r="W33" i="142" s="1"/>
  <c r="BQ33" i="142"/>
  <c r="BP33" i="142"/>
  <c r="AB33" i="142" s="1"/>
  <c r="BO33" i="142"/>
  <c r="BN33" i="142"/>
  <c r="BM33" i="142"/>
  <c r="BL33" i="142"/>
  <c r="BK33" i="142"/>
  <c r="BJ33" i="142"/>
  <c r="BI33" i="142"/>
  <c r="BH33" i="142"/>
  <c r="BG33" i="142"/>
  <c r="BF33" i="142"/>
  <c r="K33" i="142" s="1"/>
  <c r="BE33" i="142"/>
  <c r="BD33" i="142"/>
  <c r="M33" i="142" s="1"/>
  <c r="BC33" i="142"/>
  <c r="BB33" i="142"/>
  <c r="BA33" i="142"/>
  <c r="AZ33" i="142"/>
  <c r="AY33" i="142"/>
  <c r="L33" i="142" s="1"/>
  <c r="AX33" i="142"/>
  <c r="AW33" i="142"/>
  <c r="N33" i="142" s="1"/>
  <c r="AV33" i="142"/>
  <c r="S33" i="142" s="1"/>
  <c r="AU33" i="142"/>
  <c r="Q33" i="142" s="1"/>
  <c r="AT33" i="142"/>
  <c r="AR33" i="142"/>
  <c r="AP33" i="142"/>
  <c r="AL33" i="142"/>
  <c r="AJ33" i="142"/>
  <c r="AD33" i="142"/>
  <c r="Z33" i="142"/>
  <c r="U33" i="142"/>
  <c r="T33" i="142"/>
  <c r="O33" i="142"/>
  <c r="I33" i="142"/>
  <c r="H33" i="142"/>
  <c r="G33" i="142"/>
  <c r="F33" i="142"/>
  <c r="A33" i="142"/>
  <c r="AR32" i="142"/>
  <c r="AQ32" i="142"/>
  <c r="AP32" i="142"/>
  <c r="AO32" i="142"/>
  <c r="AN32" i="142"/>
  <c r="AM32" i="142"/>
  <c r="AL32" i="142"/>
  <c r="AK32" i="142"/>
  <c r="AJ32" i="142"/>
  <c r="AI32" i="142"/>
  <c r="AH32" i="142"/>
  <c r="AG32" i="142"/>
  <c r="AF32" i="142"/>
  <c r="AD32" i="142"/>
  <c r="AC32" i="142"/>
  <c r="AB32" i="142"/>
  <c r="Z32" i="142"/>
  <c r="W32" i="142"/>
  <c r="U32" i="142"/>
  <c r="T32" i="142"/>
  <c r="S32" i="142"/>
  <c r="Q32" i="142"/>
  <c r="O32" i="142"/>
  <c r="N32" i="142"/>
  <c r="M32" i="142"/>
  <c r="L32" i="142"/>
  <c r="K32" i="142"/>
  <c r="A32" i="142"/>
  <c r="B31" i="142"/>
  <c r="A31" i="142"/>
  <c r="CL30" i="142"/>
  <c r="A30" i="142"/>
  <c r="AS29" i="142"/>
  <c r="AR29" i="142"/>
  <c r="AQ29" i="142"/>
  <c r="AP29" i="142"/>
  <c r="AO29" i="142"/>
  <c r="AN29" i="142"/>
  <c r="AM29" i="142"/>
  <c r="AL29" i="142"/>
  <c r="AK29" i="142"/>
  <c r="AJ29" i="142"/>
  <c r="AI29" i="142"/>
  <c r="AH29" i="142"/>
  <c r="AG29" i="142"/>
  <c r="AF29" i="142"/>
  <c r="AE29" i="142"/>
  <c r="AD29" i="142"/>
  <c r="AC29" i="142"/>
  <c r="AB29" i="142"/>
  <c r="AA29" i="142"/>
  <c r="Z29" i="142"/>
  <c r="Y29" i="142"/>
  <c r="X29" i="142"/>
  <c r="W29" i="142"/>
  <c r="V29" i="142"/>
  <c r="U29" i="142"/>
  <c r="T29" i="142"/>
  <c r="S29" i="142"/>
  <c r="R29" i="142"/>
  <c r="Q29" i="142"/>
  <c r="P29" i="142"/>
  <c r="O29" i="142"/>
  <c r="N29" i="142"/>
  <c r="M29" i="142"/>
  <c r="L29" i="142"/>
  <c r="K29" i="142"/>
  <c r="A29" i="142"/>
  <c r="AS28" i="142"/>
  <c r="AR28" i="142"/>
  <c r="AQ28" i="142"/>
  <c r="AP28" i="142"/>
  <c r="AO28" i="142"/>
  <c r="AN28" i="142"/>
  <c r="AM28" i="142"/>
  <c r="AL28" i="142"/>
  <c r="AK28" i="142"/>
  <c r="AJ28" i="142"/>
  <c r="AI28" i="142"/>
  <c r="AH28" i="142"/>
  <c r="AG28" i="142"/>
  <c r="AF28" i="142"/>
  <c r="AE28" i="142"/>
  <c r="AD28" i="142"/>
  <c r="AC28" i="142"/>
  <c r="AB28" i="142"/>
  <c r="AA28" i="142"/>
  <c r="Z28" i="142"/>
  <c r="Y28" i="142"/>
  <c r="X28" i="142"/>
  <c r="W28" i="142"/>
  <c r="V28" i="142"/>
  <c r="U28" i="142"/>
  <c r="T28" i="142"/>
  <c r="S28" i="142"/>
  <c r="R28" i="142"/>
  <c r="Q28" i="142"/>
  <c r="P28" i="142"/>
  <c r="O28" i="142"/>
  <c r="N28" i="142"/>
  <c r="M28" i="142"/>
  <c r="L28" i="142"/>
  <c r="K28" i="142"/>
  <c r="A28" i="142"/>
  <c r="AS27" i="142"/>
  <c r="AR27" i="142"/>
  <c r="AQ27" i="142"/>
  <c r="AP27" i="142"/>
  <c r="AO27" i="142"/>
  <c r="AN27" i="142"/>
  <c r="AM27" i="142"/>
  <c r="AL27" i="142"/>
  <c r="AK27" i="142"/>
  <c r="AJ27" i="142"/>
  <c r="AI27" i="142"/>
  <c r="AH27" i="142"/>
  <c r="AG27" i="142"/>
  <c r="AF27" i="142"/>
  <c r="AE27" i="142"/>
  <c r="AD27" i="142"/>
  <c r="AC27" i="142"/>
  <c r="AB27" i="142"/>
  <c r="AA27" i="142"/>
  <c r="Z27" i="142"/>
  <c r="Y27" i="142"/>
  <c r="X27" i="142"/>
  <c r="W27" i="142"/>
  <c r="V27" i="142"/>
  <c r="U27" i="142"/>
  <c r="T27" i="142"/>
  <c r="S27" i="142"/>
  <c r="R27" i="142"/>
  <c r="Q27" i="142"/>
  <c r="P27" i="142"/>
  <c r="O27" i="142"/>
  <c r="N27" i="142"/>
  <c r="M27" i="142"/>
  <c r="L27" i="142"/>
  <c r="K27" i="142"/>
  <c r="A27" i="142"/>
  <c r="AS26" i="142"/>
  <c r="AR26" i="142"/>
  <c r="AQ26" i="142"/>
  <c r="AP26" i="142"/>
  <c r="AO26" i="142"/>
  <c r="AN26" i="142"/>
  <c r="AM26" i="142"/>
  <c r="AL26" i="142"/>
  <c r="AK26" i="142"/>
  <c r="AJ26" i="142"/>
  <c r="AI26" i="142"/>
  <c r="AH26" i="142"/>
  <c r="AG26" i="142"/>
  <c r="AF26" i="142"/>
  <c r="AE26" i="142"/>
  <c r="AD26" i="142"/>
  <c r="AC26" i="142"/>
  <c r="AB26" i="142"/>
  <c r="AA26" i="142"/>
  <c r="Z26" i="142"/>
  <c r="Y26" i="142"/>
  <c r="X26" i="142"/>
  <c r="W26" i="142"/>
  <c r="V26" i="142"/>
  <c r="U26" i="142"/>
  <c r="T26" i="142"/>
  <c r="S26" i="142"/>
  <c r="R26" i="142"/>
  <c r="Q26" i="142"/>
  <c r="P26" i="142"/>
  <c r="O26" i="142"/>
  <c r="N26" i="142"/>
  <c r="M26" i="142"/>
  <c r="L26" i="142"/>
  <c r="K26" i="142"/>
  <c r="A26" i="142"/>
  <c r="AS25" i="142"/>
  <c r="AR25" i="142"/>
  <c r="AQ25" i="142"/>
  <c r="AP25" i="142"/>
  <c r="AO25" i="142"/>
  <c r="AN25" i="142"/>
  <c r="AM25" i="142"/>
  <c r="AL25" i="142"/>
  <c r="AK25" i="142"/>
  <c r="AJ25" i="142"/>
  <c r="AI25" i="142"/>
  <c r="AH25" i="142"/>
  <c r="AG25" i="142"/>
  <c r="AF25" i="142"/>
  <c r="AE25" i="142"/>
  <c r="AD25" i="142"/>
  <c r="AC25" i="142"/>
  <c r="AB25" i="142"/>
  <c r="AA25" i="142"/>
  <c r="Z25" i="142"/>
  <c r="Y25" i="142"/>
  <c r="X25" i="142"/>
  <c r="W25" i="142"/>
  <c r="V25" i="142"/>
  <c r="U25" i="142"/>
  <c r="T25" i="142"/>
  <c r="S25" i="142"/>
  <c r="R25" i="142"/>
  <c r="Q25" i="142"/>
  <c r="P25" i="142"/>
  <c r="O25" i="142"/>
  <c r="N25" i="142"/>
  <c r="M25" i="142"/>
  <c r="L25" i="142"/>
  <c r="K25" i="142"/>
  <c r="A25" i="142"/>
  <c r="AS24" i="142"/>
  <c r="AR24" i="142"/>
  <c r="AQ24" i="142"/>
  <c r="AP24" i="142"/>
  <c r="AO24" i="142"/>
  <c r="AN24" i="142"/>
  <c r="AM24" i="142"/>
  <c r="AL24" i="142"/>
  <c r="AK24" i="142"/>
  <c r="AJ24" i="142"/>
  <c r="AI24" i="142"/>
  <c r="AH24" i="142"/>
  <c r="AG24" i="142"/>
  <c r="AF24" i="142"/>
  <c r="AE24" i="142"/>
  <c r="AD24" i="142"/>
  <c r="AC24" i="142"/>
  <c r="AB24" i="142"/>
  <c r="AA24" i="142"/>
  <c r="Z24" i="142"/>
  <c r="Y24" i="142"/>
  <c r="X24" i="142"/>
  <c r="W24" i="142"/>
  <c r="V24" i="142"/>
  <c r="U24" i="142"/>
  <c r="T24" i="142"/>
  <c r="S24" i="142"/>
  <c r="R24" i="142"/>
  <c r="Q24" i="142"/>
  <c r="P24" i="142"/>
  <c r="O24" i="142"/>
  <c r="N24" i="142"/>
  <c r="M24" i="142"/>
  <c r="L24" i="142"/>
  <c r="K24" i="142"/>
  <c r="A24" i="142"/>
  <c r="CK23" i="142"/>
  <c r="AQ23" i="142" s="1"/>
  <c r="CJ23" i="142"/>
  <c r="CI23" i="142"/>
  <c r="AR23" i="142" s="1"/>
  <c r="CH23" i="142"/>
  <c r="AM23" i="142" s="1"/>
  <c r="CG23" i="142"/>
  <c r="CF23" i="142"/>
  <c r="CE23" i="142"/>
  <c r="AL23" i="142" s="1"/>
  <c r="CD23" i="142"/>
  <c r="CC23" i="142"/>
  <c r="CB23" i="142"/>
  <c r="AK23" i="142"/>
  <c r="CA23" i="142"/>
  <c r="AF23" i="142" s="1"/>
  <c r="BZ23" i="142"/>
  <c r="AH23" i="142" s="1"/>
  <c r="BY23" i="142"/>
  <c r="BX23" i="142"/>
  <c r="AC23" i="142" s="1"/>
  <c r="BW23" i="142"/>
  <c r="BV23" i="142"/>
  <c r="AG23" i="142" s="1"/>
  <c r="BU23" i="142"/>
  <c r="AD23" i="142" s="1"/>
  <c r="BT23" i="142"/>
  <c r="BS23" i="142"/>
  <c r="BR23" i="142"/>
  <c r="W23" i="142"/>
  <c r="BQ23" i="142"/>
  <c r="BP23" i="142"/>
  <c r="BO23" i="142"/>
  <c r="BN23" i="142"/>
  <c r="BM23" i="142"/>
  <c r="Z23" i="142" s="1"/>
  <c r="BL23" i="142"/>
  <c r="BK23" i="142"/>
  <c r="BJ23" i="142"/>
  <c r="V23" i="142" s="1"/>
  <c r="BI23" i="142"/>
  <c r="X23" i="142" s="1"/>
  <c r="BH23" i="142"/>
  <c r="BG23" i="142"/>
  <c r="BF23" i="142"/>
  <c r="K23" i="142"/>
  <c r="BE23" i="142"/>
  <c r="O23" i="142" s="1"/>
  <c r="BD23" i="142"/>
  <c r="M23" i="142" s="1"/>
  <c r="BC23" i="142"/>
  <c r="U23" i="142" s="1"/>
  <c r="BB23" i="142"/>
  <c r="BA23" i="142"/>
  <c r="P23" i="142" s="1"/>
  <c r="AZ23" i="142"/>
  <c r="AY23" i="142"/>
  <c r="L23" i="142" s="1"/>
  <c r="AX23" i="142"/>
  <c r="AW23" i="142"/>
  <c r="AV23" i="142"/>
  <c r="S23" i="142"/>
  <c r="AU23" i="142"/>
  <c r="AT23" i="142"/>
  <c r="AP23" i="142"/>
  <c r="AO23" i="142"/>
  <c r="AN23" i="142"/>
  <c r="AJ23" i="142"/>
  <c r="AI23" i="142"/>
  <c r="AB23" i="142"/>
  <c r="AA23" i="142"/>
  <c r="T23" i="142"/>
  <c r="Q23" i="142"/>
  <c r="I23" i="142"/>
  <c r="H23" i="142"/>
  <c r="G23" i="142"/>
  <c r="F23" i="142"/>
  <c r="A23" i="142"/>
  <c r="Q22" i="142"/>
  <c r="A22" i="142"/>
  <c r="A21" i="142"/>
  <c r="AS20" i="142"/>
  <c r="AS21" i="142" s="1"/>
  <c r="AR20" i="142"/>
  <c r="AR21" i="142" s="1"/>
  <c r="AQ20" i="142"/>
  <c r="AQ21" i="142" s="1"/>
  <c r="AP20" i="142"/>
  <c r="AP21" i="142" s="1"/>
  <c r="AO20" i="142"/>
  <c r="AO21" i="142" s="1"/>
  <c r="AN20" i="142"/>
  <c r="AN21" i="142" s="1"/>
  <c r="AM20" i="142"/>
  <c r="AM21" i="142" s="1"/>
  <c r="AL20" i="142"/>
  <c r="AL21" i="142" s="1"/>
  <c r="AK20" i="142"/>
  <c r="AK21" i="142" s="1"/>
  <c r="AJ20" i="142"/>
  <c r="AJ21" i="142" s="1"/>
  <c r="AI20" i="142"/>
  <c r="AI21" i="142" s="1"/>
  <c r="AH20" i="142"/>
  <c r="AH21" i="142" s="1"/>
  <c r="AG20" i="142"/>
  <c r="AG21" i="142" s="1"/>
  <c r="AF20" i="142"/>
  <c r="AF21" i="142" s="1"/>
  <c r="AE20" i="142"/>
  <c r="AE21" i="142" s="1"/>
  <c r="AD20" i="142"/>
  <c r="AD21" i="142" s="1"/>
  <c r="AC20" i="142"/>
  <c r="AC21" i="142" s="1"/>
  <c r="AB20" i="142"/>
  <c r="AB21" i="142" s="1"/>
  <c r="AA20" i="142"/>
  <c r="AA21" i="142" s="1"/>
  <c r="Z20" i="142"/>
  <c r="Z21" i="142" s="1"/>
  <c r="Y20" i="142"/>
  <c r="Y21" i="142" s="1"/>
  <c r="X20" i="142"/>
  <c r="X21" i="142" s="1"/>
  <c r="W20" i="142"/>
  <c r="W21" i="142" s="1"/>
  <c r="V20" i="142"/>
  <c r="V21" i="142" s="1"/>
  <c r="U20" i="142"/>
  <c r="U21" i="142" s="1"/>
  <c r="T20" i="142"/>
  <c r="T21" i="142" s="1"/>
  <c r="S20" i="142"/>
  <c r="S21" i="142" s="1"/>
  <c r="R20" i="142"/>
  <c r="R21" i="142" s="1"/>
  <c r="Q20" i="142"/>
  <c r="Q21" i="142" s="1"/>
  <c r="P20" i="142"/>
  <c r="P21" i="142" s="1"/>
  <c r="O20" i="142"/>
  <c r="N20" i="142"/>
  <c r="N21" i="142"/>
  <c r="M20" i="142"/>
  <c r="M21" i="142" s="1"/>
  <c r="L20" i="142"/>
  <c r="L21" i="142" s="1"/>
  <c r="K20" i="142"/>
  <c r="K21" i="142" s="1"/>
  <c r="A20" i="142"/>
  <c r="AS19" i="142"/>
  <c r="AR19" i="142"/>
  <c r="AQ19" i="142"/>
  <c r="AP19" i="142"/>
  <c r="AO19" i="142"/>
  <c r="AN19" i="142"/>
  <c r="AM19" i="142"/>
  <c r="AL19" i="142"/>
  <c r="AK19" i="142"/>
  <c r="AJ19" i="142"/>
  <c r="AI19" i="142"/>
  <c r="AH19" i="142"/>
  <c r="AG19" i="142"/>
  <c r="AF19" i="142"/>
  <c r="AE19" i="142"/>
  <c r="AD19" i="142"/>
  <c r="AC19" i="142"/>
  <c r="AB19" i="142"/>
  <c r="AA19" i="142"/>
  <c r="Z19" i="142"/>
  <c r="Y19" i="142"/>
  <c r="X19" i="142"/>
  <c r="W19" i="142"/>
  <c r="V19" i="142"/>
  <c r="U19" i="142"/>
  <c r="T19" i="142"/>
  <c r="S19" i="142"/>
  <c r="R19" i="142"/>
  <c r="Q19" i="142"/>
  <c r="P19" i="142"/>
  <c r="O19" i="142"/>
  <c r="N19" i="142"/>
  <c r="M19" i="142"/>
  <c r="L19" i="142"/>
  <c r="K19" i="142"/>
  <c r="A19" i="142"/>
  <c r="AS18" i="142"/>
  <c r="AR18" i="142"/>
  <c r="AQ18" i="142"/>
  <c r="AP18" i="142"/>
  <c r="AO18" i="142"/>
  <c r="AN18" i="142"/>
  <c r="AM18" i="142"/>
  <c r="AL18" i="142"/>
  <c r="AK18" i="142"/>
  <c r="AJ18" i="142"/>
  <c r="AI18" i="142"/>
  <c r="AH18" i="142"/>
  <c r="AG18" i="142"/>
  <c r="AF18" i="142"/>
  <c r="AE18" i="142"/>
  <c r="AD18" i="142"/>
  <c r="AC18" i="142"/>
  <c r="AB18" i="142"/>
  <c r="AA18" i="142"/>
  <c r="Z18" i="142"/>
  <c r="Y18" i="142"/>
  <c r="X18" i="142"/>
  <c r="W18" i="142"/>
  <c r="V18" i="142"/>
  <c r="U18" i="142"/>
  <c r="T18" i="142"/>
  <c r="S18" i="142"/>
  <c r="R18" i="142"/>
  <c r="Q18" i="142"/>
  <c r="P18" i="142"/>
  <c r="O18" i="142"/>
  <c r="N18" i="142"/>
  <c r="M18" i="142"/>
  <c r="L18" i="142"/>
  <c r="K18" i="142"/>
  <c r="A18" i="142"/>
  <c r="AR17" i="142"/>
  <c r="AQ17" i="142"/>
  <c r="AP17" i="142"/>
  <c r="AO17" i="142"/>
  <c r="AN17" i="142"/>
  <c r="AM17" i="142"/>
  <c r="AL17" i="142"/>
  <c r="AK17" i="142"/>
  <c r="AJ17" i="142"/>
  <c r="AI17" i="142"/>
  <c r="AH17" i="142"/>
  <c r="AG17" i="142"/>
  <c r="AF17" i="142"/>
  <c r="AD17" i="142"/>
  <c r="AC17" i="142"/>
  <c r="AB17" i="142"/>
  <c r="Z17" i="142"/>
  <c r="W17" i="142"/>
  <c r="U17" i="142"/>
  <c r="T17" i="142"/>
  <c r="S17" i="142"/>
  <c r="Q17" i="142"/>
  <c r="O17" i="142"/>
  <c r="N17" i="142"/>
  <c r="M17" i="142"/>
  <c r="L17" i="142"/>
  <c r="K17" i="142"/>
  <c r="I17" i="142"/>
  <c r="H17" i="142"/>
  <c r="G17" i="142"/>
  <c r="F17" i="142"/>
  <c r="A17" i="142"/>
  <c r="AS16" i="142"/>
  <c r="AS17" i="142" s="1"/>
  <c r="AR16" i="142"/>
  <c r="AQ16" i="142"/>
  <c r="AP16" i="142"/>
  <c r="AO16" i="142"/>
  <c r="AN16" i="142"/>
  <c r="AM16" i="142"/>
  <c r="AL16" i="142"/>
  <c r="AK16" i="142"/>
  <c r="AJ16" i="142"/>
  <c r="AI16" i="142"/>
  <c r="AH16" i="142"/>
  <c r="AG16" i="142"/>
  <c r="AF16" i="142"/>
  <c r="AE16" i="142"/>
  <c r="AE17" i="142" s="1"/>
  <c r="AD16" i="142"/>
  <c r="AC16" i="142"/>
  <c r="AB16" i="142"/>
  <c r="AA16" i="142"/>
  <c r="AA17" i="142" s="1"/>
  <c r="Z16" i="142"/>
  <c r="Y16" i="142"/>
  <c r="Y17" i="142" s="1"/>
  <c r="X16" i="142"/>
  <c r="X17" i="142" s="1"/>
  <c r="W16" i="142"/>
  <c r="V16" i="142"/>
  <c r="V17" i="142" s="1"/>
  <c r="U16" i="142"/>
  <c r="T16" i="142"/>
  <c r="S16" i="142"/>
  <c r="R16" i="142"/>
  <c r="R17" i="142" s="1"/>
  <c r="Q16" i="142"/>
  <c r="P16" i="142"/>
  <c r="P17" i="142" s="1"/>
  <c r="O16" i="142"/>
  <c r="N16" i="142"/>
  <c r="M16" i="142"/>
  <c r="L16" i="142"/>
  <c r="K16" i="142"/>
  <c r="A16" i="142"/>
  <c r="A15" i="142"/>
  <c r="CK14" i="142"/>
  <c r="CJ14" i="142"/>
  <c r="CI14" i="142"/>
  <c r="AR14" i="142" s="1"/>
  <c r="CH14" i="142"/>
  <c r="AM14" i="142" s="1"/>
  <c r="CG14" i="142"/>
  <c r="CF14" i="142"/>
  <c r="CE14" i="142"/>
  <c r="AL14" i="142" s="1"/>
  <c r="CD14" i="142"/>
  <c r="AP14" i="142" s="1"/>
  <c r="CC14" i="142"/>
  <c r="CB14" i="142"/>
  <c r="AK14" i="142" s="1"/>
  <c r="CA14" i="142"/>
  <c r="AF14" i="142" s="1"/>
  <c r="BZ14" i="142"/>
  <c r="AH14" i="142" s="1"/>
  <c r="BY14" i="142"/>
  <c r="AJ14" i="142"/>
  <c r="BX14" i="142"/>
  <c r="AC14" i="142" s="1"/>
  <c r="BW14" i="142"/>
  <c r="BV14" i="142"/>
  <c r="BU14" i="142"/>
  <c r="AD14" i="142" s="1"/>
  <c r="BT14" i="142"/>
  <c r="BS14" i="142"/>
  <c r="BR14" i="142"/>
  <c r="W14" i="142" s="1"/>
  <c r="BQ14" i="142"/>
  <c r="BP14" i="142"/>
  <c r="AB14" i="142" s="1"/>
  <c r="BO14" i="142"/>
  <c r="BN14" i="142"/>
  <c r="BM14" i="142"/>
  <c r="Z14" i="142" s="1"/>
  <c r="BL14" i="142"/>
  <c r="BK14" i="142"/>
  <c r="BJ14" i="142"/>
  <c r="BI14" i="142"/>
  <c r="BH14" i="142"/>
  <c r="BG14" i="142"/>
  <c r="BF14" i="142"/>
  <c r="BE14" i="142"/>
  <c r="O14" i="142" s="1"/>
  <c r="BD14" i="142"/>
  <c r="BC14" i="142"/>
  <c r="BB14" i="142"/>
  <c r="T14" i="142" s="1"/>
  <c r="BA14" i="142"/>
  <c r="AZ14" i="142"/>
  <c r="AY14" i="142"/>
  <c r="L14" i="142" s="1"/>
  <c r="AX14" i="142"/>
  <c r="AW14" i="142"/>
  <c r="N14" i="142" s="1"/>
  <c r="AV14" i="142"/>
  <c r="AU14" i="142"/>
  <c r="Q14" i="142" s="1"/>
  <c r="AT14" i="142"/>
  <c r="AQ14" i="142"/>
  <c r="AO14" i="142"/>
  <c r="AN14" i="142"/>
  <c r="AI14" i="142"/>
  <c r="AG14" i="142"/>
  <c r="U14" i="142"/>
  <c r="S14" i="142"/>
  <c r="M14" i="142"/>
  <c r="K14" i="142"/>
  <c r="A14" i="142"/>
  <c r="AS13" i="142"/>
  <c r="AR13" i="142"/>
  <c r="AQ13" i="142"/>
  <c r="AP13" i="142"/>
  <c r="AO13" i="142"/>
  <c r="AN13" i="142"/>
  <c r="AM13" i="142"/>
  <c r="AL13" i="142"/>
  <c r="AK13" i="142"/>
  <c r="AJ13" i="142"/>
  <c r="AI13" i="142"/>
  <c r="AH13" i="142"/>
  <c r="AG13" i="142"/>
  <c r="AF13" i="142"/>
  <c r="AE13" i="142"/>
  <c r="AD13" i="142"/>
  <c r="AC13" i="142"/>
  <c r="AB13" i="142"/>
  <c r="AA13" i="142"/>
  <c r="Z13" i="142"/>
  <c r="Y13" i="142"/>
  <c r="X13" i="142"/>
  <c r="V13" i="142"/>
  <c r="U13" i="142"/>
  <c r="T13" i="142"/>
  <c r="S13" i="142"/>
  <c r="R13" i="142"/>
  <c r="Q13" i="142"/>
  <c r="P13" i="142"/>
  <c r="O13" i="142"/>
  <c r="N13" i="142"/>
  <c r="M13" i="142"/>
  <c r="L13" i="142"/>
  <c r="K13" i="142"/>
  <c r="I13" i="142"/>
  <c r="H13" i="142"/>
  <c r="G13" i="142"/>
  <c r="F13" i="142"/>
  <c r="A13" i="142"/>
  <c r="AM12" i="142"/>
  <c r="AS12" i="142"/>
  <c r="AK12" i="142"/>
  <c r="AC12" i="142"/>
  <c r="AG12" i="142"/>
  <c r="AE12" i="142"/>
  <c r="W12" i="142"/>
  <c r="Y12" i="142"/>
  <c r="K12" i="142"/>
  <c r="M12" i="142"/>
  <c r="S12" i="142"/>
  <c r="F12" i="142"/>
  <c r="AR12" i="142"/>
  <c r="AQ12" i="142"/>
  <c r="AP12" i="142"/>
  <c r="AO12" i="142"/>
  <c r="AN12" i="142"/>
  <c r="AL12" i="142"/>
  <c r="AJ12" i="142"/>
  <c r="AI12" i="142"/>
  <c r="AH12" i="142"/>
  <c r="AF12" i="142"/>
  <c r="AD12" i="142"/>
  <c r="AB12" i="142"/>
  <c r="AA12" i="142"/>
  <c r="Z12" i="142"/>
  <c r="X12" i="142"/>
  <c r="V12" i="142"/>
  <c r="U12" i="142"/>
  <c r="T12" i="142"/>
  <c r="R12" i="142"/>
  <c r="Q12" i="142"/>
  <c r="P12" i="142"/>
  <c r="O12" i="142"/>
  <c r="N12" i="142"/>
  <c r="L12" i="142"/>
  <c r="I12" i="142"/>
  <c r="G12" i="142"/>
  <c r="A12" i="142"/>
  <c r="AS11" i="142"/>
  <c r="AR11" i="142"/>
  <c r="AQ11" i="142"/>
  <c r="AP11" i="142"/>
  <c r="AO11" i="142"/>
  <c r="AN11" i="142"/>
  <c r="AM11" i="142"/>
  <c r="AL11" i="142"/>
  <c r="AK11" i="142"/>
  <c r="AJ11" i="142"/>
  <c r="AI11" i="142"/>
  <c r="AH11" i="142"/>
  <c r="AG11" i="142"/>
  <c r="AF11" i="142"/>
  <c r="AE11" i="142"/>
  <c r="AD11" i="142"/>
  <c r="AC11" i="142"/>
  <c r="AB11" i="142"/>
  <c r="AA11" i="142"/>
  <c r="Z11" i="142"/>
  <c r="Y11" i="142"/>
  <c r="X11" i="142"/>
  <c r="W11" i="142"/>
  <c r="V11" i="142"/>
  <c r="U11" i="142"/>
  <c r="T11" i="142"/>
  <c r="S11" i="142"/>
  <c r="R11" i="142"/>
  <c r="Q11" i="142"/>
  <c r="P11" i="142"/>
  <c r="O11" i="142"/>
  <c r="N11" i="142"/>
  <c r="M11" i="142"/>
  <c r="L11" i="142"/>
  <c r="K11" i="142"/>
  <c r="I11" i="142"/>
  <c r="H11" i="142"/>
  <c r="G11" i="142"/>
  <c r="F11" i="142"/>
  <c r="A11" i="142"/>
  <c r="AS10" i="142"/>
  <c r="AR10" i="142"/>
  <c r="AQ10" i="142"/>
  <c r="AP10" i="142"/>
  <c r="AO10" i="142"/>
  <c r="AN10" i="142"/>
  <c r="AM10" i="142"/>
  <c r="AL10" i="142"/>
  <c r="AK10" i="142"/>
  <c r="AJ10" i="142"/>
  <c r="AI10" i="142"/>
  <c r="AH10" i="142"/>
  <c r="AG10" i="142"/>
  <c r="AF10" i="142"/>
  <c r="AE10" i="142"/>
  <c r="AD10" i="142"/>
  <c r="AC10" i="142"/>
  <c r="AB10" i="142"/>
  <c r="AA10" i="142"/>
  <c r="Z10" i="142"/>
  <c r="Y10" i="142"/>
  <c r="X10" i="142"/>
  <c r="W10" i="142"/>
  <c r="V10" i="142"/>
  <c r="U10" i="142"/>
  <c r="T10" i="142"/>
  <c r="S10" i="142"/>
  <c r="R10" i="142"/>
  <c r="Q10" i="142"/>
  <c r="P10" i="142"/>
  <c r="O10" i="142"/>
  <c r="N10" i="142"/>
  <c r="M10" i="142"/>
  <c r="L10" i="142"/>
  <c r="K10" i="142"/>
  <c r="I10" i="142"/>
  <c r="H10" i="142"/>
  <c r="G10" i="142"/>
  <c r="F10" i="142"/>
  <c r="A10" i="142"/>
  <c r="AS9" i="142"/>
  <c r="AR9" i="142"/>
  <c r="AQ9" i="142"/>
  <c r="AP9" i="142"/>
  <c r="AO9" i="142"/>
  <c r="AN9" i="142"/>
  <c r="AM9" i="142"/>
  <c r="AL9" i="142"/>
  <c r="AK9" i="142"/>
  <c r="AJ9" i="142"/>
  <c r="AI9" i="142"/>
  <c r="AH9" i="142"/>
  <c r="AG9" i="142"/>
  <c r="AF9" i="142"/>
  <c r="AE9" i="142"/>
  <c r="AD9" i="142"/>
  <c r="AC9" i="142"/>
  <c r="AB9" i="142"/>
  <c r="AA9" i="142"/>
  <c r="Z9" i="142"/>
  <c r="Y9" i="142"/>
  <c r="X9" i="142"/>
  <c r="W9" i="142"/>
  <c r="V9" i="142"/>
  <c r="U9" i="142"/>
  <c r="T9" i="142"/>
  <c r="S9" i="142"/>
  <c r="R9" i="142"/>
  <c r="Q9" i="142"/>
  <c r="P9" i="142"/>
  <c r="O9" i="142"/>
  <c r="N9" i="142"/>
  <c r="M9" i="142"/>
  <c r="L9" i="142"/>
  <c r="K9" i="142"/>
  <c r="I9" i="142"/>
  <c r="H9" i="142"/>
  <c r="G9" i="142"/>
  <c r="F9" i="142"/>
  <c r="A9" i="142"/>
  <c r="AS8" i="142"/>
  <c r="AR8" i="142"/>
  <c r="AQ8" i="142"/>
  <c r="AP8" i="142"/>
  <c r="AO8" i="142"/>
  <c r="AN8" i="142"/>
  <c r="AM8" i="142"/>
  <c r="AL8" i="142"/>
  <c r="AK8" i="142"/>
  <c r="AJ8" i="142"/>
  <c r="AI8" i="142"/>
  <c r="AH8" i="142"/>
  <c r="AG8" i="142"/>
  <c r="AF8" i="142"/>
  <c r="AE8" i="142"/>
  <c r="AD8" i="142"/>
  <c r="AC8" i="142"/>
  <c r="AB8" i="142"/>
  <c r="AA8" i="142"/>
  <c r="Z8" i="142"/>
  <c r="Y8" i="142"/>
  <c r="X8" i="142"/>
  <c r="W8" i="142"/>
  <c r="V8" i="142"/>
  <c r="U8" i="142"/>
  <c r="T8" i="142"/>
  <c r="S8" i="142"/>
  <c r="R8" i="142"/>
  <c r="Q8" i="142"/>
  <c r="P8" i="142"/>
  <c r="O8" i="142"/>
  <c r="N8" i="142"/>
  <c r="M8" i="142"/>
  <c r="L8" i="142"/>
  <c r="K8" i="142"/>
  <c r="I8" i="142"/>
  <c r="H8" i="142"/>
  <c r="G8" i="142"/>
  <c r="F8" i="142"/>
  <c r="A8" i="142"/>
  <c r="AS7" i="142"/>
  <c r="AR7" i="142"/>
  <c r="AQ7" i="142"/>
  <c r="AP7" i="142"/>
  <c r="AO7" i="142"/>
  <c r="AN7" i="142"/>
  <c r="AM7" i="142"/>
  <c r="AL7" i="142"/>
  <c r="AK7" i="142"/>
  <c r="AJ7" i="142"/>
  <c r="AI7" i="142"/>
  <c r="AH7" i="142"/>
  <c r="AG7" i="142"/>
  <c r="AF7" i="142"/>
  <c r="AE7" i="142"/>
  <c r="AD7" i="142"/>
  <c r="AC7" i="142"/>
  <c r="AB7" i="142"/>
  <c r="AA7" i="142"/>
  <c r="Z7" i="142"/>
  <c r="Y7" i="142"/>
  <c r="X7" i="142"/>
  <c r="W7" i="142"/>
  <c r="V7" i="142"/>
  <c r="U7" i="142"/>
  <c r="T7" i="142"/>
  <c r="S7" i="142"/>
  <c r="R7" i="142"/>
  <c r="Q7" i="142"/>
  <c r="P7" i="142"/>
  <c r="O7" i="142"/>
  <c r="N7" i="142"/>
  <c r="M7" i="142"/>
  <c r="L7" i="142"/>
  <c r="K7" i="142"/>
  <c r="I7" i="142"/>
  <c r="H7" i="142"/>
  <c r="G7" i="142"/>
  <c r="F7" i="142"/>
  <c r="A7" i="142"/>
  <c r="A6" i="142"/>
  <c r="CL5" i="142"/>
  <c r="CK5" i="142"/>
  <c r="CJ5" i="142"/>
  <c r="CI5" i="142"/>
  <c r="CH5" i="142"/>
  <c r="CG5" i="142"/>
  <c r="CF5" i="142"/>
  <c r="CE5" i="142"/>
  <c r="CD5" i="142"/>
  <c r="CC5" i="142"/>
  <c r="CB5" i="142"/>
  <c r="CA5" i="142"/>
  <c r="BZ5" i="142"/>
  <c r="BY5" i="142"/>
  <c r="BX5" i="142"/>
  <c r="BW5" i="142"/>
  <c r="BV5" i="142"/>
  <c r="BU5" i="142"/>
  <c r="BT5" i="142"/>
  <c r="BS5" i="142"/>
  <c r="BR5" i="142"/>
  <c r="BQ5" i="142"/>
  <c r="BP5" i="142"/>
  <c r="BO5" i="142"/>
  <c r="BN5" i="142"/>
  <c r="BM5" i="142"/>
  <c r="BL5" i="142"/>
  <c r="BK5" i="142"/>
  <c r="BJ5" i="142"/>
  <c r="BI5" i="142"/>
  <c r="BH5" i="142"/>
  <c r="BG5" i="142"/>
  <c r="BF5" i="142"/>
  <c r="BE5" i="142"/>
  <c r="BD5" i="142"/>
  <c r="BC5" i="142"/>
  <c r="BB5" i="142"/>
  <c r="BA5" i="142"/>
  <c r="AZ5" i="142"/>
  <c r="AY5" i="142"/>
  <c r="AX5" i="142"/>
  <c r="AW5" i="142"/>
  <c r="AV5" i="142"/>
  <c r="AU5" i="142"/>
  <c r="AT5" i="142"/>
  <c r="AS5" i="142"/>
  <c r="AR5" i="142"/>
  <c r="AQ5" i="142"/>
  <c r="AP5" i="142"/>
  <c r="AO5" i="142"/>
  <c r="AN5" i="142"/>
  <c r="AM5" i="142"/>
  <c r="AL5" i="142"/>
  <c r="AK5" i="142"/>
  <c r="AJ5" i="142"/>
  <c r="AI5" i="142"/>
  <c r="AH5" i="142"/>
  <c r="AG5" i="142"/>
  <c r="AF5" i="142"/>
  <c r="AE5" i="142"/>
  <c r="AD5" i="142"/>
  <c r="AC5" i="142"/>
  <c r="AB5" i="142"/>
  <c r="AA5" i="142"/>
  <c r="Z5" i="142"/>
  <c r="Y5" i="142"/>
  <c r="X5" i="142"/>
  <c r="W5" i="142"/>
  <c r="V5" i="142"/>
  <c r="U5" i="142"/>
  <c r="T5" i="142"/>
  <c r="S5" i="142"/>
  <c r="R5" i="142"/>
  <c r="Q5" i="142"/>
  <c r="P5" i="142"/>
  <c r="O5" i="142"/>
  <c r="N5" i="142"/>
  <c r="M5" i="142"/>
  <c r="L5" i="142"/>
  <c r="K5" i="142"/>
  <c r="J5" i="142"/>
  <c r="I5" i="142"/>
  <c r="H5" i="142"/>
  <c r="G5" i="142"/>
  <c r="F5" i="142"/>
  <c r="A5" i="142"/>
  <c r="B74" i="137"/>
  <c r="B73" i="137"/>
  <c r="B60" i="137"/>
  <c r="CL80" i="131"/>
  <c r="CL80" i="127"/>
  <c r="CK84" i="130"/>
  <c r="CJ84" i="130"/>
  <c r="CI84" i="130"/>
  <c r="CH84" i="130"/>
  <c r="CG84" i="130"/>
  <c r="CF84" i="130"/>
  <c r="CE84" i="130"/>
  <c r="CD84" i="130"/>
  <c r="CC84" i="130"/>
  <c r="CB84" i="130"/>
  <c r="CA84" i="130"/>
  <c r="BZ84" i="130"/>
  <c r="BY84" i="130"/>
  <c r="BX84" i="130"/>
  <c r="BW84" i="130"/>
  <c r="BV84" i="130"/>
  <c r="BU84" i="130"/>
  <c r="BT84" i="130"/>
  <c r="BS84" i="130"/>
  <c r="BR84" i="130"/>
  <c r="BQ84" i="130"/>
  <c r="BP84" i="130"/>
  <c r="BO84" i="130"/>
  <c r="BN84" i="130"/>
  <c r="BM84" i="130"/>
  <c r="BL84" i="130"/>
  <c r="BK84" i="130"/>
  <c r="BJ84" i="130"/>
  <c r="BI84" i="130"/>
  <c r="BH84" i="130"/>
  <c r="BG84" i="130"/>
  <c r="BF84" i="130"/>
  <c r="BE84" i="130"/>
  <c r="BD84" i="130"/>
  <c r="BC84" i="130"/>
  <c r="BB84" i="130"/>
  <c r="BA84" i="130"/>
  <c r="AZ84" i="130"/>
  <c r="AY84" i="130"/>
  <c r="AX84" i="130"/>
  <c r="AW84" i="130"/>
  <c r="AV84" i="130"/>
  <c r="AU84" i="130"/>
  <c r="AT84" i="130"/>
  <c r="CL80" i="130"/>
  <c r="AS83" i="132"/>
  <c r="AR83" i="132"/>
  <c r="AQ83" i="132"/>
  <c r="AP83" i="132"/>
  <c r="AO83" i="132"/>
  <c r="AN83" i="132"/>
  <c r="AM83" i="132"/>
  <c r="AL83" i="132"/>
  <c r="AK83" i="132"/>
  <c r="AJ83" i="132"/>
  <c r="AI83" i="132"/>
  <c r="AH83" i="132"/>
  <c r="AG83" i="132"/>
  <c r="AF83" i="132"/>
  <c r="AE83" i="132"/>
  <c r="AD83" i="132"/>
  <c r="AC83" i="132"/>
  <c r="AB83" i="132"/>
  <c r="AA83" i="132"/>
  <c r="Z83" i="132"/>
  <c r="Y83" i="132"/>
  <c r="X83" i="132"/>
  <c r="W83" i="132"/>
  <c r="V83" i="132"/>
  <c r="U83" i="132"/>
  <c r="T83" i="132"/>
  <c r="S83" i="132"/>
  <c r="R83" i="132"/>
  <c r="Q83" i="132"/>
  <c r="P83" i="132"/>
  <c r="O83" i="132"/>
  <c r="N83" i="132"/>
  <c r="M83" i="132"/>
  <c r="L83" i="132"/>
  <c r="K83" i="132"/>
  <c r="AS83" i="131"/>
  <c r="AR83" i="131"/>
  <c r="AQ83" i="131"/>
  <c r="AP83" i="131"/>
  <c r="AO83" i="131"/>
  <c r="AN83" i="131"/>
  <c r="AM83" i="131"/>
  <c r="AL83" i="131"/>
  <c r="AK83" i="131"/>
  <c r="AJ83" i="131"/>
  <c r="AI83" i="131"/>
  <c r="AH83" i="131"/>
  <c r="AG83" i="131"/>
  <c r="AF83" i="131"/>
  <c r="AE83" i="131"/>
  <c r="AD83" i="131"/>
  <c r="AC83" i="131"/>
  <c r="AB83" i="131"/>
  <c r="AA83" i="131"/>
  <c r="Z83" i="131"/>
  <c r="Y83" i="131"/>
  <c r="X83" i="131"/>
  <c r="W83" i="131"/>
  <c r="V83" i="131"/>
  <c r="U83" i="131"/>
  <c r="T83" i="131"/>
  <c r="S83" i="131"/>
  <c r="R83" i="131"/>
  <c r="Q83" i="131"/>
  <c r="P83" i="131"/>
  <c r="O83" i="131"/>
  <c r="N83" i="131"/>
  <c r="M83" i="131"/>
  <c r="L83" i="131"/>
  <c r="K83" i="131"/>
  <c r="AS83" i="130"/>
  <c r="AR83" i="130"/>
  <c r="AQ83" i="130"/>
  <c r="AP83" i="130"/>
  <c r="AO83" i="130"/>
  <c r="AN83" i="130"/>
  <c r="AM83" i="130"/>
  <c r="AL83" i="130"/>
  <c r="AK83" i="130"/>
  <c r="AJ83" i="130"/>
  <c r="AI83" i="130"/>
  <c r="AH83" i="130"/>
  <c r="AG83" i="130"/>
  <c r="AF83" i="130"/>
  <c r="AE83" i="130"/>
  <c r="AD83" i="130"/>
  <c r="AC83" i="130"/>
  <c r="AB83" i="130"/>
  <c r="AA83" i="130"/>
  <c r="Z83" i="130"/>
  <c r="Y83" i="130"/>
  <c r="X83" i="130"/>
  <c r="W83" i="130"/>
  <c r="V83" i="130"/>
  <c r="U83" i="130"/>
  <c r="T83" i="130"/>
  <c r="S83" i="130"/>
  <c r="R83" i="130"/>
  <c r="Q83" i="130"/>
  <c r="P83" i="130"/>
  <c r="O83" i="130"/>
  <c r="N83" i="130"/>
  <c r="M83" i="130"/>
  <c r="L83" i="130"/>
  <c r="K83" i="130"/>
  <c r="AS83" i="127"/>
  <c r="AR83" i="127"/>
  <c r="AQ83" i="127"/>
  <c r="AP83" i="127"/>
  <c r="AO83" i="127"/>
  <c r="AN83" i="127"/>
  <c r="AM83" i="127"/>
  <c r="AL83" i="127"/>
  <c r="AK83" i="127"/>
  <c r="AJ83" i="127"/>
  <c r="AI83" i="127"/>
  <c r="AH83" i="127"/>
  <c r="AG83" i="127"/>
  <c r="AF83" i="127"/>
  <c r="AE83" i="127"/>
  <c r="AD83" i="127"/>
  <c r="AC83" i="127"/>
  <c r="AB83" i="127"/>
  <c r="AA83" i="127"/>
  <c r="Z83" i="127"/>
  <c r="Y83" i="127"/>
  <c r="X83" i="127"/>
  <c r="W83" i="127"/>
  <c r="V83" i="127"/>
  <c r="U83" i="127"/>
  <c r="T83" i="127"/>
  <c r="S83" i="127"/>
  <c r="R83" i="127"/>
  <c r="Q83" i="127"/>
  <c r="P83" i="127"/>
  <c r="O83" i="127"/>
  <c r="N83" i="127"/>
  <c r="M83" i="127"/>
  <c r="L83" i="127"/>
  <c r="K83" i="127"/>
  <c r="AS83" i="125"/>
  <c r="AR83" i="125"/>
  <c r="AQ83" i="125"/>
  <c r="AP83" i="125"/>
  <c r="AO83" i="125"/>
  <c r="AN83" i="125"/>
  <c r="AM83" i="125"/>
  <c r="AL83" i="125"/>
  <c r="AK83" i="125"/>
  <c r="AJ83" i="125"/>
  <c r="AI83" i="125"/>
  <c r="AH83" i="125"/>
  <c r="AG83" i="125"/>
  <c r="AF83" i="125"/>
  <c r="AE83" i="125"/>
  <c r="AD83" i="125"/>
  <c r="AC83" i="125"/>
  <c r="AB83" i="125"/>
  <c r="AA83" i="125"/>
  <c r="Z83" i="125"/>
  <c r="Y83" i="125"/>
  <c r="X83" i="125"/>
  <c r="W83" i="125"/>
  <c r="V83" i="125"/>
  <c r="U83" i="125"/>
  <c r="T83" i="125"/>
  <c r="S83" i="125"/>
  <c r="R83" i="125"/>
  <c r="Q83" i="125"/>
  <c r="P83" i="125"/>
  <c r="O83" i="125"/>
  <c r="N83" i="125"/>
  <c r="M83" i="125"/>
  <c r="L83" i="125"/>
  <c r="K83" i="125"/>
  <c r="AS83" i="120"/>
  <c r="AR83" i="120"/>
  <c r="AQ83" i="120"/>
  <c r="AP83" i="120"/>
  <c r="AO83" i="120"/>
  <c r="AN83" i="120"/>
  <c r="AM83" i="120"/>
  <c r="AL83" i="120"/>
  <c r="AK83" i="120"/>
  <c r="AJ83" i="120"/>
  <c r="AI83" i="120"/>
  <c r="AH83" i="120"/>
  <c r="AG83" i="120"/>
  <c r="AF83" i="120"/>
  <c r="AE83" i="120"/>
  <c r="AD83" i="120"/>
  <c r="AC83" i="120"/>
  <c r="AB83" i="120"/>
  <c r="AA83" i="120"/>
  <c r="Z83" i="120"/>
  <c r="Y83" i="120"/>
  <c r="X83" i="120"/>
  <c r="W83" i="120"/>
  <c r="V83" i="120"/>
  <c r="U83" i="120"/>
  <c r="T83" i="120"/>
  <c r="S83" i="120"/>
  <c r="R83" i="120"/>
  <c r="Q83" i="120"/>
  <c r="P83" i="120"/>
  <c r="O83" i="120"/>
  <c r="N83" i="120"/>
  <c r="M83" i="120"/>
  <c r="L83" i="120"/>
  <c r="K83" i="120"/>
  <c r="AS83" i="134"/>
  <c r="AR83" i="134"/>
  <c r="AQ83" i="134"/>
  <c r="AP83" i="134"/>
  <c r="AO83" i="134"/>
  <c r="AN83" i="134"/>
  <c r="AM83" i="134"/>
  <c r="AL83" i="134"/>
  <c r="AK83" i="134"/>
  <c r="AJ83" i="134"/>
  <c r="AI83" i="134"/>
  <c r="AH83" i="134"/>
  <c r="AG83" i="134"/>
  <c r="AF83" i="134"/>
  <c r="AE83" i="134"/>
  <c r="AD83" i="134"/>
  <c r="AC83" i="134"/>
  <c r="AB83" i="134"/>
  <c r="AA83" i="134"/>
  <c r="Z83" i="134"/>
  <c r="Y83" i="134"/>
  <c r="X83" i="134"/>
  <c r="W83" i="134"/>
  <c r="V83" i="134"/>
  <c r="U83" i="134"/>
  <c r="T83" i="134"/>
  <c r="S83" i="134"/>
  <c r="R83" i="134"/>
  <c r="Q83" i="134"/>
  <c r="P83" i="134"/>
  <c r="O83" i="134"/>
  <c r="N83" i="134"/>
  <c r="M83" i="134"/>
  <c r="L83" i="134"/>
  <c r="K83" i="134"/>
  <c r="AS83" i="135"/>
  <c r="AR83" i="135"/>
  <c r="AQ83" i="135"/>
  <c r="AP83" i="135"/>
  <c r="AO83" i="135"/>
  <c r="AN83" i="135"/>
  <c r="AM83" i="135"/>
  <c r="AL83" i="135"/>
  <c r="AK83" i="135"/>
  <c r="AJ83" i="135"/>
  <c r="AI83" i="135"/>
  <c r="AH83" i="135"/>
  <c r="AG83" i="135"/>
  <c r="AF83" i="135"/>
  <c r="AE83" i="135"/>
  <c r="AD83" i="135"/>
  <c r="AC83" i="135"/>
  <c r="AB83" i="135"/>
  <c r="AA83" i="135"/>
  <c r="Z83" i="135"/>
  <c r="Y83" i="135"/>
  <c r="X83" i="135"/>
  <c r="W83" i="135"/>
  <c r="V83" i="135"/>
  <c r="U83" i="135"/>
  <c r="T83" i="135"/>
  <c r="S83" i="135"/>
  <c r="R83" i="135"/>
  <c r="Q83" i="135"/>
  <c r="P83" i="135"/>
  <c r="O83" i="135"/>
  <c r="N83" i="135"/>
  <c r="M83" i="135"/>
  <c r="L83" i="135"/>
  <c r="K83" i="135"/>
  <c r="AS83" i="136"/>
  <c r="AR83" i="136"/>
  <c r="AQ83" i="136"/>
  <c r="AP83" i="136"/>
  <c r="AO83" i="136"/>
  <c r="AN83" i="136"/>
  <c r="AM83" i="136"/>
  <c r="AL83" i="136"/>
  <c r="AK83" i="136"/>
  <c r="AJ83" i="136"/>
  <c r="AI83" i="136"/>
  <c r="AH83" i="136"/>
  <c r="AG83" i="136"/>
  <c r="AF83" i="136"/>
  <c r="AE83" i="136"/>
  <c r="AD83" i="136"/>
  <c r="AC83" i="136"/>
  <c r="AB83" i="136"/>
  <c r="AA83" i="136"/>
  <c r="Z83" i="136"/>
  <c r="Y83" i="136"/>
  <c r="X83" i="136"/>
  <c r="W83" i="136"/>
  <c r="V83" i="136"/>
  <c r="U83" i="136"/>
  <c r="T83" i="136"/>
  <c r="S83" i="136"/>
  <c r="R83" i="136"/>
  <c r="Q83" i="136"/>
  <c r="P83" i="136"/>
  <c r="O83" i="136"/>
  <c r="N83" i="136"/>
  <c r="M83" i="136"/>
  <c r="L83" i="136"/>
  <c r="K83" i="136"/>
  <c r="AS83" i="138"/>
  <c r="AR83" i="138"/>
  <c r="AQ83" i="138"/>
  <c r="AP83" i="138"/>
  <c r="AO83" i="138"/>
  <c r="AN83" i="138"/>
  <c r="AM83" i="138"/>
  <c r="AL83" i="138"/>
  <c r="AK83" i="138"/>
  <c r="AJ83" i="138"/>
  <c r="AI83" i="138"/>
  <c r="AH83" i="138"/>
  <c r="AG83" i="138"/>
  <c r="AF83" i="138"/>
  <c r="AE83" i="138"/>
  <c r="AD83" i="138"/>
  <c r="AC83" i="138"/>
  <c r="AB83" i="138"/>
  <c r="AA83" i="138"/>
  <c r="Z83" i="138"/>
  <c r="Y83" i="138"/>
  <c r="X83" i="138"/>
  <c r="W83" i="138"/>
  <c r="V83" i="138"/>
  <c r="U83" i="138"/>
  <c r="T83" i="138"/>
  <c r="S83" i="138"/>
  <c r="R83" i="138"/>
  <c r="Q83" i="138"/>
  <c r="P83" i="138"/>
  <c r="O83" i="138"/>
  <c r="N83" i="138"/>
  <c r="M83" i="138"/>
  <c r="L83" i="138"/>
  <c r="K83" i="138"/>
  <c r="AS83" i="140"/>
  <c r="AR83" i="140"/>
  <c r="AQ83" i="140"/>
  <c r="AP83" i="140"/>
  <c r="AO83" i="140"/>
  <c r="AN83" i="140"/>
  <c r="AM83" i="140"/>
  <c r="AL83" i="140"/>
  <c r="AK83" i="140"/>
  <c r="AJ83" i="140"/>
  <c r="AI83" i="140"/>
  <c r="AH83" i="140"/>
  <c r="AG83" i="140"/>
  <c r="AF83" i="140"/>
  <c r="AE83" i="140"/>
  <c r="AD83" i="140"/>
  <c r="AC83" i="140"/>
  <c r="AB83" i="140"/>
  <c r="AA83" i="140"/>
  <c r="Z83" i="140"/>
  <c r="Y83" i="140"/>
  <c r="X83" i="140"/>
  <c r="W83" i="140"/>
  <c r="V83" i="140"/>
  <c r="U83" i="140"/>
  <c r="T83" i="140"/>
  <c r="S83" i="140"/>
  <c r="R83" i="140"/>
  <c r="Q83" i="140"/>
  <c r="P83" i="140"/>
  <c r="O83" i="140"/>
  <c r="N83" i="140"/>
  <c r="M83" i="140"/>
  <c r="L83" i="140"/>
  <c r="K83" i="140"/>
  <c r="AS83" i="141"/>
  <c r="AE83" i="141"/>
  <c r="AA83" i="141"/>
  <c r="Y83" i="141"/>
  <c r="X83" i="141"/>
  <c r="V83" i="141"/>
  <c r="R83" i="141"/>
  <c r="P83" i="141"/>
  <c r="P81" i="141"/>
  <c r="CK84" i="134"/>
  <c r="CJ84" i="134"/>
  <c r="CI84" i="134"/>
  <c r="CH84" i="134"/>
  <c r="CG84" i="134"/>
  <c r="CF84" i="134"/>
  <c r="CE84" i="134"/>
  <c r="CD84" i="134"/>
  <c r="CC84" i="134"/>
  <c r="CB84" i="134"/>
  <c r="CA84" i="134"/>
  <c r="BZ84" i="134"/>
  <c r="BY84" i="134"/>
  <c r="BX84" i="134"/>
  <c r="BW84" i="134"/>
  <c r="BV84" i="134"/>
  <c r="BU84" i="134"/>
  <c r="BT84" i="134"/>
  <c r="BS84" i="134"/>
  <c r="BR84" i="134"/>
  <c r="BQ84" i="134"/>
  <c r="BP84" i="134"/>
  <c r="BO84" i="134"/>
  <c r="BN84" i="134"/>
  <c r="BM84" i="134"/>
  <c r="BL84" i="134"/>
  <c r="BK84" i="134"/>
  <c r="BJ84" i="134"/>
  <c r="BI84" i="134"/>
  <c r="BH84" i="134"/>
  <c r="BG84" i="134"/>
  <c r="BF84" i="134"/>
  <c r="BE84" i="134"/>
  <c r="BD84" i="134"/>
  <c r="BC84" i="134"/>
  <c r="BB84" i="134"/>
  <c r="BA84" i="134"/>
  <c r="AZ84" i="134"/>
  <c r="AY84" i="134"/>
  <c r="AX84" i="134"/>
  <c r="AW84" i="134"/>
  <c r="AV84" i="134"/>
  <c r="AU84" i="134"/>
  <c r="AT84" i="134"/>
  <c r="CL83" i="134"/>
  <c r="CL84" i="134" s="1"/>
  <c r="I83" i="134"/>
  <c r="H83" i="134"/>
  <c r="G83" i="134"/>
  <c r="F83" i="134"/>
  <c r="CK82" i="134"/>
  <c r="CJ82" i="134"/>
  <c r="CI82" i="134"/>
  <c r="CH82" i="134"/>
  <c r="CG82" i="134"/>
  <c r="CF82" i="134"/>
  <c r="CE82" i="134"/>
  <c r="CD82" i="134"/>
  <c r="CC82" i="134"/>
  <c r="CB82" i="134"/>
  <c r="CA82" i="134"/>
  <c r="BZ82" i="134"/>
  <c r="BY82" i="134"/>
  <c r="BX82" i="134"/>
  <c r="BW82" i="134"/>
  <c r="BV82" i="134"/>
  <c r="BU82" i="134"/>
  <c r="BT82" i="134"/>
  <c r="BS82" i="134"/>
  <c r="BR82" i="134"/>
  <c r="BQ82" i="134"/>
  <c r="BP82" i="134"/>
  <c r="BO82" i="134"/>
  <c r="BN82" i="134"/>
  <c r="BM82" i="134"/>
  <c r="BL82" i="134"/>
  <c r="BK82" i="134"/>
  <c r="BJ82" i="134"/>
  <c r="BI82" i="134"/>
  <c r="BH82" i="134"/>
  <c r="BG82" i="134"/>
  <c r="BF82" i="134"/>
  <c r="BE82" i="134"/>
  <c r="BD82" i="134"/>
  <c r="BC82" i="134"/>
  <c r="BB82" i="134"/>
  <c r="BA82" i="134"/>
  <c r="AZ82" i="134"/>
  <c r="AY82" i="134"/>
  <c r="AX82" i="134"/>
  <c r="AW82" i="134"/>
  <c r="AV82" i="134"/>
  <c r="AU82" i="134"/>
  <c r="AT82" i="134"/>
  <c r="CL81" i="134"/>
  <c r="CL82" i="134" s="1"/>
  <c r="AS81" i="134"/>
  <c r="AR81" i="134"/>
  <c r="AQ81" i="134"/>
  <c r="AP81" i="134"/>
  <c r="AO81" i="134"/>
  <c r="AN81" i="134"/>
  <c r="AM81" i="134"/>
  <c r="AL81" i="134"/>
  <c r="AK81" i="134"/>
  <c r="AJ81" i="134"/>
  <c r="AI81" i="134"/>
  <c r="AH81" i="134"/>
  <c r="AG81" i="134"/>
  <c r="AF81" i="134"/>
  <c r="AE81" i="134"/>
  <c r="AD81" i="134"/>
  <c r="AC81" i="134"/>
  <c r="AB81" i="134"/>
  <c r="AA81" i="134"/>
  <c r="Z81" i="134"/>
  <c r="Y81" i="134"/>
  <c r="X81" i="134"/>
  <c r="W81" i="134"/>
  <c r="V81" i="134"/>
  <c r="U81" i="134"/>
  <c r="T81" i="134"/>
  <c r="S81" i="134"/>
  <c r="R81" i="134"/>
  <c r="Q81" i="134"/>
  <c r="P81" i="134"/>
  <c r="O81" i="134"/>
  <c r="N81" i="134"/>
  <c r="M81" i="134"/>
  <c r="L81" i="134"/>
  <c r="K81" i="134"/>
  <c r="I81" i="134"/>
  <c r="H81" i="134"/>
  <c r="G81" i="134"/>
  <c r="F81" i="134"/>
  <c r="CK84" i="125"/>
  <c r="CJ84" i="125"/>
  <c r="CI84" i="125"/>
  <c r="CH84" i="125"/>
  <c r="CG84" i="125"/>
  <c r="CF84" i="125"/>
  <c r="CE84" i="125"/>
  <c r="CD84" i="125"/>
  <c r="CC84" i="125"/>
  <c r="CB84" i="125"/>
  <c r="CA84" i="125"/>
  <c r="BZ84" i="125"/>
  <c r="BY84" i="125"/>
  <c r="BX84" i="125"/>
  <c r="BW84" i="125"/>
  <c r="BV84" i="125"/>
  <c r="BU84" i="125"/>
  <c r="BT84" i="125"/>
  <c r="BS84" i="125"/>
  <c r="BR84" i="125"/>
  <c r="BQ84" i="125"/>
  <c r="BP84" i="125"/>
  <c r="BO84" i="125"/>
  <c r="BN84" i="125"/>
  <c r="BM84" i="125"/>
  <c r="BL84" i="125"/>
  <c r="BK84" i="125"/>
  <c r="BJ84" i="125"/>
  <c r="BI84" i="125"/>
  <c r="BH84" i="125"/>
  <c r="BG84" i="125"/>
  <c r="BF84" i="125"/>
  <c r="BE84" i="125"/>
  <c r="BD84" i="125"/>
  <c r="BC84" i="125"/>
  <c r="BB84" i="125"/>
  <c r="BA84" i="125"/>
  <c r="AZ84" i="125"/>
  <c r="AY84" i="125"/>
  <c r="AX84" i="125"/>
  <c r="AW84" i="125"/>
  <c r="AV84" i="125"/>
  <c r="AU84" i="125"/>
  <c r="AT84" i="125"/>
  <c r="Q80" i="130"/>
  <c r="CK84" i="131"/>
  <c r="CJ84" i="131"/>
  <c r="CI84" i="131"/>
  <c r="CH84" i="131"/>
  <c r="CG84" i="131"/>
  <c r="CF84" i="131"/>
  <c r="CE84" i="131"/>
  <c r="CD84" i="131"/>
  <c r="CC84" i="131"/>
  <c r="CB84" i="131"/>
  <c r="CA84" i="131"/>
  <c r="BZ84" i="131"/>
  <c r="BY84" i="131"/>
  <c r="BX84" i="131"/>
  <c r="BW84" i="131"/>
  <c r="BV84" i="131"/>
  <c r="BU84" i="131"/>
  <c r="BT84" i="131"/>
  <c r="BS84" i="131"/>
  <c r="BR84" i="131"/>
  <c r="BQ84" i="131"/>
  <c r="BP84" i="131"/>
  <c r="BO84" i="131"/>
  <c r="BN84" i="131"/>
  <c r="BM84" i="131"/>
  <c r="BL84" i="131"/>
  <c r="BK84" i="131"/>
  <c r="BJ84" i="131"/>
  <c r="BI84" i="131"/>
  <c r="BH84" i="131"/>
  <c r="BG84" i="131"/>
  <c r="BF84" i="131"/>
  <c r="BE84" i="131"/>
  <c r="BD84" i="131"/>
  <c r="BC84" i="131"/>
  <c r="BB84" i="131"/>
  <c r="BA84" i="131"/>
  <c r="AZ84" i="131"/>
  <c r="AY84" i="131"/>
  <c r="AX84" i="131"/>
  <c r="AW84" i="131"/>
  <c r="AV84" i="131"/>
  <c r="AU84" i="131"/>
  <c r="AT84" i="131"/>
  <c r="CL83" i="131"/>
  <c r="CL84" i="131" s="1"/>
  <c r="CK82" i="131"/>
  <c r="CJ82" i="131"/>
  <c r="CI82" i="131"/>
  <c r="CH82" i="131"/>
  <c r="CG82" i="131"/>
  <c r="CF82" i="131"/>
  <c r="CE82" i="131"/>
  <c r="CD82" i="131"/>
  <c r="CC82" i="131"/>
  <c r="CB82" i="131"/>
  <c r="CA82" i="131"/>
  <c r="BZ82" i="131"/>
  <c r="BY82" i="131"/>
  <c r="BX82" i="131"/>
  <c r="BW82" i="131"/>
  <c r="BV82" i="131"/>
  <c r="BU82" i="131"/>
  <c r="BT82" i="131"/>
  <c r="BS82" i="131"/>
  <c r="BR82" i="131"/>
  <c r="BQ82" i="131"/>
  <c r="BP82" i="131"/>
  <c r="BO82" i="131"/>
  <c r="BN82" i="131"/>
  <c r="BM82" i="131"/>
  <c r="BL82" i="131"/>
  <c r="BK82" i="131"/>
  <c r="BJ82" i="131"/>
  <c r="BI82" i="131"/>
  <c r="BH82" i="131"/>
  <c r="BG82" i="131"/>
  <c r="BF82" i="131"/>
  <c r="BE82" i="131"/>
  <c r="BD82" i="131"/>
  <c r="BC82" i="131"/>
  <c r="BB82" i="131"/>
  <c r="BA82" i="131"/>
  <c r="AZ82" i="131"/>
  <c r="AY82" i="131"/>
  <c r="AX82" i="131"/>
  <c r="AW82" i="131"/>
  <c r="AV82" i="131"/>
  <c r="AU82" i="131"/>
  <c r="AT82" i="131"/>
  <c r="CL81" i="131"/>
  <c r="CL82" i="131" s="1"/>
  <c r="AS81" i="131"/>
  <c r="AR81" i="131"/>
  <c r="AQ81" i="131"/>
  <c r="AP81" i="131"/>
  <c r="AO81" i="131"/>
  <c r="AN81" i="131"/>
  <c r="AM81" i="131"/>
  <c r="AL81" i="131"/>
  <c r="AK81" i="131"/>
  <c r="AJ81" i="131"/>
  <c r="AI81" i="131"/>
  <c r="AH81" i="131"/>
  <c r="AG81" i="131"/>
  <c r="AF81" i="131"/>
  <c r="AE81" i="131"/>
  <c r="AD81" i="131"/>
  <c r="AC81" i="131"/>
  <c r="AB81" i="131"/>
  <c r="AA81" i="131"/>
  <c r="Z81" i="131"/>
  <c r="Y81" i="131"/>
  <c r="X81" i="131"/>
  <c r="W81" i="131"/>
  <c r="V81" i="131"/>
  <c r="U81" i="131"/>
  <c r="T81" i="131"/>
  <c r="S81" i="131"/>
  <c r="R81" i="131"/>
  <c r="Q81" i="131"/>
  <c r="P81" i="131"/>
  <c r="O81" i="131"/>
  <c r="N81" i="131"/>
  <c r="M81" i="131"/>
  <c r="L81" i="131"/>
  <c r="K81" i="131"/>
  <c r="CK84" i="132"/>
  <c r="CJ84" i="132"/>
  <c r="CI84" i="132"/>
  <c r="CH84" i="132"/>
  <c r="CG84" i="132"/>
  <c r="CF84" i="132"/>
  <c r="CE84" i="132"/>
  <c r="CD84" i="132"/>
  <c r="CC84" i="132"/>
  <c r="CB84" i="132"/>
  <c r="CA84" i="132"/>
  <c r="BZ84" i="132"/>
  <c r="BY84" i="132"/>
  <c r="BX84" i="132"/>
  <c r="BW84" i="132"/>
  <c r="BV84" i="132"/>
  <c r="BU84" i="132"/>
  <c r="BT84" i="132"/>
  <c r="BS84" i="132"/>
  <c r="BR84" i="132"/>
  <c r="BQ84" i="132"/>
  <c r="BP84" i="132"/>
  <c r="BO84" i="132"/>
  <c r="BN84" i="132"/>
  <c r="BM84" i="132"/>
  <c r="BL84" i="132"/>
  <c r="BK84" i="132"/>
  <c r="BJ84" i="132"/>
  <c r="BI84" i="132"/>
  <c r="BH84" i="132"/>
  <c r="BG84" i="132"/>
  <c r="BF84" i="132"/>
  <c r="BE84" i="132"/>
  <c r="BD84" i="132"/>
  <c r="BC84" i="132"/>
  <c r="BB84" i="132"/>
  <c r="BA84" i="132"/>
  <c r="AZ84" i="132"/>
  <c r="AY84" i="132"/>
  <c r="AX84" i="132"/>
  <c r="AW84" i="132"/>
  <c r="AV84" i="132"/>
  <c r="AU84" i="132"/>
  <c r="AT84" i="132"/>
  <c r="CL83" i="132"/>
  <c r="CL84" i="132" s="1"/>
  <c r="I83" i="132"/>
  <c r="H83" i="132"/>
  <c r="G83" i="132"/>
  <c r="F83" i="132"/>
  <c r="CK82" i="132"/>
  <c r="CJ82" i="132"/>
  <c r="CI82" i="132"/>
  <c r="CH82" i="132"/>
  <c r="CG82" i="132"/>
  <c r="CF82" i="132"/>
  <c r="CE82" i="132"/>
  <c r="CD82" i="132"/>
  <c r="CC82" i="132"/>
  <c r="CB82" i="132"/>
  <c r="CA82" i="132"/>
  <c r="BZ82" i="132"/>
  <c r="BY82" i="132"/>
  <c r="BX82" i="132"/>
  <c r="BW82" i="132"/>
  <c r="BV82" i="132"/>
  <c r="BU82" i="132"/>
  <c r="BT82" i="132"/>
  <c r="BS82" i="132"/>
  <c r="BR82" i="132"/>
  <c r="BQ82" i="132"/>
  <c r="BP82" i="132"/>
  <c r="BO82" i="132"/>
  <c r="BN82" i="132"/>
  <c r="BM82" i="132"/>
  <c r="BL82" i="132"/>
  <c r="BK82" i="132"/>
  <c r="BJ82" i="132"/>
  <c r="BI82" i="132"/>
  <c r="BH82" i="132"/>
  <c r="BG82" i="132"/>
  <c r="BF82" i="132"/>
  <c r="BE82" i="132"/>
  <c r="BD82" i="132"/>
  <c r="BC82" i="132"/>
  <c r="BB82" i="132"/>
  <c r="BA82" i="132"/>
  <c r="AZ82" i="132"/>
  <c r="AY82" i="132"/>
  <c r="AX82" i="132"/>
  <c r="AW82" i="132"/>
  <c r="AV82" i="132"/>
  <c r="AU82" i="132"/>
  <c r="AT82" i="132"/>
  <c r="CL81" i="132"/>
  <c r="CL82" i="132" s="1"/>
  <c r="AS81" i="132"/>
  <c r="AR81" i="132"/>
  <c r="AQ81" i="132"/>
  <c r="AP81" i="132"/>
  <c r="AO81" i="132"/>
  <c r="AN81" i="132"/>
  <c r="AM81" i="132"/>
  <c r="AL81" i="132"/>
  <c r="AK81" i="132"/>
  <c r="AJ81" i="132"/>
  <c r="AI81" i="132"/>
  <c r="AH81" i="132"/>
  <c r="AG81" i="132"/>
  <c r="AF81" i="132"/>
  <c r="AE81" i="132"/>
  <c r="AD81" i="132"/>
  <c r="AC81" i="132"/>
  <c r="AB81" i="132"/>
  <c r="AA81" i="132"/>
  <c r="Z81" i="132"/>
  <c r="Y81" i="132"/>
  <c r="X81" i="132"/>
  <c r="W81" i="132"/>
  <c r="V81" i="132"/>
  <c r="U81" i="132"/>
  <c r="T81" i="132"/>
  <c r="S81" i="132"/>
  <c r="R81" i="132"/>
  <c r="Q81" i="132"/>
  <c r="P81" i="132"/>
  <c r="O81" i="132"/>
  <c r="N81" i="132"/>
  <c r="M81" i="132"/>
  <c r="L81" i="132"/>
  <c r="K81" i="132"/>
  <c r="I81" i="132"/>
  <c r="H81" i="132"/>
  <c r="G81" i="132"/>
  <c r="F81" i="132"/>
  <c r="CL83" i="130"/>
  <c r="Q84" i="130"/>
  <c r="I83" i="130"/>
  <c r="I84" i="130" s="1"/>
  <c r="H83" i="130"/>
  <c r="H84" i="130" s="1"/>
  <c r="G83" i="130"/>
  <c r="G84" i="130" s="1"/>
  <c r="F83" i="130"/>
  <c r="F84" i="130" s="1"/>
  <c r="CK82" i="130"/>
  <c r="CJ82" i="130"/>
  <c r="CI82" i="130"/>
  <c r="CH82" i="130"/>
  <c r="CG82" i="130"/>
  <c r="CF82" i="130"/>
  <c r="CE82" i="130"/>
  <c r="CD82" i="130"/>
  <c r="CC82" i="130"/>
  <c r="CB82" i="130"/>
  <c r="CA82" i="130"/>
  <c r="BZ82" i="130"/>
  <c r="BY82" i="130"/>
  <c r="BX82" i="130"/>
  <c r="BW82" i="130"/>
  <c r="BV82" i="130"/>
  <c r="BU82" i="130"/>
  <c r="BT82" i="130"/>
  <c r="BS82" i="130"/>
  <c r="BR82" i="130"/>
  <c r="BQ82" i="130"/>
  <c r="BP82" i="130"/>
  <c r="BO82" i="130"/>
  <c r="BN82" i="130"/>
  <c r="BM82" i="130"/>
  <c r="BL82" i="130"/>
  <c r="BK82" i="130"/>
  <c r="BJ82" i="130"/>
  <c r="BI82" i="130"/>
  <c r="BH82" i="130"/>
  <c r="BG82" i="130"/>
  <c r="BF82" i="130"/>
  <c r="BE82" i="130"/>
  <c r="BD82" i="130"/>
  <c r="BC82" i="130"/>
  <c r="BB82" i="130"/>
  <c r="BA82" i="130"/>
  <c r="AZ82" i="130"/>
  <c r="AY82" i="130"/>
  <c r="AX82" i="130"/>
  <c r="AW82" i="130"/>
  <c r="AV82" i="130"/>
  <c r="AU82" i="130"/>
  <c r="AT82" i="130"/>
  <c r="CL81" i="130"/>
  <c r="AS81" i="130"/>
  <c r="AR81" i="130"/>
  <c r="AQ81" i="130"/>
  <c r="AP81" i="130"/>
  <c r="AO81" i="130"/>
  <c r="AN81" i="130"/>
  <c r="AM81" i="130"/>
  <c r="AL81" i="130"/>
  <c r="AK81" i="130"/>
  <c r="AJ81" i="130"/>
  <c r="AI81" i="130"/>
  <c r="AH81" i="130"/>
  <c r="AG81" i="130"/>
  <c r="AF81" i="130"/>
  <c r="AE81" i="130"/>
  <c r="AD81" i="130"/>
  <c r="AC81" i="130"/>
  <c r="AB81" i="130"/>
  <c r="AA81" i="130"/>
  <c r="Z81" i="130"/>
  <c r="Y81" i="130"/>
  <c r="X81" i="130"/>
  <c r="W81" i="130"/>
  <c r="V81" i="130"/>
  <c r="U81" i="130"/>
  <c r="T81" i="130"/>
  <c r="S81" i="130"/>
  <c r="R81" i="130"/>
  <c r="Q81" i="130"/>
  <c r="P81" i="130"/>
  <c r="O81" i="130"/>
  <c r="N81" i="130"/>
  <c r="M81" i="130"/>
  <c r="L81" i="130"/>
  <c r="K81" i="130"/>
  <c r="I81" i="130"/>
  <c r="I82" i="130" s="1"/>
  <c r="H81" i="130"/>
  <c r="H82" i="130" s="1"/>
  <c r="G81" i="130"/>
  <c r="G82" i="130" s="1"/>
  <c r="F81" i="130"/>
  <c r="F82" i="130" s="1"/>
  <c r="CK84" i="127"/>
  <c r="CJ84" i="127"/>
  <c r="CI84" i="127"/>
  <c r="CH84" i="127"/>
  <c r="CG84" i="127"/>
  <c r="CF84" i="127"/>
  <c r="CE84" i="127"/>
  <c r="CD84" i="127"/>
  <c r="CC84" i="127"/>
  <c r="CB84" i="127"/>
  <c r="CA84" i="127"/>
  <c r="BZ84" i="127"/>
  <c r="BY84" i="127"/>
  <c r="BX84" i="127"/>
  <c r="BW84" i="127"/>
  <c r="BV84" i="127"/>
  <c r="BU84" i="127"/>
  <c r="BT84" i="127"/>
  <c r="BS84" i="127"/>
  <c r="BR84" i="127"/>
  <c r="BQ84" i="127"/>
  <c r="BP84" i="127"/>
  <c r="BO84" i="127"/>
  <c r="BN84" i="127"/>
  <c r="BM84" i="127"/>
  <c r="BL84" i="127"/>
  <c r="BK84" i="127"/>
  <c r="BJ84" i="127"/>
  <c r="BI84" i="127"/>
  <c r="BH84" i="127"/>
  <c r="BG84" i="127"/>
  <c r="BF84" i="127"/>
  <c r="BE84" i="127"/>
  <c r="BD84" i="127"/>
  <c r="BC84" i="127"/>
  <c r="BB84" i="127"/>
  <c r="BA84" i="127"/>
  <c r="AZ84" i="127"/>
  <c r="AY84" i="127"/>
  <c r="AX84" i="127"/>
  <c r="AW84" i="127"/>
  <c r="AV84" i="127"/>
  <c r="AU84" i="127"/>
  <c r="AT84" i="127"/>
  <c r="CL83" i="127"/>
  <c r="I83" i="127"/>
  <c r="I84" i="127" s="1"/>
  <c r="H83" i="127"/>
  <c r="H84" i="127" s="1"/>
  <c r="G83" i="127"/>
  <c r="G84" i="127" s="1"/>
  <c r="F83" i="127"/>
  <c r="F84" i="127" s="1"/>
  <c r="CK82" i="127"/>
  <c r="CJ82" i="127"/>
  <c r="CI82" i="127"/>
  <c r="CH82" i="127"/>
  <c r="CG82" i="127"/>
  <c r="CF82" i="127"/>
  <c r="CE82" i="127"/>
  <c r="CD82" i="127"/>
  <c r="CC82" i="127"/>
  <c r="CB82" i="127"/>
  <c r="CA82" i="127"/>
  <c r="BZ82" i="127"/>
  <c r="BY82" i="127"/>
  <c r="BX82" i="127"/>
  <c r="BW82" i="127"/>
  <c r="BV82" i="127"/>
  <c r="BU82" i="127"/>
  <c r="BT82" i="127"/>
  <c r="BS82" i="127"/>
  <c r="BR82" i="127"/>
  <c r="BQ82" i="127"/>
  <c r="BP82" i="127"/>
  <c r="BO82" i="127"/>
  <c r="BN82" i="127"/>
  <c r="BM82" i="127"/>
  <c r="BL82" i="127"/>
  <c r="BK82" i="127"/>
  <c r="BJ82" i="127"/>
  <c r="BI82" i="127"/>
  <c r="BH82" i="127"/>
  <c r="BG82" i="127"/>
  <c r="BF82" i="127"/>
  <c r="BE82" i="127"/>
  <c r="BD82" i="127"/>
  <c r="BC82" i="127"/>
  <c r="BB82" i="127"/>
  <c r="BA82" i="127"/>
  <c r="AZ82" i="127"/>
  <c r="AY82" i="127"/>
  <c r="AX82" i="127"/>
  <c r="AW82" i="127"/>
  <c r="AV82" i="127"/>
  <c r="AU82" i="127"/>
  <c r="AT82" i="127"/>
  <c r="CL81" i="127"/>
  <c r="AS81" i="127"/>
  <c r="AR81" i="127"/>
  <c r="AQ81" i="127"/>
  <c r="AP81" i="127"/>
  <c r="AO81" i="127"/>
  <c r="AN81" i="127"/>
  <c r="AM81" i="127"/>
  <c r="AL81" i="127"/>
  <c r="AK81" i="127"/>
  <c r="AJ81" i="127"/>
  <c r="AI81" i="127"/>
  <c r="AH81" i="127"/>
  <c r="AG81" i="127"/>
  <c r="AF81" i="127"/>
  <c r="AE81" i="127"/>
  <c r="AD81" i="127"/>
  <c r="AC81" i="127"/>
  <c r="AB81" i="127"/>
  <c r="AA81" i="127"/>
  <c r="Z81" i="127"/>
  <c r="Y81" i="127"/>
  <c r="X81" i="127"/>
  <c r="W81" i="127"/>
  <c r="V81" i="127"/>
  <c r="U81" i="127"/>
  <c r="T81" i="127"/>
  <c r="S81" i="127"/>
  <c r="R81" i="127"/>
  <c r="Q81" i="127"/>
  <c r="P81" i="127"/>
  <c r="O81" i="127"/>
  <c r="N81" i="127"/>
  <c r="M81" i="127"/>
  <c r="L81" i="127"/>
  <c r="K81" i="127"/>
  <c r="I81" i="127"/>
  <c r="I82" i="127"/>
  <c r="H81" i="127"/>
  <c r="H82" i="127"/>
  <c r="G81" i="127"/>
  <c r="G82" i="127"/>
  <c r="F81" i="127"/>
  <c r="F82" i="127" s="1"/>
  <c r="CL83" i="125"/>
  <c r="CL84" i="125" s="1"/>
  <c r="I83" i="125"/>
  <c r="H83" i="125"/>
  <c r="G83" i="125"/>
  <c r="F83" i="125"/>
  <c r="CK82" i="125"/>
  <c r="CJ82" i="125"/>
  <c r="CI82" i="125"/>
  <c r="CH82" i="125"/>
  <c r="CG82" i="125"/>
  <c r="CF82" i="125"/>
  <c r="CE82" i="125"/>
  <c r="CD82" i="125"/>
  <c r="CC82" i="125"/>
  <c r="CB82" i="125"/>
  <c r="CA82" i="125"/>
  <c r="BZ82" i="125"/>
  <c r="BY82" i="125"/>
  <c r="BX82" i="125"/>
  <c r="BW82" i="125"/>
  <c r="BV82" i="125"/>
  <c r="BU82" i="125"/>
  <c r="BT82" i="125"/>
  <c r="BS82" i="125"/>
  <c r="BR82" i="125"/>
  <c r="BQ82" i="125"/>
  <c r="BP82" i="125"/>
  <c r="BO82" i="125"/>
  <c r="BN82" i="125"/>
  <c r="BM82" i="125"/>
  <c r="BL82" i="125"/>
  <c r="BK82" i="125"/>
  <c r="BJ82" i="125"/>
  <c r="BI82" i="125"/>
  <c r="BH82" i="125"/>
  <c r="BG82" i="125"/>
  <c r="BF82" i="125"/>
  <c r="BE82" i="125"/>
  <c r="BD82" i="125"/>
  <c r="BC82" i="125"/>
  <c r="BB82" i="125"/>
  <c r="BA82" i="125"/>
  <c r="AZ82" i="125"/>
  <c r="AY82" i="125"/>
  <c r="AX82" i="125"/>
  <c r="AW82" i="125"/>
  <c r="AV82" i="125"/>
  <c r="AU82" i="125"/>
  <c r="AT82" i="125"/>
  <c r="CL81" i="125"/>
  <c r="CL82" i="125" s="1"/>
  <c r="AS81" i="125"/>
  <c r="AR81" i="125"/>
  <c r="AQ81" i="125"/>
  <c r="AP81" i="125"/>
  <c r="AO81" i="125"/>
  <c r="AN81" i="125"/>
  <c r="AM81" i="125"/>
  <c r="AL81" i="125"/>
  <c r="AK81" i="125"/>
  <c r="AJ81" i="125"/>
  <c r="AI81" i="125"/>
  <c r="AH81" i="125"/>
  <c r="AG81" i="125"/>
  <c r="AF81" i="125"/>
  <c r="AE81" i="125"/>
  <c r="AD81" i="125"/>
  <c r="AC81" i="125"/>
  <c r="AB81" i="125"/>
  <c r="AA81" i="125"/>
  <c r="Z81" i="125"/>
  <c r="Y81" i="125"/>
  <c r="X81" i="125"/>
  <c r="W81" i="125"/>
  <c r="V81" i="125"/>
  <c r="U81" i="125"/>
  <c r="T81" i="125"/>
  <c r="S81" i="125"/>
  <c r="R81" i="125"/>
  <c r="Q81" i="125"/>
  <c r="P81" i="125"/>
  <c r="O81" i="125"/>
  <c r="N81" i="125"/>
  <c r="M81" i="125"/>
  <c r="L81" i="125"/>
  <c r="K81" i="125"/>
  <c r="I81" i="125"/>
  <c r="H81" i="125"/>
  <c r="G81" i="125"/>
  <c r="F81" i="125"/>
  <c r="CK84" i="120"/>
  <c r="CJ84" i="120"/>
  <c r="CI84" i="120"/>
  <c r="CH84" i="120"/>
  <c r="CG84" i="120"/>
  <c r="CF84" i="120"/>
  <c r="CE84" i="120"/>
  <c r="CD84" i="120"/>
  <c r="CC84" i="120"/>
  <c r="CB84" i="120"/>
  <c r="CA84" i="120"/>
  <c r="BZ84" i="120"/>
  <c r="BY84" i="120"/>
  <c r="BX84" i="120"/>
  <c r="BW84" i="120"/>
  <c r="BV84" i="120"/>
  <c r="BU84" i="120"/>
  <c r="BS84" i="120"/>
  <c r="BR84" i="120"/>
  <c r="BQ84" i="120"/>
  <c r="BP84" i="120"/>
  <c r="BO84" i="120"/>
  <c r="BN84" i="120"/>
  <c r="BM84" i="120"/>
  <c r="BL84" i="120"/>
  <c r="BK84" i="120"/>
  <c r="BJ84" i="120"/>
  <c r="BI84" i="120"/>
  <c r="BH84" i="120"/>
  <c r="BG84" i="120"/>
  <c r="BF84" i="120"/>
  <c r="BE84" i="120"/>
  <c r="BD84" i="120"/>
  <c r="BC84" i="120"/>
  <c r="BB84" i="120"/>
  <c r="BA84" i="120"/>
  <c r="AZ84" i="120"/>
  <c r="AY84" i="120"/>
  <c r="AX84" i="120"/>
  <c r="AW84" i="120"/>
  <c r="AV84" i="120"/>
  <c r="AU84" i="120"/>
  <c r="AT84" i="120"/>
  <c r="CL83" i="120"/>
  <c r="I83" i="120"/>
  <c r="H83" i="120"/>
  <c r="G83" i="120"/>
  <c r="F83" i="120"/>
  <c r="CK82" i="120"/>
  <c r="CJ82" i="120"/>
  <c r="CI82" i="120"/>
  <c r="CH82" i="120"/>
  <c r="CG82" i="120"/>
  <c r="CF82" i="120"/>
  <c r="CE82" i="120"/>
  <c r="CD82" i="120"/>
  <c r="CC82" i="120"/>
  <c r="CB82" i="120"/>
  <c r="CA82" i="120"/>
  <c r="BZ82" i="120"/>
  <c r="BY82" i="120"/>
  <c r="BX82" i="120"/>
  <c r="BW82" i="120"/>
  <c r="BV82" i="120"/>
  <c r="BU82" i="120"/>
  <c r="BS82" i="120"/>
  <c r="BR82" i="120"/>
  <c r="BQ82" i="120"/>
  <c r="BP82" i="120"/>
  <c r="BO82" i="120"/>
  <c r="BN82" i="120"/>
  <c r="BM82" i="120"/>
  <c r="BL82" i="120"/>
  <c r="BK82" i="120"/>
  <c r="BJ82" i="120"/>
  <c r="BI82" i="120"/>
  <c r="BH82" i="120"/>
  <c r="BG82" i="120"/>
  <c r="BF82" i="120"/>
  <c r="BE82" i="120"/>
  <c r="BD82" i="120"/>
  <c r="BC82" i="120"/>
  <c r="BB82" i="120"/>
  <c r="BA82" i="120"/>
  <c r="AZ82" i="120"/>
  <c r="AY82" i="120"/>
  <c r="AX82" i="120"/>
  <c r="AW82" i="120"/>
  <c r="AV82" i="120"/>
  <c r="AU82" i="120"/>
  <c r="AT82" i="120"/>
  <c r="CL81" i="120"/>
  <c r="AS81" i="120"/>
  <c r="AR81" i="120"/>
  <c r="AQ81" i="120"/>
  <c r="AP81" i="120"/>
  <c r="AO81" i="120"/>
  <c r="AN81" i="120"/>
  <c r="AM81" i="120"/>
  <c r="AL81" i="120"/>
  <c r="AK81" i="120"/>
  <c r="AJ81" i="120"/>
  <c r="AI81" i="120"/>
  <c r="AH81" i="120"/>
  <c r="AG81" i="120"/>
  <c r="AF81" i="120"/>
  <c r="AE81" i="120"/>
  <c r="AD81" i="120"/>
  <c r="AC81" i="120"/>
  <c r="AB81" i="120"/>
  <c r="AA81" i="120"/>
  <c r="Z81" i="120"/>
  <c r="Y81" i="120"/>
  <c r="X81" i="120"/>
  <c r="W81" i="120"/>
  <c r="V81" i="120"/>
  <c r="U81" i="120"/>
  <c r="T81" i="120"/>
  <c r="S81" i="120"/>
  <c r="R81" i="120"/>
  <c r="Q81" i="120"/>
  <c r="P81" i="120"/>
  <c r="O81" i="120"/>
  <c r="N81" i="120"/>
  <c r="M81" i="120"/>
  <c r="L81" i="120"/>
  <c r="K81" i="120"/>
  <c r="I81" i="120"/>
  <c r="H81" i="120"/>
  <c r="G81" i="120"/>
  <c r="F81" i="120"/>
  <c r="CK84" i="135"/>
  <c r="CJ84" i="135"/>
  <c r="CI84" i="135"/>
  <c r="CH84" i="135"/>
  <c r="CG84" i="135"/>
  <c r="CF84" i="135"/>
  <c r="CE84" i="135"/>
  <c r="CD84" i="135"/>
  <c r="CC84" i="135"/>
  <c r="CB84" i="135"/>
  <c r="CA84" i="135"/>
  <c r="BZ84" i="135"/>
  <c r="BY84" i="135"/>
  <c r="BX84" i="135"/>
  <c r="BW84" i="135"/>
  <c r="BV84" i="135"/>
  <c r="BU84" i="135"/>
  <c r="BT84" i="135"/>
  <c r="BS84" i="135"/>
  <c r="BR84" i="135"/>
  <c r="BQ84" i="135"/>
  <c r="BP84" i="135"/>
  <c r="BO84" i="135"/>
  <c r="BN84" i="135"/>
  <c r="BM84" i="135"/>
  <c r="BL84" i="135"/>
  <c r="BK84" i="135"/>
  <c r="BJ84" i="135"/>
  <c r="BI84" i="135"/>
  <c r="BH84" i="135"/>
  <c r="BG84" i="135"/>
  <c r="BF84" i="135"/>
  <c r="BE84" i="135"/>
  <c r="BD84" i="135"/>
  <c r="BC84" i="135"/>
  <c r="BB84" i="135"/>
  <c r="BA84" i="135"/>
  <c r="AZ84" i="135"/>
  <c r="AY84" i="135"/>
  <c r="AX84" i="135"/>
  <c r="AW84" i="135"/>
  <c r="AV84" i="135"/>
  <c r="AU84" i="135"/>
  <c r="AT84" i="135"/>
  <c r="CL83" i="135"/>
  <c r="CL84" i="135" s="1"/>
  <c r="I83" i="135"/>
  <c r="H83" i="135"/>
  <c r="G83" i="135"/>
  <c r="F83" i="135"/>
  <c r="CK82" i="135"/>
  <c r="CJ82" i="135"/>
  <c r="CI82" i="135"/>
  <c r="CH82" i="135"/>
  <c r="CG82" i="135"/>
  <c r="CF82" i="135"/>
  <c r="CE82" i="135"/>
  <c r="CD82" i="135"/>
  <c r="CC82" i="135"/>
  <c r="CB82" i="135"/>
  <c r="CA82" i="135"/>
  <c r="BZ82" i="135"/>
  <c r="BY82" i="135"/>
  <c r="BX82" i="135"/>
  <c r="BW82" i="135"/>
  <c r="BV82" i="135"/>
  <c r="BU82" i="135"/>
  <c r="BT82" i="135"/>
  <c r="BS82" i="135"/>
  <c r="BR82" i="135"/>
  <c r="BQ82" i="135"/>
  <c r="BP82" i="135"/>
  <c r="BO82" i="135"/>
  <c r="BN82" i="135"/>
  <c r="BM82" i="135"/>
  <c r="BL82" i="135"/>
  <c r="BK82" i="135"/>
  <c r="BJ82" i="135"/>
  <c r="BI82" i="135"/>
  <c r="BH82" i="135"/>
  <c r="BG82" i="135"/>
  <c r="BF82" i="135"/>
  <c r="BE82" i="135"/>
  <c r="BD82" i="135"/>
  <c r="BC82" i="135"/>
  <c r="BB82" i="135"/>
  <c r="BA82" i="135"/>
  <c r="AZ82" i="135"/>
  <c r="AY82" i="135"/>
  <c r="AX82" i="135"/>
  <c r="AW82" i="135"/>
  <c r="AV82" i="135"/>
  <c r="AU82" i="135"/>
  <c r="AT82" i="135"/>
  <c r="CL81" i="135"/>
  <c r="CL82" i="135" s="1"/>
  <c r="AS81" i="135"/>
  <c r="AR81" i="135"/>
  <c r="AQ81" i="135"/>
  <c r="AP81" i="135"/>
  <c r="AO81" i="135"/>
  <c r="AN81" i="135"/>
  <c r="AM81" i="135"/>
  <c r="AL81" i="135"/>
  <c r="AK81" i="135"/>
  <c r="AJ81" i="135"/>
  <c r="AI81" i="135"/>
  <c r="AH81" i="135"/>
  <c r="AG81" i="135"/>
  <c r="AF81" i="135"/>
  <c r="AE81" i="135"/>
  <c r="AD81" i="135"/>
  <c r="AC81" i="135"/>
  <c r="AB81" i="135"/>
  <c r="AA81" i="135"/>
  <c r="Z81" i="135"/>
  <c r="Y81" i="135"/>
  <c r="X81" i="135"/>
  <c r="W81" i="135"/>
  <c r="V81" i="135"/>
  <c r="U81" i="135"/>
  <c r="T81" i="135"/>
  <c r="S81" i="135"/>
  <c r="R81" i="135"/>
  <c r="Q81" i="135"/>
  <c r="P81" i="135"/>
  <c r="O81" i="135"/>
  <c r="N81" i="135"/>
  <c r="M81" i="135"/>
  <c r="L81" i="135"/>
  <c r="K81" i="135"/>
  <c r="I81" i="135"/>
  <c r="H81" i="135"/>
  <c r="G81" i="135"/>
  <c r="F81" i="135"/>
  <c r="CK84" i="136"/>
  <c r="CJ84" i="136"/>
  <c r="CI84" i="136"/>
  <c r="CH84" i="136"/>
  <c r="CG84" i="136"/>
  <c r="CF84" i="136"/>
  <c r="CE84" i="136"/>
  <c r="CD84" i="136"/>
  <c r="CC84" i="136"/>
  <c r="CB84" i="136"/>
  <c r="CA84" i="136"/>
  <c r="BZ84" i="136"/>
  <c r="BY84" i="136"/>
  <c r="BX84" i="136"/>
  <c r="BW84" i="136"/>
  <c r="BV84" i="136"/>
  <c r="BU84" i="136"/>
  <c r="BS84" i="136"/>
  <c r="BR84" i="136"/>
  <c r="BQ84" i="136"/>
  <c r="BP84" i="136"/>
  <c r="BO84" i="136"/>
  <c r="BN84" i="136"/>
  <c r="BM84" i="136"/>
  <c r="BL84" i="136"/>
  <c r="BK84" i="136"/>
  <c r="BJ84" i="136"/>
  <c r="BI84" i="136"/>
  <c r="BH84" i="136"/>
  <c r="BG84" i="136"/>
  <c r="BF84" i="136"/>
  <c r="BE84" i="136"/>
  <c r="BD84" i="136"/>
  <c r="BC84" i="136"/>
  <c r="BB84" i="136"/>
  <c r="BA84" i="136"/>
  <c r="AZ84" i="136"/>
  <c r="AY84" i="136"/>
  <c r="AX84" i="136"/>
  <c r="AW84" i="136"/>
  <c r="AV84" i="136"/>
  <c r="AU84" i="136"/>
  <c r="AT84" i="136"/>
  <c r="CL83" i="136"/>
  <c r="I83" i="136"/>
  <c r="H83" i="136"/>
  <c r="G83" i="136"/>
  <c r="F83" i="136"/>
  <c r="CK82" i="136"/>
  <c r="CJ82" i="136"/>
  <c r="CI82" i="136"/>
  <c r="CH82" i="136"/>
  <c r="CG82" i="136"/>
  <c r="CF82" i="136"/>
  <c r="CE82" i="136"/>
  <c r="CD82" i="136"/>
  <c r="CC82" i="136"/>
  <c r="CB82" i="136"/>
  <c r="CA82" i="136"/>
  <c r="BZ82" i="136"/>
  <c r="BY82" i="136"/>
  <c r="BX82" i="136"/>
  <c r="BW82" i="136"/>
  <c r="BV82" i="136"/>
  <c r="BU82" i="136"/>
  <c r="BS82" i="136"/>
  <c r="BR82" i="136"/>
  <c r="BQ82" i="136"/>
  <c r="BP82" i="136"/>
  <c r="BO82" i="136"/>
  <c r="BN82" i="136"/>
  <c r="BM82" i="136"/>
  <c r="BL82" i="136"/>
  <c r="BK82" i="136"/>
  <c r="BJ82" i="136"/>
  <c r="BI82" i="136"/>
  <c r="BH82" i="136"/>
  <c r="BG82" i="136"/>
  <c r="BF82" i="136"/>
  <c r="BE82" i="136"/>
  <c r="BD82" i="136"/>
  <c r="BC82" i="136"/>
  <c r="BB82" i="136"/>
  <c r="BA82" i="136"/>
  <c r="AZ82" i="136"/>
  <c r="AY82" i="136"/>
  <c r="AX82" i="136"/>
  <c r="AW82" i="136"/>
  <c r="AV82" i="136"/>
  <c r="AU82" i="136"/>
  <c r="AT82" i="136"/>
  <c r="CL81" i="136"/>
  <c r="AS81" i="136"/>
  <c r="AR81" i="136"/>
  <c r="AQ81" i="136"/>
  <c r="AP81" i="136"/>
  <c r="AO81" i="136"/>
  <c r="AN81" i="136"/>
  <c r="AM81" i="136"/>
  <c r="AL81" i="136"/>
  <c r="AK81" i="136"/>
  <c r="AJ81" i="136"/>
  <c r="AI81" i="136"/>
  <c r="AH81" i="136"/>
  <c r="AG81" i="136"/>
  <c r="AF81" i="136"/>
  <c r="AE81" i="136"/>
  <c r="AD81" i="136"/>
  <c r="AC81" i="136"/>
  <c r="AB81" i="136"/>
  <c r="AA81" i="136"/>
  <c r="Z81" i="136"/>
  <c r="Y81" i="136"/>
  <c r="X81" i="136"/>
  <c r="W81" i="136"/>
  <c r="V81" i="136"/>
  <c r="U81" i="136"/>
  <c r="T81" i="136"/>
  <c r="S81" i="136"/>
  <c r="R81" i="136"/>
  <c r="Q81" i="136"/>
  <c r="P81" i="136"/>
  <c r="O81" i="136"/>
  <c r="N81" i="136"/>
  <c r="M81" i="136"/>
  <c r="L81" i="136"/>
  <c r="K81" i="136"/>
  <c r="I81" i="136"/>
  <c r="H81" i="136"/>
  <c r="G81" i="136"/>
  <c r="F81" i="136"/>
  <c r="CK84" i="138"/>
  <c r="CJ84" i="138"/>
  <c r="CI84" i="138"/>
  <c r="CH84" i="138"/>
  <c r="CG84" i="138"/>
  <c r="CF84" i="138"/>
  <c r="CE84" i="138"/>
  <c r="CD84" i="138"/>
  <c r="CC84" i="138"/>
  <c r="CB84" i="138"/>
  <c r="CA84" i="138"/>
  <c r="BZ84" i="138"/>
  <c r="BY84" i="138"/>
  <c r="BX84" i="138"/>
  <c r="BW84" i="138"/>
  <c r="BV84" i="138"/>
  <c r="BU84" i="138"/>
  <c r="BT84" i="138"/>
  <c r="BS84" i="138"/>
  <c r="BR84" i="138"/>
  <c r="BQ84" i="138"/>
  <c r="BP84" i="138"/>
  <c r="BO84" i="138"/>
  <c r="BN84" i="138"/>
  <c r="BM84" i="138"/>
  <c r="BL84" i="138"/>
  <c r="BK84" i="138"/>
  <c r="BJ84" i="138"/>
  <c r="BI84" i="138"/>
  <c r="BH84" i="138"/>
  <c r="BG84" i="138"/>
  <c r="BF84" i="138"/>
  <c r="BE84" i="138"/>
  <c r="BD84" i="138"/>
  <c r="BC84" i="138"/>
  <c r="BB84" i="138"/>
  <c r="BA84" i="138"/>
  <c r="AZ84" i="138"/>
  <c r="AY84" i="138"/>
  <c r="AX84" i="138"/>
  <c r="AW84" i="138"/>
  <c r="AV84" i="138"/>
  <c r="AU84" i="138"/>
  <c r="AT84" i="138"/>
  <c r="CL83" i="138"/>
  <c r="CL84" i="138" s="1"/>
  <c r="I83" i="138"/>
  <c r="H83" i="138"/>
  <c r="G83" i="138"/>
  <c r="F83" i="138"/>
  <c r="CK82" i="138"/>
  <c r="CJ82" i="138"/>
  <c r="CI82" i="138"/>
  <c r="CH82" i="138"/>
  <c r="CG82" i="138"/>
  <c r="CF82" i="138"/>
  <c r="CE82" i="138"/>
  <c r="CD82" i="138"/>
  <c r="CC82" i="138"/>
  <c r="CB82" i="138"/>
  <c r="CA82" i="138"/>
  <c r="BZ82" i="138"/>
  <c r="BY82" i="138"/>
  <c r="BX82" i="138"/>
  <c r="BW82" i="138"/>
  <c r="BV82" i="138"/>
  <c r="BU82" i="138"/>
  <c r="BT82" i="138"/>
  <c r="BS82" i="138"/>
  <c r="BR82" i="138"/>
  <c r="BQ82" i="138"/>
  <c r="BP82" i="138"/>
  <c r="BO82" i="138"/>
  <c r="BN82" i="138"/>
  <c r="BM82" i="138"/>
  <c r="BL82" i="138"/>
  <c r="BK82" i="138"/>
  <c r="BJ82" i="138"/>
  <c r="BI82" i="138"/>
  <c r="BH82" i="138"/>
  <c r="BG82" i="138"/>
  <c r="BF82" i="138"/>
  <c r="BE82" i="138"/>
  <c r="BD82" i="138"/>
  <c r="BC82" i="138"/>
  <c r="BB82" i="138"/>
  <c r="BA82" i="138"/>
  <c r="AZ82" i="138"/>
  <c r="AY82" i="138"/>
  <c r="AX82" i="138"/>
  <c r="AW82" i="138"/>
  <c r="AV82" i="138"/>
  <c r="AU82" i="138"/>
  <c r="AT82" i="138"/>
  <c r="CL81" i="138"/>
  <c r="CL82" i="138"/>
  <c r="AS81" i="138"/>
  <c r="AR81" i="138"/>
  <c r="AQ81" i="138"/>
  <c r="AP81" i="138"/>
  <c r="AO81" i="138"/>
  <c r="AN81" i="138"/>
  <c r="AM81" i="138"/>
  <c r="AL81" i="138"/>
  <c r="AK81" i="138"/>
  <c r="AJ81" i="138"/>
  <c r="AI81" i="138"/>
  <c r="AH81" i="138"/>
  <c r="AG81" i="138"/>
  <c r="AF81" i="138"/>
  <c r="AE81" i="138"/>
  <c r="AD81" i="138"/>
  <c r="AC81" i="138"/>
  <c r="AB81" i="138"/>
  <c r="AA81" i="138"/>
  <c r="Z81" i="138"/>
  <c r="Y81" i="138"/>
  <c r="X81" i="138"/>
  <c r="W81" i="138"/>
  <c r="V81" i="138"/>
  <c r="U81" i="138"/>
  <c r="T81" i="138"/>
  <c r="S81" i="138"/>
  <c r="R81" i="138"/>
  <c r="Q81" i="138"/>
  <c r="P81" i="138"/>
  <c r="O81" i="138"/>
  <c r="N81" i="138"/>
  <c r="M81" i="138"/>
  <c r="L81" i="138"/>
  <c r="K81" i="138"/>
  <c r="I81" i="138"/>
  <c r="H81" i="138"/>
  <c r="G81" i="138"/>
  <c r="F81" i="138"/>
  <c r="CK84" i="140"/>
  <c r="CJ84" i="140"/>
  <c r="CI84" i="140"/>
  <c r="CH84" i="140"/>
  <c r="CG84" i="140"/>
  <c r="CF84" i="140"/>
  <c r="CE84" i="140"/>
  <c r="CD84" i="140"/>
  <c r="CC84" i="140"/>
  <c r="CB84" i="140"/>
  <c r="CA84" i="140"/>
  <c r="BZ84" i="140"/>
  <c r="BY84" i="140"/>
  <c r="BX84" i="140"/>
  <c r="BW84" i="140"/>
  <c r="BV84" i="140"/>
  <c r="BU84" i="140"/>
  <c r="BT84" i="140"/>
  <c r="BS84" i="140"/>
  <c r="BR84" i="140"/>
  <c r="BQ84" i="140"/>
  <c r="BP84" i="140"/>
  <c r="BO84" i="140"/>
  <c r="BN84" i="140"/>
  <c r="BM84" i="140"/>
  <c r="BL84" i="140"/>
  <c r="BK84" i="140"/>
  <c r="BJ84" i="140"/>
  <c r="BI84" i="140"/>
  <c r="BH84" i="140"/>
  <c r="BG84" i="140"/>
  <c r="BF84" i="140"/>
  <c r="BE84" i="140"/>
  <c r="BD84" i="140"/>
  <c r="BC84" i="140"/>
  <c r="BB84" i="140"/>
  <c r="BA84" i="140"/>
  <c r="AZ84" i="140"/>
  <c r="AY84" i="140"/>
  <c r="AX84" i="140"/>
  <c r="AW84" i="140"/>
  <c r="AV84" i="140"/>
  <c r="AU84" i="140"/>
  <c r="AT84" i="140"/>
  <c r="CL83" i="140"/>
  <c r="CL84" i="140" s="1"/>
  <c r="I83" i="140"/>
  <c r="H83" i="140"/>
  <c r="G83" i="140"/>
  <c r="F83" i="140"/>
  <c r="CK82" i="140"/>
  <c r="CJ82" i="140"/>
  <c r="CI82" i="140"/>
  <c r="CH82" i="140"/>
  <c r="CG82" i="140"/>
  <c r="CF82" i="140"/>
  <c r="CE82" i="140"/>
  <c r="CD82" i="140"/>
  <c r="CC82" i="140"/>
  <c r="CB82" i="140"/>
  <c r="CA82" i="140"/>
  <c r="BZ82" i="140"/>
  <c r="BY82" i="140"/>
  <c r="BX82" i="140"/>
  <c r="BW82" i="140"/>
  <c r="BV82" i="140"/>
  <c r="BU82" i="140"/>
  <c r="BT82" i="140"/>
  <c r="BS82" i="140"/>
  <c r="BR82" i="140"/>
  <c r="BQ82" i="140"/>
  <c r="BP82" i="140"/>
  <c r="BO82" i="140"/>
  <c r="BN82" i="140"/>
  <c r="BM82" i="140"/>
  <c r="BL82" i="140"/>
  <c r="BK82" i="140"/>
  <c r="BJ82" i="140"/>
  <c r="BI82" i="140"/>
  <c r="BH82" i="140"/>
  <c r="BG82" i="140"/>
  <c r="BF82" i="140"/>
  <c r="BE82" i="140"/>
  <c r="BD82" i="140"/>
  <c r="BC82" i="140"/>
  <c r="BB82" i="140"/>
  <c r="BA82" i="140"/>
  <c r="AZ82" i="140"/>
  <c r="AY82" i="140"/>
  <c r="AX82" i="140"/>
  <c r="AW82" i="140"/>
  <c r="AV82" i="140"/>
  <c r="AU82" i="140"/>
  <c r="AT82" i="140"/>
  <c r="CL81" i="140"/>
  <c r="CL82" i="140" s="1"/>
  <c r="AS81" i="140"/>
  <c r="AR81" i="140"/>
  <c r="AQ81" i="140"/>
  <c r="AP81" i="140"/>
  <c r="AO81" i="140"/>
  <c r="AN81" i="140"/>
  <c r="AM81" i="140"/>
  <c r="AL81" i="140"/>
  <c r="AK81" i="140"/>
  <c r="AJ81" i="140"/>
  <c r="AI81" i="140"/>
  <c r="AH81" i="140"/>
  <c r="AG81" i="140"/>
  <c r="AF81" i="140"/>
  <c r="AE81" i="140"/>
  <c r="AD81" i="140"/>
  <c r="AC81" i="140"/>
  <c r="AB81" i="140"/>
  <c r="AA81" i="140"/>
  <c r="Z81" i="140"/>
  <c r="Y81" i="140"/>
  <c r="X81" i="140"/>
  <c r="W81" i="140"/>
  <c r="V81" i="140"/>
  <c r="U81" i="140"/>
  <c r="T81" i="140"/>
  <c r="S81" i="140"/>
  <c r="R81" i="140"/>
  <c r="Q81" i="140"/>
  <c r="P81" i="140"/>
  <c r="O81" i="140"/>
  <c r="N81" i="140"/>
  <c r="M81" i="140"/>
  <c r="L81" i="140"/>
  <c r="K81" i="140"/>
  <c r="I81" i="140"/>
  <c r="H81" i="140"/>
  <c r="G81" i="140"/>
  <c r="F81" i="140"/>
  <c r="CL83" i="141"/>
  <c r="CL84" i="141" s="1"/>
  <c r="CK84" i="141"/>
  <c r="CJ84" i="141"/>
  <c r="CI84" i="141"/>
  <c r="CH84" i="141"/>
  <c r="CG84" i="141"/>
  <c r="CF84" i="141"/>
  <c r="CE84" i="141"/>
  <c r="CD84" i="141"/>
  <c r="CC84" i="141"/>
  <c r="CB84" i="141"/>
  <c r="CA84" i="141"/>
  <c r="BZ84" i="141"/>
  <c r="BY84" i="141"/>
  <c r="BX84" i="141"/>
  <c r="BW84" i="141"/>
  <c r="BV84" i="141"/>
  <c r="BU84" i="141"/>
  <c r="BT84" i="141"/>
  <c r="BS84" i="141"/>
  <c r="BR84" i="141"/>
  <c r="BQ84" i="141"/>
  <c r="BP84" i="141"/>
  <c r="BO84" i="141"/>
  <c r="BN84" i="141"/>
  <c r="BM84" i="141"/>
  <c r="BL84" i="141"/>
  <c r="BK84" i="141"/>
  <c r="BJ84" i="141"/>
  <c r="BI84" i="141"/>
  <c r="BH84" i="141"/>
  <c r="BG84" i="141"/>
  <c r="BF84" i="141"/>
  <c r="BE84" i="141"/>
  <c r="BD84" i="141"/>
  <c r="BC84" i="141"/>
  <c r="BB84" i="141"/>
  <c r="BA84" i="141"/>
  <c r="AZ84" i="141"/>
  <c r="AY84" i="141"/>
  <c r="AX84" i="141"/>
  <c r="AW84" i="141"/>
  <c r="AV84" i="141"/>
  <c r="AU84" i="141"/>
  <c r="AT84" i="141"/>
  <c r="I83" i="141"/>
  <c r="H83" i="141"/>
  <c r="G83" i="141"/>
  <c r="F83" i="141"/>
  <c r="F84" i="141" s="1"/>
  <c r="AS100" i="141"/>
  <c r="Y100" i="141"/>
  <c r="Q82" i="130"/>
  <c r="AT127" i="140"/>
  <c r="AT127" i="136"/>
  <c r="AT127" i="120"/>
  <c r="I100" i="141"/>
  <c r="H100" i="141"/>
  <c r="G100" i="141"/>
  <c r="F100" i="141"/>
  <c r="I76" i="133"/>
  <c r="I72" i="133"/>
  <c r="I46" i="133"/>
  <c r="I49" i="133"/>
  <c r="I50" i="133"/>
  <c r="I51" i="133"/>
  <c r="I17" i="133"/>
  <c r="I18" i="133"/>
  <c r="I19" i="133"/>
  <c r="I20" i="133"/>
  <c r="I16" i="133"/>
  <c r="O66" i="137"/>
  <c r="P66" i="137"/>
  <c r="Q66" i="137"/>
  <c r="F21" i="141"/>
  <c r="F65" i="141"/>
  <c r="F67" i="141" s="1"/>
  <c r="F53" i="141"/>
  <c r="I42" i="141"/>
  <c r="H42" i="141"/>
  <c r="G42" i="141"/>
  <c r="G54" i="141" s="1"/>
  <c r="F42" i="141"/>
  <c r="CL42" i="141"/>
  <c r="CK42" i="141"/>
  <c r="CJ42" i="141"/>
  <c r="CI42" i="141"/>
  <c r="AR42" i="141" s="1"/>
  <c r="CH42" i="141"/>
  <c r="CG42" i="141"/>
  <c r="CF42" i="141"/>
  <c r="CE42" i="141"/>
  <c r="CD42" i="141"/>
  <c r="CC42" i="141"/>
  <c r="CB42" i="141"/>
  <c r="AK42" i="141" s="1"/>
  <c r="CA42" i="141"/>
  <c r="AF42" i="141" s="1"/>
  <c r="BZ42" i="141"/>
  <c r="BY42" i="141"/>
  <c r="BX42" i="141"/>
  <c r="AC42" i="141" s="1"/>
  <c r="BW42" i="141"/>
  <c r="BV42" i="141"/>
  <c r="BU42" i="141"/>
  <c r="BT42" i="141"/>
  <c r="AE42" i="141" s="1"/>
  <c r="BR44" i="141"/>
  <c r="BR42" i="141"/>
  <c r="BQ42" i="141"/>
  <c r="BP42" i="141"/>
  <c r="BN42" i="141"/>
  <c r="BM42" i="141"/>
  <c r="BK42" i="141"/>
  <c r="BJ42" i="141"/>
  <c r="BJ54" i="141" s="1"/>
  <c r="BI42" i="141"/>
  <c r="X42" i="141" s="1"/>
  <c r="BF42" i="141"/>
  <c r="BE42" i="141"/>
  <c r="BD42" i="141"/>
  <c r="M42" i="141" s="1"/>
  <c r="BC42" i="141"/>
  <c r="BB42" i="141"/>
  <c r="BA42" i="141"/>
  <c r="AY42" i="141"/>
  <c r="AX42" i="141"/>
  <c r="AX54" i="141" s="1"/>
  <c r="AW42" i="141"/>
  <c r="AV42" i="141"/>
  <c r="AU42" i="141"/>
  <c r="AU54" i="141" s="1"/>
  <c r="I13" i="141"/>
  <c r="H13" i="141"/>
  <c r="G13" i="141"/>
  <c r="F13" i="141"/>
  <c r="AT14" i="141"/>
  <c r="AT21" i="141"/>
  <c r="AT23" i="141"/>
  <c r="I11" i="141"/>
  <c r="H11" i="141"/>
  <c r="G11" i="141"/>
  <c r="F11" i="141"/>
  <c r="I10" i="141"/>
  <c r="H10" i="141"/>
  <c r="G10" i="141"/>
  <c r="F10" i="141"/>
  <c r="I9" i="141"/>
  <c r="H9" i="141"/>
  <c r="G9" i="141"/>
  <c r="F9" i="141"/>
  <c r="I8" i="141"/>
  <c r="H8" i="141"/>
  <c r="G8" i="141"/>
  <c r="F8" i="141"/>
  <c r="I7" i="141"/>
  <c r="H7" i="141"/>
  <c r="G7" i="141"/>
  <c r="F7" i="141"/>
  <c r="AT12" i="141"/>
  <c r="AT30" i="141"/>
  <c r="AT33" i="141"/>
  <c r="AT44" i="141"/>
  <c r="CL127" i="141"/>
  <c r="CK127" i="141"/>
  <c r="CJ127" i="141"/>
  <c r="CI127" i="141"/>
  <c r="CH127" i="141"/>
  <c r="CG127" i="141"/>
  <c r="CF127" i="141"/>
  <c r="CE127" i="141"/>
  <c r="CD127" i="141"/>
  <c r="CC127" i="141"/>
  <c r="CB127" i="141"/>
  <c r="CA127" i="141"/>
  <c r="BZ127" i="141"/>
  <c r="BY127" i="141"/>
  <c r="BX127" i="141"/>
  <c r="BW127" i="141"/>
  <c r="BV127" i="141"/>
  <c r="BU127" i="141"/>
  <c r="BT127" i="141"/>
  <c r="BS127" i="141"/>
  <c r="BR127" i="141"/>
  <c r="BQ127" i="141"/>
  <c r="BP127" i="141"/>
  <c r="BO127" i="141"/>
  <c r="BN127" i="141"/>
  <c r="BM127" i="141"/>
  <c r="BL127" i="141"/>
  <c r="BK127" i="141"/>
  <c r="BJ127" i="141"/>
  <c r="BI127" i="141"/>
  <c r="BH127" i="141"/>
  <c r="BG127" i="141"/>
  <c r="BF127" i="141"/>
  <c r="BE127" i="141"/>
  <c r="BD127" i="141"/>
  <c r="BC127" i="141"/>
  <c r="BB127" i="141"/>
  <c r="BA127" i="141"/>
  <c r="AZ127" i="141"/>
  <c r="AY127" i="141"/>
  <c r="AX127" i="141"/>
  <c r="AW127" i="141"/>
  <c r="AV127" i="141"/>
  <c r="AU127" i="141"/>
  <c r="AT127" i="141"/>
  <c r="AS126" i="141"/>
  <c r="AR126" i="141"/>
  <c r="AQ126" i="141"/>
  <c r="AP126" i="141"/>
  <c r="AO126" i="141"/>
  <c r="AN126" i="141"/>
  <c r="AM126" i="141"/>
  <c r="AL126" i="141"/>
  <c r="AL127" i="141" s="1"/>
  <c r="AK126" i="141"/>
  <c r="AJ126" i="141"/>
  <c r="AI126" i="141"/>
  <c r="AH126" i="141"/>
  <c r="AH127" i="141" s="1"/>
  <c r="AG126" i="141"/>
  <c r="AF126" i="141"/>
  <c r="AE126" i="141"/>
  <c r="AD126" i="141"/>
  <c r="AC126" i="141"/>
  <c r="AB126" i="141"/>
  <c r="AA126" i="141"/>
  <c r="Z126" i="141"/>
  <c r="Z127" i="141" s="1"/>
  <c r="Y126" i="141"/>
  <c r="X126" i="141"/>
  <c r="W126" i="141"/>
  <c r="V126" i="141"/>
  <c r="U126" i="141"/>
  <c r="T126" i="141"/>
  <c r="S126" i="141"/>
  <c r="R126" i="141"/>
  <c r="Q126" i="141"/>
  <c r="P126" i="141"/>
  <c r="O126" i="141"/>
  <c r="N126" i="141"/>
  <c r="M126" i="141"/>
  <c r="L126" i="141"/>
  <c r="K126" i="141"/>
  <c r="I126" i="141"/>
  <c r="I127" i="141" s="1"/>
  <c r="H126" i="141"/>
  <c r="H127" i="141" s="1"/>
  <c r="G126" i="141"/>
  <c r="G127" i="141" s="1"/>
  <c r="F126" i="141"/>
  <c r="F127" i="141"/>
  <c r="AS123" i="141"/>
  <c r="AR123" i="141"/>
  <c r="AQ123" i="141"/>
  <c r="AP123" i="141"/>
  <c r="AO123" i="141"/>
  <c r="AN123" i="141"/>
  <c r="AM123" i="141"/>
  <c r="AL123" i="141"/>
  <c r="AK123" i="141"/>
  <c r="AJ123" i="141"/>
  <c r="AI123" i="141"/>
  <c r="AH123" i="141"/>
  <c r="AG123" i="141"/>
  <c r="AF123" i="141"/>
  <c r="AE123" i="141"/>
  <c r="AD123" i="141"/>
  <c r="AC123" i="141"/>
  <c r="AB123" i="141"/>
  <c r="AA123" i="141"/>
  <c r="Z123" i="141"/>
  <c r="Y123" i="141"/>
  <c r="X123" i="141"/>
  <c r="W123" i="141"/>
  <c r="V123" i="141"/>
  <c r="U123" i="141"/>
  <c r="T123" i="141"/>
  <c r="S123" i="141"/>
  <c r="R123" i="141"/>
  <c r="Q123" i="141"/>
  <c r="P123" i="141"/>
  <c r="O123" i="141"/>
  <c r="N123" i="141"/>
  <c r="M123" i="141"/>
  <c r="L123" i="141"/>
  <c r="K123" i="141"/>
  <c r="AS118" i="141"/>
  <c r="AR118" i="141"/>
  <c r="AQ118" i="141"/>
  <c r="AP118" i="141"/>
  <c r="AO118" i="141"/>
  <c r="AN118" i="141"/>
  <c r="AM118" i="141"/>
  <c r="AL118" i="141"/>
  <c r="AK118" i="141"/>
  <c r="AJ118" i="141"/>
  <c r="AI118" i="141"/>
  <c r="AH118" i="141"/>
  <c r="AG118" i="141"/>
  <c r="AF118" i="141"/>
  <c r="AE118" i="141"/>
  <c r="AD118" i="141"/>
  <c r="AC118" i="141"/>
  <c r="AB118" i="141"/>
  <c r="AA118" i="141"/>
  <c r="Z118" i="141"/>
  <c r="Y118" i="141"/>
  <c r="X118" i="141"/>
  <c r="W118" i="141"/>
  <c r="V118" i="141"/>
  <c r="U118" i="141"/>
  <c r="T118" i="141"/>
  <c r="S118" i="141"/>
  <c r="R118" i="141"/>
  <c r="Q118" i="141"/>
  <c r="P118" i="141"/>
  <c r="O118" i="141"/>
  <c r="N118" i="141"/>
  <c r="M118" i="141"/>
  <c r="L118" i="141"/>
  <c r="K118" i="141"/>
  <c r="AS117" i="141"/>
  <c r="AR117" i="141"/>
  <c r="AQ117" i="141"/>
  <c r="AP117" i="141"/>
  <c r="AO117" i="141"/>
  <c r="AN117" i="141"/>
  <c r="AM117" i="141"/>
  <c r="AL117" i="141"/>
  <c r="AK117" i="141"/>
  <c r="AJ117" i="141"/>
  <c r="AI117" i="141"/>
  <c r="AH117" i="141"/>
  <c r="AG117" i="141"/>
  <c r="AF117" i="141"/>
  <c r="AE117" i="141"/>
  <c r="AD117" i="141"/>
  <c r="AC117" i="141"/>
  <c r="AB117" i="141"/>
  <c r="AA117" i="141"/>
  <c r="Z117" i="141"/>
  <c r="Y117" i="141"/>
  <c r="X117" i="141"/>
  <c r="W117" i="141"/>
  <c r="V117" i="141"/>
  <c r="U117" i="141"/>
  <c r="T117" i="141"/>
  <c r="S117" i="141"/>
  <c r="R117" i="141"/>
  <c r="Q117" i="141"/>
  <c r="P117" i="141"/>
  <c r="O117" i="141"/>
  <c r="N117" i="141"/>
  <c r="M117" i="141"/>
  <c r="L117" i="141"/>
  <c r="K117" i="141"/>
  <c r="J107" i="141"/>
  <c r="AS106" i="141"/>
  <c r="AR106" i="141"/>
  <c r="AQ106" i="141"/>
  <c r="AP106" i="141"/>
  <c r="AO106" i="141"/>
  <c r="AN106" i="141"/>
  <c r="AM106" i="141"/>
  <c r="AL106" i="141"/>
  <c r="AK106" i="141"/>
  <c r="AJ106" i="141"/>
  <c r="AI106" i="141"/>
  <c r="AH106" i="141"/>
  <c r="AG106" i="141"/>
  <c r="AF106" i="141"/>
  <c r="AE106" i="141"/>
  <c r="AD106" i="141"/>
  <c r="AC106" i="141"/>
  <c r="AB106" i="141"/>
  <c r="AA106" i="141"/>
  <c r="Z106" i="141"/>
  <c r="Y106" i="141"/>
  <c r="X106" i="141"/>
  <c r="W106" i="141"/>
  <c r="V106" i="141"/>
  <c r="U106" i="141"/>
  <c r="T106" i="141"/>
  <c r="S106" i="141"/>
  <c r="R106" i="141"/>
  <c r="Q106" i="141"/>
  <c r="P106" i="141"/>
  <c r="O106" i="141"/>
  <c r="N106" i="141"/>
  <c r="M106" i="141"/>
  <c r="L106" i="141"/>
  <c r="K106" i="141"/>
  <c r="A106" i="141"/>
  <c r="AS105" i="141"/>
  <c r="AR105" i="141"/>
  <c r="AQ105" i="141"/>
  <c r="AP105" i="141"/>
  <c r="AO105" i="141"/>
  <c r="AN105" i="141"/>
  <c r="AM105" i="141"/>
  <c r="AL105" i="141"/>
  <c r="AK105" i="141"/>
  <c r="AJ105" i="141"/>
  <c r="AI105" i="141"/>
  <c r="AH105" i="141"/>
  <c r="AG105" i="141"/>
  <c r="AF105" i="141"/>
  <c r="AE105" i="141"/>
  <c r="AD105" i="141"/>
  <c r="AC105" i="141"/>
  <c r="AB105" i="141"/>
  <c r="AA105" i="141"/>
  <c r="Z105" i="141"/>
  <c r="Y105" i="141"/>
  <c r="X105" i="141"/>
  <c r="W105" i="141"/>
  <c r="V105" i="141"/>
  <c r="U105" i="141"/>
  <c r="T105" i="141"/>
  <c r="S105" i="141"/>
  <c r="R105" i="141"/>
  <c r="Q105" i="141"/>
  <c r="P105" i="141"/>
  <c r="O105" i="141"/>
  <c r="N105" i="141"/>
  <c r="M105" i="141"/>
  <c r="L105" i="141"/>
  <c r="K105" i="141"/>
  <c r="A105" i="141"/>
  <c r="AS104" i="141"/>
  <c r="AR104" i="141"/>
  <c r="AQ104" i="141"/>
  <c r="AP104" i="141"/>
  <c r="AO104" i="141"/>
  <c r="AN104" i="141"/>
  <c r="AM104" i="141"/>
  <c r="AL104" i="141"/>
  <c r="AK104" i="141"/>
  <c r="AJ104" i="141"/>
  <c r="AI104" i="141"/>
  <c r="AH104" i="141"/>
  <c r="AG104" i="141"/>
  <c r="AF104" i="141"/>
  <c r="AE104" i="141"/>
  <c r="AD104" i="141"/>
  <c r="AC104" i="141"/>
  <c r="AB104" i="141"/>
  <c r="AA104" i="141"/>
  <c r="Z104" i="141"/>
  <c r="Y104" i="141"/>
  <c r="X104" i="141"/>
  <c r="W104" i="141"/>
  <c r="V104" i="141"/>
  <c r="U104" i="141"/>
  <c r="T104" i="141"/>
  <c r="S104" i="141"/>
  <c r="R104" i="141"/>
  <c r="Q104" i="141"/>
  <c r="P104" i="141"/>
  <c r="O104" i="141"/>
  <c r="N104" i="141"/>
  <c r="M104" i="141"/>
  <c r="L104" i="141"/>
  <c r="K104" i="141"/>
  <c r="A104" i="141"/>
  <c r="AS103" i="141"/>
  <c r="AR103" i="141"/>
  <c r="AQ103" i="141"/>
  <c r="AP103" i="141"/>
  <c r="AO103" i="141"/>
  <c r="AN103" i="141"/>
  <c r="AM103" i="141"/>
  <c r="AL103" i="141"/>
  <c r="AK103" i="141"/>
  <c r="AJ103" i="141"/>
  <c r="AI103" i="141"/>
  <c r="AH103" i="141"/>
  <c r="AG103" i="141"/>
  <c r="AF103" i="141"/>
  <c r="AE103" i="141"/>
  <c r="AD103" i="141"/>
  <c r="AC103" i="141"/>
  <c r="AB103" i="141"/>
  <c r="AA103" i="141"/>
  <c r="Z103" i="141"/>
  <c r="Y103" i="141"/>
  <c r="X103" i="141"/>
  <c r="W103" i="141"/>
  <c r="V103" i="141"/>
  <c r="U103" i="141"/>
  <c r="T103" i="141"/>
  <c r="S103" i="141"/>
  <c r="R103" i="141"/>
  <c r="Q103" i="141"/>
  <c r="P103" i="141"/>
  <c r="O103" i="141"/>
  <c r="N103" i="141"/>
  <c r="M103" i="141"/>
  <c r="L103" i="141"/>
  <c r="K103" i="141"/>
  <c r="A103" i="141"/>
  <c r="A102" i="141"/>
  <c r="A101" i="141"/>
  <c r="AR100" i="141"/>
  <c r="AQ100" i="141"/>
  <c r="AP100" i="141"/>
  <c r="AO100" i="141"/>
  <c r="AN100" i="141"/>
  <c r="AM100" i="141"/>
  <c r="AL100" i="141"/>
  <c r="AK100" i="141"/>
  <c r="AJ100" i="141"/>
  <c r="AI100" i="141"/>
  <c r="AH100" i="141"/>
  <c r="AG100" i="141"/>
  <c r="AF100" i="141"/>
  <c r="AD100" i="141"/>
  <c r="AC100" i="141"/>
  <c r="AB100" i="141"/>
  <c r="Z100" i="141"/>
  <c r="W100" i="141"/>
  <c r="U100" i="141"/>
  <c r="T100" i="141"/>
  <c r="S100" i="141"/>
  <c r="Q100" i="141"/>
  <c r="P100" i="141"/>
  <c r="O100" i="141"/>
  <c r="N100" i="141"/>
  <c r="M100" i="141"/>
  <c r="L100" i="141"/>
  <c r="K100" i="141"/>
  <c r="A100" i="141"/>
  <c r="A99" i="141"/>
  <c r="AS98" i="141"/>
  <c r="AR98" i="141"/>
  <c r="AQ98" i="141"/>
  <c r="AP98" i="141"/>
  <c r="AO98" i="141"/>
  <c r="AN98" i="141"/>
  <c r="AM98" i="141"/>
  <c r="AL98" i="141"/>
  <c r="AK98" i="141"/>
  <c r="AJ98" i="141"/>
  <c r="AI98" i="141"/>
  <c r="AH98" i="141"/>
  <c r="AG98" i="141"/>
  <c r="AF98" i="141"/>
  <c r="AE98" i="141"/>
  <c r="AD98" i="141"/>
  <c r="AC98" i="141"/>
  <c r="AB98" i="141"/>
  <c r="AA98" i="141"/>
  <c r="Z98" i="141"/>
  <c r="Y98" i="141"/>
  <c r="X98" i="141"/>
  <c r="W98" i="141"/>
  <c r="V98" i="141"/>
  <c r="U98" i="141"/>
  <c r="T98" i="141"/>
  <c r="S98" i="141"/>
  <c r="R98" i="141"/>
  <c r="Q98" i="141"/>
  <c r="P98" i="141"/>
  <c r="O98" i="141"/>
  <c r="N98" i="141"/>
  <c r="M98" i="141"/>
  <c r="L98" i="141"/>
  <c r="K98" i="141"/>
  <c r="C98" i="141"/>
  <c r="A98" i="141"/>
  <c r="AS97" i="141"/>
  <c r="AR97" i="141"/>
  <c r="AQ97" i="141"/>
  <c r="AP97" i="141"/>
  <c r="AO97" i="141"/>
  <c r="AN97" i="141"/>
  <c r="AM97" i="141"/>
  <c r="AL97" i="141"/>
  <c r="AK97" i="141"/>
  <c r="AJ97" i="141"/>
  <c r="AI97" i="141"/>
  <c r="AH97" i="141"/>
  <c r="AG97" i="141"/>
  <c r="AF97" i="141"/>
  <c r="AE97" i="141"/>
  <c r="AD97" i="141"/>
  <c r="AC97" i="141"/>
  <c r="AB97" i="141"/>
  <c r="AA97" i="141"/>
  <c r="Z97" i="141"/>
  <c r="Y97" i="141"/>
  <c r="X97" i="141"/>
  <c r="W97" i="141"/>
  <c r="V97" i="141"/>
  <c r="U97" i="141"/>
  <c r="T97" i="141"/>
  <c r="S97" i="141"/>
  <c r="R97" i="141"/>
  <c r="Q97" i="141"/>
  <c r="P97" i="141"/>
  <c r="O97" i="141"/>
  <c r="N97" i="141"/>
  <c r="M97" i="141"/>
  <c r="L97" i="141"/>
  <c r="K97" i="141"/>
  <c r="A97" i="141"/>
  <c r="AS96" i="141"/>
  <c r="AR96" i="141"/>
  <c r="AQ96" i="141"/>
  <c r="AP96" i="141"/>
  <c r="AO96" i="141"/>
  <c r="AN96" i="141"/>
  <c r="AM96" i="141"/>
  <c r="AL96" i="141"/>
  <c r="AK96" i="141"/>
  <c r="AJ96" i="141"/>
  <c r="AI96" i="141"/>
  <c r="AH96" i="141"/>
  <c r="AG96" i="141"/>
  <c r="AF96" i="141"/>
  <c r="AE96" i="141"/>
  <c r="AD96" i="141"/>
  <c r="AC96" i="141"/>
  <c r="AB96" i="141"/>
  <c r="AA96" i="141"/>
  <c r="Z96" i="141"/>
  <c r="Y96" i="141"/>
  <c r="X96" i="141"/>
  <c r="W96" i="141"/>
  <c r="V96" i="141"/>
  <c r="U96" i="141"/>
  <c r="T96" i="141"/>
  <c r="S96" i="141"/>
  <c r="R96" i="141"/>
  <c r="Q96" i="141"/>
  <c r="P96" i="141"/>
  <c r="O96" i="141"/>
  <c r="N96" i="141"/>
  <c r="M96" i="141"/>
  <c r="L96" i="141"/>
  <c r="K96" i="141"/>
  <c r="I96" i="141"/>
  <c r="H96" i="141"/>
  <c r="G96" i="141"/>
  <c r="F96" i="141"/>
  <c r="A96" i="141"/>
  <c r="AS95" i="141"/>
  <c r="AR95" i="141"/>
  <c r="AQ95" i="141"/>
  <c r="AP95" i="141"/>
  <c r="AO95" i="141"/>
  <c r="AN95" i="141"/>
  <c r="AM95" i="141"/>
  <c r="AL95" i="141"/>
  <c r="AK95" i="141"/>
  <c r="AJ95" i="141"/>
  <c r="AI95" i="141"/>
  <c r="AH95" i="141"/>
  <c r="AG95" i="141"/>
  <c r="AF95" i="141"/>
  <c r="AE95" i="141"/>
  <c r="AD95" i="141"/>
  <c r="AC95" i="141"/>
  <c r="AB95" i="141"/>
  <c r="AA95" i="141"/>
  <c r="Z95" i="141"/>
  <c r="Y95" i="141"/>
  <c r="X95" i="141"/>
  <c r="W95" i="141"/>
  <c r="V95" i="141"/>
  <c r="U95" i="141"/>
  <c r="T95" i="141"/>
  <c r="S95" i="141"/>
  <c r="R95" i="141"/>
  <c r="Q95" i="141"/>
  <c r="P95" i="141"/>
  <c r="O95" i="141"/>
  <c r="N95" i="141"/>
  <c r="M95" i="141"/>
  <c r="L95" i="141"/>
  <c r="K95" i="141"/>
  <c r="I95" i="141"/>
  <c r="H95" i="141"/>
  <c r="G95" i="141"/>
  <c r="F95" i="141"/>
  <c r="A95" i="141"/>
  <c r="A94" i="141"/>
  <c r="AR93" i="141"/>
  <c r="AQ93" i="141"/>
  <c r="AP93" i="141"/>
  <c r="AO93" i="141"/>
  <c r="AN93" i="141"/>
  <c r="AM93" i="141"/>
  <c r="AL93" i="141"/>
  <c r="AK93" i="141"/>
  <c r="AJ93" i="141"/>
  <c r="AI93" i="141"/>
  <c r="AH93" i="141"/>
  <c r="AG93" i="141"/>
  <c r="AF93" i="141"/>
  <c r="AD93" i="141"/>
  <c r="AC93" i="141"/>
  <c r="AB93" i="141"/>
  <c r="Z93" i="141"/>
  <c r="W93" i="141"/>
  <c r="U93" i="141"/>
  <c r="T93" i="141"/>
  <c r="S93" i="141"/>
  <c r="Q93" i="141"/>
  <c r="O93" i="141"/>
  <c r="N93" i="141"/>
  <c r="M93" i="141"/>
  <c r="L93" i="141"/>
  <c r="K93" i="141"/>
  <c r="A93" i="141"/>
  <c r="AS92" i="141"/>
  <c r="AR92" i="141"/>
  <c r="AQ92" i="141"/>
  <c r="AP92" i="141"/>
  <c r="AO92" i="141"/>
  <c r="AN92" i="141"/>
  <c r="AM92" i="141"/>
  <c r="AL92" i="141"/>
  <c r="AK92" i="141"/>
  <c r="AJ92" i="141"/>
  <c r="AI92" i="141"/>
  <c r="AH92" i="141"/>
  <c r="AG92" i="141"/>
  <c r="AF92" i="141"/>
  <c r="AE92" i="141"/>
  <c r="AD92" i="141"/>
  <c r="AC92" i="141"/>
  <c r="AB92" i="141"/>
  <c r="AA92" i="141"/>
  <c r="Z92" i="141"/>
  <c r="Y92" i="141"/>
  <c r="X92" i="141"/>
  <c r="W92" i="141"/>
  <c r="V92" i="141"/>
  <c r="U92" i="141"/>
  <c r="T92" i="141"/>
  <c r="S92" i="141"/>
  <c r="R92" i="141"/>
  <c r="Q92" i="141"/>
  <c r="P92" i="141"/>
  <c r="O92" i="141"/>
  <c r="N92" i="141"/>
  <c r="M92" i="141"/>
  <c r="L92" i="141"/>
  <c r="K92" i="141"/>
  <c r="A92" i="141"/>
  <c r="AS91" i="141"/>
  <c r="AR91" i="141"/>
  <c r="AQ91" i="141"/>
  <c r="AP91" i="141"/>
  <c r="AO91" i="141"/>
  <c r="AN91" i="141"/>
  <c r="AM91" i="141"/>
  <c r="AL91" i="141"/>
  <c r="AK91" i="141"/>
  <c r="AJ91" i="141"/>
  <c r="AI91" i="141"/>
  <c r="AH91" i="141"/>
  <c r="AG91" i="141"/>
  <c r="AF91" i="141"/>
  <c r="AE91" i="141"/>
  <c r="AD91" i="141"/>
  <c r="AC91" i="141"/>
  <c r="AB91" i="141"/>
  <c r="AA91" i="141"/>
  <c r="Z91" i="141"/>
  <c r="Y91" i="141"/>
  <c r="X91" i="141"/>
  <c r="W91" i="141"/>
  <c r="V91" i="141"/>
  <c r="U91" i="141"/>
  <c r="T91" i="141"/>
  <c r="S91" i="141"/>
  <c r="R91" i="141"/>
  <c r="Q91" i="141"/>
  <c r="P91" i="141"/>
  <c r="O91" i="141"/>
  <c r="N91" i="141"/>
  <c r="M91" i="141"/>
  <c r="L91" i="141"/>
  <c r="K91" i="141"/>
  <c r="A91" i="141"/>
  <c r="AS90" i="141"/>
  <c r="AR90" i="141"/>
  <c r="AQ90" i="141"/>
  <c r="AP90" i="141"/>
  <c r="AO90" i="141"/>
  <c r="AN90" i="141"/>
  <c r="AM90" i="141"/>
  <c r="AL90" i="141"/>
  <c r="AK90" i="141"/>
  <c r="AJ90" i="141"/>
  <c r="AI90" i="141"/>
  <c r="AH90" i="141"/>
  <c r="AG90" i="141"/>
  <c r="AF90" i="141"/>
  <c r="AE90" i="141"/>
  <c r="AD90" i="141"/>
  <c r="AC90" i="141"/>
  <c r="AB90" i="141"/>
  <c r="AA90" i="141"/>
  <c r="Z90" i="141"/>
  <c r="Y90" i="141"/>
  <c r="X90" i="141"/>
  <c r="W90" i="141"/>
  <c r="V90" i="141"/>
  <c r="U90" i="141"/>
  <c r="T90" i="141"/>
  <c r="S90" i="141"/>
  <c r="R90" i="141"/>
  <c r="Q90" i="141"/>
  <c r="P90" i="141"/>
  <c r="O90" i="141"/>
  <c r="N90" i="141"/>
  <c r="M90" i="141"/>
  <c r="L90" i="141"/>
  <c r="K90" i="141"/>
  <c r="A90" i="141"/>
  <c r="AS89" i="141"/>
  <c r="AR89" i="141"/>
  <c r="AQ89" i="141"/>
  <c r="AP89" i="141"/>
  <c r="AO89" i="141"/>
  <c r="AN89" i="141"/>
  <c r="AM89" i="141"/>
  <c r="AL89" i="141"/>
  <c r="AK89" i="141"/>
  <c r="AJ89" i="141"/>
  <c r="AI89" i="141"/>
  <c r="AH89" i="141"/>
  <c r="AG89" i="141"/>
  <c r="AF89" i="141"/>
  <c r="AE89" i="141"/>
  <c r="AD89" i="141"/>
  <c r="AC89" i="141"/>
  <c r="AB89" i="141"/>
  <c r="AA89" i="141"/>
  <c r="Z89" i="141"/>
  <c r="Y89" i="141"/>
  <c r="X89" i="141"/>
  <c r="W89" i="141"/>
  <c r="V89" i="141"/>
  <c r="U89" i="141"/>
  <c r="T89" i="141"/>
  <c r="S89" i="141"/>
  <c r="R89" i="141"/>
  <c r="Q89" i="141"/>
  <c r="P89" i="141"/>
  <c r="O89" i="141"/>
  <c r="N89" i="141"/>
  <c r="M89" i="141"/>
  <c r="L89" i="141"/>
  <c r="K89" i="141"/>
  <c r="A89" i="141"/>
  <c r="A88" i="141"/>
  <c r="AS87" i="141"/>
  <c r="AR87" i="141"/>
  <c r="AQ87" i="141"/>
  <c r="AP87" i="141"/>
  <c r="AO87" i="141"/>
  <c r="AN87" i="141"/>
  <c r="AM87" i="141"/>
  <c r="AL87" i="141"/>
  <c r="AK87" i="141"/>
  <c r="AJ87" i="141"/>
  <c r="AI87" i="141"/>
  <c r="AH87" i="141"/>
  <c r="AG87" i="141"/>
  <c r="AF87" i="141"/>
  <c r="AD87" i="141"/>
  <c r="AC87" i="141"/>
  <c r="AB87" i="141"/>
  <c r="Z87" i="141"/>
  <c r="W87" i="141"/>
  <c r="U87" i="141"/>
  <c r="T87" i="141"/>
  <c r="S87" i="141"/>
  <c r="Q87" i="141"/>
  <c r="O87" i="141"/>
  <c r="N87" i="141"/>
  <c r="M87" i="141"/>
  <c r="L87" i="141"/>
  <c r="K87" i="141"/>
  <c r="A87" i="141"/>
  <c r="A86" i="141"/>
  <c r="A85" i="141"/>
  <c r="A84" i="141"/>
  <c r="AR83" i="141"/>
  <c r="AQ83" i="141"/>
  <c r="AP83" i="141"/>
  <c r="AP84" i="141" s="1"/>
  <c r="AO83" i="141"/>
  <c r="AN83" i="141"/>
  <c r="AM83" i="141"/>
  <c r="AL83" i="141"/>
  <c r="AL84" i="141" s="1"/>
  <c r="AK83" i="141"/>
  <c r="AJ83" i="141"/>
  <c r="AI83" i="141"/>
  <c r="AH83" i="141"/>
  <c r="AH84" i="141" s="1"/>
  <c r="AG83" i="141"/>
  <c r="AF83" i="141"/>
  <c r="AD83" i="141"/>
  <c r="AC83" i="141"/>
  <c r="AC84" i="141" s="1"/>
  <c r="AB83" i="141"/>
  <c r="AB84" i="141" s="1"/>
  <c r="Z83" i="141"/>
  <c r="W83" i="141"/>
  <c r="U83" i="141"/>
  <c r="U84" i="141" s="1"/>
  <c r="T83" i="141"/>
  <c r="S83" i="141"/>
  <c r="Q83" i="141"/>
  <c r="O83" i="141"/>
  <c r="O84" i="141" s="1"/>
  <c r="N83" i="141"/>
  <c r="N84" i="141" s="1"/>
  <c r="M83" i="141"/>
  <c r="L83" i="141"/>
  <c r="K83" i="141"/>
  <c r="K84" i="141" s="1"/>
  <c r="A83" i="141"/>
  <c r="CK82" i="141"/>
  <c r="CJ82" i="141"/>
  <c r="CI82" i="141"/>
  <c r="CH82" i="141"/>
  <c r="CG82" i="141"/>
  <c r="CF82" i="141"/>
  <c r="CE82" i="141"/>
  <c r="CD82" i="141"/>
  <c r="CC82" i="141"/>
  <c r="CB82" i="141"/>
  <c r="CA82" i="141"/>
  <c r="BZ82" i="141"/>
  <c r="BY82" i="141"/>
  <c r="BX82" i="141"/>
  <c r="BW82" i="141"/>
  <c r="BV82" i="141"/>
  <c r="BU82" i="141"/>
  <c r="BS82" i="141"/>
  <c r="BR82" i="141"/>
  <c r="BQ82" i="141"/>
  <c r="BP82" i="141"/>
  <c r="BO82" i="141"/>
  <c r="BN82" i="141"/>
  <c r="BM82" i="141"/>
  <c r="BL82" i="141"/>
  <c r="BK82" i="141"/>
  <c r="BJ82" i="141"/>
  <c r="BI82" i="141"/>
  <c r="BH82" i="141"/>
  <c r="BG82" i="141"/>
  <c r="BF82" i="141"/>
  <c r="BE82" i="141"/>
  <c r="BD82" i="141"/>
  <c r="BC82" i="141"/>
  <c r="BB82" i="141"/>
  <c r="BA82" i="141"/>
  <c r="AZ82" i="141"/>
  <c r="AY82" i="141"/>
  <c r="AX82" i="141"/>
  <c r="AW82" i="141"/>
  <c r="AV82" i="141"/>
  <c r="AU82" i="141"/>
  <c r="AT82" i="141"/>
  <c r="A82" i="141"/>
  <c r="CL81" i="141"/>
  <c r="CL82" i="141" s="1"/>
  <c r="BT82" i="141"/>
  <c r="AS81" i="141"/>
  <c r="AR81" i="141"/>
  <c r="AQ81" i="141"/>
  <c r="AP81" i="141"/>
  <c r="AO81" i="141"/>
  <c r="AN81" i="141"/>
  <c r="AM81" i="141"/>
  <c r="AL81" i="141"/>
  <c r="AK81" i="141"/>
  <c r="AJ81" i="141"/>
  <c r="AI81" i="141"/>
  <c r="AH81" i="141"/>
  <c r="AG81" i="141"/>
  <c r="AF81" i="141"/>
  <c r="AE81" i="141"/>
  <c r="AD81" i="141"/>
  <c r="AC81" i="141"/>
  <c r="AB81" i="141"/>
  <c r="AA81" i="141"/>
  <c r="Z81" i="141"/>
  <c r="Y81" i="141"/>
  <c r="X81" i="141"/>
  <c r="W81" i="141"/>
  <c r="V81" i="141"/>
  <c r="V82" i="141" s="1"/>
  <c r="U81" i="141"/>
  <c r="T81" i="141"/>
  <c r="S81" i="141"/>
  <c r="R81" i="141"/>
  <c r="Q81" i="141"/>
  <c r="O81" i="141"/>
  <c r="N81" i="141"/>
  <c r="M81" i="141"/>
  <c r="L81" i="141"/>
  <c r="K81" i="141"/>
  <c r="I81" i="141"/>
  <c r="H81" i="141"/>
  <c r="G81" i="141"/>
  <c r="F81" i="141"/>
  <c r="A81" i="141"/>
  <c r="AS80" i="141"/>
  <c r="AS84" i="141" s="1"/>
  <c r="AR80" i="141"/>
  <c r="AQ80" i="141"/>
  <c r="AP80" i="141"/>
  <c r="AP82" i="141" s="1"/>
  <c r="AO80" i="141"/>
  <c r="AN80" i="141"/>
  <c r="AM80" i="141"/>
  <c r="AL80" i="141"/>
  <c r="AK80" i="141"/>
  <c r="AJ80" i="141"/>
  <c r="AI80" i="141"/>
  <c r="AH80" i="141"/>
  <c r="AH82" i="141"/>
  <c r="AG80" i="141"/>
  <c r="AF80" i="141"/>
  <c r="AE80" i="141"/>
  <c r="AD80" i="141"/>
  <c r="AC80" i="141"/>
  <c r="AB80" i="141"/>
  <c r="AA80" i="141"/>
  <c r="AA84" i="141" s="1"/>
  <c r="Z80" i="141"/>
  <c r="Z82" i="141" s="1"/>
  <c r="Y80" i="141"/>
  <c r="Y84" i="141" s="1"/>
  <c r="X80" i="141"/>
  <c r="X84" i="141" s="1"/>
  <c r="W80" i="141"/>
  <c r="V80" i="141"/>
  <c r="U80" i="141"/>
  <c r="T80" i="141"/>
  <c r="S80" i="141"/>
  <c r="R80" i="141"/>
  <c r="Q80" i="141"/>
  <c r="P80" i="141"/>
  <c r="P82" i="141" s="1"/>
  <c r="O80" i="141"/>
  <c r="N80" i="141"/>
  <c r="M80" i="141"/>
  <c r="L80" i="141"/>
  <c r="K80" i="141"/>
  <c r="I80" i="141"/>
  <c r="H80" i="141"/>
  <c r="H84" i="141" s="1"/>
  <c r="G80" i="141"/>
  <c r="G84" i="141" s="1"/>
  <c r="F80" i="141"/>
  <c r="A80" i="141"/>
  <c r="A79" i="141"/>
  <c r="AS78" i="141"/>
  <c r="AR78" i="141"/>
  <c r="AQ78" i="141"/>
  <c r="AP78" i="141"/>
  <c r="AO78" i="141"/>
  <c r="AN78" i="141"/>
  <c r="AM78" i="141"/>
  <c r="AL78" i="141"/>
  <c r="AK78" i="141"/>
  <c r="AJ78" i="141"/>
  <c r="AI78" i="141"/>
  <c r="AH78" i="141"/>
  <c r="AG78" i="141"/>
  <c r="AF78" i="141"/>
  <c r="AE78" i="141"/>
  <c r="AD78" i="141"/>
  <c r="AC78" i="141"/>
  <c r="AB78" i="141"/>
  <c r="AA78" i="141"/>
  <c r="Z78" i="141"/>
  <c r="Y78" i="141"/>
  <c r="X78" i="141"/>
  <c r="W78" i="141"/>
  <c r="V78" i="141"/>
  <c r="U78" i="141"/>
  <c r="T78" i="141"/>
  <c r="S78" i="141"/>
  <c r="R78" i="141"/>
  <c r="Q78" i="141"/>
  <c r="P78" i="141"/>
  <c r="O78" i="141"/>
  <c r="N78" i="141"/>
  <c r="M78" i="141"/>
  <c r="L78" i="141"/>
  <c r="K78" i="141"/>
  <c r="A78" i="141"/>
  <c r="AS77" i="141"/>
  <c r="AR77" i="141"/>
  <c r="AQ77" i="141"/>
  <c r="AP77" i="141"/>
  <c r="AO77" i="141"/>
  <c r="AN77" i="141"/>
  <c r="AM77" i="141"/>
  <c r="AL77" i="141"/>
  <c r="AK77" i="141"/>
  <c r="AJ77" i="141"/>
  <c r="AI77" i="141"/>
  <c r="AH77" i="141"/>
  <c r="AG77" i="141"/>
  <c r="AF77" i="141"/>
  <c r="AE77" i="141"/>
  <c r="AD77" i="141"/>
  <c r="AC77" i="141"/>
  <c r="AB77" i="141"/>
  <c r="AA77" i="141"/>
  <c r="Z77" i="141"/>
  <c r="Y77" i="141"/>
  <c r="X77" i="141"/>
  <c r="W77" i="141"/>
  <c r="V77" i="141"/>
  <c r="U77" i="141"/>
  <c r="T77" i="141"/>
  <c r="S77" i="141"/>
  <c r="R77" i="141"/>
  <c r="Q77" i="141"/>
  <c r="P77" i="141"/>
  <c r="O77" i="141"/>
  <c r="N77" i="141"/>
  <c r="M77" i="141"/>
  <c r="L77" i="141"/>
  <c r="K77" i="141"/>
  <c r="A77" i="141"/>
  <c r="AS76" i="141"/>
  <c r="AR76" i="141"/>
  <c r="AQ76" i="141"/>
  <c r="AP76" i="141"/>
  <c r="AO76" i="141"/>
  <c r="AN76" i="141"/>
  <c r="AM76" i="141"/>
  <c r="AL76" i="141"/>
  <c r="AK76" i="141"/>
  <c r="AJ76" i="141"/>
  <c r="AI76" i="141"/>
  <c r="AH76" i="141"/>
  <c r="AG76" i="141"/>
  <c r="AF76" i="141"/>
  <c r="AE76" i="141"/>
  <c r="AD76" i="141"/>
  <c r="AC76" i="141"/>
  <c r="AB76" i="141"/>
  <c r="AA76" i="141"/>
  <c r="Z76" i="141"/>
  <c r="Y76" i="141"/>
  <c r="X76" i="141"/>
  <c r="W76" i="141"/>
  <c r="V76" i="141"/>
  <c r="U76" i="141"/>
  <c r="T76" i="141"/>
  <c r="S76" i="141"/>
  <c r="R76" i="141"/>
  <c r="Q76" i="141"/>
  <c r="P76" i="141"/>
  <c r="O76" i="141"/>
  <c r="N76" i="141"/>
  <c r="M76" i="141"/>
  <c r="L76" i="141"/>
  <c r="K76" i="141"/>
  <c r="A76" i="141"/>
  <c r="AS75" i="141"/>
  <c r="AR75" i="141"/>
  <c r="AQ75" i="141"/>
  <c r="AP75" i="141"/>
  <c r="AO75" i="141"/>
  <c r="AN75" i="141"/>
  <c r="AM75" i="141"/>
  <c r="AL75" i="141"/>
  <c r="AK75" i="141"/>
  <c r="AJ75" i="141"/>
  <c r="AI75" i="141"/>
  <c r="AH75" i="141"/>
  <c r="AG75" i="141"/>
  <c r="AF75" i="141"/>
  <c r="AE75" i="141"/>
  <c r="AD75" i="141"/>
  <c r="AC75" i="141"/>
  <c r="AB75" i="141"/>
  <c r="AA75" i="141"/>
  <c r="Z75" i="141"/>
  <c r="Y75" i="141"/>
  <c r="X75" i="141"/>
  <c r="W75" i="141"/>
  <c r="V75" i="141"/>
  <c r="U75" i="141"/>
  <c r="T75" i="141"/>
  <c r="S75" i="141"/>
  <c r="R75" i="141"/>
  <c r="Q75" i="141"/>
  <c r="P75" i="141"/>
  <c r="O75" i="141"/>
  <c r="N75" i="141"/>
  <c r="M75" i="141"/>
  <c r="L75" i="141"/>
  <c r="K75" i="141"/>
  <c r="A75" i="141"/>
  <c r="AS74" i="141"/>
  <c r="AR74" i="141"/>
  <c r="AQ74" i="141"/>
  <c r="AP74" i="141"/>
  <c r="AO74" i="141"/>
  <c r="AN74" i="141"/>
  <c r="AM74" i="141"/>
  <c r="AL74" i="141"/>
  <c r="AK74" i="141"/>
  <c r="AJ74" i="141"/>
  <c r="AI74" i="141"/>
  <c r="AH74" i="141"/>
  <c r="AG74" i="141"/>
  <c r="AF74" i="141"/>
  <c r="AE74" i="141"/>
  <c r="AD74" i="141"/>
  <c r="AC74" i="141"/>
  <c r="AB74" i="141"/>
  <c r="AA74" i="141"/>
  <c r="Z74" i="141"/>
  <c r="Y74" i="141"/>
  <c r="X74" i="141"/>
  <c r="W74" i="141"/>
  <c r="V74" i="141"/>
  <c r="U74" i="141"/>
  <c r="T74" i="141"/>
  <c r="S74" i="141"/>
  <c r="R74" i="141"/>
  <c r="Q74" i="141"/>
  <c r="P74" i="141"/>
  <c r="O74" i="141"/>
  <c r="N74" i="141"/>
  <c r="M74" i="141"/>
  <c r="L74" i="141"/>
  <c r="K74" i="141"/>
  <c r="A74" i="141"/>
  <c r="AS73" i="141"/>
  <c r="AR73" i="141"/>
  <c r="AQ73" i="141"/>
  <c r="AP73" i="141"/>
  <c r="AO73" i="141"/>
  <c r="AN73" i="141"/>
  <c r="AM73" i="141"/>
  <c r="AL73" i="141"/>
  <c r="AK73" i="141"/>
  <c r="AJ73" i="141"/>
  <c r="AI73" i="141"/>
  <c r="AH73" i="141"/>
  <c r="AG73" i="141"/>
  <c r="AF73" i="141"/>
  <c r="AE73" i="141"/>
  <c r="AD73" i="141"/>
  <c r="AC73" i="141"/>
  <c r="AB73" i="141"/>
  <c r="AA73" i="141"/>
  <c r="Z73" i="141"/>
  <c r="Y73" i="141"/>
  <c r="X73" i="141"/>
  <c r="W73" i="141"/>
  <c r="V73" i="141"/>
  <c r="U73" i="141"/>
  <c r="T73" i="141"/>
  <c r="S73" i="141"/>
  <c r="R73" i="141"/>
  <c r="Q73" i="141"/>
  <c r="P73" i="141"/>
  <c r="O73" i="141"/>
  <c r="N73" i="141"/>
  <c r="M73" i="141"/>
  <c r="L73" i="141"/>
  <c r="K73" i="141"/>
  <c r="A73" i="141"/>
  <c r="A72" i="141"/>
  <c r="CK71" i="141"/>
  <c r="CJ71" i="141"/>
  <c r="CI71" i="141"/>
  <c r="CH71" i="141"/>
  <c r="CG71" i="141"/>
  <c r="CF71" i="141"/>
  <c r="CE71" i="141"/>
  <c r="CD71" i="141"/>
  <c r="CC71" i="141"/>
  <c r="CB71" i="141"/>
  <c r="CA71" i="141"/>
  <c r="BZ71" i="141"/>
  <c r="BY71" i="141"/>
  <c r="BX71" i="141"/>
  <c r="BW71" i="141"/>
  <c r="BV71" i="141"/>
  <c r="BU71" i="141"/>
  <c r="BT71" i="141"/>
  <c r="BS71" i="141"/>
  <c r="BR71" i="141"/>
  <c r="BQ71" i="141"/>
  <c r="BP71" i="141"/>
  <c r="BO71" i="141"/>
  <c r="BN71" i="141"/>
  <c r="BM71" i="141"/>
  <c r="BL71" i="141"/>
  <c r="BK71" i="141"/>
  <c r="BJ71" i="141"/>
  <c r="BI71" i="141"/>
  <c r="BH71" i="141"/>
  <c r="BG71" i="141"/>
  <c r="BF71" i="141"/>
  <c r="BE71" i="141"/>
  <c r="BD71" i="141"/>
  <c r="BC71" i="141"/>
  <c r="BB71" i="141"/>
  <c r="BA71" i="141"/>
  <c r="AZ71" i="141"/>
  <c r="AY71" i="141"/>
  <c r="AX71" i="141"/>
  <c r="AW71" i="141"/>
  <c r="AV71" i="141"/>
  <c r="AU71" i="141"/>
  <c r="AT71" i="141"/>
  <c r="A71" i="141"/>
  <c r="AS70" i="141"/>
  <c r="AS71" i="141" s="1"/>
  <c r="AR70" i="141"/>
  <c r="AQ70" i="141"/>
  <c r="AQ71" i="141" s="1"/>
  <c r="AP70" i="141"/>
  <c r="AP71" i="141" s="1"/>
  <c r="AO70" i="141"/>
  <c r="AN70" i="141"/>
  <c r="AM70" i="141"/>
  <c r="AM71" i="141" s="1"/>
  <c r="AL70" i="141"/>
  <c r="AK70" i="141"/>
  <c r="AK71" i="141" s="1"/>
  <c r="AJ70" i="141"/>
  <c r="AI70" i="141"/>
  <c r="AI71" i="141" s="1"/>
  <c r="AH70" i="141"/>
  <c r="AH71" i="141" s="1"/>
  <c r="AG70" i="141"/>
  <c r="AF70" i="141"/>
  <c r="AE70" i="141"/>
  <c r="AE71" i="141" s="1"/>
  <c r="AD70" i="141"/>
  <c r="AC70" i="141"/>
  <c r="AC71" i="141" s="1"/>
  <c r="AB70" i="141"/>
  <c r="AA70" i="141"/>
  <c r="AA71" i="141" s="1"/>
  <c r="Z70" i="141"/>
  <c r="Z71" i="141" s="1"/>
  <c r="Y70" i="141"/>
  <c r="X70" i="141"/>
  <c r="W70" i="141"/>
  <c r="W71" i="141" s="1"/>
  <c r="V70" i="141"/>
  <c r="U70" i="141"/>
  <c r="U71" i="141" s="1"/>
  <c r="T70" i="141"/>
  <c r="S70" i="141"/>
  <c r="S71" i="141" s="1"/>
  <c r="R70" i="141"/>
  <c r="R71" i="141" s="1"/>
  <c r="Q70" i="141"/>
  <c r="P70" i="141"/>
  <c r="O70" i="141"/>
  <c r="O71" i="141" s="1"/>
  <c r="N70" i="141"/>
  <c r="M70" i="141"/>
  <c r="M71" i="141" s="1"/>
  <c r="L70" i="141"/>
  <c r="K70" i="141"/>
  <c r="K71" i="141" s="1"/>
  <c r="H70" i="141"/>
  <c r="A70" i="141"/>
  <c r="CL69" i="141"/>
  <c r="CL71" i="141"/>
  <c r="AS69" i="141"/>
  <c r="AR69" i="141"/>
  <c r="AQ69" i="141"/>
  <c r="AP69" i="141"/>
  <c r="AO69" i="141"/>
  <c r="AN69" i="141"/>
  <c r="AM69" i="141"/>
  <c r="AL69" i="141"/>
  <c r="AK69" i="141"/>
  <c r="AJ69" i="141"/>
  <c r="AI69" i="141"/>
  <c r="AH69" i="141"/>
  <c r="AG69" i="141"/>
  <c r="AF69" i="141"/>
  <c r="AE69" i="141"/>
  <c r="AD69" i="141"/>
  <c r="AC69" i="141"/>
  <c r="AB69" i="141"/>
  <c r="AA69" i="141"/>
  <c r="Z69" i="141"/>
  <c r="Y69" i="141"/>
  <c r="X69" i="141"/>
  <c r="W69" i="141"/>
  <c r="V69" i="141"/>
  <c r="U69" i="141"/>
  <c r="T69" i="141"/>
  <c r="S69" i="141"/>
  <c r="R69" i="141"/>
  <c r="Q69" i="141"/>
  <c r="P69" i="141"/>
  <c r="O69" i="141"/>
  <c r="N69" i="141"/>
  <c r="M69" i="141"/>
  <c r="L69" i="141"/>
  <c r="K69" i="141"/>
  <c r="I69" i="141"/>
  <c r="I71" i="141" s="1"/>
  <c r="H69" i="141"/>
  <c r="G69" i="141"/>
  <c r="G71" i="141" s="1"/>
  <c r="F69" i="141"/>
  <c r="F71" i="141" s="1"/>
  <c r="A69" i="141"/>
  <c r="A68" i="141"/>
  <c r="CL67" i="141"/>
  <c r="CK67" i="141"/>
  <c r="CJ67" i="141"/>
  <c r="CI67" i="141"/>
  <c r="CH67" i="141"/>
  <c r="CG67" i="141"/>
  <c r="CF67" i="141"/>
  <c r="CE67" i="141"/>
  <c r="CD67" i="141"/>
  <c r="CC67" i="141"/>
  <c r="CB67" i="141"/>
  <c r="CA67" i="141"/>
  <c r="BZ67" i="141"/>
  <c r="BY67" i="141"/>
  <c r="BX67" i="141"/>
  <c r="BW67" i="141"/>
  <c r="BV67" i="141"/>
  <c r="BU67" i="141"/>
  <c r="BT67" i="141"/>
  <c r="BS67" i="141"/>
  <c r="BR67" i="141"/>
  <c r="BQ67" i="141"/>
  <c r="BP67" i="141"/>
  <c r="BO67" i="141"/>
  <c r="BN67" i="141"/>
  <c r="BM67" i="141"/>
  <c r="BL67" i="141"/>
  <c r="BK67" i="141"/>
  <c r="BJ67" i="141"/>
  <c r="BI67" i="141"/>
  <c r="BH67" i="141"/>
  <c r="BG67" i="141"/>
  <c r="BF67" i="141"/>
  <c r="BE67" i="141"/>
  <c r="BD67" i="141"/>
  <c r="BC67" i="141"/>
  <c r="BB67" i="141"/>
  <c r="BA67" i="141"/>
  <c r="AZ67" i="141"/>
  <c r="AY67" i="141"/>
  <c r="AX67" i="141"/>
  <c r="AW67" i="141"/>
  <c r="AV67" i="141"/>
  <c r="AU67" i="141"/>
  <c r="AT67" i="141"/>
  <c r="A67" i="141"/>
  <c r="AS66" i="141"/>
  <c r="AR66" i="141"/>
  <c r="AQ66" i="141"/>
  <c r="AP66" i="141"/>
  <c r="AO66" i="141"/>
  <c r="AN66" i="141"/>
  <c r="AM66" i="141"/>
  <c r="AL66" i="141"/>
  <c r="AK66" i="141"/>
  <c r="AJ66" i="141"/>
  <c r="AI66" i="141"/>
  <c r="AH66" i="141"/>
  <c r="AG66" i="141"/>
  <c r="AF66" i="141"/>
  <c r="AE66" i="141"/>
  <c r="AD66" i="141"/>
  <c r="AC66" i="141"/>
  <c r="AB66" i="141"/>
  <c r="AA66" i="141"/>
  <c r="Z66" i="141"/>
  <c r="Y66" i="141"/>
  <c r="X66" i="141"/>
  <c r="W66" i="141"/>
  <c r="V66" i="141"/>
  <c r="U66" i="141"/>
  <c r="T66" i="141"/>
  <c r="S66" i="141"/>
  <c r="R66" i="141"/>
  <c r="Q66" i="141"/>
  <c r="P66" i="141"/>
  <c r="O66" i="141"/>
  <c r="N66" i="141"/>
  <c r="M66" i="141"/>
  <c r="L66" i="141"/>
  <c r="K66" i="141"/>
  <c r="I66" i="141"/>
  <c r="H66" i="141"/>
  <c r="G66" i="141"/>
  <c r="F66" i="141"/>
  <c r="A66" i="141"/>
  <c r="AS65" i="141"/>
  <c r="AR65" i="141"/>
  <c r="AQ65" i="141"/>
  <c r="AP65" i="141"/>
  <c r="AO65" i="141"/>
  <c r="AN65" i="141"/>
  <c r="AM65" i="141"/>
  <c r="AL65" i="141"/>
  <c r="AK65" i="141"/>
  <c r="AJ65" i="141"/>
  <c r="AI65" i="141"/>
  <c r="AH65" i="141"/>
  <c r="AG65" i="141"/>
  <c r="AF65" i="141"/>
  <c r="AE65" i="141"/>
  <c r="AD65" i="141"/>
  <c r="AC65" i="141"/>
  <c r="AB65" i="141"/>
  <c r="AA65" i="141"/>
  <c r="Z65" i="141"/>
  <c r="Y65" i="141"/>
  <c r="X65" i="141"/>
  <c r="W65" i="141"/>
  <c r="V65" i="141"/>
  <c r="U65" i="141"/>
  <c r="T65" i="141"/>
  <c r="S65" i="141"/>
  <c r="R65" i="141"/>
  <c r="Q65" i="141"/>
  <c r="P65" i="141"/>
  <c r="O65" i="141"/>
  <c r="N65" i="141"/>
  <c r="M65" i="141"/>
  <c r="L65" i="141"/>
  <c r="K65" i="141"/>
  <c r="I65" i="141"/>
  <c r="I67" i="141" s="1"/>
  <c r="H65" i="141"/>
  <c r="H67" i="141"/>
  <c r="G65" i="141"/>
  <c r="G67" i="141"/>
  <c r="B65" i="141"/>
  <c r="A65" i="141"/>
  <c r="A64" i="141"/>
  <c r="AS63" i="141"/>
  <c r="AR63" i="141"/>
  <c r="AQ63" i="141"/>
  <c r="AP63" i="141"/>
  <c r="AO63" i="141"/>
  <c r="AN63" i="141"/>
  <c r="AM63" i="141"/>
  <c r="AL63" i="141"/>
  <c r="AK63" i="141"/>
  <c r="AJ63" i="141"/>
  <c r="AI63" i="141"/>
  <c r="AH63" i="141"/>
  <c r="AG63" i="141"/>
  <c r="AF63" i="141"/>
  <c r="AE63" i="141"/>
  <c r="AD63" i="141"/>
  <c r="AC63" i="141"/>
  <c r="AB63" i="141"/>
  <c r="AA63" i="141"/>
  <c r="Z63" i="141"/>
  <c r="Y63" i="141"/>
  <c r="X63" i="141"/>
  <c r="W63" i="141"/>
  <c r="V63" i="141"/>
  <c r="U63" i="141"/>
  <c r="T63" i="141"/>
  <c r="S63" i="141"/>
  <c r="R63" i="141"/>
  <c r="Q63" i="141"/>
  <c r="P63" i="141"/>
  <c r="O63" i="141"/>
  <c r="N63" i="141"/>
  <c r="M63" i="141"/>
  <c r="L63" i="141"/>
  <c r="K63" i="141"/>
  <c r="A63" i="141"/>
  <c r="AS62" i="141"/>
  <c r="AR62" i="141"/>
  <c r="AQ62" i="141"/>
  <c r="AP62" i="141"/>
  <c r="AO62" i="141"/>
  <c r="AN62" i="141"/>
  <c r="AM62" i="141"/>
  <c r="AL62" i="141"/>
  <c r="AK62" i="141"/>
  <c r="AJ62" i="141"/>
  <c r="AI62" i="141"/>
  <c r="AH62" i="141"/>
  <c r="AG62" i="141"/>
  <c r="AF62" i="141"/>
  <c r="AE62" i="141"/>
  <c r="AD62" i="141"/>
  <c r="AC62" i="141"/>
  <c r="AB62" i="141"/>
  <c r="AA62" i="141"/>
  <c r="Z62" i="141"/>
  <c r="Y62" i="141"/>
  <c r="X62" i="141"/>
  <c r="W62" i="141"/>
  <c r="V62" i="141"/>
  <c r="U62" i="141"/>
  <c r="T62" i="141"/>
  <c r="S62" i="141"/>
  <c r="R62" i="141"/>
  <c r="Q62" i="141"/>
  <c r="P62" i="141"/>
  <c r="O62" i="141"/>
  <c r="N62" i="141"/>
  <c r="M62" i="141"/>
  <c r="L62" i="141"/>
  <c r="K62" i="141"/>
  <c r="A62" i="141"/>
  <c r="AS61" i="141"/>
  <c r="AR61" i="141"/>
  <c r="AQ61" i="141"/>
  <c r="AP61" i="141"/>
  <c r="AO61" i="141"/>
  <c r="AN61" i="141"/>
  <c r="AM61" i="141"/>
  <c r="AL61" i="141"/>
  <c r="AK61" i="141"/>
  <c r="AJ61" i="141"/>
  <c r="AI61" i="141"/>
  <c r="AH61" i="141"/>
  <c r="AG61" i="141"/>
  <c r="AF61" i="141"/>
  <c r="AE61" i="141"/>
  <c r="AD61" i="141"/>
  <c r="AC61" i="141"/>
  <c r="AB61" i="141"/>
  <c r="AA61" i="141"/>
  <c r="Z61" i="141"/>
  <c r="Y61" i="141"/>
  <c r="X61" i="141"/>
  <c r="W61" i="141"/>
  <c r="V61" i="141"/>
  <c r="U61" i="141"/>
  <c r="T61" i="141"/>
  <c r="S61" i="141"/>
  <c r="R61" i="141"/>
  <c r="Q61" i="141"/>
  <c r="P61" i="141"/>
  <c r="O61" i="141"/>
  <c r="N61" i="141"/>
  <c r="M61" i="141"/>
  <c r="L61" i="141"/>
  <c r="K61" i="141"/>
  <c r="A61" i="141"/>
  <c r="AS60" i="141"/>
  <c r="AR60" i="141"/>
  <c r="AQ60" i="141"/>
  <c r="AP60" i="141"/>
  <c r="AO60" i="141"/>
  <c r="AN60" i="141"/>
  <c r="AM60" i="141"/>
  <c r="AL60" i="141"/>
  <c r="AK60" i="141"/>
  <c r="AJ60" i="141"/>
  <c r="AI60" i="141"/>
  <c r="AH60" i="141"/>
  <c r="AG60" i="141"/>
  <c r="AF60" i="141"/>
  <c r="AE60" i="141"/>
  <c r="AD60" i="141"/>
  <c r="AC60" i="141"/>
  <c r="AB60" i="141"/>
  <c r="AA60" i="141"/>
  <c r="Z60" i="141"/>
  <c r="Y60" i="141"/>
  <c r="X60" i="141"/>
  <c r="W60" i="141"/>
  <c r="V60" i="141"/>
  <c r="U60" i="141"/>
  <c r="T60" i="141"/>
  <c r="S60" i="141"/>
  <c r="R60" i="141"/>
  <c r="Q60" i="141"/>
  <c r="P60" i="141"/>
  <c r="O60" i="141"/>
  <c r="N60" i="141"/>
  <c r="M60" i="141"/>
  <c r="L60" i="141"/>
  <c r="K60" i="141"/>
  <c r="A60" i="141"/>
  <c r="AS59" i="141"/>
  <c r="AR59" i="141"/>
  <c r="AQ59" i="141"/>
  <c r="AP59" i="141"/>
  <c r="AO59" i="141"/>
  <c r="AN59" i="141"/>
  <c r="AM59" i="141"/>
  <c r="AL59" i="141"/>
  <c r="AK59" i="141"/>
  <c r="AJ59" i="141"/>
  <c r="AI59" i="141"/>
  <c r="AH59" i="141"/>
  <c r="AG59" i="141"/>
  <c r="AF59" i="141"/>
  <c r="AE59" i="141"/>
  <c r="AD59" i="141"/>
  <c r="AC59" i="141"/>
  <c r="AB59" i="141"/>
  <c r="AA59" i="141"/>
  <c r="Z59" i="141"/>
  <c r="Y59" i="141"/>
  <c r="X59" i="141"/>
  <c r="W59" i="141"/>
  <c r="V59" i="141"/>
  <c r="U59" i="141"/>
  <c r="T59" i="141"/>
  <c r="S59" i="141"/>
  <c r="R59" i="141"/>
  <c r="Q59" i="141"/>
  <c r="P59" i="141"/>
  <c r="O59" i="141"/>
  <c r="N59" i="141"/>
  <c r="M59" i="141"/>
  <c r="L59" i="141"/>
  <c r="K59" i="141"/>
  <c r="A59" i="141"/>
  <c r="AS58" i="141"/>
  <c r="AR58" i="141"/>
  <c r="AQ58" i="141"/>
  <c r="AP58" i="141"/>
  <c r="AO58" i="141"/>
  <c r="AN58" i="141"/>
  <c r="AM58" i="141"/>
  <c r="AL58" i="141"/>
  <c r="AK58" i="141"/>
  <c r="AJ58" i="141"/>
  <c r="AI58" i="141"/>
  <c r="AH58" i="141"/>
  <c r="AG58" i="141"/>
  <c r="AF58" i="141"/>
  <c r="AE58" i="141"/>
  <c r="AD58" i="141"/>
  <c r="AC58" i="141"/>
  <c r="AB58" i="141"/>
  <c r="AA58" i="141"/>
  <c r="Z58" i="141"/>
  <c r="Y58" i="141"/>
  <c r="X58" i="141"/>
  <c r="W58" i="141"/>
  <c r="V58" i="141"/>
  <c r="U58" i="141"/>
  <c r="T58" i="141"/>
  <c r="S58" i="141"/>
  <c r="R58" i="141"/>
  <c r="Q58" i="141"/>
  <c r="P58" i="141"/>
  <c r="O58" i="141"/>
  <c r="N58" i="141"/>
  <c r="M58" i="141"/>
  <c r="L58" i="141"/>
  <c r="K58" i="141"/>
  <c r="A58" i="141"/>
  <c r="AS57" i="141"/>
  <c r="AR57" i="141"/>
  <c r="AQ57" i="141"/>
  <c r="AP57" i="141"/>
  <c r="AO57" i="141"/>
  <c r="AN57" i="141"/>
  <c r="AM57" i="141"/>
  <c r="AL57" i="141"/>
  <c r="AK57" i="141"/>
  <c r="AJ57" i="141"/>
  <c r="AI57" i="141"/>
  <c r="AH57" i="141"/>
  <c r="AG57" i="141"/>
  <c r="AF57" i="141"/>
  <c r="AE57" i="141"/>
  <c r="AD57" i="141"/>
  <c r="AC57" i="141"/>
  <c r="AB57" i="141"/>
  <c r="AA57" i="141"/>
  <c r="Z57" i="141"/>
  <c r="Y57" i="141"/>
  <c r="X57" i="141"/>
  <c r="W57" i="141"/>
  <c r="V57" i="141"/>
  <c r="U57" i="141"/>
  <c r="T57" i="141"/>
  <c r="S57" i="141"/>
  <c r="R57" i="141"/>
  <c r="Q57" i="141"/>
  <c r="P57" i="141"/>
  <c r="O57" i="141"/>
  <c r="N57" i="141"/>
  <c r="M57" i="141"/>
  <c r="L57" i="141"/>
  <c r="K57" i="141"/>
  <c r="A57" i="141"/>
  <c r="AS56" i="141"/>
  <c r="AR56" i="141"/>
  <c r="AQ56" i="141"/>
  <c r="AP56" i="141"/>
  <c r="AO56" i="141"/>
  <c r="AN56" i="141"/>
  <c r="AM56" i="141"/>
  <c r="AL56" i="141"/>
  <c r="AK56" i="141"/>
  <c r="AJ56" i="141"/>
  <c r="AI56" i="141"/>
  <c r="AH56" i="141"/>
  <c r="AG56" i="141"/>
  <c r="AF56" i="141"/>
  <c r="AE56" i="141"/>
  <c r="AD56" i="141"/>
  <c r="AC56" i="141"/>
  <c r="AB56" i="141"/>
  <c r="AA56" i="141"/>
  <c r="Z56" i="141"/>
  <c r="Y56" i="141"/>
  <c r="X56" i="141"/>
  <c r="W56" i="141"/>
  <c r="V56" i="141"/>
  <c r="U56" i="141"/>
  <c r="T56" i="141"/>
  <c r="S56" i="141"/>
  <c r="R56" i="141"/>
  <c r="Q56" i="141"/>
  <c r="P56" i="141"/>
  <c r="O56" i="141"/>
  <c r="N56" i="141"/>
  <c r="M56" i="141"/>
  <c r="L56" i="141"/>
  <c r="K56" i="141"/>
  <c r="A56" i="141"/>
  <c r="A55" i="141"/>
  <c r="CL54" i="141"/>
  <c r="CK54" i="141"/>
  <c r="AQ54" i="141" s="1"/>
  <c r="CI54" i="141"/>
  <c r="CH54" i="141"/>
  <c r="AM54" i="141" s="1"/>
  <c r="CG54" i="141"/>
  <c r="CE54" i="141"/>
  <c r="AL54" i="141" s="1"/>
  <c r="CD54" i="141"/>
  <c r="AP54" i="141" s="1"/>
  <c r="CC54" i="141"/>
  <c r="AO54" i="141" s="1"/>
  <c r="CB54" i="141"/>
  <c r="AK54" i="141" s="1"/>
  <c r="CA54" i="141"/>
  <c r="AF54" i="141" s="1"/>
  <c r="BZ54" i="141"/>
  <c r="AH54" i="141" s="1"/>
  <c r="BY54" i="141"/>
  <c r="BX54" i="141"/>
  <c r="AC54" i="141" s="1"/>
  <c r="BW54" i="141"/>
  <c r="BV54" i="141"/>
  <c r="BU54" i="141"/>
  <c r="BT54" i="141"/>
  <c r="BS54" i="141"/>
  <c r="BR54" i="141"/>
  <c r="W54" i="141" s="1"/>
  <c r="BQ54" i="141"/>
  <c r="BO54" i="141"/>
  <c r="BN54" i="141"/>
  <c r="BM54" i="141"/>
  <c r="Z54" i="141" s="1"/>
  <c r="BL54" i="141"/>
  <c r="BK54" i="141"/>
  <c r="BI54" i="141"/>
  <c r="BH54" i="141"/>
  <c r="BG54" i="141"/>
  <c r="BF54" i="141"/>
  <c r="BE54" i="141"/>
  <c r="O54" i="141" s="1"/>
  <c r="BD54" i="141"/>
  <c r="M54" i="141" s="1"/>
  <c r="BC54" i="141"/>
  <c r="BB54" i="141"/>
  <c r="BA54" i="141"/>
  <c r="AZ54" i="141"/>
  <c r="AW54" i="141"/>
  <c r="N54" i="141" s="1"/>
  <c r="AV54" i="141"/>
  <c r="S54" i="141" s="1"/>
  <c r="AT54" i="141"/>
  <c r="AR54" i="141"/>
  <c r="AJ54" i="141"/>
  <c r="AI54" i="141"/>
  <c r="AG54" i="141"/>
  <c r="AD54" i="141"/>
  <c r="U54" i="141"/>
  <c r="T54" i="141"/>
  <c r="K54" i="141"/>
  <c r="I54" i="141"/>
  <c r="H54" i="141"/>
  <c r="F54" i="141"/>
  <c r="B54" i="141"/>
  <c r="A54" i="141"/>
  <c r="CL53" i="141"/>
  <c r="CK53" i="141"/>
  <c r="CJ53" i="141"/>
  <c r="CI53" i="141"/>
  <c r="CH53" i="141"/>
  <c r="CG53" i="141"/>
  <c r="CE53" i="141"/>
  <c r="CD53" i="141"/>
  <c r="CC53" i="141"/>
  <c r="CB53" i="141"/>
  <c r="CA53" i="141"/>
  <c r="BZ53" i="141"/>
  <c r="BY53" i="141"/>
  <c r="BX53" i="141"/>
  <c r="BW53" i="141"/>
  <c r="BV53" i="141"/>
  <c r="BU53" i="141"/>
  <c r="BT53" i="141"/>
  <c r="BR53" i="141"/>
  <c r="BQ53" i="141"/>
  <c r="BP53" i="141"/>
  <c r="BN53" i="141"/>
  <c r="BM53" i="141"/>
  <c r="BJ53" i="141"/>
  <c r="BI53" i="141"/>
  <c r="BF53" i="141"/>
  <c r="BE53" i="141"/>
  <c r="BD53" i="141"/>
  <c r="BC53" i="141"/>
  <c r="BB53" i="141"/>
  <c r="BA53" i="141"/>
  <c r="AY53" i="141"/>
  <c r="AX53" i="141"/>
  <c r="AW53" i="141"/>
  <c r="AV53" i="141"/>
  <c r="AU53" i="141"/>
  <c r="I53" i="141"/>
  <c r="H53" i="141"/>
  <c r="G53" i="141"/>
  <c r="B53" i="141"/>
  <c r="A53" i="141"/>
  <c r="AS52" i="141"/>
  <c r="AR52" i="141"/>
  <c r="AQ52" i="141"/>
  <c r="AP52" i="141"/>
  <c r="AO52" i="141"/>
  <c r="AN52" i="141"/>
  <c r="AM52" i="141"/>
  <c r="AL52" i="141"/>
  <c r="AK52" i="141"/>
  <c r="AJ52" i="141"/>
  <c r="AI52" i="141"/>
  <c r="AH52" i="141"/>
  <c r="AG52" i="141"/>
  <c r="AF52" i="141"/>
  <c r="AE52" i="141"/>
  <c r="AD52" i="141"/>
  <c r="AC52" i="141"/>
  <c r="AB52" i="141"/>
  <c r="AA52" i="141"/>
  <c r="Z52" i="141"/>
  <c r="Y52" i="141"/>
  <c r="X52" i="141"/>
  <c r="W52" i="141"/>
  <c r="V52" i="141"/>
  <c r="U52" i="141"/>
  <c r="T52" i="141"/>
  <c r="S52" i="141"/>
  <c r="Q52" i="141"/>
  <c r="P52" i="141"/>
  <c r="O52" i="141"/>
  <c r="N52" i="141"/>
  <c r="M52" i="141"/>
  <c r="L52" i="141"/>
  <c r="K52" i="141"/>
  <c r="A52" i="141"/>
  <c r="AR51" i="141"/>
  <c r="AQ51" i="141"/>
  <c r="AP51" i="141"/>
  <c r="AO51" i="141"/>
  <c r="AN51" i="141"/>
  <c r="AM51" i="141"/>
  <c r="AL51" i="141"/>
  <c r="AK51" i="141"/>
  <c r="AJ51" i="141"/>
  <c r="AI51" i="141"/>
  <c r="AH51" i="141"/>
  <c r="AG51" i="141"/>
  <c r="AF51" i="141"/>
  <c r="AD51" i="141"/>
  <c r="AC51" i="141"/>
  <c r="AB51" i="141"/>
  <c r="Z51" i="141"/>
  <c r="W51" i="141"/>
  <c r="U51" i="141"/>
  <c r="T51" i="141"/>
  <c r="S51" i="141"/>
  <c r="O51" i="141"/>
  <c r="N51" i="141"/>
  <c r="M51" i="141"/>
  <c r="L51" i="141"/>
  <c r="K51" i="141"/>
  <c r="A51" i="141"/>
  <c r="AR50" i="141"/>
  <c r="AQ50" i="141"/>
  <c r="AP50" i="141"/>
  <c r="AO50" i="141"/>
  <c r="AN50" i="141"/>
  <c r="AM50" i="141"/>
  <c r="AL50" i="141"/>
  <c r="AK50" i="141"/>
  <c r="AJ50" i="141"/>
  <c r="AI50" i="141"/>
  <c r="AH50" i="141"/>
  <c r="AG50" i="141"/>
  <c r="AF50" i="141"/>
  <c r="AD50" i="141"/>
  <c r="AC50" i="141"/>
  <c r="AB50" i="141"/>
  <c r="Z50" i="141"/>
  <c r="W50" i="141"/>
  <c r="U50" i="141"/>
  <c r="T50" i="141"/>
  <c r="S50" i="141"/>
  <c r="Q50" i="141"/>
  <c r="O50" i="141"/>
  <c r="N50" i="141"/>
  <c r="M50" i="141"/>
  <c r="L50" i="141"/>
  <c r="K50" i="141"/>
  <c r="A50" i="141"/>
  <c r="AS49" i="141"/>
  <c r="AR49" i="141"/>
  <c r="AQ49" i="141"/>
  <c r="AP49" i="141"/>
  <c r="AO49" i="141"/>
  <c r="AN49" i="141"/>
  <c r="AM49" i="141"/>
  <c r="AL49" i="141"/>
  <c r="AK49" i="141"/>
  <c r="AJ49" i="141"/>
  <c r="AI49" i="141"/>
  <c r="AH49" i="141"/>
  <c r="AG49" i="141"/>
  <c r="AF49" i="141"/>
  <c r="AE49" i="141"/>
  <c r="AD49" i="141"/>
  <c r="AC49" i="141"/>
  <c r="AB49" i="141"/>
  <c r="AA49" i="141"/>
  <c r="Z49" i="141"/>
  <c r="Y49" i="141"/>
  <c r="X49" i="141"/>
  <c r="W49" i="141"/>
  <c r="V49" i="141"/>
  <c r="U49" i="141"/>
  <c r="T49" i="141"/>
  <c r="S49" i="141"/>
  <c r="R49" i="141"/>
  <c r="Q49" i="141"/>
  <c r="P49" i="141"/>
  <c r="O49" i="141"/>
  <c r="N49" i="141"/>
  <c r="M49" i="141"/>
  <c r="L49" i="141"/>
  <c r="K49" i="141"/>
  <c r="A49" i="141"/>
  <c r="AS48" i="141"/>
  <c r="AR48" i="141"/>
  <c r="AQ48" i="141"/>
  <c r="AP48" i="141"/>
  <c r="AO48" i="141"/>
  <c r="AN48" i="141"/>
  <c r="AM48" i="141"/>
  <c r="AL48" i="141"/>
  <c r="AK48" i="141"/>
  <c r="AJ48" i="141"/>
  <c r="AI48" i="141"/>
  <c r="AH48" i="141"/>
  <c r="AG48" i="141"/>
  <c r="AF48" i="141"/>
  <c r="AE48" i="141"/>
  <c r="AD48" i="141"/>
  <c r="AC48" i="141"/>
  <c r="AB48" i="141"/>
  <c r="AA48" i="141"/>
  <c r="Z48" i="141"/>
  <c r="Y48" i="141"/>
  <c r="X48" i="141"/>
  <c r="W48" i="141"/>
  <c r="V48" i="141"/>
  <c r="U48" i="141"/>
  <c r="T48" i="141"/>
  <c r="S48" i="141"/>
  <c r="R48" i="141"/>
  <c r="Q48" i="141"/>
  <c r="P48" i="141"/>
  <c r="O48" i="141"/>
  <c r="N48" i="141"/>
  <c r="M48" i="141"/>
  <c r="L48" i="141"/>
  <c r="K48" i="141"/>
  <c r="A48" i="141"/>
  <c r="CL47" i="141"/>
  <c r="CK47" i="141"/>
  <c r="AQ47" i="141" s="1"/>
  <c r="CJ47" i="141"/>
  <c r="AN47" i="141" s="1"/>
  <c r="CI47" i="141"/>
  <c r="AR47" i="141" s="1"/>
  <c r="CH47" i="141"/>
  <c r="CG47" i="141"/>
  <c r="CF47" i="141"/>
  <c r="CE47" i="141"/>
  <c r="AL47" i="141" s="1"/>
  <c r="CD47" i="141"/>
  <c r="AP47" i="141" s="1"/>
  <c r="CC47" i="141"/>
  <c r="AO47" i="141" s="1"/>
  <c r="CB47" i="141"/>
  <c r="AK47" i="141" s="1"/>
  <c r="CA47" i="141"/>
  <c r="BZ47" i="141"/>
  <c r="AH47" i="141"/>
  <c r="BY47" i="141"/>
  <c r="BX47" i="141"/>
  <c r="AC47" i="141" s="1"/>
  <c r="BW47" i="141"/>
  <c r="AI47" i="141" s="1"/>
  <c r="BV47" i="141"/>
  <c r="AG47" i="141" s="1"/>
  <c r="BT47" i="141"/>
  <c r="BR47" i="141"/>
  <c r="W47" i="141" s="1"/>
  <c r="BQ47" i="141"/>
  <c r="BP47" i="141"/>
  <c r="AB47" i="141"/>
  <c r="BN47" i="141"/>
  <c r="BM47" i="141"/>
  <c r="BK47" i="141"/>
  <c r="BJ47" i="141"/>
  <c r="BI47" i="141"/>
  <c r="BF47" i="141"/>
  <c r="K47" i="141" s="1"/>
  <c r="BE47" i="141"/>
  <c r="BD47" i="141"/>
  <c r="M47" i="141" s="1"/>
  <c r="BC47" i="141"/>
  <c r="U47" i="141" s="1"/>
  <c r="BB47" i="141"/>
  <c r="T47" i="141" s="1"/>
  <c r="BA47" i="141"/>
  <c r="AY47" i="141"/>
  <c r="AX47" i="141"/>
  <c r="AW47" i="141"/>
  <c r="AU47" i="141"/>
  <c r="Q47" i="141" s="1"/>
  <c r="AM47" i="141"/>
  <c r="AJ47" i="141"/>
  <c r="AF47" i="141"/>
  <c r="AD47" i="141"/>
  <c r="Z47" i="141"/>
  <c r="S47" i="141"/>
  <c r="O47" i="141"/>
  <c r="N47" i="141"/>
  <c r="L47" i="141"/>
  <c r="I47" i="141"/>
  <c r="H47" i="141"/>
  <c r="G47" i="141"/>
  <c r="F47" i="141"/>
  <c r="A47" i="141"/>
  <c r="AS46" i="141"/>
  <c r="AR46" i="141"/>
  <c r="AQ46" i="141"/>
  <c r="AP46" i="141"/>
  <c r="AO46" i="141"/>
  <c r="AN46" i="141"/>
  <c r="AM46" i="141"/>
  <c r="AL46" i="141"/>
  <c r="AK46" i="141"/>
  <c r="AJ46" i="141"/>
  <c r="AI46" i="141"/>
  <c r="AH46" i="141"/>
  <c r="AG46" i="141"/>
  <c r="AF46" i="141"/>
  <c r="AD46" i="141"/>
  <c r="AC46" i="141"/>
  <c r="AB46" i="141"/>
  <c r="Z46" i="141"/>
  <c r="W46" i="141"/>
  <c r="U46" i="141"/>
  <c r="T46" i="141"/>
  <c r="S46" i="141"/>
  <c r="Q46" i="141"/>
  <c r="O46" i="141"/>
  <c r="N46" i="141"/>
  <c r="M46" i="141"/>
  <c r="L46" i="141"/>
  <c r="K46" i="141"/>
  <c r="A46" i="141"/>
  <c r="AS45" i="141"/>
  <c r="AR45" i="141"/>
  <c r="AQ45" i="141"/>
  <c r="AP45" i="141"/>
  <c r="AO45" i="141"/>
  <c r="AN45" i="141"/>
  <c r="AM45" i="141"/>
  <c r="AL45" i="141"/>
  <c r="AK45" i="141"/>
  <c r="AJ45" i="141"/>
  <c r="AI45" i="141"/>
  <c r="AH45" i="141"/>
  <c r="AG45" i="141"/>
  <c r="AF45" i="141"/>
  <c r="AD45" i="141"/>
  <c r="AC45" i="141"/>
  <c r="AB45" i="141"/>
  <c r="Z45" i="141"/>
  <c r="W45" i="141"/>
  <c r="U45" i="141"/>
  <c r="T45" i="141"/>
  <c r="S45" i="141"/>
  <c r="Q45" i="141"/>
  <c r="O45" i="141"/>
  <c r="N45" i="141"/>
  <c r="M45" i="141"/>
  <c r="L45" i="141"/>
  <c r="K45" i="141"/>
  <c r="A45" i="141"/>
  <c r="CL44" i="141"/>
  <c r="CK44" i="141"/>
  <c r="CJ44" i="141"/>
  <c r="CI44" i="141"/>
  <c r="CH44" i="141"/>
  <c r="CG44" i="141"/>
  <c r="CF44" i="141"/>
  <c r="CE44" i="141"/>
  <c r="CD44" i="141"/>
  <c r="CC44" i="141"/>
  <c r="CB44" i="141"/>
  <c r="CA44" i="141"/>
  <c r="BZ44" i="141"/>
  <c r="BY44" i="141"/>
  <c r="BX44" i="141"/>
  <c r="BW44" i="141"/>
  <c r="BV44" i="141"/>
  <c r="BU44" i="141"/>
  <c r="BT44" i="141"/>
  <c r="BS44" i="141"/>
  <c r="BQ44" i="141"/>
  <c r="BP44" i="141"/>
  <c r="BO44" i="141"/>
  <c r="BN44" i="141"/>
  <c r="BM44" i="141"/>
  <c r="BL44" i="141"/>
  <c r="BK44" i="141"/>
  <c r="BJ44" i="141"/>
  <c r="BI44" i="141"/>
  <c r="BH44" i="141"/>
  <c r="BG44" i="141"/>
  <c r="BF44" i="141"/>
  <c r="BE44" i="141"/>
  <c r="BD44" i="141"/>
  <c r="BC44" i="141"/>
  <c r="BB44" i="141"/>
  <c r="BA44" i="141"/>
  <c r="AZ44" i="141"/>
  <c r="AY44" i="141"/>
  <c r="AX44" i="141"/>
  <c r="AW44" i="141"/>
  <c r="AV44" i="141"/>
  <c r="AU44" i="141"/>
  <c r="I44" i="141"/>
  <c r="H44" i="141"/>
  <c r="G44" i="141"/>
  <c r="F44" i="141"/>
  <c r="A44" i="141"/>
  <c r="AS43" i="141"/>
  <c r="AS44" i="141" s="1"/>
  <c r="AR43" i="141"/>
  <c r="AR44" i="141"/>
  <c r="AQ43" i="141"/>
  <c r="AQ44" i="141" s="1"/>
  <c r="AP43" i="141"/>
  <c r="AO43" i="141"/>
  <c r="AO44" i="141" s="1"/>
  <c r="AN43" i="141"/>
  <c r="AN44" i="141" s="1"/>
  <c r="AM43" i="141"/>
  <c r="AM44" i="141" s="1"/>
  <c r="AL43" i="141"/>
  <c r="AL44" i="141" s="1"/>
  <c r="AK43" i="141"/>
  <c r="AK44" i="141" s="1"/>
  <c r="AJ43" i="141"/>
  <c r="AJ44" i="141" s="1"/>
  <c r="AI43" i="141"/>
  <c r="AI44" i="141" s="1"/>
  <c r="AH43" i="141"/>
  <c r="AH44" i="141" s="1"/>
  <c r="AG43" i="141"/>
  <c r="AG44" i="141" s="1"/>
  <c r="AF43" i="141"/>
  <c r="AF44" i="141" s="1"/>
  <c r="AE43" i="141"/>
  <c r="AE44" i="141" s="1"/>
  <c r="AD43" i="141"/>
  <c r="AD44" i="141" s="1"/>
  <c r="AC43" i="141"/>
  <c r="AC44" i="141" s="1"/>
  <c r="AB43" i="141"/>
  <c r="AB44" i="141"/>
  <c r="AA43" i="141"/>
  <c r="AA44" i="141" s="1"/>
  <c r="Z43" i="141"/>
  <c r="Z44" i="141" s="1"/>
  <c r="Y43" i="141"/>
  <c r="Y44" i="141" s="1"/>
  <c r="X43" i="141"/>
  <c r="X44" i="141"/>
  <c r="W43" i="141"/>
  <c r="W44" i="141" s="1"/>
  <c r="V43" i="141"/>
  <c r="V44" i="141" s="1"/>
  <c r="U43" i="141"/>
  <c r="U44" i="141" s="1"/>
  <c r="T43" i="141"/>
  <c r="T44" i="141"/>
  <c r="S43" i="141"/>
  <c r="S44" i="141" s="1"/>
  <c r="R43" i="141"/>
  <c r="Q43" i="141"/>
  <c r="Q44" i="141" s="1"/>
  <c r="P43" i="141"/>
  <c r="P44" i="141" s="1"/>
  <c r="O43" i="141"/>
  <c r="O44" i="141" s="1"/>
  <c r="N43" i="141"/>
  <c r="N44" i="141" s="1"/>
  <c r="M43" i="141"/>
  <c r="M44" i="141" s="1"/>
  <c r="L43" i="141"/>
  <c r="L44" i="141"/>
  <c r="K43" i="141"/>
  <c r="K44" i="141" s="1"/>
  <c r="A43" i="141"/>
  <c r="AQ42" i="141"/>
  <c r="AP42" i="141"/>
  <c r="AO42" i="141"/>
  <c r="AM42" i="141"/>
  <c r="AL42" i="141"/>
  <c r="AJ42" i="141"/>
  <c r="AI42" i="141"/>
  <c r="AH42" i="141"/>
  <c r="AG42" i="141"/>
  <c r="AD42" i="141"/>
  <c r="AA42" i="141"/>
  <c r="Z42" i="141"/>
  <c r="Y42" i="141"/>
  <c r="W42" i="141"/>
  <c r="V42" i="141"/>
  <c r="U42" i="141"/>
  <c r="T42" i="141"/>
  <c r="S42" i="141"/>
  <c r="R42" i="141"/>
  <c r="Q42" i="141"/>
  <c r="P42" i="141"/>
  <c r="O42" i="141"/>
  <c r="N42" i="141"/>
  <c r="K42" i="141"/>
  <c r="A42" i="141"/>
  <c r="AS41" i="141"/>
  <c r="AR41" i="141"/>
  <c r="AQ41" i="141"/>
  <c r="AP41" i="141"/>
  <c r="AO41" i="141"/>
  <c r="AN41" i="141"/>
  <c r="AM41" i="141"/>
  <c r="AL41" i="141"/>
  <c r="AK41" i="141"/>
  <c r="AJ41" i="141"/>
  <c r="AI41" i="141"/>
  <c r="AH41" i="141"/>
  <c r="AG41" i="141"/>
  <c r="AF41" i="141"/>
  <c r="AE41" i="141"/>
  <c r="AD41" i="141"/>
  <c r="AC41" i="141"/>
  <c r="AB41" i="141"/>
  <c r="AA41" i="141"/>
  <c r="Z41" i="141"/>
  <c r="Y41" i="141"/>
  <c r="X41" i="141"/>
  <c r="W41" i="141"/>
  <c r="V41" i="141"/>
  <c r="U41" i="141"/>
  <c r="T41" i="141"/>
  <c r="S41" i="141"/>
  <c r="R41" i="141"/>
  <c r="Q41" i="141"/>
  <c r="P41" i="141"/>
  <c r="O41" i="141"/>
  <c r="N41" i="141"/>
  <c r="M41" i="141"/>
  <c r="L41" i="141"/>
  <c r="K41" i="141"/>
  <c r="A41" i="141"/>
  <c r="A40" i="141"/>
  <c r="AS39" i="141"/>
  <c r="AR39" i="141"/>
  <c r="AQ39" i="141"/>
  <c r="AP39" i="141"/>
  <c r="AO39" i="141"/>
  <c r="AN39" i="141"/>
  <c r="AM39" i="141"/>
  <c r="AL39" i="141"/>
  <c r="AK39" i="141"/>
  <c r="AJ39" i="141"/>
  <c r="AI39" i="141"/>
  <c r="AH39" i="141"/>
  <c r="AG39" i="141"/>
  <c r="AF39" i="141"/>
  <c r="AE39" i="141"/>
  <c r="AD39" i="141"/>
  <c r="AC39" i="141"/>
  <c r="AB39" i="141"/>
  <c r="AA39" i="141"/>
  <c r="Z39" i="141"/>
  <c r="Y39" i="141"/>
  <c r="X39" i="141"/>
  <c r="W39" i="141"/>
  <c r="V39" i="141"/>
  <c r="U39" i="141"/>
  <c r="T39" i="141"/>
  <c r="S39" i="141"/>
  <c r="R39" i="141"/>
  <c r="Q39" i="141"/>
  <c r="P39" i="141"/>
  <c r="O39" i="141"/>
  <c r="N39" i="141"/>
  <c r="M39" i="141"/>
  <c r="L39" i="141"/>
  <c r="K39" i="141"/>
  <c r="A39" i="141"/>
  <c r="AS38" i="141"/>
  <c r="AR38" i="141"/>
  <c r="AQ38" i="141"/>
  <c r="AP38" i="141"/>
  <c r="AO38" i="141"/>
  <c r="AN38" i="141"/>
  <c r="AM38" i="141"/>
  <c r="AL38" i="141"/>
  <c r="AK38" i="141"/>
  <c r="AJ38" i="141"/>
  <c r="AI38" i="141"/>
  <c r="AH38" i="141"/>
  <c r="AG38" i="141"/>
  <c r="AF38" i="141"/>
  <c r="AE38" i="141"/>
  <c r="AD38" i="141"/>
  <c r="AC38" i="141"/>
  <c r="AB38" i="141"/>
  <c r="AA38" i="141"/>
  <c r="Z38" i="141"/>
  <c r="Y38" i="141"/>
  <c r="X38" i="141"/>
  <c r="W38" i="141"/>
  <c r="V38" i="141"/>
  <c r="U38" i="141"/>
  <c r="T38" i="141"/>
  <c r="S38" i="141"/>
  <c r="R38" i="141"/>
  <c r="Q38" i="141"/>
  <c r="P38" i="141"/>
  <c r="O38" i="141"/>
  <c r="N38" i="141"/>
  <c r="M38" i="141"/>
  <c r="L38" i="141"/>
  <c r="K38" i="141"/>
  <c r="A38" i="141"/>
  <c r="AS37" i="141"/>
  <c r="AR37" i="141"/>
  <c r="AQ37" i="141"/>
  <c r="AP37" i="141"/>
  <c r="AO37" i="141"/>
  <c r="AN37" i="141"/>
  <c r="AM37" i="141"/>
  <c r="AL37" i="141"/>
  <c r="AK37" i="141"/>
  <c r="AJ37" i="141"/>
  <c r="AI37" i="141"/>
  <c r="AH37" i="141"/>
  <c r="AG37" i="141"/>
  <c r="AF37" i="141"/>
  <c r="AE37" i="141"/>
  <c r="AD37" i="141"/>
  <c r="AC37" i="141"/>
  <c r="AB37" i="141"/>
  <c r="AA37" i="141"/>
  <c r="Z37" i="141"/>
  <c r="Y37" i="141"/>
  <c r="X37" i="141"/>
  <c r="W37" i="141"/>
  <c r="V37" i="141"/>
  <c r="U37" i="141"/>
  <c r="T37" i="141"/>
  <c r="S37" i="141"/>
  <c r="R37" i="141"/>
  <c r="Q37" i="141"/>
  <c r="P37" i="141"/>
  <c r="O37" i="141"/>
  <c r="N37" i="141"/>
  <c r="M37" i="141"/>
  <c r="L37" i="141"/>
  <c r="K37" i="141"/>
  <c r="A37" i="141"/>
  <c r="AS36" i="141"/>
  <c r="AR36" i="141"/>
  <c r="AQ36" i="141"/>
  <c r="AP36" i="141"/>
  <c r="AO36" i="141"/>
  <c r="AN36" i="141"/>
  <c r="AM36" i="141"/>
  <c r="AL36" i="141"/>
  <c r="AK36" i="141"/>
  <c r="AJ36" i="141"/>
  <c r="AI36" i="141"/>
  <c r="AH36" i="141"/>
  <c r="AG36" i="141"/>
  <c r="AF36" i="141"/>
  <c r="AE36" i="141"/>
  <c r="AD36" i="141"/>
  <c r="AC36" i="141"/>
  <c r="AB36" i="141"/>
  <c r="AA36" i="141"/>
  <c r="Z36" i="141"/>
  <c r="Y36" i="141"/>
  <c r="X36" i="141"/>
  <c r="W36" i="141"/>
  <c r="V36" i="141"/>
  <c r="U36" i="141"/>
  <c r="T36" i="141"/>
  <c r="S36" i="141"/>
  <c r="R36" i="141"/>
  <c r="Q36" i="141"/>
  <c r="P36" i="141"/>
  <c r="O36" i="141"/>
  <c r="N36" i="141"/>
  <c r="M36" i="141"/>
  <c r="L36" i="141"/>
  <c r="K36" i="141"/>
  <c r="A36" i="141"/>
  <c r="AS35" i="141"/>
  <c r="AR35" i="141"/>
  <c r="AR127" i="141" s="1"/>
  <c r="AQ35" i="141"/>
  <c r="AP35" i="141"/>
  <c r="AO35" i="141"/>
  <c r="AN35" i="141"/>
  <c r="AN127" i="141" s="1"/>
  <c r="AM35" i="141"/>
  <c r="AL35" i="141"/>
  <c r="AK35" i="141"/>
  <c r="AJ35" i="141"/>
  <c r="AJ127" i="141" s="1"/>
  <c r="AI35" i="141"/>
  <c r="AH35" i="141"/>
  <c r="AG35" i="141"/>
  <c r="AF35" i="141"/>
  <c r="AF127" i="141" s="1"/>
  <c r="AE35" i="141"/>
  <c r="AE93" i="141" s="1"/>
  <c r="AD35" i="141"/>
  <c r="AD127" i="141" s="1"/>
  <c r="AC35" i="141"/>
  <c r="AB35" i="141"/>
  <c r="AB127" i="141" s="1"/>
  <c r="AA35" i="141"/>
  <c r="AA93" i="141" s="1"/>
  <c r="Z35" i="141"/>
  <c r="Y35" i="141"/>
  <c r="Y93" i="141" s="1"/>
  <c r="X35" i="141"/>
  <c r="W35" i="141"/>
  <c r="V35" i="141"/>
  <c r="U35" i="141"/>
  <c r="T35" i="141"/>
  <c r="T127" i="141" s="1"/>
  <c r="S35" i="141"/>
  <c r="R35" i="141"/>
  <c r="Q35" i="141"/>
  <c r="P35" i="141"/>
  <c r="O35" i="141"/>
  <c r="N35" i="141"/>
  <c r="M35" i="141"/>
  <c r="L35" i="141"/>
  <c r="L127" i="141"/>
  <c r="K35" i="141"/>
  <c r="A35" i="141"/>
  <c r="A34" i="141"/>
  <c r="CL33" i="141"/>
  <c r="CK33" i="141"/>
  <c r="CJ33" i="141"/>
  <c r="CI33" i="141"/>
  <c r="CH33" i="141"/>
  <c r="AM33" i="141" s="1"/>
  <c r="CG33" i="141"/>
  <c r="CF33" i="141"/>
  <c r="CE33" i="141"/>
  <c r="AL33" i="141" s="1"/>
  <c r="CD33" i="141"/>
  <c r="AP33" i="141" s="1"/>
  <c r="CC33" i="141"/>
  <c r="AO33" i="141" s="1"/>
  <c r="CB33" i="141"/>
  <c r="AK33" i="141" s="1"/>
  <c r="CA33" i="141"/>
  <c r="AF33" i="141" s="1"/>
  <c r="BZ33" i="141"/>
  <c r="AH33" i="141" s="1"/>
  <c r="BY33" i="141"/>
  <c r="BX33" i="141"/>
  <c r="AC33" i="141" s="1"/>
  <c r="BW33" i="141"/>
  <c r="AI33" i="141" s="1"/>
  <c r="BV33" i="141"/>
  <c r="AG33" i="141"/>
  <c r="BU33" i="141"/>
  <c r="BT33" i="141"/>
  <c r="BS33" i="141"/>
  <c r="BR33" i="141"/>
  <c r="W33" i="141" s="1"/>
  <c r="BQ33" i="141"/>
  <c r="BP33" i="141"/>
  <c r="BO33" i="141"/>
  <c r="BN33" i="141"/>
  <c r="BM33" i="141"/>
  <c r="BL33" i="141"/>
  <c r="BK33" i="141"/>
  <c r="BJ33" i="141"/>
  <c r="BI33" i="141"/>
  <c r="BH33" i="141"/>
  <c r="BG33" i="141"/>
  <c r="BF33" i="141"/>
  <c r="K33" i="141" s="1"/>
  <c r="BE33" i="141"/>
  <c r="BD33" i="141"/>
  <c r="M33" i="141" s="1"/>
  <c r="BC33" i="141"/>
  <c r="U33" i="141" s="1"/>
  <c r="BB33" i="141"/>
  <c r="T33" i="141" s="1"/>
  <c r="BA33" i="141"/>
  <c r="AZ33" i="141"/>
  <c r="AY33" i="141"/>
  <c r="AX33" i="141"/>
  <c r="AW33" i="141"/>
  <c r="N33" i="141" s="1"/>
  <c r="AV33" i="141"/>
  <c r="S33" i="141" s="1"/>
  <c r="AU33" i="141"/>
  <c r="Q33" i="141" s="1"/>
  <c r="AR33" i="141"/>
  <c r="AQ33" i="141"/>
  <c r="AN33" i="141"/>
  <c r="AJ33" i="141"/>
  <c r="AD33" i="141"/>
  <c r="AB33" i="141"/>
  <c r="Z33" i="141"/>
  <c r="O33" i="141"/>
  <c r="L33" i="141"/>
  <c r="I33" i="141"/>
  <c r="H33" i="141"/>
  <c r="G33" i="141"/>
  <c r="F33" i="141"/>
  <c r="A33" i="141"/>
  <c r="AR32" i="141"/>
  <c r="AQ32" i="141"/>
  <c r="AP32" i="141"/>
  <c r="AO32" i="141"/>
  <c r="AN32" i="141"/>
  <c r="AM32" i="141"/>
  <c r="AL32" i="141"/>
  <c r="AK32" i="141"/>
  <c r="AJ32" i="141"/>
  <c r="AI32" i="141"/>
  <c r="AH32" i="141"/>
  <c r="AG32" i="141"/>
  <c r="AF32" i="141"/>
  <c r="AD32" i="141"/>
  <c r="AC32" i="141"/>
  <c r="AB32" i="141"/>
  <c r="Z32" i="141"/>
  <c r="W32" i="141"/>
  <c r="U32" i="141"/>
  <c r="T32" i="141"/>
  <c r="S32" i="141"/>
  <c r="Q32" i="141"/>
  <c r="O32" i="141"/>
  <c r="N32" i="141"/>
  <c r="M32" i="141"/>
  <c r="L32" i="141"/>
  <c r="K32" i="141"/>
  <c r="A32" i="141"/>
  <c r="B31" i="141"/>
  <c r="A31" i="141"/>
  <c r="CL30" i="141"/>
  <c r="A30" i="141"/>
  <c r="AS29" i="141"/>
  <c r="AR29" i="141"/>
  <c r="AQ29" i="141"/>
  <c r="AP29" i="141"/>
  <c r="AO29" i="141"/>
  <c r="AN29" i="141"/>
  <c r="AM29" i="141"/>
  <c r="AL29" i="141"/>
  <c r="AK29" i="141"/>
  <c r="AJ29" i="141"/>
  <c r="AI29" i="141"/>
  <c r="AH29" i="141"/>
  <c r="AG29" i="141"/>
  <c r="AF29" i="141"/>
  <c r="AE29" i="141"/>
  <c r="AD29" i="141"/>
  <c r="AC29" i="141"/>
  <c r="AB29" i="141"/>
  <c r="AA29" i="141"/>
  <c r="Z29" i="141"/>
  <c r="Y29" i="141"/>
  <c r="X29" i="141"/>
  <c r="W29" i="141"/>
  <c r="V29" i="141"/>
  <c r="U29" i="141"/>
  <c r="T29" i="141"/>
  <c r="S29" i="141"/>
  <c r="R29" i="141"/>
  <c r="Q29" i="141"/>
  <c r="P29" i="141"/>
  <c r="O29" i="141"/>
  <c r="N29" i="141"/>
  <c r="M29" i="141"/>
  <c r="L29" i="141"/>
  <c r="K29" i="141"/>
  <c r="A29" i="141"/>
  <c r="AS28" i="141"/>
  <c r="AR28" i="141"/>
  <c r="AQ28" i="141"/>
  <c r="AP28" i="141"/>
  <c r="AO28" i="141"/>
  <c r="AN28" i="141"/>
  <c r="AM28" i="141"/>
  <c r="AL28" i="141"/>
  <c r="AK28" i="141"/>
  <c r="AJ28" i="141"/>
  <c r="AI28" i="141"/>
  <c r="AH28" i="141"/>
  <c r="AG28" i="141"/>
  <c r="AF28" i="141"/>
  <c r="AE28" i="141"/>
  <c r="AD28" i="141"/>
  <c r="AC28" i="141"/>
  <c r="AB28" i="141"/>
  <c r="AA28" i="141"/>
  <c r="Z28" i="141"/>
  <c r="Y28" i="141"/>
  <c r="X28" i="141"/>
  <c r="W28" i="141"/>
  <c r="V28" i="141"/>
  <c r="U28" i="141"/>
  <c r="T28" i="141"/>
  <c r="S28" i="141"/>
  <c r="R28" i="141"/>
  <c r="Q28" i="141"/>
  <c r="P28" i="141"/>
  <c r="O28" i="141"/>
  <c r="N28" i="141"/>
  <c r="M28" i="141"/>
  <c r="L28" i="141"/>
  <c r="K28" i="141"/>
  <c r="A28" i="141"/>
  <c r="AS27" i="141"/>
  <c r="AR27" i="141"/>
  <c r="AQ27" i="141"/>
  <c r="AP27" i="141"/>
  <c r="AO27" i="141"/>
  <c r="AN27" i="141"/>
  <c r="AM27" i="141"/>
  <c r="AL27" i="141"/>
  <c r="AK27" i="141"/>
  <c r="AJ27" i="141"/>
  <c r="AI27" i="141"/>
  <c r="AH27" i="141"/>
  <c r="AG27" i="141"/>
  <c r="AF27" i="141"/>
  <c r="AE27" i="141"/>
  <c r="AD27" i="141"/>
  <c r="AC27" i="141"/>
  <c r="AB27" i="141"/>
  <c r="AA27" i="141"/>
  <c r="Z27" i="141"/>
  <c r="Y27" i="141"/>
  <c r="X27" i="141"/>
  <c r="W27" i="141"/>
  <c r="V27" i="141"/>
  <c r="U27" i="141"/>
  <c r="T27" i="141"/>
  <c r="S27" i="141"/>
  <c r="R27" i="141"/>
  <c r="Q27" i="141"/>
  <c r="P27" i="141"/>
  <c r="O27" i="141"/>
  <c r="N27" i="141"/>
  <c r="M27" i="141"/>
  <c r="L27" i="141"/>
  <c r="K27" i="141"/>
  <c r="A27" i="141"/>
  <c r="AS26" i="141"/>
  <c r="AR26" i="141"/>
  <c r="AQ26" i="141"/>
  <c r="AP26" i="141"/>
  <c r="AO26" i="141"/>
  <c r="AN26" i="141"/>
  <c r="AM26" i="141"/>
  <c r="AL26" i="141"/>
  <c r="AK26" i="141"/>
  <c r="AJ26" i="141"/>
  <c r="AI26" i="141"/>
  <c r="AH26" i="141"/>
  <c r="AG26" i="141"/>
  <c r="AF26" i="141"/>
  <c r="AE26" i="141"/>
  <c r="AD26" i="141"/>
  <c r="AC26" i="141"/>
  <c r="AB26" i="141"/>
  <c r="AA26" i="141"/>
  <c r="Z26" i="141"/>
  <c r="Y26" i="141"/>
  <c r="X26" i="141"/>
  <c r="W26" i="141"/>
  <c r="V26" i="141"/>
  <c r="U26" i="141"/>
  <c r="T26" i="141"/>
  <c r="S26" i="141"/>
  <c r="R26" i="141"/>
  <c r="Q26" i="141"/>
  <c r="P26" i="141"/>
  <c r="O26" i="141"/>
  <c r="N26" i="141"/>
  <c r="M26" i="141"/>
  <c r="L26" i="141"/>
  <c r="K26" i="141"/>
  <c r="A26" i="141"/>
  <c r="AS25" i="141"/>
  <c r="AR25" i="141"/>
  <c r="AQ25" i="141"/>
  <c r="AP25" i="141"/>
  <c r="AO25" i="141"/>
  <c r="AN25" i="141"/>
  <c r="AM25" i="141"/>
  <c r="AL25" i="141"/>
  <c r="AK25" i="141"/>
  <c r="AJ25" i="141"/>
  <c r="AI25" i="141"/>
  <c r="AH25" i="141"/>
  <c r="AG25" i="141"/>
  <c r="AF25" i="141"/>
  <c r="AE25" i="141"/>
  <c r="AD25" i="141"/>
  <c r="AC25" i="141"/>
  <c r="AB25" i="141"/>
  <c r="AA25" i="141"/>
  <c r="Z25" i="141"/>
  <c r="Y25" i="141"/>
  <c r="X25" i="141"/>
  <c r="W25" i="141"/>
  <c r="V25" i="141"/>
  <c r="U25" i="141"/>
  <c r="T25" i="141"/>
  <c r="S25" i="141"/>
  <c r="R25" i="141"/>
  <c r="Q25" i="141"/>
  <c r="P25" i="141"/>
  <c r="O25" i="141"/>
  <c r="N25" i="141"/>
  <c r="M25" i="141"/>
  <c r="L25" i="141"/>
  <c r="K25" i="141"/>
  <c r="A25" i="141"/>
  <c r="AS24" i="141"/>
  <c r="AR24" i="141"/>
  <c r="AQ24" i="141"/>
  <c r="AP24" i="141"/>
  <c r="AO24" i="141"/>
  <c r="AN24" i="141"/>
  <c r="AM24" i="141"/>
  <c r="AL24" i="141"/>
  <c r="AK24" i="141"/>
  <c r="AJ24" i="141"/>
  <c r="AI24" i="141"/>
  <c r="AH24" i="141"/>
  <c r="AG24" i="141"/>
  <c r="AF24" i="141"/>
  <c r="AE24" i="141"/>
  <c r="AD24" i="141"/>
  <c r="AC24" i="141"/>
  <c r="AB24" i="141"/>
  <c r="AA24" i="141"/>
  <c r="Z24" i="141"/>
  <c r="Y24" i="141"/>
  <c r="X24" i="141"/>
  <c r="W24" i="141"/>
  <c r="V24" i="141"/>
  <c r="U24" i="141"/>
  <c r="T24" i="141"/>
  <c r="S24" i="141"/>
  <c r="R24" i="141"/>
  <c r="Q24" i="141"/>
  <c r="P24" i="141"/>
  <c r="O24" i="141"/>
  <c r="N24" i="141"/>
  <c r="M24" i="141"/>
  <c r="L24" i="141"/>
  <c r="K24" i="141"/>
  <c r="A24" i="141"/>
  <c r="CK23" i="141"/>
  <c r="CJ23" i="141"/>
  <c r="CI23" i="141"/>
  <c r="CH23" i="141"/>
  <c r="AM23" i="141" s="1"/>
  <c r="CG23" i="141"/>
  <c r="CF23" i="141"/>
  <c r="AS23" i="141" s="1"/>
  <c r="CE23" i="141"/>
  <c r="CD23" i="141"/>
  <c r="CC23" i="141"/>
  <c r="CB23" i="141"/>
  <c r="CA23" i="141"/>
  <c r="BZ23" i="141"/>
  <c r="BY23" i="141"/>
  <c r="BX23" i="141"/>
  <c r="BW23" i="141"/>
  <c r="BV23" i="141"/>
  <c r="BU23" i="141"/>
  <c r="BT23" i="141"/>
  <c r="BS23" i="141"/>
  <c r="BR23" i="141"/>
  <c r="W23" i="141" s="1"/>
  <c r="BQ23" i="141"/>
  <c r="BP23" i="141"/>
  <c r="AB23" i="141" s="1"/>
  <c r="BO23" i="141"/>
  <c r="BN23" i="141"/>
  <c r="BM23" i="141"/>
  <c r="BL23" i="141"/>
  <c r="BL31" i="141" s="1"/>
  <c r="BK23" i="141"/>
  <c r="BJ23" i="141"/>
  <c r="BI23" i="141"/>
  <c r="BH23" i="141"/>
  <c r="BH31" i="141" s="1"/>
  <c r="BG23" i="141"/>
  <c r="BF23" i="141"/>
  <c r="K23" i="141" s="1"/>
  <c r="BE23" i="141"/>
  <c r="BD23" i="141"/>
  <c r="M23" i="141" s="1"/>
  <c r="BC23" i="141"/>
  <c r="U23" i="141" s="1"/>
  <c r="BB23" i="141"/>
  <c r="BA23" i="141"/>
  <c r="AZ23" i="141"/>
  <c r="AY23" i="141"/>
  <c r="AX23" i="141"/>
  <c r="AW23" i="141"/>
  <c r="AV23" i="141"/>
  <c r="S23" i="141" s="1"/>
  <c r="AU23" i="141"/>
  <c r="Q23" i="141" s="1"/>
  <c r="AP23" i="141"/>
  <c r="AH23" i="141"/>
  <c r="T23" i="141"/>
  <c r="R23" i="141"/>
  <c r="I23" i="141"/>
  <c r="H23" i="141"/>
  <c r="G23" i="141"/>
  <c r="F23" i="141"/>
  <c r="A23" i="141"/>
  <c r="Q22" i="141"/>
  <c r="A22" i="141"/>
  <c r="CL21" i="141"/>
  <c r="CK21" i="141"/>
  <c r="CJ21" i="141"/>
  <c r="CI21" i="141"/>
  <c r="CH21" i="141"/>
  <c r="CG21" i="141"/>
  <c r="CF21" i="141"/>
  <c r="CE21" i="141"/>
  <c r="CD21" i="141"/>
  <c r="CC21" i="141"/>
  <c r="CB21" i="141"/>
  <c r="CA21" i="141"/>
  <c r="BZ21" i="141"/>
  <c r="BY21" i="141"/>
  <c r="BX21" i="141"/>
  <c r="BW21" i="141"/>
  <c r="BV21" i="141"/>
  <c r="BU21" i="141"/>
  <c r="BT21" i="141"/>
  <c r="BS21" i="141"/>
  <c r="BR21" i="141"/>
  <c r="BQ21" i="141"/>
  <c r="BP21" i="141"/>
  <c r="BO21" i="141"/>
  <c r="BN21" i="141"/>
  <c r="BM21" i="141"/>
  <c r="BL21" i="141"/>
  <c r="BK21" i="141"/>
  <c r="BJ21" i="141"/>
  <c r="BI21" i="141"/>
  <c r="BH21" i="141"/>
  <c r="BG21" i="141"/>
  <c r="BF21" i="141"/>
  <c r="BE21" i="141"/>
  <c r="BD21" i="141"/>
  <c r="BC21" i="141"/>
  <c r="BB21" i="141"/>
  <c r="BA21" i="141"/>
  <c r="AZ21" i="141"/>
  <c r="AY21" i="141"/>
  <c r="AX21" i="141"/>
  <c r="AW21" i="141"/>
  <c r="AV21" i="141"/>
  <c r="AU21" i="141"/>
  <c r="I21" i="141"/>
  <c r="H21" i="141"/>
  <c r="G21" i="141"/>
  <c r="A21" i="141"/>
  <c r="AS20" i="141"/>
  <c r="AR20" i="141"/>
  <c r="AR21" i="141" s="1"/>
  <c r="AQ20" i="141"/>
  <c r="AQ21" i="141" s="1"/>
  <c r="AP20" i="141"/>
  <c r="AP21" i="141" s="1"/>
  <c r="AO20" i="141"/>
  <c r="AO21" i="141" s="1"/>
  <c r="AN20" i="141"/>
  <c r="AM20" i="141"/>
  <c r="AM21" i="141" s="1"/>
  <c r="AL20" i="141"/>
  <c r="AL21" i="141" s="1"/>
  <c r="AK20" i="141"/>
  <c r="AJ20" i="141"/>
  <c r="AJ21" i="141" s="1"/>
  <c r="AI20" i="141"/>
  <c r="AI21" i="141" s="1"/>
  <c r="AH20" i="141"/>
  <c r="AH21" i="141" s="1"/>
  <c r="AG20" i="141"/>
  <c r="AG21" i="141" s="1"/>
  <c r="AF20" i="141"/>
  <c r="AE20" i="141"/>
  <c r="AE21" i="141" s="1"/>
  <c r="AD20" i="141"/>
  <c r="AD21" i="141" s="1"/>
  <c r="AC20" i="141"/>
  <c r="AB20" i="141"/>
  <c r="AB21" i="141" s="1"/>
  <c r="AA20" i="141"/>
  <c r="AA21" i="141" s="1"/>
  <c r="Z20" i="141"/>
  <c r="Z21" i="141" s="1"/>
  <c r="Y20" i="141"/>
  <c r="Y21" i="141" s="1"/>
  <c r="X20" i="141"/>
  <c r="W20" i="141"/>
  <c r="W21" i="141" s="1"/>
  <c r="V20" i="141"/>
  <c r="V21" i="141" s="1"/>
  <c r="U20" i="141"/>
  <c r="T20" i="141"/>
  <c r="T21" i="141" s="1"/>
  <c r="S20" i="141"/>
  <c r="S21" i="141" s="1"/>
  <c r="R20" i="141"/>
  <c r="R21" i="141" s="1"/>
  <c r="Q20" i="141"/>
  <c r="Q21" i="141" s="1"/>
  <c r="P20" i="141"/>
  <c r="O20" i="141"/>
  <c r="O21" i="141" s="1"/>
  <c r="N20" i="141"/>
  <c r="N21" i="141" s="1"/>
  <c r="M20" i="141"/>
  <c r="L20" i="141"/>
  <c r="L21" i="141" s="1"/>
  <c r="K20" i="141"/>
  <c r="K21" i="141" s="1"/>
  <c r="A20" i="141"/>
  <c r="AS19" i="141"/>
  <c r="AR19" i="141"/>
  <c r="AQ19" i="141"/>
  <c r="AP19" i="141"/>
  <c r="AO19" i="141"/>
  <c r="AN19" i="141"/>
  <c r="AM19" i="141"/>
  <c r="AL19" i="141"/>
  <c r="AK19" i="141"/>
  <c r="AJ19" i="141"/>
  <c r="AI19" i="141"/>
  <c r="AH19" i="141"/>
  <c r="AG19" i="141"/>
  <c r="AF19" i="141"/>
  <c r="AE19" i="141"/>
  <c r="AD19" i="141"/>
  <c r="AC19" i="141"/>
  <c r="AB19" i="141"/>
  <c r="AA19" i="141"/>
  <c r="Z19" i="141"/>
  <c r="Y19" i="141"/>
  <c r="X19" i="141"/>
  <c r="W19" i="141"/>
  <c r="V19" i="141"/>
  <c r="U19" i="141"/>
  <c r="T19" i="141"/>
  <c r="S19" i="141"/>
  <c r="R19" i="141"/>
  <c r="Q19" i="141"/>
  <c r="P19" i="141"/>
  <c r="O19" i="141"/>
  <c r="N19" i="141"/>
  <c r="M19" i="141"/>
  <c r="L19" i="141"/>
  <c r="K19" i="141"/>
  <c r="A19" i="141"/>
  <c r="AS18" i="141"/>
  <c r="AR18" i="141"/>
  <c r="AQ18" i="141"/>
  <c r="AP18" i="141"/>
  <c r="AO18" i="141"/>
  <c r="AN18" i="141"/>
  <c r="AM18" i="141"/>
  <c r="AL18" i="141"/>
  <c r="AK18" i="141"/>
  <c r="AJ18" i="141"/>
  <c r="AI18" i="141"/>
  <c r="AH18" i="141"/>
  <c r="AG18" i="141"/>
  <c r="AF18" i="141"/>
  <c r="AE18" i="141"/>
  <c r="AD18" i="141"/>
  <c r="AC18" i="141"/>
  <c r="AB18" i="141"/>
  <c r="AA18" i="141"/>
  <c r="Z18" i="141"/>
  <c r="Y18" i="141"/>
  <c r="X18" i="141"/>
  <c r="W18" i="141"/>
  <c r="V18" i="141"/>
  <c r="U18" i="141"/>
  <c r="T18" i="141"/>
  <c r="S18" i="141"/>
  <c r="R18" i="141"/>
  <c r="Q18" i="141"/>
  <c r="P18" i="141"/>
  <c r="O18" i="141"/>
  <c r="N18" i="141"/>
  <c r="M18" i="141"/>
  <c r="L18" i="141"/>
  <c r="K18" i="141"/>
  <c r="A18" i="141"/>
  <c r="AR17" i="141"/>
  <c r="AQ17" i="141"/>
  <c r="AP17" i="141"/>
  <c r="AO17" i="141"/>
  <c r="AN17" i="141"/>
  <c r="AM17" i="141"/>
  <c r="AL17" i="141"/>
  <c r="AK17" i="141"/>
  <c r="AJ17" i="141"/>
  <c r="AI17" i="141"/>
  <c r="AH17" i="141"/>
  <c r="AG17" i="141"/>
  <c r="AF17" i="141"/>
  <c r="AD17" i="141"/>
  <c r="AC17" i="141"/>
  <c r="AB17" i="141"/>
  <c r="Z17" i="141"/>
  <c r="W17" i="141"/>
  <c r="U17" i="141"/>
  <c r="T17" i="141"/>
  <c r="S17" i="141"/>
  <c r="Q17" i="141"/>
  <c r="O17" i="141"/>
  <c r="N17" i="141"/>
  <c r="M17" i="141"/>
  <c r="L17" i="141"/>
  <c r="K17" i="141"/>
  <c r="I17" i="141"/>
  <c r="H17" i="141"/>
  <c r="G17" i="141"/>
  <c r="F17" i="141"/>
  <c r="A17" i="141"/>
  <c r="AS16" i="141"/>
  <c r="AS17" i="141" s="1"/>
  <c r="AR16" i="141"/>
  <c r="AQ16" i="141"/>
  <c r="AP16" i="141"/>
  <c r="AO16" i="141"/>
  <c r="AN16" i="141"/>
  <c r="AM16" i="141"/>
  <c r="AL16" i="141"/>
  <c r="AK16" i="141"/>
  <c r="AJ16" i="141"/>
  <c r="AI16" i="141"/>
  <c r="AH16" i="141"/>
  <c r="AG16" i="141"/>
  <c r="AF16" i="141"/>
  <c r="AE16" i="141"/>
  <c r="AE17" i="141" s="1"/>
  <c r="AD16" i="141"/>
  <c r="AC16" i="141"/>
  <c r="AB16" i="141"/>
  <c r="AA16" i="141"/>
  <c r="AA17" i="141" s="1"/>
  <c r="Z16" i="141"/>
  <c r="Y16" i="141"/>
  <c r="Y17" i="141" s="1"/>
  <c r="X16" i="141"/>
  <c r="X17" i="141" s="1"/>
  <c r="W16" i="141"/>
  <c r="V16" i="141"/>
  <c r="V17" i="141" s="1"/>
  <c r="U16" i="141"/>
  <c r="T16" i="141"/>
  <c r="S16" i="141"/>
  <c r="R16" i="141"/>
  <c r="R17" i="141" s="1"/>
  <c r="Q16" i="141"/>
  <c r="P16" i="141"/>
  <c r="P17" i="141" s="1"/>
  <c r="O16" i="141"/>
  <c r="N16" i="141"/>
  <c r="M16" i="141"/>
  <c r="L16" i="141"/>
  <c r="K16" i="141"/>
  <c r="A16" i="141"/>
  <c r="A15" i="141"/>
  <c r="CL14" i="141"/>
  <c r="CK14" i="141"/>
  <c r="AQ14" i="141"/>
  <c r="CJ14" i="141"/>
  <c r="CI14" i="141"/>
  <c r="AR14" i="141" s="1"/>
  <c r="CH14" i="141"/>
  <c r="CG14" i="141"/>
  <c r="CF14" i="141"/>
  <c r="CE14" i="141"/>
  <c r="AL14" i="141" s="1"/>
  <c r="CD14" i="141"/>
  <c r="AP14" i="141" s="1"/>
  <c r="CC14" i="141"/>
  <c r="AO14" i="141" s="1"/>
  <c r="CB14" i="141"/>
  <c r="AK14" i="141" s="1"/>
  <c r="CA14" i="141"/>
  <c r="AF14" i="141"/>
  <c r="BZ14" i="141"/>
  <c r="AH14" i="141" s="1"/>
  <c r="BY14" i="141"/>
  <c r="AJ14" i="141" s="1"/>
  <c r="BX14" i="141"/>
  <c r="BW14" i="141"/>
  <c r="AI14" i="141" s="1"/>
  <c r="BV14" i="141"/>
  <c r="BU14" i="141"/>
  <c r="AD14" i="141" s="1"/>
  <c r="BT14" i="141"/>
  <c r="BS14" i="141"/>
  <c r="BR14" i="141"/>
  <c r="W14" i="141" s="1"/>
  <c r="BQ14" i="141"/>
  <c r="BP14" i="141"/>
  <c r="AB14" i="141" s="1"/>
  <c r="BO14" i="141"/>
  <c r="BN14" i="141"/>
  <c r="BM14" i="141"/>
  <c r="Z14" i="141" s="1"/>
  <c r="BL14" i="141"/>
  <c r="BK14" i="141"/>
  <c r="BJ14" i="141"/>
  <c r="BI14" i="141"/>
  <c r="BH14" i="141"/>
  <c r="BG14" i="141"/>
  <c r="BF14" i="141"/>
  <c r="BE14" i="141"/>
  <c r="O14" i="141"/>
  <c r="BD14" i="141"/>
  <c r="M14" i="141" s="1"/>
  <c r="BC14" i="141"/>
  <c r="U14" i="141"/>
  <c r="BB14" i="141"/>
  <c r="BA14" i="141"/>
  <c r="AZ14" i="141"/>
  <c r="AY14" i="141"/>
  <c r="L14" i="141" s="1"/>
  <c r="AX14" i="141"/>
  <c r="AW14" i="141"/>
  <c r="N14" i="141" s="1"/>
  <c r="AV14" i="141"/>
  <c r="S14" i="141" s="1"/>
  <c r="AU14" i="141"/>
  <c r="AN14" i="141"/>
  <c r="AM14" i="141"/>
  <c r="AG14" i="141"/>
  <c r="AC14" i="141"/>
  <c r="T14" i="141"/>
  <c r="Q14" i="141"/>
  <c r="K14" i="141"/>
  <c r="A14" i="141"/>
  <c r="AS13" i="141"/>
  <c r="AR13" i="141"/>
  <c r="AQ13" i="141"/>
  <c r="AP13" i="141"/>
  <c r="AO13" i="141"/>
  <c r="AN13" i="141"/>
  <c r="AM13" i="141"/>
  <c r="AL13" i="141"/>
  <c r="AK13" i="141"/>
  <c r="AJ13" i="141"/>
  <c r="AI13" i="141"/>
  <c r="AH13" i="141"/>
  <c r="AG13" i="141"/>
  <c r="AF13" i="141"/>
  <c r="AE13" i="141"/>
  <c r="AD13" i="141"/>
  <c r="AC13" i="141"/>
  <c r="AB13" i="141"/>
  <c r="AA13" i="141"/>
  <c r="Z13" i="141"/>
  <c r="Y13" i="141"/>
  <c r="X13" i="141"/>
  <c r="V13" i="141"/>
  <c r="U13" i="141"/>
  <c r="T13" i="141"/>
  <c r="S13" i="141"/>
  <c r="R13" i="141"/>
  <c r="Q13" i="141"/>
  <c r="P13" i="141"/>
  <c r="O13" i="141"/>
  <c r="N13" i="141"/>
  <c r="M13" i="141"/>
  <c r="L13" i="141"/>
  <c r="K13" i="141"/>
  <c r="A13" i="141"/>
  <c r="CL12" i="141"/>
  <c r="CK12" i="141"/>
  <c r="AQ12" i="141" s="1"/>
  <c r="CJ12" i="141"/>
  <c r="AN12" i="141" s="1"/>
  <c r="CI12" i="141"/>
  <c r="CH12" i="141"/>
  <c r="AM12" i="141" s="1"/>
  <c r="CG12" i="141"/>
  <c r="CF12" i="141"/>
  <c r="CE12" i="141"/>
  <c r="CD12" i="141"/>
  <c r="CC12" i="141"/>
  <c r="CB12" i="141"/>
  <c r="CA12" i="141"/>
  <c r="AF12" i="141" s="1"/>
  <c r="BZ12" i="141"/>
  <c r="BY12" i="141"/>
  <c r="AJ12" i="141" s="1"/>
  <c r="BX12" i="141"/>
  <c r="BW12" i="141"/>
  <c r="BV12" i="141"/>
  <c r="BU12" i="141"/>
  <c r="AD12" i="141" s="1"/>
  <c r="BT12" i="141"/>
  <c r="BS12" i="141"/>
  <c r="BR12" i="141"/>
  <c r="BQ12" i="141"/>
  <c r="BP12" i="141"/>
  <c r="AB12" i="141" s="1"/>
  <c r="BO12" i="141"/>
  <c r="BN12" i="141"/>
  <c r="BM12" i="141"/>
  <c r="Z12" i="141" s="1"/>
  <c r="BL12" i="141"/>
  <c r="BK12" i="141"/>
  <c r="BJ12" i="141"/>
  <c r="BI12" i="141"/>
  <c r="BH12" i="141"/>
  <c r="BG12" i="141"/>
  <c r="BF12" i="141"/>
  <c r="BE12" i="141"/>
  <c r="O12" i="141" s="1"/>
  <c r="BD12" i="141"/>
  <c r="BC12" i="141"/>
  <c r="U12" i="141" s="1"/>
  <c r="BB12" i="141"/>
  <c r="BA12" i="141"/>
  <c r="P12" i="141" s="1"/>
  <c r="AZ12" i="141"/>
  <c r="AY12" i="141"/>
  <c r="AX12" i="141"/>
  <c r="R12" i="141" s="1"/>
  <c r="AW12" i="141"/>
  <c r="N12" i="141" s="1"/>
  <c r="AV12" i="141"/>
  <c r="AU12" i="141"/>
  <c r="Q12" i="141" s="1"/>
  <c r="AR12" i="141"/>
  <c r="AP12" i="141"/>
  <c r="AO12" i="141"/>
  <c r="AL12" i="141"/>
  <c r="AI12" i="141"/>
  <c r="AH12" i="141"/>
  <c r="AA12" i="141"/>
  <c r="V12" i="141"/>
  <c r="T12" i="141"/>
  <c r="L12" i="141"/>
  <c r="A12" i="141"/>
  <c r="AS11" i="141"/>
  <c r="AR11" i="141"/>
  <c r="AQ11" i="141"/>
  <c r="AP11" i="141"/>
  <c r="AO11" i="141"/>
  <c r="AN11" i="141"/>
  <c r="AM11" i="141"/>
  <c r="AL11" i="141"/>
  <c r="AK11" i="141"/>
  <c r="AJ11" i="141"/>
  <c r="AI11" i="141"/>
  <c r="AH11" i="141"/>
  <c r="AG11" i="141"/>
  <c r="AF11" i="141"/>
  <c r="AE11" i="141"/>
  <c r="AD11" i="141"/>
  <c r="AC11" i="141"/>
  <c r="AB11" i="141"/>
  <c r="AA11" i="141"/>
  <c r="Z11" i="141"/>
  <c r="Y11" i="141"/>
  <c r="X11" i="141"/>
  <c r="W11" i="141"/>
  <c r="V11" i="141"/>
  <c r="U11" i="141"/>
  <c r="T11" i="141"/>
  <c r="S11" i="141"/>
  <c r="R11" i="141"/>
  <c r="Q11" i="141"/>
  <c r="P11" i="141"/>
  <c r="O11" i="141"/>
  <c r="N11" i="141"/>
  <c r="M11" i="141"/>
  <c r="L11" i="141"/>
  <c r="K11" i="141"/>
  <c r="A11" i="141"/>
  <c r="AS10" i="141"/>
  <c r="AR10" i="141"/>
  <c r="AQ10" i="141"/>
  <c r="AP10" i="141"/>
  <c r="AO10" i="141"/>
  <c r="AN10" i="141"/>
  <c r="AM10" i="141"/>
  <c r="AL10" i="141"/>
  <c r="AK10" i="141"/>
  <c r="AJ10" i="141"/>
  <c r="AI10" i="141"/>
  <c r="AH10" i="141"/>
  <c r="AG10" i="141"/>
  <c r="AF10" i="141"/>
  <c r="AE10" i="141"/>
  <c r="AD10" i="141"/>
  <c r="AC10" i="141"/>
  <c r="AB10" i="141"/>
  <c r="AA10" i="141"/>
  <c r="Z10" i="141"/>
  <c r="Y10" i="141"/>
  <c r="X10" i="141"/>
  <c r="W10" i="141"/>
  <c r="V10" i="141"/>
  <c r="U10" i="141"/>
  <c r="T10" i="141"/>
  <c r="S10" i="141"/>
  <c r="R10" i="141"/>
  <c r="Q10" i="141"/>
  <c r="P10" i="141"/>
  <c r="O10" i="141"/>
  <c r="N10" i="141"/>
  <c r="M10" i="141"/>
  <c r="L10" i="141"/>
  <c r="K10" i="141"/>
  <c r="A10" i="141"/>
  <c r="AS9" i="141"/>
  <c r="AR9" i="141"/>
  <c r="AQ9" i="141"/>
  <c r="AP9" i="141"/>
  <c r="AO9" i="141"/>
  <c r="AN9" i="141"/>
  <c r="AM9" i="141"/>
  <c r="AL9" i="141"/>
  <c r="AK9" i="141"/>
  <c r="AJ9" i="141"/>
  <c r="AI9" i="141"/>
  <c r="AH9" i="141"/>
  <c r="AG9" i="141"/>
  <c r="AF9" i="141"/>
  <c r="AE9" i="141"/>
  <c r="AD9" i="141"/>
  <c r="AC9" i="141"/>
  <c r="AB9" i="141"/>
  <c r="AA9" i="141"/>
  <c r="Z9" i="141"/>
  <c r="Y9" i="141"/>
  <c r="X9" i="141"/>
  <c r="W9" i="141"/>
  <c r="V9" i="141"/>
  <c r="U9" i="141"/>
  <c r="T9" i="141"/>
  <c r="S9" i="141"/>
  <c r="R9" i="141"/>
  <c r="Q9" i="141"/>
  <c r="P9" i="141"/>
  <c r="O9" i="141"/>
  <c r="N9" i="141"/>
  <c r="M9" i="141"/>
  <c r="L9" i="141"/>
  <c r="K9" i="141"/>
  <c r="A9" i="141"/>
  <c r="AS8" i="141"/>
  <c r="AR8" i="141"/>
  <c r="AQ8" i="141"/>
  <c r="AP8" i="141"/>
  <c r="AO8" i="141"/>
  <c r="AN8" i="141"/>
  <c r="AM8" i="141"/>
  <c r="AL8" i="141"/>
  <c r="AK8" i="141"/>
  <c r="AJ8" i="141"/>
  <c r="AI8" i="141"/>
  <c r="AH8" i="141"/>
  <c r="AG8" i="141"/>
  <c r="AF8" i="141"/>
  <c r="AE8" i="141"/>
  <c r="AD8" i="141"/>
  <c r="AC8" i="141"/>
  <c r="AB8" i="141"/>
  <c r="AA8" i="141"/>
  <c r="Z8" i="141"/>
  <c r="Y8" i="141"/>
  <c r="X8" i="141"/>
  <c r="W8" i="141"/>
  <c r="V8" i="141"/>
  <c r="U8" i="141"/>
  <c r="T8" i="141"/>
  <c r="S8" i="141"/>
  <c r="R8" i="141"/>
  <c r="Q8" i="141"/>
  <c r="P8" i="141"/>
  <c r="O8" i="141"/>
  <c r="N8" i="141"/>
  <c r="M8" i="141"/>
  <c r="L8" i="141"/>
  <c r="K8" i="141"/>
  <c r="A8" i="141"/>
  <c r="AS7" i="141"/>
  <c r="AR7" i="141"/>
  <c r="AQ7" i="141"/>
  <c r="AP7" i="141"/>
  <c r="AO7" i="141"/>
  <c r="AN7" i="141"/>
  <c r="AM7" i="141"/>
  <c r="AL7" i="141"/>
  <c r="AK7" i="141"/>
  <c r="AJ7" i="141"/>
  <c r="AI7" i="141"/>
  <c r="AH7" i="141"/>
  <c r="AG7" i="141"/>
  <c r="AF7" i="141"/>
  <c r="AE7" i="141"/>
  <c r="AD7" i="141"/>
  <c r="AC7" i="141"/>
  <c r="AB7" i="141"/>
  <c r="AA7" i="141"/>
  <c r="Z7" i="141"/>
  <c r="Y7" i="141"/>
  <c r="X7" i="141"/>
  <c r="W7" i="141"/>
  <c r="V7" i="141"/>
  <c r="U7" i="141"/>
  <c r="T7" i="141"/>
  <c r="S7" i="141"/>
  <c r="R7" i="141"/>
  <c r="Q7" i="141"/>
  <c r="P7" i="141"/>
  <c r="O7" i="141"/>
  <c r="N7" i="141"/>
  <c r="M7" i="141"/>
  <c r="L7" i="141"/>
  <c r="K7" i="141"/>
  <c r="A7" i="141"/>
  <c r="A6" i="141"/>
  <c r="CL5" i="141"/>
  <c r="CK5" i="141"/>
  <c r="CJ5" i="141"/>
  <c r="CI5" i="141"/>
  <c r="CH5" i="141"/>
  <c r="CG5" i="141"/>
  <c r="CF5" i="141"/>
  <c r="CE5" i="141"/>
  <c r="CD5" i="141"/>
  <c r="CC5" i="141"/>
  <c r="CB5" i="141"/>
  <c r="CA5" i="141"/>
  <c r="BZ5" i="141"/>
  <c r="BY5" i="141"/>
  <c r="BX5" i="141"/>
  <c r="BW5" i="141"/>
  <c r="BV5" i="141"/>
  <c r="BU5" i="141"/>
  <c r="BT5" i="141"/>
  <c r="BS5" i="141"/>
  <c r="BR5" i="141"/>
  <c r="BQ5" i="141"/>
  <c r="BP5" i="141"/>
  <c r="BO5" i="141"/>
  <c r="BN5" i="141"/>
  <c r="BM5" i="141"/>
  <c r="BL5" i="141"/>
  <c r="BK5" i="141"/>
  <c r="BJ5" i="141"/>
  <c r="BI5" i="141"/>
  <c r="BH5" i="141"/>
  <c r="BG5" i="141"/>
  <c r="BF5" i="141"/>
  <c r="BE5" i="141"/>
  <c r="BD5" i="141"/>
  <c r="BC5" i="141"/>
  <c r="BB5" i="141"/>
  <c r="BA5" i="141"/>
  <c r="AZ5" i="141"/>
  <c r="AY5" i="141"/>
  <c r="AX5" i="141"/>
  <c r="AW5" i="141"/>
  <c r="AV5" i="141"/>
  <c r="AU5" i="141"/>
  <c r="AT5" i="141"/>
  <c r="AS5" i="141"/>
  <c r="AR5" i="141"/>
  <c r="AQ5" i="141"/>
  <c r="AP5" i="141"/>
  <c r="AO5" i="141"/>
  <c r="AN5" i="141"/>
  <c r="AM5" i="141"/>
  <c r="AL5" i="141"/>
  <c r="AK5" i="141"/>
  <c r="AJ5" i="141"/>
  <c r="AI5" i="141"/>
  <c r="AH5" i="141"/>
  <c r="AG5" i="141"/>
  <c r="AF5" i="141"/>
  <c r="AE5" i="141"/>
  <c r="AD5" i="141"/>
  <c r="AC5" i="141"/>
  <c r="AB5" i="141"/>
  <c r="AA5" i="141"/>
  <c r="Z5" i="141"/>
  <c r="Y5" i="141"/>
  <c r="X5" i="141"/>
  <c r="W5" i="141"/>
  <c r="V5" i="141"/>
  <c r="U5" i="141"/>
  <c r="T5" i="141"/>
  <c r="S5" i="141"/>
  <c r="R5" i="141"/>
  <c r="Q5" i="141"/>
  <c r="P5" i="141"/>
  <c r="O5" i="141"/>
  <c r="N5" i="141"/>
  <c r="M5" i="141"/>
  <c r="L5" i="141"/>
  <c r="K5" i="141"/>
  <c r="J5" i="141"/>
  <c r="I5" i="141"/>
  <c r="H5" i="141"/>
  <c r="G5" i="141"/>
  <c r="F5" i="141"/>
  <c r="A5" i="141"/>
  <c r="B65" i="120"/>
  <c r="B65" i="125"/>
  <c r="B65" i="127"/>
  <c r="B65" i="130"/>
  <c r="B65" i="131"/>
  <c r="CL65" i="125"/>
  <c r="CK65" i="125"/>
  <c r="CJ65" i="125"/>
  <c r="CI65" i="125"/>
  <c r="CG65" i="125"/>
  <c r="CE65" i="125"/>
  <c r="CC65" i="125"/>
  <c r="CB65" i="125"/>
  <c r="CA65" i="125"/>
  <c r="BY65" i="125"/>
  <c r="BX65" i="125"/>
  <c r="BW65" i="125"/>
  <c r="BV65" i="125"/>
  <c r="BU65" i="125"/>
  <c r="AD65" i="125" s="1"/>
  <c r="BT65" i="125"/>
  <c r="BR65" i="125"/>
  <c r="BF65" i="125"/>
  <c r="AW65" i="125"/>
  <c r="AV65" i="125"/>
  <c r="CL65" i="130"/>
  <c r="CK65" i="130"/>
  <c r="CJ65" i="130"/>
  <c r="CI65" i="130"/>
  <c r="AR65" i="130" s="1"/>
  <c r="CG65" i="130"/>
  <c r="CE65" i="130"/>
  <c r="CC65" i="130"/>
  <c r="CB65" i="130"/>
  <c r="CA65" i="130"/>
  <c r="BY65" i="130"/>
  <c r="BX65" i="130"/>
  <c r="BX67" i="130" s="1"/>
  <c r="BW65" i="130"/>
  <c r="AI65" i="130" s="1"/>
  <c r="BV65" i="130"/>
  <c r="BU65" i="130"/>
  <c r="BT65" i="130"/>
  <c r="BR65" i="130"/>
  <c r="BF65" i="130"/>
  <c r="AW65" i="130"/>
  <c r="AV65" i="130"/>
  <c r="B65" i="132"/>
  <c r="CL65" i="132"/>
  <c r="CL67" i="132" s="1"/>
  <c r="CK65" i="132"/>
  <c r="CK67" i="132" s="1"/>
  <c r="CJ65" i="132"/>
  <c r="CJ67" i="132" s="1"/>
  <c r="CI65" i="132"/>
  <c r="CI67" i="132" s="1"/>
  <c r="CG65" i="132"/>
  <c r="AS65" i="132" s="1"/>
  <c r="CE65" i="132"/>
  <c r="CC65" i="132"/>
  <c r="CC67" i="132" s="1"/>
  <c r="CB65" i="132"/>
  <c r="AK65" i="132" s="1"/>
  <c r="CA65" i="132"/>
  <c r="BY65" i="132"/>
  <c r="BY67" i="132"/>
  <c r="BX65" i="132"/>
  <c r="BX67" i="132"/>
  <c r="BW65" i="132"/>
  <c r="BV65" i="132"/>
  <c r="BV67" i="132"/>
  <c r="BU65" i="132"/>
  <c r="BU67" i="132"/>
  <c r="BT65" i="132"/>
  <c r="BT67" i="132"/>
  <c r="BR65" i="132"/>
  <c r="W65" i="132" s="1"/>
  <c r="BF65" i="132"/>
  <c r="BF67" i="132" s="1"/>
  <c r="AW65" i="132"/>
  <c r="AW67" i="132" s="1"/>
  <c r="AV65" i="132"/>
  <c r="AV67" i="132" s="1"/>
  <c r="CH67" i="132"/>
  <c r="CG67" i="132"/>
  <c r="CF67" i="132"/>
  <c r="CD67" i="132"/>
  <c r="CB67" i="132"/>
  <c r="BZ67" i="132"/>
  <c r="BS67" i="132"/>
  <c r="BQ67" i="132"/>
  <c r="BP67" i="132"/>
  <c r="BO67" i="132"/>
  <c r="BN67" i="132"/>
  <c r="BM67" i="132"/>
  <c r="BL67" i="132"/>
  <c r="BK67" i="132"/>
  <c r="BJ67" i="132"/>
  <c r="BI67" i="132"/>
  <c r="BH67" i="132"/>
  <c r="BG67" i="132"/>
  <c r="BE67" i="132"/>
  <c r="BD67" i="132"/>
  <c r="BC67" i="132"/>
  <c r="BB67" i="132"/>
  <c r="BA67" i="132"/>
  <c r="AZ67" i="132"/>
  <c r="AY67" i="132"/>
  <c r="AX67" i="132"/>
  <c r="AU67" i="132"/>
  <c r="AT67" i="132"/>
  <c r="AS66" i="132"/>
  <c r="AR66" i="132"/>
  <c r="AQ66" i="132"/>
  <c r="AP66" i="132"/>
  <c r="AO66" i="132"/>
  <c r="AN66" i="132"/>
  <c r="AM66" i="132"/>
  <c r="AL66" i="132"/>
  <c r="AK66" i="132"/>
  <c r="AJ66" i="132"/>
  <c r="AI66" i="132"/>
  <c r="AH66" i="132"/>
  <c r="AG66" i="132"/>
  <c r="AF66" i="132"/>
  <c r="AE66" i="132"/>
  <c r="AD66" i="132"/>
  <c r="AC66" i="132"/>
  <c r="AB66" i="132"/>
  <c r="AA66" i="132"/>
  <c r="Z66" i="132"/>
  <c r="Y66" i="132"/>
  <c r="X66" i="132"/>
  <c r="W66" i="132"/>
  <c r="V66" i="132"/>
  <c r="U66" i="132"/>
  <c r="T66" i="132"/>
  <c r="S66" i="132"/>
  <c r="R66" i="132"/>
  <c r="Q66" i="132"/>
  <c r="P66" i="132"/>
  <c r="O66" i="132"/>
  <c r="N66" i="132"/>
  <c r="M66" i="132"/>
  <c r="L66" i="132"/>
  <c r="K66" i="132"/>
  <c r="I66" i="132"/>
  <c r="H66" i="132"/>
  <c r="G66" i="132"/>
  <c r="F66" i="132"/>
  <c r="AR65" i="132"/>
  <c r="AQ65" i="132"/>
  <c r="AP65" i="132"/>
  <c r="AO65" i="132"/>
  <c r="AM65" i="132"/>
  <c r="AH65" i="132"/>
  <c r="AG65" i="132"/>
  <c r="AE65" i="132"/>
  <c r="AB65" i="132"/>
  <c r="AA65" i="132"/>
  <c r="Z65" i="132"/>
  <c r="Y65" i="132"/>
  <c r="X65" i="132"/>
  <c r="V65" i="132"/>
  <c r="U65" i="132"/>
  <c r="T65" i="132"/>
  <c r="R65" i="132"/>
  <c r="Q65" i="132"/>
  <c r="P65" i="132"/>
  <c r="O65" i="132"/>
  <c r="M65" i="132"/>
  <c r="L65" i="132"/>
  <c r="CL67" i="131"/>
  <c r="CK67" i="131"/>
  <c r="CJ67" i="131"/>
  <c r="CI67" i="131"/>
  <c r="CH67" i="131"/>
  <c r="CG67" i="131"/>
  <c r="CF67" i="131"/>
  <c r="CE67" i="131"/>
  <c r="CD67" i="131"/>
  <c r="CC67" i="131"/>
  <c r="CB67" i="131"/>
  <c r="CA67" i="131"/>
  <c r="BZ67" i="131"/>
  <c r="BY67" i="131"/>
  <c r="BX67" i="131"/>
  <c r="BW67" i="131"/>
  <c r="BV67" i="131"/>
  <c r="BU67" i="131"/>
  <c r="BT67" i="131"/>
  <c r="BS67" i="131"/>
  <c r="BR67" i="131"/>
  <c r="BQ67" i="131"/>
  <c r="BP67" i="131"/>
  <c r="BO67" i="131"/>
  <c r="BN67" i="131"/>
  <c r="BM67" i="131"/>
  <c r="BL67" i="131"/>
  <c r="BK67" i="131"/>
  <c r="BJ67" i="131"/>
  <c r="BI67" i="131"/>
  <c r="BH67" i="131"/>
  <c r="BG67" i="131"/>
  <c r="BF67" i="131"/>
  <c r="BE67" i="131"/>
  <c r="BD67" i="131"/>
  <c r="BC67" i="131"/>
  <c r="BB67" i="131"/>
  <c r="BA67" i="131"/>
  <c r="AZ67" i="131"/>
  <c r="AY67" i="131"/>
  <c r="AX67" i="131"/>
  <c r="AW67" i="131"/>
  <c r="AV67" i="131"/>
  <c r="AU67" i="131"/>
  <c r="AT67" i="131"/>
  <c r="AS66" i="131"/>
  <c r="AR66" i="131"/>
  <c r="AQ66" i="131"/>
  <c r="AP66" i="131"/>
  <c r="AO66" i="131"/>
  <c r="AN66" i="131"/>
  <c r="AM66" i="131"/>
  <c r="AL66" i="131"/>
  <c r="AK66" i="131"/>
  <c r="AJ66" i="131"/>
  <c r="AI66" i="131"/>
  <c r="AH66" i="131"/>
  <c r="AG66" i="131"/>
  <c r="AF66" i="131"/>
  <c r="AE66" i="131"/>
  <c r="AD66" i="131"/>
  <c r="AC66" i="131"/>
  <c r="AB66" i="131"/>
  <c r="AA66" i="131"/>
  <c r="Z66" i="131"/>
  <c r="Y66" i="131"/>
  <c r="X66" i="131"/>
  <c r="W66" i="131"/>
  <c r="V66" i="131"/>
  <c r="U66" i="131"/>
  <c r="T66" i="131"/>
  <c r="S66" i="131"/>
  <c r="R66" i="131"/>
  <c r="Q66" i="131"/>
  <c r="P66" i="131"/>
  <c r="O66" i="131"/>
  <c r="N66" i="131"/>
  <c r="M66" i="131"/>
  <c r="L66" i="131"/>
  <c r="K66" i="131"/>
  <c r="I66" i="131"/>
  <c r="H66" i="131"/>
  <c r="G66" i="131"/>
  <c r="F66" i="131"/>
  <c r="AS65" i="131"/>
  <c r="AR65" i="131"/>
  <c r="AQ65" i="131"/>
  <c r="AP65" i="131"/>
  <c r="AO65" i="131"/>
  <c r="AN65" i="131"/>
  <c r="AM65" i="131"/>
  <c r="AL65" i="131"/>
  <c r="AK65" i="131"/>
  <c r="AJ65" i="131"/>
  <c r="AI65" i="131"/>
  <c r="AH65" i="131"/>
  <c r="AG65" i="131"/>
  <c r="AF65" i="131"/>
  <c r="AE65" i="131"/>
  <c r="AD65" i="131"/>
  <c r="AC65" i="131"/>
  <c r="AB65" i="131"/>
  <c r="AA65" i="131"/>
  <c r="Z65" i="131"/>
  <c r="Y65" i="131"/>
  <c r="X65" i="131"/>
  <c r="W65" i="131"/>
  <c r="V65" i="131"/>
  <c r="U65" i="131"/>
  <c r="T65" i="131"/>
  <c r="S65" i="131"/>
  <c r="R65" i="131"/>
  <c r="Q65" i="131"/>
  <c r="P65" i="131"/>
  <c r="O65" i="131"/>
  <c r="N65" i="131"/>
  <c r="M65" i="131"/>
  <c r="L65" i="131"/>
  <c r="K65" i="131"/>
  <c r="I65" i="131"/>
  <c r="I67" i="131"/>
  <c r="H65" i="131"/>
  <c r="H67" i="131"/>
  <c r="G65" i="131"/>
  <c r="G67" i="131" s="1"/>
  <c r="F65" i="131"/>
  <c r="F67" i="131"/>
  <c r="CL67" i="130"/>
  <c r="CK67" i="130"/>
  <c r="CH67" i="130"/>
  <c r="CG67" i="130"/>
  <c r="CF67" i="130"/>
  <c r="CE67" i="130"/>
  <c r="CD67" i="130"/>
  <c r="CB67" i="130"/>
  <c r="CA67" i="130"/>
  <c r="BZ67" i="130"/>
  <c r="BY67" i="130"/>
  <c r="BW67" i="130"/>
  <c r="BV67" i="130"/>
  <c r="BU67" i="130"/>
  <c r="BS67" i="130"/>
  <c r="BR67" i="130"/>
  <c r="BQ67" i="130"/>
  <c r="BP67" i="130"/>
  <c r="BO67" i="130"/>
  <c r="BN67" i="130"/>
  <c r="BM67" i="130"/>
  <c r="BL67" i="130"/>
  <c r="BK67" i="130"/>
  <c r="BJ67" i="130"/>
  <c r="BI67" i="130"/>
  <c r="BH67" i="130"/>
  <c r="BG67" i="130"/>
  <c r="BF67" i="130"/>
  <c r="BE67" i="130"/>
  <c r="BD67" i="130"/>
  <c r="BC67" i="130"/>
  <c r="BB67" i="130"/>
  <c r="BA67" i="130"/>
  <c r="AZ67" i="130"/>
  <c r="AY67" i="130"/>
  <c r="AX67" i="130"/>
  <c r="AW67" i="130"/>
  <c r="AU67" i="130"/>
  <c r="AT67" i="130"/>
  <c r="AS66" i="130"/>
  <c r="AR66" i="130"/>
  <c r="AQ66" i="130"/>
  <c r="AP66" i="130"/>
  <c r="AO66" i="130"/>
  <c r="AN66" i="130"/>
  <c r="AM66" i="130"/>
  <c r="AL66" i="130"/>
  <c r="AK66" i="130"/>
  <c r="AJ66" i="130"/>
  <c r="AI66" i="130"/>
  <c r="AH66" i="130"/>
  <c r="AG66" i="130"/>
  <c r="AF66" i="130"/>
  <c r="AE66" i="130"/>
  <c r="AD66" i="130"/>
  <c r="AC66" i="130"/>
  <c r="AB66" i="130"/>
  <c r="AA66" i="130"/>
  <c r="Z66" i="130"/>
  <c r="Y66" i="130"/>
  <c r="X66" i="130"/>
  <c r="W66" i="130"/>
  <c r="V66" i="130"/>
  <c r="U66" i="130"/>
  <c r="T66" i="130"/>
  <c r="S66" i="130"/>
  <c r="R66" i="130"/>
  <c r="Q66" i="130"/>
  <c r="P66" i="130"/>
  <c r="O66" i="130"/>
  <c r="N66" i="130"/>
  <c r="M66" i="130"/>
  <c r="L66" i="130"/>
  <c r="K66" i="130"/>
  <c r="I66" i="130"/>
  <c r="H66" i="130"/>
  <c r="G66" i="130"/>
  <c r="F66" i="130"/>
  <c r="AS65" i="130"/>
  <c r="AQ65" i="130"/>
  <c r="AP65" i="130"/>
  <c r="AM65" i="130"/>
  <c r="AL65" i="130"/>
  <c r="AK65" i="130"/>
  <c r="AJ65" i="130"/>
  <c r="AH65" i="130"/>
  <c r="AG65" i="130"/>
  <c r="AF65" i="130"/>
  <c r="AD65" i="130"/>
  <c r="AC65" i="130"/>
  <c r="AB65" i="130"/>
  <c r="AA65" i="130"/>
  <c r="Z65" i="130"/>
  <c r="Y65" i="130"/>
  <c r="X65" i="130"/>
  <c r="W65" i="130"/>
  <c r="V65" i="130"/>
  <c r="U65" i="130"/>
  <c r="T65" i="130"/>
  <c r="R65" i="130"/>
  <c r="Q65" i="130"/>
  <c r="P65" i="130"/>
  <c r="O65" i="130"/>
  <c r="N65" i="130"/>
  <c r="M65" i="130"/>
  <c r="L65" i="130"/>
  <c r="K65" i="130"/>
  <c r="I65" i="130"/>
  <c r="I67" i="130" s="1"/>
  <c r="G65" i="130"/>
  <c r="G67" i="130" s="1"/>
  <c r="CL67" i="127"/>
  <c r="CK67" i="127"/>
  <c r="CJ67" i="127"/>
  <c r="CI67" i="127"/>
  <c r="CH67" i="127"/>
  <c r="CG67" i="127"/>
  <c r="CF67" i="127"/>
  <c r="CE67" i="127"/>
  <c r="CD67" i="127"/>
  <c r="CC67" i="127"/>
  <c r="CB67" i="127"/>
  <c r="CA67" i="127"/>
  <c r="BZ67" i="127"/>
  <c r="BY67" i="127"/>
  <c r="BX67" i="127"/>
  <c r="BW67" i="127"/>
  <c r="BV67" i="127"/>
  <c r="BU67" i="127"/>
  <c r="BT67" i="127"/>
  <c r="BS67" i="127"/>
  <c r="BR67" i="127"/>
  <c r="BQ67" i="127"/>
  <c r="BP67" i="127"/>
  <c r="BO67" i="127"/>
  <c r="BN67" i="127"/>
  <c r="BM67" i="127"/>
  <c r="BL67" i="127"/>
  <c r="BK67" i="127"/>
  <c r="BJ67" i="127"/>
  <c r="BI67" i="127"/>
  <c r="BH67" i="127"/>
  <c r="BG67" i="127"/>
  <c r="BF67" i="127"/>
  <c r="BE67" i="127"/>
  <c r="BD67" i="127"/>
  <c r="BC67" i="127"/>
  <c r="BB67" i="127"/>
  <c r="BA67" i="127"/>
  <c r="AZ67" i="127"/>
  <c r="AY67" i="127"/>
  <c r="AX67" i="127"/>
  <c r="AW67" i="127"/>
  <c r="AV67" i="127"/>
  <c r="AU67" i="127"/>
  <c r="AT67" i="127"/>
  <c r="AS66" i="127"/>
  <c r="AR66" i="127"/>
  <c r="AQ66" i="127"/>
  <c r="AP66" i="127"/>
  <c r="AO66" i="127"/>
  <c r="AN66" i="127"/>
  <c r="AM66" i="127"/>
  <c r="AL66" i="127"/>
  <c r="AK66" i="127"/>
  <c r="AJ66" i="127"/>
  <c r="AI66" i="127"/>
  <c r="AH66" i="127"/>
  <c r="AG66" i="127"/>
  <c r="AF66" i="127"/>
  <c r="AE66" i="127"/>
  <c r="AD66" i="127"/>
  <c r="AC66" i="127"/>
  <c r="AB66" i="127"/>
  <c r="AA66" i="127"/>
  <c r="Z66" i="127"/>
  <c r="Y66" i="127"/>
  <c r="X66" i="127"/>
  <c r="W66" i="127"/>
  <c r="V66" i="127"/>
  <c r="U66" i="127"/>
  <c r="T66" i="127"/>
  <c r="S66" i="127"/>
  <c r="R66" i="127"/>
  <c r="Q66" i="127"/>
  <c r="P66" i="127"/>
  <c r="O66" i="127"/>
  <c r="N66" i="127"/>
  <c r="M66" i="127"/>
  <c r="L66" i="127"/>
  <c r="K66" i="127"/>
  <c r="I66" i="127"/>
  <c r="H66" i="127"/>
  <c r="G66" i="127"/>
  <c r="F66" i="127"/>
  <c r="AS65" i="127"/>
  <c r="AR65" i="127"/>
  <c r="AQ65" i="127"/>
  <c r="AP65" i="127"/>
  <c r="AO65" i="127"/>
  <c r="AN65" i="127"/>
  <c r="AM65" i="127"/>
  <c r="AL65" i="127"/>
  <c r="AK65" i="127"/>
  <c r="AJ65" i="127"/>
  <c r="AI65" i="127"/>
  <c r="AH65" i="127"/>
  <c r="AG65" i="127"/>
  <c r="AF65" i="127"/>
  <c r="AE65" i="127"/>
  <c r="AD65" i="127"/>
  <c r="AC65" i="127"/>
  <c r="AB65" i="127"/>
  <c r="AA65" i="127"/>
  <c r="Z65" i="127"/>
  <c r="Y65" i="127"/>
  <c r="X65" i="127"/>
  <c r="W65" i="127"/>
  <c r="V65" i="127"/>
  <c r="U65" i="127"/>
  <c r="T65" i="127"/>
  <c r="S65" i="127"/>
  <c r="R65" i="127"/>
  <c r="Q65" i="127"/>
  <c r="P65" i="127"/>
  <c r="O65" i="127"/>
  <c r="N65" i="127"/>
  <c r="M65" i="127"/>
  <c r="L65" i="127"/>
  <c r="K65" i="127"/>
  <c r="I65" i="127"/>
  <c r="I67" i="127"/>
  <c r="H65" i="127"/>
  <c r="H67" i="127"/>
  <c r="G65" i="127"/>
  <c r="G67" i="127"/>
  <c r="F65" i="127"/>
  <c r="F67" i="127" s="1"/>
  <c r="CL67" i="125"/>
  <c r="CK67" i="125"/>
  <c r="CJ67" i="125"/>
  <c r="CI67" i="125"/>
  <c r="CH67" i="125"/>
  <c r="CG67" i="125"/>
  <c r="CF67" i="125"/>
  <c r="CD67" i="125"/>
  <c r="CC67" i="125"/>
  <c r="CB67" i="125"/>
  <c r="CA67" i="125"/>
  <c r="BZ67" i="125"/>
  <c r="BY67" i="125"/>
  <c r="BX67" i="125"/>
  <c r="BW67" i="125"/>
  <c r="BV67" i="125"/>
  <c r="BU67" i="125"/>
  <c r="BS67" i="125"/>
  <c r="BR67" i="125"/>
  <c r="BQ67" i="125"/>
  <c r="BP67" i="125"/>
  <c r="BO67" i="125"/>
  <c r="BN67" i="125"/>
  <c r="BM67" i="125"/>
  <c r="BL67" i="125"/>
  <c r="BK67" i="125"/>
  <c r="BJ67" i="125"/>
  <c r="BI67" i="125"/>
  <c r="BH67" i="125"/>
  <c r="BG67" i="125"/>
  <c r="BF67" i="125"/>
  <c r="BE67" i="125"/>
  <c r="BD67" i="125"/>
  <c r="BC67" i="125"/>
  <c r="BB67" i="125"/>
  <c r="BA67" i="125"/>
  <c r="AZ67" i="125"/>
  <c r="AY67" i="125"/>
  <c r="AX67" i="125"/>
  <c r="AW67" i="125"/>
  <c r="AV67" i="125"/>
  <c r="AU67" i="125"/>
  <c r="AT67" i="125"/>
  <c r="AS66" i="125"/>
  <c r="AR66" i="125"/>
  <c r="AQ66" i="125"/>
  <c r="AP66" i="125"/>
  <c r="AO66" i="125"/>
  <c r="AN66" i="125"/>
  <c r="AM66" i="125"/>
  <c r="AL66" i="125"/>
  <c r="AK66" i="125"/>
  <c r="AJ66" i="125"/>
  <c r="AI66" i="125"/>
  <c r="AH66" i="125"/>
  <c r="AG66" i="125"/>
  <c r="AF66" i="125"/>
  <c r="AE66" i="125"/>
  <c r="AD66" i="125"/>
  <c r="AC66" i="125"/>
  <c r="AB66" i="125"/>
  <c r="AA66" i="125"/>
  <c r="Z66" i="125"/>
  <c r="Y66" i="125"/>
  <c r="X66" i="125"/>
  <c r="W66" i="125"/>
  <c r="V66" i="125"/>
  <c r="U66" i="125"/>
  <c r="T66" i="125"/>
  <c r="S66" i="125"/>
  <c r="R66" i="125"/>
  <c r="Q66" i="125"/>
  <c r="P66" i="125"/>
  <c r="O66" i="125"/>
  <c r="N66" i="125"/>
  <c r="M66" i="125"/>
  <c r="L66" i="125"/>
  <c r="K66" i="125"/>
  <c r="I66" i="125"/>
  <c r="H66" i="125"/>
  <c r="G66" i="125"/>
  <c r="F66" i="125"/>
  <c r="AS65" i="125"/>
  <c r="AR65" i="125"/>
  <c r="AQ65" i="125"/>
  <c r="AP65" i="125"/>
  <c r="AN65" i="125"/>
  <c r="AM65" i="125"/>
  <c r="AK65" i="125"/>
  <c r="AJ65" i="125"/>
  <c r="AI65" i="125"/>
  <c r="AH65" i="125"/>
  <c r="AG65" i="125"/>
  <c r="AF65" i="125"/>
  <c r="AC65" i="125"/>
  <c r="AB65" i="125"/>
  <c r="AA65" i="125"/>
  <c r="Z65" i="125"/>
  <c r="Y65" i="125"/>
  <c r="X65" i="125"/>
  <c r="W65" i="125"/>
  <c r="V65" i="125"/>
  <c r="U65" i="125"/>
  <c r="T65" i="125"/>
  <c r="S65" i="125"/>
  <c r="R65" i="125"/>
  <c r="Q65" i="125"/>
  <c r="P65" i="125"/>
  <c r="O65" i="125"/>
  <c r="M65" i="125"/>
  <c r="L65" i="125"/>
  <c r="K65" i="125"/>
  <c r="G65" i="125"/>
  <c r="G67" i="125" s="1"/>
  <c r="CL67" i="120"/>
  <c r="CK67" i="120"/>
  <c r="CJ67" i="120"/>
  <c r="CI67" i="120"/>
  <c r="CH67" i="120"/>
  <c r="CG67" i="120"/>
  <c r="CF67" i="120"/>
  <c r="CE67" i="120"/>
  <c r="CD67" i="120"/>
  <c r="CC67" i="120"/>
  <c r="CB67" i="120"/>
  <c r="CA67" i="120"/>
  <c r="BZ67" i="120"/>
  <c r="BY67" i="120"/>
  <c r="BX67" i="120"/>
  <c r="BW67" i="120"/>
  <c r="BV67" i="120"/>
  <c r="BU67" i="120"/>
  <c r="BT67" i="120"/>
  <c r="BS67" i="120"/>
  <c r="BR67" i="120"/>
  <c r="BQ67" i="120"/>
  <c r="BP67" i="120"/>
  <c r="BO67" i="120"/>
  <c r="BN67" i="120"/>
  <c r="BM67" i="120"/>
  <c r="BL67" i="120"/>
  <c r="BK67" i="120"/>
  <c r="BJ67" i="120"/>
  <c r="BI67" i="120"/>
  <c r="BH67" i="120"/>
  <c r="BG67" i="120"/>
  <c r="BF67" i="120"/>
  <c r="BE67" i="120"/>
  <c r="BD67" i="120"/>
  <c r="BC67" i="120"/>
  <c r="BB67" i="120"/>
  <c r="BA67" i="120"/>
  <c r="AZ67" i="120"/>
  <c r="AY67" i="120"/>
  <c r="AX67" i="120"/>
  <c r="AW67" i="120"/>
  <c r="AV67" i="120"/>
  <c r="AU67" i="120"/>
  <c r="AT67" i="120"/>
  <c r="AS66" i="120"/>
  <c r="AR66" i="120"/>
  <c r="AQ66" i="120"/>
  <c r="AP66" i="120"/>
  <c r="AO66" i="120"/>
  <c r="AN66" i="120"/>
  <c r="AM66" i="120"/>
  <c r="AL66" i="120"/>
  <c r="AK66" i="120"/>
  <c r="AJ66" i="120"/>
  <c r="AI66" i="120"/>
  <c r="AH66" i="120"/>
  <c r="AG66" i="120"/>
  <c r="AF66" i="120"/>
  <c r="AE66" i="120"/>
  <c r="AD66" i="120"/>
  <c r="AC66" i="120"/>
  <c r="AB66" i="120"/>
  <c r="AA66" i="120"/>
  <c r="Z66" i="120"/>
  <c r="Y66" i="120"/>
  <c r="X66" i="120"/>
  <c r="W66" i="120"/>
  <c r="V66" i="120"/>
  <c r="U66" i="120"/>
  <c r="T66" i="120"/>
  <c r="S66" i="120"/>
  <c r="R66" i="120"/>
  <c r="Q66" i="120"/>
  <c r="P66" i="120"/>
  <c r="O66" i="120"/>
  <c r="N66" i="120"/>
  <c r="M66" i="120"/>
  <c r="L66" i="120"/>
  <c r="K66" i="120"/>
  <c r="I66" i="120"/>
  <c r="H66" i="120"/>
  <c r="G66" i="120"/>
  <c r="F66" i="120"/>
  <c r="AS65" i="120"/>
  <c r="AR65" i="120"/>
  <c r="AQ65" i="120"/>
  <c r="AP65" i="120"/>
  <c r="AO65" i="120"/>
  <c r="AN65" i="120"/>
  <c r="AM65" i="120"/>
  <c r="AL65" i="120"/>
  <c r="AK65" i="120"/>
  <c r="AJ65" i="120"/>
  <c r="AI65" i="120"/>
  <c r="AH65" i="120"/>
  <c r="AG65" i="120"/>
  <c r="AF65" i="120"/>
  <c r="AE65" i="120"/>
  <c r="AD65" i="120"/>
  <c r="AC65" i="120"/>
  <c r="AB65" i="120"/>
  <c r="AA65" i="120"/>
  <c r="Z65" i="120"/>
  <c r="Y65" i="120"/>
  <c r="X65" i="120"/>
  <c r="W65" i="120"/>
  <c r="V65" i="120"/>
  <c r="U65" i="120"/>
  <c r="T65" i="120"/>
  <c r="S65" i="120"/>
  <c r="R65" i="120"/>
  <c r="Q65" i="120"/>
  <c r="P65" i="120"/>
  <c r="O65" i="120"/>
  <c r="N65" i="120"/>
  <c r="M65" i="120"/>
  <c r="L65" i="120"/>
  <c r="K65" i="120"/>
  <c r="I65" i="120"/>
  <c r="I67" i="120" s="1"/>
  <c r="H65" i="120"/>
  <c r="H67" i="120" s="1"/>
  <c r="G65" i="120"/>
  <c r="G67" i="120" s="1"/>
  <c r="F65" i="120"/>
  <c r="F67" i="120" s="1"/>
  <c r="CL67" i="134"/>
  <c r="CK67" i="134"/>
  <c r="CJ67" i="134"/>
  <c r="CI67" i="134"/>
  <c r="CH67" i="134"/>
  <c r="CG67" i="134"/>
  <c r="CF67" i="134"/>
  <c r="CE67" i="134"/>
  <c r="CD67" i="134"/>
  <c r="CC67" i="134"/>
  <c r="CB67" i="134"/>
  <c r="CA67" i="134"/>
  <c r="BZ67" i="134"/>
  <c r="BY67" i="134"/>
  <c r="BX67" i="134"/>
  <c r="BW67" i="134"/>
  <c r="BV67" i="134"/>
  <c r="BU67" i="134"/>
  <c r="BT67" i="134"/>
  <c r="BS67" i="134"/>
  <c r="BR67" i="134"/>
  <c r="BQ67" i="134"/>
  <c r="BP67" i="134"/>
  <c r="BO67" i="134"/>
  <c r="BN67" i="134"/>
  <c r="BM67" i="134"/>
  <c r="BL67" i="134"/>
  <c r="BK67" i="134"/>
  <c r="BJ67" i="134"/>
  <c r="BI67" i="134"/>
  <c r="BH67" i="134"/>
  <c r="BG67" i="134"/>
  <c r="BF67" i="134"/>
  <c r="BE67" i="134"/>
  <c r="BD67" i="134"/>
  <c r="BC67" i="134"/>
  <c r="BB67" i="134"/>
  <c r="BA67" i="134"/>
  <c r="AZ67" i="134"/>
  <c r="AY67" i="134"/>
  <c r="AX67" i="134"/>
  <c r="AW67" i="134"/>
  <c r="AV67" i="134"/>
  <c r="AU67" i="134"/>
  <c r="AT67" i="134"/>
  <c r="CL67" i="135"/>
  <c r="CK67" i="135"/>
  <c r="CJ67" i="135"/>
  <c r="CI67" i="135"/>
  <c r="CH67" i="135"/>
  <c r="CG67" i="135"/>
  <c r="CF67" i="135"/>
  <c r="CE67" i="135"/>
  <c r="CD67" i="135"/>
  <c r="CC67" i="135"/>
  <c r="CB67" i="135"/>
  <c r="CA67" i="135"/>
  <c r="BZ67" i="135"/>
  <c r="BY67" i="135"/>
  <c r="BX67" i="135"/>
  <c r="BW67" i="135"/>
  <c r="BV67" i="135"/>
  <c r="BU67" i="135"/>
  <c r="BT67" i="135"/>
  <c r="BS67" i="135"/>
  <c r="BR67" i="135"/>
  <c r="BQ67" i="135"/>
  <c r="BP67" i="135"/>
  <c r="BO67" i="135"/>
  <c r="BN67" i="135"/>
  <c r="BM67" i="135"/>
  <c r="BL67" i="135"/>
  <c r="BK67" i="135"/>
  <c r="BJ67" i="135"/>
  <c r="BI67" i="135"/>
  <c r="BH67" i="135"/>
  <c r="BG67" i="135"/>
  <c r="BF67" i="135"/>
  <c r="BE67" i="135"/>
  <c r="BD67" i="135"/>
  <c r="BC67" i="135"/>
  <c r="BB67" i="135"/>
  <c r="BA67" i="135"/>
  <c r="AZ67" i="135"/>
  <c r="AY67" i="135"/>
  <c r="AX67" i="135"/>
  <c r="AW67" i="135"/>
  <c r="AV67" i="135"/>
  <c r="AU67" i="135"/>
  <c r="AT67" i="135"/>
  <c r="CL67" i="136"/>
  <c r="CK67" i="136"/>
  <c r="CJ67" i="136"/>
  <c r="CI67" i="136"/>
  <c r="CH67" i="136"/>
  <c r="CG67" i="136"/>
  <c r="CF67" i="136"/>
  <c r="CE67" i="136"/>
  <c r="CD67" i="136"/>
  <c r="CC67" i="136"/>
  <c r="CB67" i="136"/>
  <c r="CA67" i="136"/>
  <c r="BZ67" i="136"/>
  <c r="BY67" i="136"/>
  <c r="BX67" i="136"/>
  <c r="BW67" i="136"/>
  <c r="BV67" i="136"/>
  <c r="BU67" i="136"/>
  <c r="BT67" i="136"/>
  <c r="BS67" i="136"/>
  <c r="BR67" i="136"/>
  <c r="BQ67" i="136"/>
  <c r="BP67" i="136"/>
  <c r="BO67" i="136"/>
  <c r="BN67" i="136"/>
  <c r="BM67" i="136"/>
  <c r="BL67" i="136"/>
  <c r="BK67" i="136"/>
  <c r="BJ67" i="136"/>
  <c r="BI67" i="136"/>
  <c r="BH67" i="136"/>
  <c r="BG67" i="136"/>
  <c r="BF67" i="136"/>
  <c r="BE67" i="136"/>
  <c r="BD67" i="136"/>
  <c r="BC67" i="136"/>
  <c r="BB67" i="136"/>
  <c r="BA67" i="136"/>
  <c r="AZ67" i="136"/>
  <c r="AY67" i="136"/>
  <c r="AX67" i="136"/>
  <c r="AW67" i="136"/>
  <c r="AV67" i="136"/>
  <c r="AU67" i="136"/>
  <c r="AT67" i="136"/>
  <c r="CL67" i="138"/>
  <c r="CK67" i="138"/>
  <c r="CJ67" i="138"/>
  <c r="CI67" i="138"/>
  <c r="CH67" i="138"/>
  <c r="CG67" i="138"/>
  <c r="CF67" i="138"/>
  <c r="CE67" i="138"/>
  <c r="CD67" i="138"/>
  <c r="CC67" i="138"/>
  <c r="CB67" i="138"/>
  <c r="CA67" i="138"/>
  <c r="BZ67" i="138"/>
  <c r="BY67" i="138"/>
  <c r="BX67" i="138"/>
  <c r="BW67" i="138"/>
  <c r="BV67" i="138"/>
  <c r="BU67" i="138"/>
  <c r="BT67" i="138"/>
  <c r="BS67" i="138"/>
  <c r="BR67" i="138"/>
  <c r="BQ67" i="138"/>
  <c r="BP67" i="138"/>
  <c r="BO67" i="138"/>
  <c r="BN67" i="138"/>
  <c r="BM67" i="138"/>
  <c r="BL67" i="138"/>
  <c r="BK67" i="138"/>
  <c r="BJ67" i="138"/>
  <c r="BI67" i="138"/>
  <c r="BH67" i="138"/>
  <c r="BG67" i="138"/>
  <c r="BF67" i="138"/>
  <c r="BE67" i="138"/>
  <c r="BD67" i="138"/>
  <c r="BC67" i="138"/>
  <c r="BB67" i="138"/>
  <c r="BA67" i="138"/>
  <c r="AZ67" i="138"/>
  <c r="AY67" i="138"/>
  <c r="AX67" i="138"/>
  <c r="AW67" i="138"/>
  <c r="AV67" i="138"/>
  <c r="AU67" i="138"/>
  <c r="AT67" i="138"/>
  <c r="CL67" i="140"/>
  <c r="CK67" i="140"/>
  <c r="CJ67" i="140"/>
  <c r="CI67" i="140"/>
  <c r="CH67" i="140"/>
  <c r="CG67" i="140"/>
  <c r="CF67" i="140"/>
  <c r="CE67" i="140"/>
  <c r="CD67" i="140"/>
  <c r="CC67" i="140"/>
  <c r="CB67" i="140"/>
  <c r="CA67" i="140"/>
  <c r="BZ67" i="140"/>
  <c r="BY67" i="140"/>
  <c r="BX67" i="140"/>
  <c r="BW67" i="140"/>
  <c r="BV67" i="140"/>
  <c r="BU67" i="140"/>
  <c r="BT67" i="140"/>
  <c r="BS67" i="140"/>
  <c r="BR67" i="140"/>
  <c r="BQ67" i="140"/>
  <c r="BP67" i="140"/>
  <c r="BO67" i="140"/>
  <c r="BN67" i="140"/>
  <c r="BM67" i="140"/>
  <c r="BL67" i="140"/>
  <c r="BK67" i="140"/>
  <c r="BJ67" i="140"/>
  <c r="BI67" i="140"/>
  <c r="BH67" i="140"/>
  <c r="BG67" i="140"/>
  <c r="BF67" i="140"/>
  <c r="BE67" i="140"/>
  <c r="BD67" i="140"/>
  <c r="BC67" i="140"/>
  <c r="BB67" i="140"/>
  <c r="BA67" i="140"/>
  <c r="AZ67" i="140"/>
  <c r="AY67" i="140"/>
  <c r="AX67" i="140"/>
  <c r="AW67" i="140"/>
  <c r="AV67" i="140"/>
  <c r="AU67" i="140"/>
  <c r="AT67" i="140"/>
  <c r="AS66" i="138"/>
  <c r="AR66" i="138"/>
  <c r="AQ66" i="138"/>
  <c r="AP66" i="138"/>
  <c r="AO66" i="138"/>
  <c r="AN66" i="138"/>
  <c r="AM66" i="138"/>
  <c r="AL66" i="138"/>
  <c r="AK66" i="138"/>
  <c r="AJ66" i="138"/>
  <c r="AI66" i="138"/>
  <c r="AH66" i="138"/>
  <c r="AG66" i="138"/>
  <c r="AF66" i="138"/>
  <c r="AE66" i="138"/>
  <c r="AD66" i="138"/>
  <c r="AC66" i="138"/>
  <c r="AB66" i="138"/>
  <c r="AA66" i="138"/>
  <c r="Z66" i="138"/>
  <c r="Y66" i="138"/>
  <c r="X66" i="138"/>
  <c r="W66" i="138"/>
  <c r="V66" i="138"/>
  <c r="U66" i="138"/>
  <c r="T66" i="138"/>
  <c r="S66" i="138"/>
  <c r="R66" i="138"/>
  <c r="Q66" i="138"/>
  <c r="P66" i="138"/>
  <c r="O66" i="138"/>
  <c r="N66" i="138"/>
  <c r="M66" i="138"/>
  <c r="L66" i="138"/>
  <c r="K66" i="138"/>
  <c r="I66" i="138"/>
  <c r="H66" i="138"/>
  <c r="G66" i="138"/>
  <c r="F66" i="138"/>
  <c r="AS65" i="138"/>
  <c r="AR65" i="138"/>
  <c r="AQ65" i="138"/>
  <c r="AP65" i="138"/>
  <c r="AO65" i="138"/>
  <c r="AN65" i="138"/>
  <c r="AM65" i="138"/>
  <c r="AL65" i="138"/>
  <c r="AK65" i="138"/>
  <c r="AJ65" i="138"/>
  <c r="AI65" i="138"/>
  <c r="AH65" i="138"/>
  <c r="AG65" i="138"/>
  <c r="AF65" i="138"/>
  <c r="AE65" i="138"/>
  <c r="AD65" i="138"/>
  <c r="AC65" i="138"/>
  <c r="AB65" i="138"/>
  <c r="AA65" i="138"/>
  <c r="Z65" i="138"/>
  <c r="Y65" i="138"/>
  <c r="X65" i="138"/>
  <c r="W65" i="138"/>
  <c r="V65" i="138"/>
  <c r="U65" i="138"/>
  <c r="T65" i="138"/>
  <c r="S65" i="138"/>
  <c r="R65" i="138"/>
  <c r="Q65" i="138"/>
  <c r="P65" i="138"/>
  <c r="O65" i="138"/>
  <c r="N65" i="138"/>
  <c r="M65" i="138"/>
  <c r="L65" i="138"/>
  <c r="K65" i="138"/>
  <c r="I65" i="138"/>
  <c r="I67" i="138" s="1"/>
  <c r="H65" i="138"/>
  <c r="H67" i="138" s="1"/>
  <c r="G65" i="138"/>
  <c r="G67" i="138" s="1"/>
  <c r="F65" i="138"/>
  <c r="F67" i="138" s="1"/>
  <c r="B65" i="138"/>
  <c r="AS66" i="136"/>
  <c r="AR66" i="136"/>
  <c r="AQ66" i="136"/>
  <c r="AP66" i="136"/>
  <c r="AO66" i="136"/>
  <c r="AN66" i="136"/>
  <c r="AM66" i="136"/>
  <c r="AL66" i="136"/>
  <c r="AK66" i="136"/>
  <c r="AJ66" i="136"/>
  <c r="AI66" i="136"/>
  <c r="AH66" i="136"/>
  <c r="AG66" i="136"/>
  <c r="AF66" i="136"/>
  <c r="AE66" i="136"/>
  <c r="AD66" i="136"/>
  <c r="AC66" i="136"/>
  <c r="AB66" i="136"/>
  <c r="AA66" i="136"/>
  <c r="Z66" i="136"/>
  <c r="Y66" i="136"/>
  <c r="X66" i="136"/>
  <c r="W66" i="136"/>
  <c r="V66" i="136"/>
  <c r="U66" i="136"/>
  <c r="T66" i="136"/>
  <c r="S66" i="136"/>
  <c r="R66" i="136"/>
  <c r="Q66" i="136"/>
  <c r="P66" i="136"/>
  <c r="O66" i="136"/>
  <c r="N66" i="136"/>
  <c r="M66" i="136"/>
  <c r="L66" i="136"/>
  <c r="K66" i="136"/>
  <c r="I66" i="136"/>
  <c r="H66" i="136"/>
  <c r="G66" i="136"/>
  <c r="F66" i="136"/>
  <c r="AS65" i="136"/>
  <c r="AR65" i="136"/>
  <c r="AQ65" i="136"/>
  <c r="AP65" i="136"/>
  <c r="AO65" i="136"/>
  <c r="AN65" i="136"/>
  <c r="AM65" i="136"/>
  <c r="AL65" i="136"/>
  <c r="AK65" i="136"/>
  <c r="AJ65" i="136"/>
  <c r="AI65" i="136"/>
  <c r="AH65" i="136"/>
  <c r="AG65" i="136"/>
  <c r="AF65" i="136"/>
  <c r="AE65" i="136"/>
  <c r="AD65" i="136"/>
  <c r="AC65" i="136"/>
  <c r="AB65" i="136"/>
  <c r="AA65" i="136"/>
  <c r="Z65" i="136"/>
  <c r="Y65" i="136"/>
  <c r="X65" i="136"/>
  <c r="W65" i="136"/>
  <c r="V65" i="136"/>
  <c r="U65" i="136"/>
  <c r="T65" i="136"/>
  <c r="S65" i="136"/>
  <c r="R65" i="136"/>
  <c r="Q65" i="136"/>
  <c r="P65" i="136"/>
  <c r="O65" i="136"/>
  <c r="N65" i="136"/>
  <c r="M65" i="136"/>
  <c r="L65" i="136"/>
  <c r="K65" i="136"/>
  <c r="I65" i="136"/>
  <c r="I67" i="136" s="1"/>
  <c r="H65" i="136"/>
  <c r="H67" i="136" s="1"/>
  <c r="G65" i="136"/>
  <c r="G67" i="136" s="1"/>
  <c r="F65" i="136"/>
  <c r="F67" i="136"/>
  <c r="B65" i="136"/>
  <c r="AS66" i="135"/>
  <c r="AR66" i="135"/>
  <c r="AQ66" i="135"/>
  <c r="AP66" i="135"/>
  <c r="AO66" i="135"/>
  <c r="AN66" i="135"/>
  <c r="AM66" i="135"/>
  <c r="AL66" i="135"/>
  <c r="AK66" i="135"/>
  <c r="AJ66" i="135"/>
  <c r="AI66" i="135"/>
  <c r="AH66" i="135"/>
  <c r="AG66" i="135"/>
  <c r="AF66" i="135"/>
  <c r="AE66" i="135"/>
  <c r="AD66" i="135"/>
  <c r="AC66" i="135"/>
  <c r="AB66" i="135"/>
  <c r="AA66" i="135"/>
  <c r="Z66" i="135"/>
  <c r="Y66" i="135"/>
  <c r="X66" i="135"/>
  <c r="W66" i="135"/>
  <c r="V66" i="135"/>
  <c r="U66" i="135"/>
  <c r="T66" i="135"/>
  <c r="S66" i="135"/>
  <c r="R66" i="135"/>
  <c r="Q66" i="135"/>
  <c r="P66" i="135"/>
  <c r="O66" i="135"/>
  <c r="N66" i="135"/>
  <c r="M66" i="135"/>
  <c r="L66" i="135"/>
  <c r="K66" i="135"/>
  <c r="I66" i="135"/>
  <c r="H66" i="135"/>
  <c r="G66" i="135"/>
  <c r="F66" i="135"/>
  <c r="AS65" i="135"/>
  <c r="AR65" i="135"/>
  <c r="AQ65" i="135"/>
  <c r="AP65" i="135"/>
  <c r="AO65" i="135"/>
  <c r="AN65" i="135"/>
  <c r="AM65" i="135"/>
  <c r="AL65" i="135"/>
  <c r="AK65" i="135"/>
  <c r="AJ65" i="135"/>
  <c r="AI65" i="135"/>
  <c r="AH65" i="135"/>
  <c r="AG65" i="135"/>
  <c r="AF65" i="135"/>
  <c r="AE65" i="135"/>
  <c r="AD65" i="135"/>
  <c r="AC65" i="135"/>
  <c r="AB65" i="135"/>
  <c r="AA65" i="135"/>
  <c r="Z65" i="135"/>
  <c r="Y65" i="135"/>
  <c r="X65" i="135"/>
  <c r="W65" i="135"/>
  <c r="V65" i="135"/>
  <c r="U65" i="135"/>
  <c r="T65" i="135"/>
  <c r="S65" i="135"/>
  <c r="R65" i="135"/>
  <c r="Q65" i="135"/>
  <c r="P65" i="135"/>
  <c r="O65" i="135"/>
  <c r="N65" i="135"/>
  <c r="M65" i="135"/>
  <c r="L65" i="135"/>
  <c r="K65" i="135"/>
  <c r="I65" i="135"/>
  <c r="I67" i="135" s="1"/>
  <c r="H65" i="135"/>
  <c r="H67" i="135" s="1"/>
  <c r="G65" i="135"/>
  <c r="G67" i="135" s="1"/>
  <c r="F65" i="135"/>
  <c r="F67" i="135" s="1"/>
  <c r="B65" i="135"/>
  <c r="AS66" i="134"/>
  <c r="AR66" i="134"/>
  <c r="AQ66" i="134"/>
  <c r="AP66" i="134"/>
  <c r="AO66" i="134"/>
  <c r="AN66" i="134"/>
  <c r="AM66" i="134"/>
  <c r="AL66" i="134"/>
  <c r="AK66" i="134"/>
  <c r="AJ66" i="134"/>
  <c r="AI66" i="134"/>
  <c r="AH66" i="134"/>
  <c r="AG66" i="134"/>
  <c r="AF66" i="134"/>
  <c r="AE66" i="134"/>
  <c r="AD66" i="134"/>
  <c r="AC66" i="134"/>
  <c r="AB66" i="134"/>
  <c r="AA66" i="134"/>
  <c r="Z66" i="134"/>
  <c r="Y66" i="134"/>
  <c r="X66" i="134"/>
  <c r="W66" i="134"/>
  <c r="V66" i="134"/>
  <c r="U66" i="134"/>
  <c r="T66" i="134"/>
  <c r="S66" i="134"/>
  <c r="R66" i="134"/>
  <c r="Q66" i="134"/>
  <c r="P66" i="134"/>
  <c r="O66" i="134"/>
  <c r="N66" i="134"/>
  <c r="M66" i="134"/>
  <c r="L66" i="134"/>
  <c r="K66" i="134"/>
  <c r="I66" i="134"/>
  <c r="H66" i="134"/>
  <c r="G66" i="134"/>
  <c r="F66" i="134"/>
  <c r="AS65" i="134"/>
  <c r="AR65" i="134"/>
  <c r="AQ65" i="134"/>
  <c r="AP65" i="134"/>
  <c r="AO65" i="134"/>
  <c r="AN65" i="134"/>
  <c r="AM65" i="134"/>
  <c r="AL65" i="134"/>
  <c r="AK65" i="134"/>
  <c r="AJ65" i="134"/>
  <c r="AI65" i="134"/>
  <c r="AH65" i="134"/>
  <c r="AG65" i="134"/>
  <c r="AF65" i="134"/>
  <c r="AE65" i="134"/>
  <c r="AD65" i="134"/>
  <c r="AC65" i="134"/>
  <c r="AB65" i="134"/>
  <c r="AA65" i="134"/>
  <c r="Z65" i="134"/>
  <c r="Y65" i="134"/>
  <c r="X65" i="134"/>
  <c r="W65" i="134"/>
  <c r="V65" i="134"/>
  <c r="U65" i="134"/>
  <c r="T65" i="134"/>
  <c r="S65" i="134"/>
  <c r="R65" i="134"/>
  <c r="Q65" i="134"/>
  <c r="P65" i="134"/>
  <c r="O65" i="134"/>
  <c r="N65" i="134"/>
  <c r="M65" i="134"/>
  <c r="L65" i="134"/>
  <c r="K65" i="134"/>
  <c r="I65" i="134"/>
  <c r="I67" i="134" s="1"/>
  <c r="H65" i="134"/>
  <c r="H67" i="134" s="1"/>
  <c r="G65" i="134"/>
  <c r="G67" i="134" s="1"/>
  <c r="F65" i="134"/>
  <c r="B65" i="134"/>
  <c r="I66" i="140"/>
  <c r="H66" i="140"/>
  <c r="G66" i="140"/>
  <c r="F66" i="140"/>
  <c r="F69" i="140"/>
  <c r="G69" i="140"/>
  <c r="H69" i="140"/>
  <c r="I69" i="140"/>
  <c r="AS66" i="140"/>
  <c r="AR66" i="140"/>
  <c r="AQ66" i="140"/>
  <c r="AP66" i="140"/>
  <c r="AO66" i="140"/>
  <c r="AN66" i="140"/>
  <c r="AM66" i="140"/>
  <c r="AL66" i="140"/>
  <c r="AK66" i="140"/>
  <c r="AJ66" i="140"/>
  <c r="AI66" i="140"/>
  <c r="AH66" i="140"/>
  <c r="AG66" i="140"/>
  <c r="AF66" i="140"/>
  <c r="AE66" i="140"/>
  <c r="AD66" i="140"/>
  <c r="AC66" i="140"/>
  <c r="AB66" i="140"/>
  <c r="AA66" i="140"/>
  <c r="Z66" i="140"/>
  <c r="Y66" i="140"/>
  <c r="X66" i="140"/>
  <c r="W66" i="140"/>
  <c r="V66" i="140"/>
  <c r="U66" i="140"/>
  <c r="T66" i="140"/>
  <c r="S66" i="140"/>
  <c r="R66" i="140"/>
  <c r="Q66" i="140"/>
  <c r="P66" i="140"/>
  <c r="O66" i="140"/>
  <c r="N66" i="140"/>
  <c r="M66" i="140"/>
  <c r="L66" i="140"/>
  <c r="K66" i="140"/>
  <c r="I131" i="134"/>
  <c r="I132" i="134"/>
  <c r="H131" i="134"/>
  <c r="H132" i="134" s="1"/>
  <c r="G131" i="134"/>
  <c r="G132" i="134"/>
  <c r="F131" i="134"/>
  <c r="F132" i="134"/>
  <c r="AT132" i="134"/>
  <c r="AU132" i="134"/>
  <c r="AV132" i="134"/>
  <c r="AW132" i="134"/>
  <c r="AX132" i="134"/>
  <c r="AY132" i="134"/>
  <c r="AZ132" i="134"/>
  <c r="BA132" i="134"/>
  <c r="BB132" i="134"/>
  <c r="BD132" i="134"/>
  <c r="BE132" i="134"/>
  <c r="BG132" i="134"/>
  <c r="BH132" i="134"/>
  <c r="BI132" i="134"/>
  <c r="BJ132" i="134"/>
  <c r="BK132" i="134"/>
  <c r="BL132" i="134"/>
  <c r="BM132" i="134"/>
  <c r="BN132" i="134"/>
  <c r="BO132" i="134"/>
  <c r="BP132" i="134"/>
  <c r="BQ132" i="134"/>
  <c r="BR132" i="134"/>
  <c r="BS132" i="134"/>
  <c r="BT132" i="134"/>
  <c r="BU132" i="134"/>
  <c r="BV132" i="134"/>
  <c r="BX132" i="134"/>
  <c r="BY132" i="134"/>
  <c r="BZ132" i="134"/>
  <c r="CA132" i="134"/>
  <c r="CB132" i="134"/>
  <c r="CD132" i="134"/>
  <c r="CE132" i="134"/>
  <c r="CF132" i="134"/>
  <c r="CG132" i="134"/>
  <c r="CH132" i="134"/>
  <c r="CI132" i="134"/>
  <c r="CJ132" i="134"/>
  <c r="CK132" i="134"/>
  <c r="CL132" i="134"/>
  <c r="B54" i="132"/>
  <c r="B53" i="132"/>
  <c r="B54" i="131"/>
  <c r="B53" i="131"/>
  <c r="B54" i="130"/>
  <c r="B53" i="130"/>
  <c r="B54" i="127"/>
  <c r="B53" i="127"/>
  <c r="B54" i="125"/>
  <c r="B53" i="125"/>
  <c r="B54" i="120"/>
  <c r="B53" i="120"/>
  <c r="B54" i="134"/>
  <c r="B53" i="134"/>
  <c r="B54" i="138"/>
  <c r="B54" i="136"/>
  <c r="B54" i="135"/>
  <c r="B53" i="135"/>
  <c r="B53" i="136"/>
  <c r="B53" i="138"/>
  <c r="B54" i="140"/>
  <c r="B53" i="140"/>
  <c r="CL53" i="140"/>
  <c r="CK53" i="140"/>
  <c r="CJ53" i="140"/>
  <c r="CI53" i="140"/>
  <c r="CH53" i="140"/>
  <c r="CG53" i="140"/>
  <c r="CE53" i="140"/>
  <c r="CD53" i="140"/>
  <c r="CC53" i="140"/>
  <c r="CB53" i="140"/>
  <c r="CA53" i="140"/>
  <c r="BZ53" i="140"/>
  <c r="BY53" i="140"/>
  <c r="BX53" i="140"/>
  <c r="BW53" i="140"/>
  <c r="BV53" i="140"/>
  <c r="BU53" i="140"/>
  <c r="BT53" i="140"/>
  <c r="BR53" i="140"/>
  <c r="BQ53" i="140"/>
  <c r="BP53" i="140"/>
  <c r="BN53" i="140"/>
  <c r="BM53" i="140"/>
  <c r="BJ53" i="140"/>
  <c r="BI53" i="140"/>
  <c r="BF53" i="140"/>
  <c r="BE53" i="140"/>
  <c r="BD53" i="140"/>
  <c r="BC53" i="140"/>
  <c r="BB53" i="140"/>
  <c r="BA53" i="140"/>
  <c r="AY53" i="140"/>
  <c r="AX53" i="140"/>
  <c r="AW53" i="140"/>
  <c r="AV53" i="140"/>
  <c r="AU53" i="140"/>
  <c r="AT53" i="140"/>
  <c r="I53" i="140"/>
  <c r="H53" i="140"/>
  <c r="G53" i="140"/>
  <c r="F53" i="140"/>
  <c r="CL53" i="138"/>
  <c r="CK53" i="138"/>
  <c r="CJ53" i="138"/>
  <c r="CI53" i="138"/>
  <c r="CH53" i="138"/>
  <c r="CG53" i="138"/>
  <c r="CE53" i="138"/>
  <c r="CD53" i="138"/>
  <c r="CC53" i="138"/>
  <c r="CB53" i="138"/>
  <c r="CA53" i="138"/>
  <c r="BZ53" i="138"/>
  <c r="BY53" i="138"/>
  <c r="BX53" i="138"/>
  <c r="BW53" i="138"/>
  <c r="BV53" i="138"/>
  <c r="BU53" i="138"/>
  <c r="BT53" i="138"/>
  <c r="BR53" i="138"/>
  <c r="BQ53" i="138"/>
  <c r="BP53" i="138"/>
  <c r="BN53" i="138"/>
  <c r="BM53" i="138"/>
  <c r="BJ53" i="138"/>
  <c r="BI53" i="138"/>
  <c r="BF53" i="138"/>
  <c r="BE53" i="138"/>
  <c r="BD53" i="138"/>
  <c r="BC53" i="138"/>
  <c r="BB53" i="138"/>
  <c r="BA53" i="138"/>
  <c r="AY53" i="138"/>
  <c r="AX53" i="138"/>
  <c r="AW53" i="138"/>
  <c r="AV53" i="138"/>
  <c r="AU53" i="138"/>
  <c r="AT53" i="138"/>
  <c r="I53" i="138"/>
  <c r="H53" i="138"/>
  <c r="G53" i="138"/>
  <c r="F53" i="138"/>
  <c r="CL53" i="136"/>
  <c r="CK53" i="136"/>
  <c r="CJ53" i="136"/>
  <c r="CI53" i="136"/>
  <c r="CH53" i="136"/>
  <c r="CG53" i="136"/>
  <c r="CE53" i="136"/>
  <c r="CD53" i="136"/>
  <c r="CC53" i="136"/>
  <c r="CB53" i="136"/>
  <c r="CA53" i="136"/>
  <c r="BZ53" i="136"/>
  <c r="BY53" i="136"/>
  <c r="BX53" i="136"/>
  <c r="BW53" i="136"/>
  <c r="BV53" i="136"/>
  <c r="BU53" i="136"/>
  <c r="BT53" i="136"/>
  <c r="BR53" i="136"/>
  <c r="BQ53" i="136"/>
  <c r="BP53" i="136"/>
  <c r="BN53" i="136"/>
  <c r="BM53" i="136"/>
  <c r="BJ53" i="136"/>
  <c r="BI53" i="136"/>
  <c r="BF53" i="136"/>
  <c r="BE53" i="136"/>
  <c r="BD53" i="136"/>
  <c r="BC53" i="136"/>
  <c r="BB53" i="136"/>
  <c r="BA53" i="136"/>
  <c r="AY53" i="136"/>
  <c r="AX53" i="136"/>
  <c r="AW53" i="136"/>
  <c r="AV53" i="136"/>
  <c r="AU53" i="136"/>
  <c r="AT53" i="136"/>
  <c r="I53" i="136"/>
  <c r="H53" i="136"/>
  <c r="G53" i="136"/>
  <c r="F53" i="136"/>
  <c r="CL53" i="135"/>
  <c r="CK53" i="135"/>
  <c r="CJ53" i="135"/>
  <c r="CI53" i="135"/>
  <c r="CH53" i="135"/>
  <c r="CG53" i="135"/>
  <c r="CE53" i="135"/>
  <c r="CD53" i="135"/>
  <c r="CC53" i="135"/>
  <c r="CB53" i="135"/>
  <c r="CA53" i="135"/>
  <c r="BZ53" i="135"/>
  <c r="BY53" i="135"/>
  <c r="BX53" i="135"/>
  <c r="BW53" i="135"/>
  <c r="BV53" i="135"/>
  <c r="BU53" i="135"/>
  <c r="BT53" i="135"/>
  <c r="BR53" i="135"/>
  <c r="BQ53" i="135"/>
  <c r="BP53" i="135"/>
  <c r="BN53" i="135"/>
  <c r="BM53" i="135"/>
  <c r="BJ53" i="135"/>
  <c r="BI53" i="135"/>
  <c r="BF53" i="135"/>
  <c r="BE53" i="135"/>
  <c r="BD53" i="135"/>
  <c r="BC53" i="135"/>
  <c r="BB53" i="135"/>
  <c r="BA53" i="135"/>
  <c r="AY53" i="135"/>
  <c r="AX53" i="135"/>
  <c r="AW53" i="135"/>
  <c r="AV53" i="135"/>
  <c r="AU53" i="135"/>
  <c r="AT53" i="135"/>
  <c r="I53" i="135"/>
  <c r="H53" i="135"/>
  <c r="G53" i="135"/>
  <c r="F53" i="135"/>
  <c r="CL53" i="134"/>
  <c r="CK53" i="134"/>
  <c r="CJ53" i="134"/>
  <c r="CI53" i="134"/>
  <c r="CH53" i="134"/>
  <c r="CG53" i="134"/>
  <c r="CE53" i="134"/>
  <c r="CD53" i="134"/>
  <c r="CC53" i="134"/>
  <c r="CB53" i="134"/>
  <c r="CA53" i="134"/>
  <c r="BZ53" i="134"/>
  <c r="BY53" i="134"/>
  <c r="BX53" i="134"/>
  <c r="BW53" i="134"/>
  <c r="BV53" i="134"/>
  <c r="BU53" i="134"/>
  <c r="BT53" i="134"/>
  <c r="BR53" i="134"/>
  <c r="BQ53" i="134"/>
  <c r="BP53" i="134"/>
  <c r="BN53" i="134"/>
  <c r="BM53" i="134"/>
  <c r="BJ53" i="134"/>
  <c r="BI53" i="134"/>
  <c r="BF53" i="134"/>
  <c r="BE53" i="134"/>
  <c r="BD53" i="134"/>
  <c r="BC53" i="134"/>
  <c r="BB53" i="134"/>
  <c r="BA53" i="134"/>
  <c r="AY53" i="134"/>
  <c r="AX53" i="134"/>
  <c r="AW53" i="134"/>
  <c r="AV53" i="134"/>
  <c r="AU53" i="134"/>
  <c r="AT53" i="134"/>
  <c r="I53" i="134"/>
  <c r="H53" i="134"/>
  <c r="G53" i="134"/>
  <c r="F53" i="134"/>
  <c r="CL53" i="120"/>
  <c r="CK53" i="120"/>
  <c r="CJ53" i="120"/>
  <c r="CI53" i="120"/>
  <c r="CH53" i="120"/>
  <c r="CG53" i="120"/>
  <c r="CE53" i="120"/>
  <c r="CD53" i="120"/>
  <c r="CC53" i="120"/>
  <c r="CB53" i="120"/>
  <c r="CA53" i="120"/>
  <c r="BZ53" i="120"/>
  <c r="BY53" i="120"/>
  <c r="BX53" i="120"/>
  <c r="BW53" i="120"/>
  <c r="BV53" i="120"/>
  <c r="BU53" i="120"/>
  <c r="BT53" i="120"/>
  <c r="BR53" i="120"/>
  <c r="BQ53" i="120"/>
  <c r="BP53" i="120"/>
  <c r="BN53" i="120"/>
  <c r="BM53" i="120"/>
  <c r="BJ53" i="120"/>
  <c r="BI53" i="120"/>
  <c r="BF53" i="120"/>
  <c r="BE53" i="120"/>
  <c r="BD53" i="120"/>
  <c r="BC53" i="120"/>
  <c r="BB53" i="120"/>
  <c r="BA53" i="120"/>
  <c r="AY53" i="120"/>
  <c r="AX53" i="120"/>
  <c r="AW53" i="120"/>
  <c r="AV53" i="120"/>
  <c r="AU53" i="120"/>
  <c r="AT53" i="120"/>
  <c r="I53" i="120"/>
  <c r="H53" i="120"/>
  <c r="G53" i="120"/>
  <c r="F53" i="120"/>
  <c r="CL53" i="125"/>
  <c r="CK53" i="125"/>
  <c r="CJ53" i="125"/>
  <c r="CI53" i="125"/>
  <c r="CH53" i="125"/>
  <c r="CG53" i="125"/>
  <c r="CE53" i="125"/>
  <c r="CD53" i="125"/>
  <c r="CC53" i="125"/>
  <c r="CB53" i="125"/>
  <c r="CA53" i="125"/>
  <c r="BZ53" i="125"/>
  <c r="BY53" i="125"/>
  <c r="BX53" i="125"/>
  <c r="BW53" i="125"/>
  <c r="BV53" i="125"/>
  <c r="BU53" i="125"/>
  <c r="BT53" i="125"/>
  <c r="BR53" i="125"/>
  <c r="BQ53" i="125"/>
  <c r="BP53" i="125"/>
  <c r="BN53" i="125"/>
  <c r="BM53" i="125"/>
  <c r="BJ53" i="125"/>
  <c r="BI53" i="125"/>
  <c r="BF53" i="125"/>
  <c r="BE53" i="125"/>
  <c r="BD53" i="125"/>
  <c r="BC53" i="125"/>
  <c r="BB53" i="125"/>
  <c r="BA53" i="125"/>
  <c r="AY53" i="125"/>
  <c r="AX53" i="125"/>
  <c r="AW53" i="125"/>
  <c r="AV53" i="125"/>
  <c r="AU53" i="125"/>
  <c r="AT53" i="125"/>
  <c r="I53" i="125"/>
  <c r="H53" i="125"/>
  <c r="G53" i="125"/>
  <c r="F53" i="125"/>
  <c r="CL53" i="127"/>
  <c r="CK53" i="127"/>
  <c r="CJ53" i="127"/>
  <c r="CI53" i="127"/>
  <c r="CH53" i="127"/>
  <c r="CG53" i="127"/>
  <c r="CE53" i="127"/>
  <c r="CD53" i="127"/>
  <c r="CC53" i="127"/>
  <c r="CB53" i="127"/>
  <c r="CA53" i="127"/>
  <c r="BZ53" i="127"/>
  <c r="BY53" i="127"/>
  <c r="BX53" i="127"/>
  <c r="BW53" i="127"/>
  <c r="BV53" i="127"/>
  <c r="BU53" i="127"/>
  <c r="BT53" i="127"/>
  <c r="BR53" i="127"/>
  <c r="BQ53" i="127"/>
  <c r="BP53" i="127"/>
  <c r="BN53" i="127"/>
  <c r="BM53" i="127"/>
  <c r="BJ53" i="127"/>
  <c r="BI53" i="127"/>
  <c r="BF53" i="127"/>
  <c r="BE53" i="127"/>
  <c r="BD53" i="127"/>
  <c r="BC53" i="127"/>
  <c r="BB53" i="127"/>
  <c r="BA53" i="127"/>
  <c r="AY53" i="127"/>
  <c r="AX53" i="127"/>
  <c r="AW53" i="127"/>
  <c r="AV53" i="127"/>
  <c r="AU53" i="127"/>
  <c r="AT53" i="127"/>
  <c r="I53" i="127"/>
  <c r="H53" i="127"/>
  <c r="G53" i="127"/>
  <c r="F53" i="127"/>
  <c r="CL53" i="130"/>
  <c r="CK53" i="130"/>
  <c r="CJ53" i="130"/>
  <c r="CI53" i="130"/>
  <c r="CH53" i="130"/>
  <c r="CG53" i="130"/>
  <c r="CE53" i="130"/>
  <c r="CD53" i="130"/>
  <c r="CC53" i="130"/>
  <c r="CB53" i="130"/>
  <c r="CA53" i="130"/>
  <c r="BZ53" i="130"/>
  <c r="BY53" i="130"/>
  <c r="BX53" i="130"/>
  <c r="BW53" i="130"/>
  <c r="BV53" i="130"/>
  <c r="BU53" i="130"/>
  <c r="BT53" i="130"/>
  <c r="BR53" i="130"/>
  <c r="BQ53" i="130"/>
  <c r="BP53" i="130"/>
  <c r="BN53" i="130"/>
  <c r="BM53" i="130"/>
  <c r="BJ53" i="130"/>
  <c r="BI53" i="130"/>
  <c r="BF53" i="130"/>
  <c r="BE53" i="130"/>
  <c r="BD53" i="130"/>
  <c r="BC53" i="130"/>
  <c r="BB53" i="130"/>
  <c r="BA53" i="130"/>
  <c r="AY53" i="130"/>
  <c r="AX53" i="130"/>
  <c r="AW53" i="130"/>
  <c r="AV53" i="130"/>
  <c r="AU53" i="130"/>
  <c r="AT53" i="130"/>
  <c r="I53" i="130"/>
  <c r="H53" i="130"/>
  <c r="G53" i="130"/>
  <c r="F53" i="130"/>
  <c r="BW53" i="132"/>
  <c r="CG99" i="132"/>
  <c r="BQ99" i="132"/>
  <c r="BN99" i="132"/>
  <c r="BI99" i="132"/>
  <c r="BA99" i="132"/>
  <c r="F53" i="132"/>
  <c r="AS52" i="132"/>
  <c r="AR52" i="132"/>
  <c r="AQ52" i="132"/>
  <c r="AP52" i="132"/>
  <c r="AO52" i="132"/>
  <c r="AN52" i="132"/>
  <c r="AM52" i="132"/>
  <c r="AL52" i="132"/>
  <c r="AK52" i="132"/>
  <c r="AJ52" i="132"/>
  <c r="AI52" i="132"/>
  <c r="AH52" i="132"/>
  <c r="AG52" i="132"/>
  <c r="AF52" i="132"/>
  <c r="AE52" i="132"/>
  <c r="AD52" i="132"/>
  <c r="AC52" i="132"/>
  <c r="AB52" i="132"/>
  <c r="AA52" i="132"/>
  <c r="Z52" i="132"/>
  <c r="Y52" i="132"/>
  <c r="X52" i="132"/>
  <c r="W52" i="132"/>
  <c r="V52" i="132"/>
  <c r="U52" i="132"/>
  <c r="T52" i="132"/>
  <c r="S52" i="132"/>
  <c r="R52" i="132"/>
  <c r="Q52" i="132"/>
  <c r="P52" i="132"/>
  <c r="O52" i="132"/>
  <c r="N52" i="132"/>
  <c r="M52" i="132"/>
  <c r="L52" i="132"/>
  <c r="K52" i="132"/>
  <c r="B52" i="132"/>
  <c r="AS52" i="131"/>
  <c r="AR52" i="131"/>
  <c r="AQ52" i="131"/>
  <c r="AP52" i="131"/>
  <c r="AO52" i="131"/>
  <c r="AN52" i="131"/>
  <c r="AM52" i="131"/>
  <c r="AL52" i="131"/>
  <c r="AK52" i="131"/>
  <c r="AJ52" i="131"/>
  <c r="AI52" i="131"/>
  <c r="AH52" i="131"/>
  <c r="AG52" i="131"/>
  <c r="AF52" i="131"/>
  <c r="AE52" i="131"/>
  <c r="AD52" i="131"/>
  <c r="AC52" i="131"/>
  <c r="AB52" i="131"/>
  <c r="AA52" i="131"/>
  <c r="Z52" i="131"/>
  <c r="Y52" i="131"/>
  <c r="X52" i="131"/>
  <c r="W52" i="131"/>
  <c r="V52" i="131"/>
  <c r="U52" i="131"/>
  <c r="T52" i="131"/>
  <c r="S52" i="131"/>
  <c r="R52" i="131"/>
  <c r="Q52" i="131"/>
  <c r="P52" i="131"/>
  <c r="O52" i="131"/>
  <c r="N52" i="131"/>
  <c r="M52" i="131"/>
  <c r="L52" i="131"/>
  <c r="K52" i="131"/>
  <c r="B52" i="131"/>
  <c r="BH52" i="130"/>
  <c r="AS52" i="130"/>
  <c r="AS53" i="130" s="1"/>
  <c r="AR52" i="130"/>
  <c r="AR53" i="130" s="1"/>
  <c r="AQ52" i="130"/>
  <c r="AQ53" i="130" s="1"/>
  <c r="AP52" i="130"/>
  <c r="AO52" i="130"/>
  <c r="AO53" i="130" s="1"/>
  <c r="AN52" i="130"/>
  <c r="AN53" i="130" s="1"/>
  <c r="AM52" i="130"/>
  <c r="AL52" i="130"/>
  <c r="AL53" i="130" s="1"/>
  <c r="AK52" i="130"/>
  <c r="AK53" i="130" s="1"/>
  <c r="AJ52" i="130"/>
  <c r="AJ53" i="130" s="1"/>
  <c r="AI52" i="130"/>
  <c r="AI53" i="130" s="1"/>
  <c r="AH52" i="130"/>
  <c r="AG52" i="130"/>
  <c r="AG53" i="130" s="1"/>
  <c r="AF52" i="130"/>
  <c r="AF53" i="130" s="1"/>
  <c r="AE52" i="130"/>
  <c r="AD52" i="130"/>
  <c r="AD53" i="130" s="1"/>
  <c r="AC52" i="130"/>
  <c r="AC53" i="130" s="1"/>
  <c r="AB52" i="130"/>
  <c r="AB53" i="130" s="1"/>
  <c r="AA52" i="130"/>
  <c r="AA53" i="130" s="1"/>
  <c r="Z52" i="130"/>
  <c r="Y52" i="130"/>
  <c r="Y53" i="130" s="1"/>
  <c r="X52" i="130"/>
  <c r="X53" i="130" s="1"/>
  <c r="W52" i="130"/>
  <c r="V52" i="130"/>
  <c r="V53" i="130" s="1"/>
  <c r="U52" i="130"/>
  <c r="U53" i="130" s="1"/>
  <c r="T52" i="130"/>
  <c r="T53" i="130" s="1"/>
  <c r="S52" i="130"/>
  <c r="S53" i="130" s="1"/>
  <c r="R52" i="130"/>
  <c r="Q52" i="130"/>
  <c r="Q53" i="130" s="1"/>
  <c r="P52" i="130"/>
  <c r="P53" i="130" s="1"/>
  <c r="O52" i="130"/>
  <c r="N52" i="130"/>
  <c r="N53" i="130" s="1"/>
  <c r="M52" i="130"/>
  <c r="M53" i="130" s="1"/>
  <c r="L52" i="130"/>
  <c r="L53" i="130" s="1"/>
  <c r="K52" i="130"/>
  <c r="K53" i="130" s="1"/>
  <c r="B52" i="130"/>
  <c r="BH52" i="127"/>
  <c r="AS52" i="127"/>
  <c r="AS53" i="127" s="1"/>
  <c r="AR52" i="127"/>
  <c r="AR53" i="127" s="1"/>
  <c r="AQ52" i="127"/>
  <c r="AP52" i="127"/>
  <c r="AO52" i="127"/>
  <c r="AO53" i="127" s="1"/>
  <c r="AN52" i="127"/>
  <c r="AN53" i="127" s="1"/>
  <c r="AM52" i="127"/>
  <c r="AL52" i="127"/>
  <c r="AL53" i="127" s="1"/>
  <c r="AK52" i="127"/>
  <c r="AK53" i="127" s="1"/>
  <c r="AJ52" i="127"/>
  <c r="AJ53" i="127" s="1"/>
  <c r="AI52" i="127"/>
  <c r="AH52" i="127"/>
  <c r="AG52" i="127"/>
  <c r="AG53" i="127" s="1"/>
  <c r="AF52" i="127"/>
  <c r="AF53" i="127" s="1"/>
  <c r="AE52" i="127"/>
  <c r="AD52" i="127"/>
  <c r="AD53" i="127" s="1"/>
  <c r="AC52" i="127"/>
  <c r="AC53" i="127" s="1"/>
  <c r="AB52" i="127"/>
  <c r="AB53" i="127" s="1"/>
  <c r="AA52" i="127"/>
  <c r="Z52" i="127"/>
  <c r="Y52" i="127"/>
  <c r="Y53" i="127" s="1"/>
  <c r="X52" i="127"/>
  <c r="X53" i="127" s="1"/>
  <c r="W52" i="127"/>
  <c r="V52" i="127"/>
  <c r="V53" i="127" s="1"/>
  <c r="U52" i="127"/>
  <c r="U53" i="127" s="1"/>
  <c r="T52" i="127"/>
  <c r="T53" i="127" s="1"/>
  <c r="S52" i="127"/>
  <c r="R52" i="127"/>
  <c r="Q52" i="127"/>
  <c r="Q53" i="127" s="1"/>
  <c r="P52" i="127"/>
  <c r="P53" i="127" s="1"/>
  <c r="O52" i="127"/>
  <c r="N52" i="127"/>
  <c r="N53" i="127" s="1"/>
  <c r="M52" i="127"/>
  <c r="M53" i="127" s="1"/>
  <c r="L52" i="127"/>
  <c r="L53" i="127" s="1"/>
  <c r="K52" i="127"/>
  <c r="B52" i="127"/>
  <c r="B52" i="125"/>
  <c r="BS52" i="120"/>
  <c r="BH52" i="120"/>
  <c r="AS52" i="120"/>
  <c r="AR52" i="120"/>
  <c r="AQ52" i="120"/>
  <c r="AP52" i="120"/>
  <c r="AO52" i="120"/>
  <c r="AN52" i="120"/>
  <c r="AM52" i="120"/>
  <c r="AL52" i="120"/>
  <c r="AK52" i="120"/>
  <c r="AJ52" i="120"/>
  <c r="AI52" i="120"/>
  <c r="AH52" i="120"/>
  <c r="AG52" i="120"/>
  <c r="AF52" i="120"/>
  <c r="AE52" i="120"/>
  <c r="AD52" i="120"/>
  <c r="AC52" i="120"/>
  <c r="AB52" i="120"/>
  <c r="AA52" i="120"/>
  <c r="Z52" i="120"/>
  <c r="Y52" i="120"/>
  <c r="X52" i="120"/>
  <c r="W52" i="120"/>
  <c r="V52" i="120"/>
  <c r="U52" i="120"/>
  <c r="T52" i="120"/>
  <c r="S52" i="120"/>
  <c r="R52" i="120"/>
  <c r="Q52" i="120"/>
  <c r="P52" i="120"/>
  <c r="O52" i="120"/>
  <c r="N52" i="120"/>
  <c r="M52" i="120"/>
  <c r="L52" i="120"/>
  <c r="K52" i="120"/>
  <c r="B52" i="120"/>
  <c r="BS52" i="134"/>
  <c r="BH52" i="134"/>
  <c r="X52" i="134" s="1"/>
  <c r="AS52" i="134"/>
  <c r="AR52" i="134"/>
  <c r="AQ52" i="134"/>
  <c r="AP52" i="134"/>
  <c r="AO52" i="134"/>
  <c r="AN52" i="134"/>
  <c r="AM52" i="134"/>
  <c r="AL52" i="134"/>
  <c r="AK52" i="134"/>
  <c r="AJ52" i="134"/>
  <c r="AI52" i="134"/>
  <c r="AH52" i="134"/>
  <c r="AG52" i="134"/>
  <c r="AF52" i="134"/>
  <c r="AE52" i="134"/>
  <c r="AD52" i="134"/>
  <c r="AC52" i="134"/>
  <c r="AB52" i="134"/>
  <c r="AA52" i="134"/>
  <c r="Z52" i="134"/>
  <c r="Y52" i="134"/>
  <c r="W52" i="134"/>
  <c r="V52" i="134"/>
  <c r="U52" i="134"/>
  <c r="T52" i="134"/>
  <c r="S52" i="134"/>
  <c r="R52" i="134"/>
  <c r="Q52" i="134"/>
  <c r="P52" i="134"/>
  <c r="O52" i="134"/>
  <c r="N52" i="134"/>
  <c r="M52" i="134"/>
  <c r="L52" i="134"/>
  <c r="K52" i="134"/>
  <c r="B52" i="134"/>
  <c r="B52" i="135"/>
  <c r="P52" i="136"/>
  <c r="V52" i="136"/>
  <c r="X52" i="136"/>
  <c r="Y52" i="136"/>
  <c r="AA52" i="136"/>
  <c r="AE52" i="136"/>
  <c r="AS52" i="136"/>
  <c r="P52" i="138"/>
  <c r="V52" i="138"/>
  <c r="X52" i="138"/>
  <c r="Y52" i="138"/>
  <c r="AA52" i="138"/>
  <c r="AE52" i="138"/>
  <c r="AS52" i="138"/>
  <c r="P52" i="140"/>
  <c r="V52" i="140"/>
  <c r="X52" i="140"/>
  <c r="Y52" i="140"/>
  <c r="AA52" i="140"/>
  <c r="AE52" i="140"/>
  <c r="AS52" i="140"/>
  <c r="B65" i="140"/>
  <c r="F65" i="140"/>
  <c r="F67" i="140" s="1"/>
  <c r="Y87" i="140"/>
  <c r="AS87" i="140"/>
  <c r="G70" i="122"/>
  <c r="G14" i="124"/>
  <c r="S47" i="140"/>
  <c r="R49" i="140"/>
  <c r="R48" i="140"/>
  <c r="P49" i="140"/>
  <c r="P48" i="140"/>
  <c r="AA37" i="140"/>
  <c r="Y37" i="140"/>
  <c r="X38" i="140"/>
  <c r="BW14" i="140"/>
  <c r="BR14" i="140"/>
  <c r="BQ14" i="140"/>
  <c r="BP14" i="140"/>
  <c r="BO14" i="140"/>
  <c r="BN14" i="140"/>
  <c r="BE14" i="140"/>
  <c r="O14" i="140" s="1"/>
  <c r="CE44" i="140"/>
  <c r="F47" i="140"/>
  <c r="I23" i="140"/>
  <c r="H23" i="140"/>
  <c r="H30" i="140" s="1"/>
  <c r="G23" i="140"/>
  <c r="F23" i="140"/>
  <c r="CJ23" i="140"/>
  <c r="CI23" i="140"/>
  <c r="CI30" i="140" s="1"/>
  <c r="AR30" i="140" s="1"/>
  <c r="CH23" i="140"/>
  <c r="CG23" i="140"/>
  <c r="CF23" i="140"/>
  <c r="CE23" i="140"/>
  <c r="CE30" i="140" s="1"/>
  <c r="AL30" i="140" s="1"/>
  <c r="CD23" i="140"/>
  <c r="CD30" i="140" s="1"/>
  <c r="AP30" i="140" s="1"/>
  <c r="CC23" i="140"/>
  <c r="CB23" i="140"/>
  <c r="CA23" i="140"/>
  <c r="CA30" i="140" s="1"/>
  <c r="AF30" i="140" s="1"/>
  <c r="BZ23" i="140"/>
  <c r="BY23" i="140"/>
  <c r="BX23" i="140"/>
  <c r="BW23" i="140"/>
  <c r="BW30" i="140" s="1"/>
  <c r="AI30" i="140" s="1"/>
  <c r="BV23" i="140"/>
  <c r="BV30" i="140" s="1"/>
  <c r="AG30" i="140" s="1"/>
  <c r="BU23" i="140"/>
  <c r="BT23" i="140"/>
  <c r="BS23" i="140"/>
  <c r="BR23" i="140"/>
  <c r="BQ23" i="140"/>
  <c r="BP23" i="140"/>
  <c r="BO23" i="140"/>
  <c r="BO30" i="140" s="1"/>
  <c r="BN23" i="140"/>
  <c r="BN30" i="140" s="1"/>
  <c r="BM23" i="140"/>
  <c r="BL23" i="140"/>
  <c r="BK23" i="140"/>
  <c r="BK31" i="140" s="1"/>
  <c r="BJ23" i="140"/>
  <c r="BI23" i="140"/>
  <c r="BH23" i="140"/>
  <c r="BG23" i="140"/>
  <c r="BG31" i="140" s="1"/>
  <c r="BF23" i="140"/>
  <c r="K23" i="140" s="1"/>
  <c r="BE23" i="140"/>
  <c r="BD23" i="140"/>
  <c r="BD30" i="140" s="1"/>
  <c r="M30" i="140" s="1"/>
  <c r="BC23" i="140"/>
  <c r="BB23" i="140"/>
  <c r="BA23" i="140"/>
  <c r="AZ23" i="140"/>
  <c r="AY23" i="140"/>
  <c r="AY30" i="140" s="1"/>
  <c r="L30" i="140" s="1"/>
  <c r="AX23" i="140"/>
  <c r="R23" i="140" s="1"/>
  <c r="AW23" i="140"/>
  <c r="AV23" i="140"/>
  <c r="AU23" i="140"/>
  <c r="AU30" i="140" s="1"/>
  <c r="Q30" i="140" s="1"/>
  <c r="AT23" i="140"/>
  <c r="CK23" i="140"/>
  <c r="CL127" i="140"/>
  <c r="CK127" i="140"/>
  <c r="CJ127" i="140"/>
  <c r="CI127" i="140"/>
  <c r="CH127" i="140"/>
  <c r="CG127" i="140"/>
  <c r="CF127" i="140"/>
  <c r="CE127" i="140"/>
  <c r="CD127" i="140"/>
  <c r="CC127" i="140"/>
  <c r="CB127" i="140"/>
  <c r="CA127" i="140"/>
  <c r="BZ127" i="140"/>
  <c r="BY127" i="140"/>
  <c r="BX127" i="140"/>
  <c r="BW127" i="140"/>
  <c r="BV127" i="140"/>
  <c r="BU127" i="140"/>
  <c r="BT127" i="140"/>
  <c r="BS127" i="140"/>
  <c r="BR127" i="140"/>
  <c r="BQ127" i="140"/>
  <c r="BP127" i="140"/>
  <c r="BO127" i="140"/>
  <c r="BN127" i="140"/>
  <c r="BM127" i="140"/>
  <c r="BL127" i="140"/>
  <c r="BK127" i="140"/>
  <c r="BJ127" i="140"/>
  <c r="BI127" i="140"/>
  <c r="BH127" i="140"/>
  <c r="BG127" i="140"/>
  <c r="BF127" i="140"/>
  <c r="BE127" i="140"/>
  <c r="BD127" i="140"/>
  <c r="BC127" i="140"/>
  <c r="BB127" i="140"/>
  <c r="BA127" i="140"/>
  <c r="AZ127" i="140"/>
  <c r="AY127" i="140"/>
  <c r="AX127" i="140"/>
  <c r="AW127" i="140"/>
  <c r="AV127" i="140"/>
  <c r="AU127" i="140"/>
  <c r="AS126" i="140"/>
  <c r="AR126" i="140"/>
  <c r="AQ126" i="140"/>
  <c r="AP126" i="140"/>
  <c r="AO126" i="140"/>
  <c r="AN126" i="140"/>
  <c r="AM126" i="140"/>
  <c r="AL126" i="140"/>
  <c r="AK126" i="140"/>
  <c r="AJ126" i="140"/>
  <c r="AI126" i="140"/>
  <c r="AH126" i="140"/>
  <c r="AG126" i="140"/>
  <c r="AF126" i="140"/>
  <c r="AE126" i="140"/>
  <c r="AD126" i="140"/>
  <c r="AC126" i="140"/>
  <c r="AB126" i="140"/>
  <c r="AA126" i="140"/>
  <c r="Z126" i="140"/>
  <c r="Y126" i="140"/>
  <c r="X126" i="140"/>
  <c r="W126" i="140"/>
  <c r="V126" i="140"/>
  <c r="U126" i="140"/>
  <c r="T126" i="140"/>
  <c r="T127" i="140" s="1"/>
  <c r="S126" i="140"/>
  <c r="R126" i="140"/>
  <c r="Q126" i="140"/>
  <c r="P126" i="140"/>
  <c r="O126" i="140"/>
  <c r="N126" i="140"/>
  <c r="M126" i="140"/>
  <c r="L126" i="140"/>
  <c r="K126" i="140"/>
  <c r="I126" i="140"/>
  <c r="I127" i="140" s="1"/>
  <c r="H126" i="140"/>
  <c r="H127" i="140" s="1"/>
  <c r="G126" i="140"/>
  <c r="G127" i="140" s="1"/>
  <c r="F126" i="140"/>
  <c r="F127" i="140" s="1"/>
  <c r="AS123" i="140"/>
  <c r="AR123" i="140"/>
  <c r="AQ123" i="140"/>
  <c r="AP123" i="140"/>
  <c r="AO123" i="140"/>
  <c r="AN123" i="140"/>
  <c r="AM123" i="140"/>
  <c r="AL123" i="140"/>
  <c r="AK123" i="140"/>
  <c r="AJ123" i="140"/>
  <c r="AI123" i="140"/>
  <c r="AH123" i="140"/>
  <c r="AG123" i="140"/>
  <c r="AF123" i="140"/>
  <c r="AE123" i="140"/>
  <c r="AD123" i="140"/>
  <c r="AC123" i="140"/>
  <c r="AB123" i="140"/>
  <c r="AA123" i="140"/>
  <c r="Z123" i="140"/>
  <c r="Y123" i="140"/>
  <c r="X123" i="140"/>
  <c r="W123" i="140"/>
  <c r="V123" i="140"/>
  <c r="U123" i="140"/>
  <c r="T123" i="140"/>
  <c r="S123" i="140"/>
  <c r="R123" i="140"/>
  <c r="Q123" i="140"/>
  <c r="P123" i="140"/>
  <c r="O123" i="140"/>
  <c r="N123" i="140"/>
  <c r="M123" i="140"/>
  <c r="L123" i="140"/>
  <c r="K123" i="140"/>
  <c r="AS118" i="140"/>
  <c r="AR118" i="140"/>
  <c r="AQ118" i="140"/>
  <c r="AP118" i="140"/>
  <c r="AO118" i="140"/>
  <c r="AN118" i="140"/>
  <c r="AM118" i="140"/>
  <c r="AL118" i="140"/>
  <c r="AK118" i="140"/>
  <c r="AJ118" i="140"/>
  <c r="AI118" i="140"/>
  <c r="AH118" i="140"/>
  <c r="AG118" i="140"/>
  <c r="AF118" i="140"/>
  <c r="AE118" i="140"/>
  <c r="AD118" i="140"/>
  <c r="AD21" i="140" s="1"/>
  <c r="AC118" i="140"/>
  <c r="AB118" i="140"/>
  <c r="AA118" i="140"/>
  <c r="Z118" i="140"/>
  <c r="Z21" i="140" s="1"/>
  <c r="Y118" i="140"/>
  <c r="Y21" i="140" s="1"/>
  <c r="X118" i="140"/>
  <c r="W118" i="140"/>
  <c r="V118" i="140"/>
  <c r="V21" i="140" s="1"/>
  <c r="U118" i="140"/>
  <c r="T118" i="140"/>
  <c r="S118" i="140"/>
  <c r="R118" i="140"/>
  <c r="Q118" i="140"/>
  <c r="P118" i="140"/>
  <c r="O118" i="140"/>
  <c r="N118" i="140"/>
  <c r="M118" i="140"/>
  <c r="L118" i="140"/>
  <c r="K118" i="140"/>
  <c r="AS117" i="140"/>
  <c r="AR117" i="140"/>
  <c r="AQ117" i="140"/>
  <c r="AP117" i="140"/>
  <c r="AO117" i="140"/>
  <c r="AN117" i="140"/>
  <c r="AM117" i="140"/>
  <c r="AL117" i="140"/>
  <c r="AK117" i="140"/>
  <c r="AJ117" i="140"/>
  <c r="AI117" i="140"/>
  <c r="AH117" i="140"/>
  <c r="AG117" i="140"/>
  <c r="AF117" i="140"/>
  <c r="AE117" i="140"/>
  <c r="AD117" i="140"/>
  <c r="AC117" i="140"/>
  <c r="AB117" i="140"/>
  <c r="AA117" i="140"/>
  <c r="Z117" i="140"/>
  <c r="Y117" i="140"/>
  <c r="X117" i="140"/>
  <c r="W117" i="140"/>
  <c r="V117" i="140"/>
  <c r="U117" i="140"/>
  <c r="T117" i="140"/>
  <c r="S117" i="140"/>
  <c r="R117" i="140"/>
  <c r="Q117" i="140"/>
  <c r="P117" i="140"/>
  <c r="O117" i="140"/>
  <c r="N117" i="140"/>
  <c r="M117" i="140"/>
  <c r="L117" i="140"/>
  <c r="K117" i="140"/>
  <c r="J107" i="140"/>
  <c r="AS106" i="140"/>
  <c r="AR106" i="140"/>
  <c r="AQ106" i="140"/>
  <c r="AP106" i="140"/>
  <c r="AO106" i="140"/>
  <c r="AN106" i="140"/>
  <c r="AM106" i="140"/>
  <c r="AL106" i="140"/>
  <c r="AK106" i="140"/>
  <c r="AJ106" i="140"/>
  <c r="AI106" i="140"/>
  <c r="AH106" i="140"/>
  <c r="AG106" i="140"/>
  <c r="AF106" i="140"/>
  <c r="AE106" i="140"/>
  <c r="AD106" i="140"/>
  <c r="AC106" i="140"/>
  <c r="AB106" i="140"/>
  <c r="AA106" i="140"/>
  <c r="Z106" i="140"/>
  <c r="Y106" i="140"/>
  <c r="X106" i="140"/>
  <c r="W106" i="140"/>
  <c r="V106" i="140"/>
  <c r="U106" i="140"/>
  <c r="T106" i="140"/>
  <c r="S106" i="140"/>
  <c r="R106" i="140"/>
  <c r="Q106" i="140"/>
  <c r="P106" i="140"/>
  <c r="O106" i="140"/>
  <c r="N106" i="140"/>
  <c r="M106" i="140"/>
  <c r="L106" i="140"/>
  <c r="K106" i="140"/>
  <c r="A106" i="140"/>
  <c r="AS105" i="140"/>
  <c r="AR105" i="140"/>
  <c r="AQ105" i="140"/>
  <c r="AP105" i="140"/>
  <c r="AO105" i="140"/>
  <c r="AN105" i="140"/>
  <c r="AM105" i="140"/>
  <c r="AL105" i="140"/>
  <c r="AK105" i="140"/>
  <c r="AJ105" i="140"/>
  <c r="AI105" i="140"/>
  <c r="AH105" i="140"/>
  <c r="AG105" i="140"/>
  <c r="AF105" i="140"/>
  <c r="AE105" i="140"/>
  <c r="AD105" i="140"/>
  <c r="AC105" i="140"/>
  <c r="AB105" i="140"/>
  <c r="AA105" i="140"/>
  <c r="Z105" i="140"/>
  <c r="Y105" i="140"/>
  <c r="X105" i="140"/>
  <c r="W105" i="140"/>
  <c r="V105" i="140"/>
  <c r="U105" i="140"/>
  <c r="T105" i="140"/>
  <c r="S105" i="140"/>
  <c r="R105" i="140"/>
  <c r="Q105" i="140"/>
  <c r="P105" i="140"/>
  <c r="O105" i="140"/>
  <c r="N105" i="140"/>
  <c r="M105" i="140"/>
  <c r="L105" i="140"/>
  <c r="K105" i="140"/>
  <c r="A105" i="140"/>
  <c r="AS104" i="140"/>
  <c r="AR104" i="140"/>
  <c r="AQ104" i="140"/>
  <c r="AP104" i="140"/>
  <c r="AO104" i="140"/>
  <c r="AN104" i="140"/>
  <c r="AM104" i="140"/>
  <c r="AL104" i="140"/>
  <c r="AK104" i="140"/>
  <c r="AJ104" i="140"/>
  <c r="AI104" i="140"/>
  <c r="AH104" i="140"/>
  <c r="AG104" i="140"/>
  <c r="AF104" i="140"/>
  <c r="AE104" i="140"/>
  <c r="AD104" i="140"/>
  <c r="AC104" i="140"/>
  <c r="AB104" i="140"/>
  <c r="AA104" i="140"/>
  <c r="Z104" i="140"/>
  <c r="Y104" i="140"/>
  <c r="X104" i="140"/>
  <c r="W104" i="140"/>
  <c r="V104" i="140"/>
  <c r="U104" i="140"/>
  <c r="T104" i="140"/>
  <c r="S104" i="140"/>
  <c r="R104" i="140"/>
  <c r="Q104" i="140"/>
  <c r="P104" i="140"/>
  <c r="O104" i="140"/>
  <c r="N104" i="140"/>
  <c r="M104" i="140"/>
  <c r="L104" i="140"/>
  <c r="K104" i="140"/>
  <c r="A104" i="140"/>
  <c r="AS103" i="140"/>
  <c r="AR103" i="140"/>
  <c r="AQ103" i="140"/>
  <c r="AP103" i="140"/>
  <c r="AO103" i="140"/>
  <c r="AN103" i="140"/>
  <c r="AM103" i="140"/>
  <c r="AL103" i="140"/>
  <c r="AK103" i="140"/>
  <c r="AJ103" i="140"/>
  <c r="AI103" i="140"/>
  <c r="AH103" i="140"/>
  <c r="AG103" i="140"/>
  <c r="AF103" i="140"/>
  <c r="AE103" i="140"/>
  <c r="AD103" i="140"/>
  <c r="AC103" i="140"/>
  <c r="AB103" i="140"/>
  <c r="AA103" i="140"/>
  <c r="Z103" i="140"/>
  <c r="Y103" i="140"/>
  <c r="X103" i="140"/>
  <c r="W103" i="140"/>
  <c r="V103" i="140"/>
  <c r="U103" i="140"/>
  <c r="T103" i="140"/>
  <c r="S103" i="140"/>
  <c r="R103" i="140"/>
  <c r="Q103" i="140"/>
  <c r="P103" i="140"/>
  <c r="O103" i="140"/>
  <c r="N103" i="140"/>
  <c r="M103" i="140"/>
  <c r="L103" i="140"/>
  <c r="K103" i="140"/>
  <c r="A103" i="140"/>
  <c r="A102" i="140"/>
  <c r="A101" i="140"/>
  <c r="AS100" i="140"/>
  <c r="AR100" i="140"/>
  <c r="AQ100" i="140"/>
  <c r="AP100" i="140"/>
  <c r="AO100" i="140"/>
  <c r="AN100" i="140"/>
  <c r="AM100" i="140"/>
  <c r="AL100" i="140"/>
  <c r="AK100" i="140"/>
  <c r="AJ100" i="140"/>
  <c r="AI100" i="140"/>
  <c r="AH100" i="140"/>
  <c r="AG100" i="140"/>
  <c r="AF100" i="140"/>
  <c r="AE100" i="140"/>
  <c r="AD100" i="140"/>
  <c r="AC100" i="140"/>
  <c r="AB100" i="140"/>
  <c r="AA100" i="140"/>
  <c r="Z100" i="140"/>
  <c r="Y100" i="140"/>
  <c r="X100" i="140"/>
  <c r="W100" i="140"/>
  <c r="V100" i="140"/>
  <c r="U100" i="140"/>
  <c r="T100" i="140"/>
  <c r="S100" i="140"/>
  <c r="R100" i="140"/>
  <c r="Q100" i="140"/>
  <c r="P100" i="140"/>
  <c r="O100" i="140"/>
  <c r="N100" i="140"/>
  <c r="M100" i="140"/>
  <c r="L100" i="140"/>
  <c r="K100" i="140"/>
  <c r="A100" i="140"/>
  <c r="A99" i="140"/>
  <c r="AS98" i="140"/>
  <c r="AR98" i="140"/>
  <c r="AQ98" i="140"/>
  <c r="AP98" i="140"/>
  <c r="AO98" i="140"/>
  <c r="AN98" i="140"/>
  <c r="AM98" i="140"/>
  <c r="AL98" i="140"/>
  <c r="AK98" i="140"/>
  <c r="AJ98" i="140"/>
  <c r="AI98" i="140"/>
  <c r="AH98" i="140"/>
  <c r="AG98" i="140"/>
  <c r="AF98" i="140"/>
  <c r="AE98" i="140"/>
  <c r="AD98" i="140"/>
  <c r="AC98" i="140"/>
  <c r="AB98" i="140"/>
  <c r="AA98" i="140"/>
  <c r="Z98" i="140"/>
  <c r="Y98" i="140"/>
  <c r="X98" i="140"/>
  <c r="W98" i="140"/>
  <c r="V98" i="140"/>
  <c r="U98" i="140"/>
  <c r="T98" i="140"/>
  <c r="S98" i="140"/>
  <c r="R98" i="140"/>
  <c r="Q98" i="140"/>
  <c r="P98" i="140"/>
  <c r="O98" i="140"/>
  <c r="N98" i="140"/>
  <c r="M98" i="140"/>
  <c r="L98" i="140"/>
  <c r="K98" i="140"/>
  <c r="C98" i="140"/>
  <c r="A98" i="140"/>
  <c r="AS97" i="140"/>
  <c r="AR97" i="140"/>
  <c r="AQ97" i="140"/>
  <c r="AP97" i="140"/>
  <c r="AO97" i="140"/>
  <c r="AN97" i="140"/>
  <c r="AM97" i="140"/>
  <c r="AL97" i="140"/>
  <c r="AK97" i="140"/>
  <c r="AJ97" i="140"/>
  <c r="AI97" i="140"/>
  <c r="AH97" i="140"/>
  <c r="AG97" i="140"/>
  <c r="AF97" i="140"/>
  <c r="AE97" i="140"/>
  <c r="AD97" i="140"/>
  <c r="AC97" i="140"/>
  <c r="AB97" i="140"/>
  <c r="AA97" i="140"/>
  <c r="Z97" i="140"/>
  <c r="Y97" i="140"/>
  <c r="X97" i="140"/>
  <c r="W97" i="140"/>
  <c r="V97" i="140"/>
  <c r="U97" i="140"/>
  <c r="T97" i="140"/>
  <c r="S97" i="140"/>
  <c r="R97" i="140"/>
  <c r="Q97" i="140"/>
  <c r="P97" i="140"/>
  <c r="O97" i="140"/>
  <c r="N97" i="140"/>
  <c r="M97" i="140"/>
  <c r="L97" i="140"/>
  <c r="K97" i="140"/>
  <c r="A97" i="140"/>
  <c r="AS96" i="140"/>
  <c r="AR96" i="140"/>
  <c r="AQ96" i="140"/>
  <c r="AP96" i="140"/>
  <c r="AO96" i="140"/>
  <c r="AN96" i="140"/>
  <c r="AM96" i="140"/>
  <c r="AL96" i="140"/>
  <c r="AK96" i="140"/>
  <c r="AJ96" i="140"/>
  <c r="AI96" i="140"/>
  <c r="AH96" i="140"/>
  <c r="AG96" i="140"/>
  <c r="AF96" i="140"/>
  <c r="AE96" i="140"/>
  <c r="AD96" i="140"/>
  <c r="AC96" i="140"/>
  <c r="AB96" i="140"/>
  <c r="AA96" i="140"/>
  <c r="Z96" i="140"/>
  <c r="Y96" i="140"/>
  <c r="X96" i="140"/>
  <c r="W96" i="140"/>
  <c r="V96" i="140"/>
  <c r="U96" i="140"/>
  <c r="T96" i="140"/>
  <c r="S96" i="140"/>
  <c r="R96" i="140"/>
  <c r="Q96" i="140"/>
  <c r="P96" i="140"/>
  <c r="O96" i="140"/>
  <c r="N96" i="140"/>
  <c r="M96" i="140"/>
  <c r="L96" i="140"/>
  <c r="K96" i="140"/>
  <c r="I96" i="140"/>
  <c r="H96" i="140"/>
  <c r="G96" i="140"/>
  <c r="F96" i="140"/>
  <c r="A96" i="140"/>
  <c r="AS95" i="140"/>
  <c r="AR95" i="140"/>
  <c r="AQ95" i="140"/>
  <c r="AP95" i="140"/>
  <c r="AO95" i="140"/>
  <c r="AN95" i="140"/>
  <c r="AM95" i="140"/>
  <c r="AL95" i="140"/>
  <c r="AK95" i="140"/>
  <c r="AJ95" i="140"/>
  <c r="AI95" i="140"/>
  <c r="AH95" i="140"/>
  <c r="AG95" i="140"/>
  <c r="AF95" i="140"/>
  <c r="AE95" i="140"/>
  <c r="AD95" i="140"/>
  <c r="AC95" i="140"/>
  <c r="AB95" i="140"/>
  <c r="AA95" i="140"/>
  <c r="Z95" i="140"/>
  <c r="Y95" i="140"/>
  <c r="X95" i="140"/>
  <c r="W95" i="140"/>
  <c r="V95" i="140"/>
  <c r="U95" i="140"/>
  <c r="T95" i="140"/>
  <c r="S95" i="140"/>
  <c r="R95" i="140"/>
  <c r="Q95" i="140"/>
  <c r="P95" i="140"/>
  <c r="O95" i="140"/>
  <c r="N95" i="140"/>
  <c r="M95" i="140"/>
  <c r="L95" i="140"/>
  <c r="K95" i="140"/>
  <c r="I95" i="140"/>
  <c r="H95" i="140"/>
  <c r="G95" i="140"/>
  <c r="F95" i="140"/>
  <c r="A95" i="140"/>
  <c r="A94" i="140"/>
  <c r="AR93" i="140"/>
  <c r="AQ93" i="140"/>
  <c r="AP93" i="140"/>
  <c r="AO93" i="140"/>
  <c r="AN93" i="140"/>
  <c r="AM93" i="140"/>
  <c r="AL93" i="140"/>
  <c r="AK93" i="140"/>
  <c r="AJ93" i="140"/>
  <c r="AI93" i="140"/>
  <c r="AH93" i="140"/>
  <c r="AG93" i="140"/>
  <c r="AF93" i="140"/>
  <c r="AD93" i="140"/>
  <c r="AC93" i="140"/>
  <c r="AB93" i="140"/>
  <c r="Z93" i="140"/>
  <c r="W93" i="140"/>
  <c r="U93" i="140"/>
  <c r="T93" i="140"/>
  <c r="S93" i="140"/>
  <c r="Q93" i="140"/>
  <c r="O93" i="140"/>
  <c r="N93" i="140"/>
  <c r="M93" i="140"/>
  <c r="L93" i="140"/>
  <c r="K93" i="140"/>
  <c r="A93" i="140"/>
  <c r="AS92" i="140"/>
  <c r="AR92" i="140"/>
  <c r="AQ92" i="140"/>
  <c r="AP92" i="140"/>
  <c r="AO92" i="140"/>
  <c r="AN92" i="140"/>
  <c r="AM92" i="140"/>
  <c r="AL92" i="140"/>
  <c r="AK92" i="140"/>
  <c r="AJ92" i="140"/>
  <c r="AI92" i="140"/>
  <c r="AH92" i="140"/>
  <c r="AG92" i="140"/>
  <c r="AF92" i="140"/>
  <c r="AE92" i="140"/>
  <c r="AD92" i="140"/>
  <c r="AC92" i="140"/>
  <c r="AB92" i="140"/>
  <c r="AA92" i="140"/>
  <c r="Z92" i="140"/>
  <c r="Y92" i="140"/>
  <c r="X92" i="140"/>
  <c r="W92" i="140"/>
  <c r="V92" i="140"/>
  <c r="U92" i="140"/>
  <c r="T92" i="140"/>
  <c r="S92" i="140"/>
  <c r="R92" i="140"/>
  <c r="Q92" i="140"/>
  <c r="P92" i="140"/>
  <c r="O92" i="140"/>
  <c r="N92" i="140"/>
  <c r="M92" i="140"/>
  <c r="L92" i="140"/>
  <c r="K92" i="140"/>
  <c r="A92" i="140"/>
  <c r="AS91" i="140"/>
  <c r="AR91" i="140"/>
  <c r="AQ91" i="140"/>
  <c r="AP91" i="140"/>
  <c r="AO91" i="140"/>
  <c r="AN91" i="140"/>
  <c r="AM91" i="140"/>
  <c r="AL91" i="140"/>
  <c r="AK91" i="140"/>
  <c r="AJ91" i="140"/>
  <c r="AI91" i="140"/>
  <c r="AH91" i="140"/>
  <c r="AG91" i="140"/>
  <c r="AF91" i="140"/>
  <c r="AE91" i="140"/>
  <c r="AD91" i="140"/>
  <c r="AC91" i="140"/>
  <c r="AB91" i="140"/>
  <c r="AA91" i="140"/>
  <c r="Z91" i="140"/>
  <c r="Y91" i="140"/>
  <c r="X91" i="140"/>
  <c r="W91" i="140"/>
  <c r="V91" i="140"/>
  <c r="U91" i="140"/>
  <c r="T91" i="140"/>
  <c r="S91" i="140"/>
  <c r="R91" i="140"/>
  <c r="Q91" i="140"/>
  <c r="P91" i="140"/>
  <c r="O91" i="140"/>
  <c r="N91" i="140"/>
  <c r="M91" i="140"/>
  <c r="L91" i="140"/>
  <c r="K91" i="140"/>
  <c r="A91" i="140"/>
  <c r="AS90" i="140"/>
  <c r="AR90" i="140"/>
  <c r="AQ90" i="140"/>
  <c r="AP90" i="140"/>
  <c r="AO90" i="140"/>
  <c r="AN90" i="140"/>
  <c r="AM90" i="140"/>
  <c r="AL90" i="140"/>
  <c r="AK90" i="140"/>
  <c r="AJ90" i="140"/>
  <c r="AI90" i="140"/>
  <c r="AH90" i="140"/>
  <c r="AG90" i="140"/>
  <c r="AF90" i="140"/>
  <c r="AE90" i="140"/>
  <c r="AD90" i="140"/>
  <c r="AC90" i="140"/>
  <c r="AB90" i="140"/>
  <c r="AA90" i="140"/>
  <c r="Z90" i="140"/>
  <c r="Y90" i="140"/>
  <c r="X90" i="140"/>
  <c r="W90" i="140"/>
  <c r="V90" i="140"/>
  <c r="U90" i="140"/>
  <c r="T90" i="140"/>
  <c r="S90" i="140"/>
  <c r="R90" i="140"/>
  <c r="Q90" i="140"/>
  <c r="P90" i="140"/>
  <c r="O90" i="140"/>
  <c r="N90" i="140"/>
  <c r="M90" i="140"/>
  <c r="L90" i="140"/>
  <c r="K90" i="140"/>
  <c r="A90" i="140"/>
  <c r="AS89" i="140"/>
  <c r="AR89" i="140"/>
  <c r="AQ89" i="140"/>
  <c r="AP89" i="140"/>
  <c r="AO89" i="140"/>
  <c r="AN89" i="140"/>
  <c r="AM89" i="140"/>
  <c r="AL89" i="140"/>
  <c r="AK89" i="140"/>
  <c r="AJ89" i="140"/>
  <c r="AI89" i="140"/>
  <c r="AH89" i="140"/>
  <c r="AG89" i="140"/>
  <c r="AF89" i="140"/>
  <c r="AE89" i="140"/>
  <c r="AD89" i="140"/>
  <c r="AC89" i="140"/>
  <c r="AB89" i="140"/>
  <c r="AA89" i="140"/>
  <c r="Z89" i="140"/>
  <c r="Y89" i="140"/>
  <c r="X89" i="140"/>
  <c r="W89" i="140"/>
  <c r="V89" i="140"/>
  <c r="U89" i="140"/>
  <c r="T89" i="140"/>
  <c r="S89" i="140"/>
  <c r="R89" i="140"/>
  <c r="Q89" i="140"/>
  <c r="P89" i="140"/>
  <c r="O89" i="140"/>
  <c r="N89" i="140"/>
  <c r="M89" i="140"/>
  <c r="L89" i="140"/>
  <c r="K89" i="140"/>
  <c r="A89" i="140"/>
  <c r="A88" i="140"/>
  <c r="AR87" i="140"/>
  <c r="AQ87" i="140"/>
  <c r="AP87" i="140"/>
  <c r="AO87" i="140"/>
  <c r="AN87" i="140"/>
  <c r="AM87" i="140"/>
  <c r="AL87" i="140"/>
  <c r="AK87" i="140"/>
  <c r="AJ87" i="140"/>
  <c r="AI87" i="140"/>
  <c r="AH87" i="140"/>
  <c r="AG87" i="140"/>
  <c r="AF87" i="140"/>
  <c r="AE87" i="140"/>
  <c r="AD87" i="140"/>
  <c r="AC87" i="140"/>
  <c r="AB87" i="140"/>
  <c r="AA87" i="140"/>
  <c r="Z87" i="140"/>
  <c r="X87" i="140"/>
  <c r="W87" i="140"/>
  <c r="V87" i="140"/>
  <c r="U87" i="140"/>
  <c r="T87" i="140"/>
  <c r="S87" i="140"/>
  <c r="R87" i="140"/>
  <c r="Q87" i="140"/>
  <c r="P87" i="140"/>
  <c r="O87" i="140"/>
  <c r="N87" i="140"/>
  <c r="M87" i="140"/>
  <c r="L87" i="140"/>
  <c r="K87" i="140"/>
  <c r="A87" i="140"/>
  <c r="A86" i="140"/>
  <c r="A85" i="140"/>
  <c r="A84" i="140"/>
  <c r="A83" i="140"/>
  <c r="A82" i="140"/>
  <c r="A81" i="140"/>
  <c r="AS80" i="140"/>
  <c r="AR80" i="140"/>
  <c r="AQ80" i="140"/>
  <c r="AQ84" i="140" s="1"/>
  <c r="AP80" i="140"/>
  <c r="AP84" i="140" s="1"/>
  <c r="AO80" i="140"/>
  <c r="AN80" i="140"/>
  <c r="AN84" i="140" s="1"/>
  <c r="AM80" i="140"/>
  <c r="AM84" i="140" s="1"/>
  <c r="AL80" i="140"/>
  <c r="AL84" i="140" s="1"/>
  <c r="AK80" i="140"/>
  <c r="AJ80" i="140"/>
  <c r="AI80" i="140"/>
  <c r="AI84" i="140" s="1"/>
  <c r="AH80" i="140"/>
  <c r="AH84" i="140" s="1"/>
  <c r="AG80" i="140"/>
  <c r="AF80" i="140"/>
  <c r="AF84" i="140" s="1"/>
  <c r="AE80" i="140"/>
  <c r="AE84" i="140" s="1"/>
  <c r="AD80" i="140"/>
  <c r="AD84" i="140" s="1"/>
  <c r="AC80" i="140"/>
  <c r="AB80" i="140"/>
  <c r="AA80" i="140"/>
  <c r="AA84" i="140" s="1"/>
  <c r="Z80" i="140"/>
  <c r="Z84" i="140" s="1"/>
  <c r="Y80" i="140"/>
  <c r="X80" i="140"/>
  <c r="X84" i="140" s="1"/>
  <c r="W80" i="140"/>
  <c r="W84" i="140" s="1"/>
  <c r="V80" i="140"/>
  <c r="V84" i="140" s="1"/>
  <c r="U80" i="140"/>
  <c r="T80" i="140"/>
  <c r="S80" i="140"/>
  <c r="S84" i="140" s="1"/>
  <c r="R80" i="140"/>
  <c r="R84" i="140" s="1"/>
  <c r="Q80" i="140"/>
  <c r="P80" i="140"/>
  <c r="P84" i="140" s="1"/>
  <c r="O80" i="140"/>
  <c r="O84" i="140" s="1"/>
  <c r="N80" i="140"/>
  <c r="M80" i="140"/>
  <c r="L80" i="140"/>
  <c r="K80" i="140"/>
  <c r="I80" i="140"/>
  <c r="H80" i="140"/>
  <c r="G80" i="140"/>
  <c r="G84" i="140" s="1"/>
  <c r="F80" i="140"/>
  <c r="F84" i="140" s="1"/>
  <c r="A80" i="140"/>
  <c r="A79" i="140"/>
  <c r="AS78" i="140"/>
  <c r="AR78" i="140"/>
  <c r="AQ78" i="140"/>
  <c r="AP78" i="140"/>
  <c r="AO78" i="140"/>
  <c r="AN78" i="140"/>
  <c r="AM78" i="140"/>
  <c r="AL78" i="140"/>
  <c r="AK78" i="140"/>
  <c r="AJ78" i="140"/>
  <c r="AI78" i="140"/>
  <c r="AH78" i="140"/>
  <c r="AG78" i="140"/>
  <c r="AF78" i="140"/>
  <c r="AE78" i="140"/>
  <c r="AD78" i="140"/>
  <c r="AC78" i="140"/>
  <c r="AB78" i="140"/>
  <c r="AA78" i="140"/>
  <c r="Z78" i="140"/>
  <c r="Y78" i="140"/>
  <c r="X78" i="140"/>
  <c r="W78" i="140"/>
  <c r="V78" i="140"/>
  <c r="U78" i="140"/>
  <c r="T78" i="140"/>
  <c r="S78" i="140"/>
  <c r="R78" i="140"/>
  <c r="Q78" i="140"/>
  <c r="P78" i="140"/>
  <c r="O78" i="140"/>
  <c r="N78" i="140"/>
  <c r="M78" i="140"/>
  <c r="L78" i="140"/>
  <c r="K78" i="140"/>
  <c r="A78" i="140"/>
  <c r="AS77" i="140"/>
  <c r="AR77" i="140"/>
  <c r="AQ77" i="140"/>
  <c r="AP77" i="140"/>
  <c r="AO77" i="140"/>
  <c r="AN77" i="140"/>
  <c r="AM77" i="140"/>
  <c r="AL77" i="140"/>
  <c r="AK77" i="140"/>
  <c r="AJ77" i="140"/>
  <c r="AI77" i="140"/>
  <c r="AH77" i="140"/>
  <c r="AG77" i="140"/>
  <c r="AF77" i="140"/>
  <c r="AE77" i="140"/>
  <c r="AD77" i="140"/>
  <c r="AC77" i="140"/>
  <c r="AB77" i="140"/>
  <c r="AA77" i="140"/>
  <c r="Z77" i="140"/>
  <c r="Y77" i="140"/>
  <c r="X77" i="140"/>
  <c r="W77" i="140"/>
  <c r="V77" i="140"/>
  <c r="U77" i="140"/>
  <c r="T77" i="140"/>
  <c r="S77" i="140"/>
  <c r="R77" i="140"/>
  <c r="Q77" i="140"/>
  <c r="P77" i="140"/>
  <c r="O77" i="140"/>
  <c r="N77" i="140"/>
  <c r="M77" i="140"/>
  <c r="L77" i="140"/>
  <c r="K77" i="140"/>
  <c r="A77" i="140"/>
  <c r="AS76" i="140"/>
  <c r="AR76" i="140"/>
  <c r="AQ76" i="140"/>
  <c r="AP76" i="140"/>
  <c r="AO76" i="140"/>
  <c r="AN76" i="140"/>
  <c r="AM76" i="140"/>
  <c r="AL76" i="140"/>
  <c r="AK76" i="140"/>
  <c r="AJ76" i="140"/>
  <c r="AI76" i="140"/>
  <c r="AH76" i="140"/>
  <c r="AG76" i="140"/>
  <c r="AF76" i="140"/>
  <c r="AE76" i="140"/>
  <c r="AD76" i="140"/>
  <c r="AC76" i="140"/>
  <c r="AB76" i="140"/>
  <c r="AA76" i="140"/>
  <c r="Z76" i="140"/>
  <c r="Y76" i="140"/>
  <c r="X76" i="140"/>
  <c r="W76" i="140"/>
  <c r="V76" i="140"/>
  <c r="U76" i="140"/>
  <c r="T76" i="140"/>
  <c r="S76" i="140"/>
  <c r="R76" i="140"/>
  <c r="Q76" i="140"/>
  <c r="P76" i="140"/>
  <c r="O76" i="140"/>
  <c r="N76" i="140"/>
  <c r="M76" i="140"/>
  <c r="L76" i="140"/>
  <c r="K76" i="140"/>
  <c r="A76" i="140"/>
  <c r="AS75" i="140"/>
  <c r="AR75" i="140"/>
  <c r="AQ75" i="140"/>
  <c r="AP75" i="140"/>
  <c r="AO75" i="140"/>
  <c r="AN75" i="140"/>
  <c r="AM75" i="140"/>
  <c r="AL75" i="140"/>
  <c r="AK75" i="140"/>
  <c r="AJ75" i="140"/>
  <c r="AI75" i="140"/>
  <c r="AH75" i="140"/>
  <c r="AG75" i="140"/>
  <c r="AF75" i="140"/>
  <c r="AE75" i="140"/>
  <c r="AD75" i="140"/>
  <c r="AC75" i="140"/>
  <c r="AB75" i="140"/>
  <c r="AA75" i="140"/>
  <c r="Z75" i="140"/>
  <c r="Y75" i="140"/>
  <c r="X75" i="140"/>
  <c r="W75" i="140"/>
  <c r="V75" i="140"/>
  <c r="U75" i="140"/>
  <c r="T75" i="140"/>
  <c r="S75" i="140"/>
  <c r="R75" i="140"/>
  <c r="Q75" i="140"/>
  <c r="P75" i="140"/>
  <c r="O75" i="140"/>
  <c r="N75" i="140"/>
  <c r="M75" i="140"/>
  <c r="L75" i="140"/>
  <c r="K75" i="140"/>
  <c r="A75" i="140"/>
  <c r="AS74" i="140"/>
  <c r="AR74" i="140"/>
  <c r="AQ74" i="140"/>
  <c r="AP74" i="140"/>
  <c r="AO74" i="140"/>
  <c r="AN74" i="140"/>
  <c r="AM74" i="140"/>
  <c r="AL74" i="140"/>
  <c r="AK74" i="140"/>
  <c r="AJ74" i="140"/>
  <c r="AI74" i="140"/>
  <c r="AH74" i="140"/>
  <c r="AG74" i="140"/>
  <c r="AF74" i="140"/>
  <c r="AE74" i="140"/>
  <c r="AD74" i="140"/>
  <c r="AC74" i="140"/>
  <c r="AB74" i="140"/>
  <c r="AA74" i="140"/>
  <c r="Z74" i="140"/>
  <c r="Y74" i="140"/>
  <c r="X74" i="140"/>
  <c r="W74" i="140"/>
  <c r="V74" i="140"/>
  <c r="U74" i="140"/>
  <c r="T74" i="140"/>
  <c r="S74" i="140"/>
  <c r="R74" i="140"/>
  <c r="Q74" i="140"/>
  <c r="P74" i="140"/>
  <c r="O74" i="140"/>
  <c r="N74" i="140"/>
  <c r="M74" i="140"/>
  <c r="L74" i="140"/>
  <c r="K74" i="140"/>
  <c r="A74" i="140"/>
  <c r="AS73" i="140"/>
  <c r="AR73" i="140"/>
  <c r="AQ73" i="140"/>
  <c r="AP73" i="140"/>
  <c r="AO73" i="140"/>
  <c r="AN73" i="140"/>
  <c r="AM73" i="140"/>
  <c r="AL73" i="140"/>
  <c r="AK73" i="140"/>
  <c r="AJ73" i="140"/>
  <c r="AI73" i="140"/>
  <c r="AH73" i="140"/>
  <c r="AG73" i="140"/>
  <c r="AF73" i="140"/>
  <c r="AE73" i="140"/>
  <c r="AD73" i="140"/>
  <c r="AC73" i="140"/>
  <c r="AB73" i="140"/>
  <c r="AA73" i="140"/>
  <c r="Z73" i="140"/>
  <c r="Y73" i="140"/>
  <c r="X73" i="140"/>
  <c r="W73" i="140"/>
  <c r="V73" i="140"/>
  <c r="U73" i="140"/>
  <c r="T73" i="140"/>
  <c r="S73" i="140"/>
  <c r="R73" i="140"/>
  <c r="Q73" i="140"/>
  <c r="P73" i="140"/>
  <c r="O73" i="140"/>
  <c r="N73" i="140"/>
  <c r="M73" i="140"/>
  <c r="L73" i="140"/>
  <c r="K73" i="140"/>
  <c r="A73" i="140"/>
  <c r="A72" i="140"/>
  <c r="CK71" i="140"/>
  <c r="CJ71" i="140"/>
  <c r="CI71" i="140"/>
  <c r="CH71" i="140"/>
  <c r="CG71" i="140"/>
  <c r="CF71" i="140"/>
  <c r="CE71" i="140"/>
  <c r="CD71" i="140"/>
  <c r="CC71" i="140"/>
  <c r="CB71" i="140"/>
  <c r="CA71" i="140"/>
  <c r="BZ71" i="140"/>
  <c r="BY71" i="140"/>
  <c r="BX71" i="140"/>
  <c r="BW71" i="140"/>
  <c r="BV71" i="140"/>
  <c r="BU71" i="140"/>
  <c r="BT71" i="140"/>
  <c r="BS71" i="140"/>
  <c r="BR71" i="140"/>
  <c r="BQ71" i="140"/>
  <c r="BP71" i="140"/>
  <c r="BO71" i="140"/>
  <c r="BN71" i="140"/>
  <c r="BM71" i="140"/>
  <c r="BL71" i="140"/>
  <c r="BK71" i="140"/>
  <c r="BJ71" i="140"/>
  <c r="BI71" i="140"/>
  <c r="BH71" i="140"/>
  <c r="BG71" i="140"/>
  <c r="BF71" i="140"/>
  <c r="BE71" i="140"/>
  <c r="BD71" i="140"/>
  <c r="BC71" i="140"/>
  <c r="BB71" i="140"/>
  <c r="BA71" i="140"/>
  <c r="AZ71" i="140"/>
  <c r="AY71" i="140"/>
  <c r="AX71" i="140"/>
  <c r="AW71" i="140"/>
  <c r="AV71" i="140"/>
  <c r="AU71" i="140"/>
  <c r="AT71" i="140"/>
  <c r="A71" i="140"/>
  <c r="G67" i="122"/>
  <c r="AS70" i="140"/>
  <c r="AR70" i="140"/>
  <c r="AQ70" i="140"/>
  <c r="AQ71" i="140" s="1"/>
  <c r="AP70" i="140"/>
  <c r="AO70" i="140"/>
  <c r="AN70" i="140"/>
  <c r="AM70" i="140"/>
  <c r="AL70" i="140"/>
  <c r="AK70" i="140"/>
  <c r="AJ70" i="140"/>
  <c r="AI70" i="140"/>
  <c r="AH70" i="140"/>
  <c r="AG70" i="140"/>
  <c r="AF70" i="140"/>
  <c r="AE70" i="140"/>
  <c r="AD70" i="140"/>
  <c r="AC70" i="140"/>
  <c r="AB70" i="140"/>
  <c r="AA70" i="140"/>
  <c r="AA71" i="140" s="1"/>
  <c r="Z70" i="140"/>
  <c r="Y70" i="140"/>
  <c r="X70" i="140"/>
  <c r="W70" i="140"/>
  <c r="V70" i="140"/>
  <c r="U70" i="140"/>
  <c r="T70" i="140"/>
  <c r="S70" i="140"/>
  <c r="R70" i="140"/>
  <c r="Q70" i="140"/>
  <c r="P70" i="140"/>
  <c r="O70" i="140"/>
  <c r="N70" i="140"/>
  <c r="M70" i="140"/>
  <c r="L70" i="140"/>
  <c r="K70" i="140"/>
  <c r="K71" i="140" s="1"/>
  <c r="H70" i="140"/>
  <c r="A70" i="140"/>
  <c r="CL69" i="140"/>
  <c r="AS69" i="140"/>
  <c r="AR69" i="140"/>
  <c r="AQ69" i="140"/>
  <c r="AP69" i="140"/>
  <c r="AO69" i="140"/>
  <c r="AN69" i="140"/>
  <c r="AM69" i="140"/>
  <c r="AL69" i="140"/>
  <c r="AK69" i="140"/>
  <c r="AJ69" i="140"/>
  <c r="AI69" i="140"/>
  <c r="AH69" i="140"/>
  <c r="AG69" i="140"/>
  <c r="AF69" i="140"/>
  <c r="AE69" i="140"/>
  <c r="AD69" i="140"/>
  <c r="AC69" i="140"/>
  <c r="AC71" i="140" s="1"/>
  <c r="AB69" i="140"/>
  <c r="AA69" i="140"/>
  <c r="Z69" i="140"/>
  <c r="Y69" i="140"/>
  <c r="X69" i="140"/>
  <c r="W69" i="140"/>
  <c r="V69" i="140"/>
  <c r="U69" i="140"/>
  <c r="T69" i="140"/>
  <c r="S69" i="140"/>
  <c r="R69" i="140"/>
  <c r="Q69" i="140"/>
  <c r="P69" i="140"/>
  <c r="O69" i="140"/>
  <c r="N69" i="140"/>
  <c r="M69" i="140"/>
  <c r="L69" i="140"/>
  <c r="L71" i="140"/>
  <c r="K69" i="140"/>
  <c r="A69" i="140"/>
  <c r="A68" i="140"/>
  <c r="A67" i="140"/>
  <c r="A66" i="140"/>
  <c r="AQ65" i="140"/>
  <c r="AM65" i="140"/>
  <c r="AS65" i="140"/>
  <c r="AP65" i="140"/>
  <c r="AH65" i="140"/>
  <c r="AJ65" i="140"/>
  <c r="W65" i="140"/>
  <c r="AA65" i="140"/>
  <c r="Z65" i="140"/>
  <c r="V65" i="140"/>
  <c r="K65" i="140"/>
  <c r="O65" i="140"/>
  <c r="U65" i="140"/>
  <c r="L65" i="140"/>
  <c r="R65" i="140"/>
  <c r="Q65" i="140"/>
  <c r="AR65" i="140"/>
  <c r="AN65" i="140"/>
  <c r="AL65" i="140"/>
  <c r="AK65" i="140"/>
  <c r="AI65" i="140"/>
  <c r="AG65" i="140"/>
  <c r="AF65" i="140"/>
  <c r="AC65" i="140"/>
  <c r="AB65" i="140"/>
  <c r="Y65" i="140"/>
  <c r="T65" i="140"/>
  <c r="S65" i="140"/>
  <c r="M65" i="140"/>
  <c r="A65" i="140"/>
  <c r="A64" i="140"/>
  <c r="AS63" i="140"/>
  <c r="AR63" i="140"/>
  <c r="AQ63" i="140"/>
  <c r="AP63" i="140"/>
  <c r="AO63" i="140"/>
  <c r="AN63" i="140"/>
  <c r="AM63" i="140"/>
  <c r="AL63" i="140"/>
  <c r="AK63" i="140"/>
  <c r="AJ63" i="140"/>
  <c r="AI63" i="140"/>
  <c r="AH63" i="140"/>
  <c r="AG63" i="140"/>
  <c r="AF63" i="140"/>
  <c r="AE63" i="140"/>
  <c r="AD63" i="140"/>
  <c r="AC63" i="140"/>
  <c r="AB63" i="140"/>
  <c r="AA63" i="140"/>
  <c r="Z63" i="140"/>
  <c r="Y63" i="140"/>
  <c r="X63" i="140"/>
  <c r="W63" i="140"/>
  <c r="V63" i="140"/>
  <c r="U63" i="140"/>
  <c r="T63" i="140"/>
  <c r="S63" i="140"/>
  <c r="R63" i="140"/>
  <c r="Q63" i="140"/>
  <c r="P63" i="140"/>
  <c r="O63" i="140"/>
  <c r="N63" i="140"/>
  <c r="M63" i="140"/>
  <c r="L63" i="140"/>
  <c r="K63" i="140"/>
  <c r="A63" i="140"/>
  <c r="AS62" i="140"/>
  <c r="AR62" i="140"/>
  <c r="AQ62" i="140"/>
  <c r="AP62" i="140"/>
  <c r="AO62" i="140"/>
  <c r="AN62" i="140"/>
  <c r="AM62" i="140"/>
  <c r="AL62" i="140"/>
  <c r="AK62" i="140"/>
  <c r="AJ62" i="140"/>
  <c r="AI62" i="140"/>
  <c r="AH62" i="140"/>
  <c r="AG62" i="140"/>
  <c r="AF62" i="140"/>
  <c r="AE62" i="140"/>
  <c r="AD62" i="140"/>
  <c r="AC62" i="140"/>
  <c r="AB62" i="140"/>
  <c r="AA62" i="140"/>
  <c r="Z62" i="140"/>
  <c r="Y62" i="140"/>
  <c r="X62" i="140"/>
  <c r="W62" i="140"/>
  <c r="V62" i="140"/>
  <c r="U62" i="140"/>
  <c r="T62" i="140"/>
  <c r="S62" i="140"/>
  <c r="R62" i="140"/>
  <c r="Q62" i="140"/>
  <c r="P62" i="140"/>
  <c r="O62" i="140"/>
  <c r="N62" i="140"/>
  <c r="M62" i="140"/>
  <c r="L62" i="140"/>
  <c r="K62" i="140"/>
  <c r="A62" i="140"/>
  <c r="AS61" i="140"/>
  <c r="AR61" i="140"/>
  <c r="AQ61" i="140"/>
  <c r="AP61" i="140"/>
  <c r="AO61" i="140"/>
  <c r="AN61" i="140"/>
  <c r="AM61" i="140"/>
  <c r="AL61" i="140"/>
  <c r="AK61" i="140"/>
  <c r="AJ61" i="140"/>
  <c r="AI61" i="140"/>
  <c r="AH61" i="140"/>
  <c r="AG61" i="140"/>
  <c r="AF61" i="140"/>
  <c r="AE61" i="140"/>
  <c r="AD61" i="140"/>
  <c r="AC61" i="140"/>
  <c r="AB61" i="140"/>
  <c r="AA61" i="140"/>
  <c r="Z61" i="140"/>
  <c r="Y61" i="140"/>
  <c r="X61" i="140"/>
  <c r="W61" i="140"/>
  <c r="V61" i="140"/>
  <c r="U61" i="140"/>
  <c r="T61" i="140"/>
  <c r="S61" i="140"/>
  <c r="R61" i="140"/>
  <c r="Q61" i="140"/>
  <c r="P61" i="140"/>
  <c r="O61" i="140"/>
  <c r="N61" i="140"/>
  <c r="M61" i="140"/>
  <c r="L61" i="140"/>
  <c r="K61" i="140"/>
  <c r="A61" i="140"/>
  <c r="AS60" i="140"/>
  <c r="AR60" i="140"/>
  <c r="AQ60" i="140"/>
  <c r="AP60" i="140"/>
  <c r="AO60" i="140"/>
  <c r="AN60" i="140"/>
  <c r="AM60" i="140"/>
  <c r="AL60" i="140"/>
  <c r="AK60" i="140"/>
  <c r="AJ60" i="140"/>
  <c r="AI60" i="140"/>
  <c r="AH60" i="140"/>
  <c r="AG60" i="140"/>
  <c r="AF60" i="140"/>
  <c r="AE60" i="140"/>
  <c r="AD60" i="140"/>
  <c r="AC60" i="140"/>
  <c r="AB60" i="140"/>
  <c r="AA60" i="140"/>
  <c r="Z60" i="140"/>
  <c r="Y60" i="140"/>
  <c r="X60" i="140"/>
  <c r="W60" i="140"/>
  <c r="V60" i="140"/>
  <c r="U60" i="140"/>
  <c r="T60" i="140"/>
  <c r="S60" i="140"/>
  <c r="R60" i="140"/>
  <c r="Q60" i="140"/>
  <c r="P60" i="140"/>
  <c r="O60" i="140"/>
  <c r="N60" i="140"/>
  <c r="M60" i="140"/>
  <c r="L60" i="140"/>
  <c r="K60" i="140"/>
  <c r="A60" i="140"/>
  <c r="AS59" i="140"/>
  <c r="AR59" i="140"/>
  <c r="AQ59" i="140"/>
  <c r="AP59" i="140"/>
  <c r="AO59" i="140"/>
  <c r="AN59" i="140"/>
  <c r="AM59" i="140"/>
  <c r="AL59" i="140"/>
  <c r="AK59" i="140"/>
  <c r="AJ59" i="140"/>
  <c r="AI59" i="140"/>
  <c r="AH59" i="140"/>
  <c r="AG59" i="140"/>
  <c r="AF59" i="140"/>
  <c r="AE59" i="140"/>
  <c r="AD59" i="140"/>
  <c r="AC59" i="140"/>
  <c r="AB59" i="140"/>
  <c r="AA59" i="140"/>
  <c r="Z59" i="140"/>
  <c r="Y59" i="140"/>
  <c r="X59" i="140"/>
  <c r="W59" i="140"/>
  <c r="V59" i="140"/>
  <c r="U59" i="140"/>
  <c r="T59" i="140"/>
  <c r="S59" i="140"/>
  <c r="R59" i="140"/>
  <c r="Q59" i="140"/>
  <c r="P59" i="140"/>
  <c r="O59" i="140"/>
  <c r="N59" i="140"/>
  <c r="M59" i="140"/>
  <c r="L59" i="140"/>
  <c r="K59" i="140"/>
  <c r="A59" i="140"/>
  <c r="AS58" i="140"/>
  <c r="AR58" i="140"/>
  <c r="AQ58" i="140"/>
  <c r="AP58" i="140"/>
  <c r="AO58" i="140"/>
  <c r="AN58" i="140"/>
  <c r="AM58" i="140"/>
  <c r="AL58" i="140"/>
  <c r="AK58" i="140"/>
  <c r="AJ58" i="140"/>
  <c r="AI58" i="140"/>
  <c r="AH58" i="140"/>
  <c r="AG58" i="140"/>
  <c r="AF58" i="140"/>
  <c r="AE58" i="140"/>
  <c r="AD58" i="140"/>
  <c r="AC58" i="140"/>
  <c r="AB58" i="140"/>
  <c r="AA58" i="140"/>
  <c r="Z58" i="140"/>
  <c r="Y58" i="140"/>
  <c r="X58" i="140"/>
  <c r="W58" i="140"/>
  <c r="V58" i="140"/>
  <c r="U58" i="140"/>
  <c r="T58" i="140"/>
  <c r="S58" i="140"/>
  <c r="R58" i="140"/>
  <c r="Q58" i="140"/>
  <c r="P58" i="140"/>
  <c r="O58" i="140"/>
  <c r="N58" i="140"/>
  <c r="M58" i="140"/>
  <c r="L58" i="140"/>
  <c r="K58" i="140"/>
  <c r="A58" i="140"/>
  <c r="AS57" i="140"/>
  <c r="AR57" i="140"/>
  <c r="AQ57" i="140"/>
  <c r="AP57" i="140"/>
  <c r="AO57" i="140"/>
  <c r="AN57" i="140"/>
  <c r="AM57" i="140"/>
  <c r="AL57" i="140"/>
  <c r="AK57" i="140"/>
  <c r="AJ57" i="140"/>
  <c r="AI57" i="140"/>
  <c r="AH57" i="140"/>
  <c r="AG57" i="140"/>
  <c r="AF57" i="140"/>
  <c r="AE57" i="140"/>
  <c r="AD57" i="140"/>
  <c r="AC57" i="140"/>
  <c r="AB57" i="140"/>
  <c r="AA57" i="140"/>
  <c r="Z57" i="140"/>
  <c r="Y57" i="140"/>
  <c r="X57" i="140"/>
  <c r="W57" i="140"/>
  <c r="V57" i="140"/>
  <c r="U57" i="140"/>
  <c r="T57" i="140"/>
  <c r="S57" i="140"/>
  <c r="R57" i="140"/>
  <c r="Q57" i="140"/>
  <c r="P57" i="140"/>
  <c r="O57" i="140"/>
  <c r="N57" i="140"/>
  <c r="M57" i="140"/>
  <c r="L57" i="140"/>
  <c r="K57" i="140"/>
  <c r="A57" i="140"/>
  <c r="AS56" i="140"/>
  <c r="AR56" i="140"/>
  <c r="AQ56" i="140"/>
  <c r="AP56" i="140"/>
  <c r="AO56" i="140"/>
  <c r="AN56" i="140"/>
  <c r="AM56" i="140"/>
  <c r="AL56" i="140"/>
  <c r="AK56" i="140"/>
  <c r="AJ56" i="140"/>
  <c r="AI56" i="140"/>
  <c r="AH56" i="140"/>
  <c r="AG56" i="140"/>
  <c r="AF56" i="140"/>
  <c r="AE56" i="140"/>
  <c r="AD56" i="140"/>
  <c r="AC56" i="140"/>
  <c r="AB56" i="140"/>
  <c r="AA56" i="140"/>
  <c r="Z56" i="140"/>
  <c r="Y56" i="140"/>
  <c r="X56" i="140"/>
  <c r="W56" i="140"/>
  <c r="V56" i="140"/>
  <c r="U56" i="140"/>
  <c r="T56" i="140"/>
  <c r="S56" i="140"/>
  <c r="R56" i="140"/>
  <c r="Q56" i="140"/>
  <c r="P56" i="140"/>
  <c r="O56" i="140"/>
  <c r="N56" i="140"/>
  <c r="M56" i="140"/>
  <c r="L56" i="140"/>
  <c r="K56" i="140"/>
  <c r="A56" i="140"/>
  <c r="A55" i="140"/>
  <c r="CL54" i="140"/>
  <c r="CK54" i="140"/>
  <c r="AQ54" i="140" s="1"/>
  <c r="CJ54" i="140"/>
  <c r="AN54" i="140" s="1"/>
  <c r="CI54" i="140"/>
  <c r="AR54" i="140" s="1"/>
  <c r="CH54" i="140"/>
  <c r="CG54" i="140"/>
  <c r="CF54" i="140"/>
  <c r="CE54" i="140"/>
  <c r="CD54" i="140"/>
  <c r="AP54" i="140" s="1"/>
  <c r="CC54" i="140"/>
  <c r="AO54" i="140" s="1"/>
  <c r="CB54" i="140"/>
  <c r="AK54" i="140" s="1"/>
  <c r="CA54" i="140"/>
  <c r="BZ54" i="140"/>
  <c r="BY54" i="140"/>
  <c r="AJ54" i="140" s="1"/>
  <c r="BX54" i="140"/>
  <c r="AC54" i="140" s="1"/>
  <c r="BW54" i="140"/>
  <c r="AI54" i="140" s="1"/>
  <c r="BV54" i="140"/>
  <c r="AG54" i="140" s="1"/>
  <c r="BU54" i="140"/>
  <c r="AD54" i="140" s="1"/>
  <c r="BT54" i="140"/>
  <c r="BS54" i="140"/>
  <c r="BR54" i="140"/>
  <c r="BQ54" i="140"/>
  <c r="BP54" i="140"/>
  <c r="AB54" i="140" s="1"/>
  <c r="BO54" i="140"/>
  <c r="BN54" i="140"/>
  <c r="BM54" i="140"/>
  <c r="Z54" i="140" s="1"/>
  <c r="BL54" i="140"/>
  <c r="BK54" i="140"/>
  <c r="BJ54" i="140"/>
  <c r="BI54" i="140"/>
  <c r="BH54" i="140"/>
  <c r="BG54" i="140"/>
  <c r="BF54" i="140"/>
  <c r="K54" i="140" s="1"/>
  <c r="BE54" i="140"/>
  <c r="O54" i="140" s="1"/>
  <c r="BD54" i="140"/>
  <c r="M54" i="140" s="1"/>
  <c r="BC54" i="140"/>
  <c r="U54" i="140" s="1"/>
  <c r="BB54" i="140"/>
  <c r="T54" i="140" s="1"/>
  <c r="BA54" i="140"/>
  <c r="AZ54" i="140"/>
  <c r="AY54" i="140"/>
  <c r="L54" i="140" s="1"/>
  <c r="AX54" i="140"/>
  <c r="AW54" i="140"/>
  <c r="N54" i="140"/>
  <c r="AV54" i="140"/>
  <c r="S54" i="140" s="1"/>
  <c r="AU54" i="140"/>
  <c r="AT54" i="140"/>
  <c r="AM54" i="140"/>
  <c r="AL54" i="140"/>
  <c r="AH54" i="140"/>
  <c r="AF54" i="140"/>
  <c r="W54" i="140"/>
  <c r="I54" i="140"/>
  <c r="H54" i="140"/>
  <c r="G54" i="140"/>
  <c r="F54" i="140"/>
  <c r="A54" i="140"/>
  <c r="A53" i="140"/>
  <c r="AO52" i="140"/>
  <c r="AK52" i="140"/>
  <c r="M52" i="140"/>
  <c r="U52" i="140"/>
  <c r="AQ52" i="140"/>
  <c r="AI52" i="140"/>
  <c r="W52" i="140"/>
  <c r="Q52" i="140"/>
  <c r="K52" i="140"/>
  <c r="A52" i="140"/>
  <c r="AN51" i="140"/>
  <c r="AR51" i="140"/>
  <c r="AL51" i="140"/>
  <c r="AK51" i="140"/>
  <c r="AF51" i="140"/>
  <c r="AC51" i="140"/>
  <c r="AD51" i="140"/>
  <c r="AB51" i="140"/>
  <c r="Z51" i="140"/>
  <c r="M51" i="140"/>
  <c r="U51" i="140"/>
  <c r="L51" i="140"/>
  <c r="N51" i="140"/>
  <c r="S51" i="140"/>
  <c r="AQ51" i="140"/>
  <c r="AP51" i="140"/>
  <c r="AO51" i="140"/>
  <c r="AM51" i="140"/>
  <c r="AJ51" i="140"/>
  <c r="AI51" i="140"/>
  <c r="AH51" i="140"/>
  <c r="AG51" i="140"/>
  <c r="W51" i="140"/>
  <c r="T51" i="140"/>
  <c r="O51" i="140"/>
  <c r="K51" i="140"/>
  <c r="A51" i="140"/>
  <c r="AR50" i="140"/>
  <c r="AQ50" i="140"/>
  <c r="AP50" i="140"/>
  <c r="AO50" i="140"/>
  <c r="AN50" i="140"/>
  <c r="AM50" i="140"/>
  <c r="AL50" i="140"/>
  <c r="AK50" i="140"/>
  <c r="AJ50" i="140"/>
  <c r="AI50" i="140"/>
  <c r="AH50" i="140"/>
  <c r="AG50" i="140"/>
  <c r="AF50" i="140"/>
  <c r="AD50" i="140"/>
  <c r="AC50" i="140"/>
  <c r="AB50" i="140"/>
  <c r="Z50" i="140"/>
  <c r="W50" i="140"/>
  <c r="U50" i="140"/>
  <c r="T50" i="140"/>
  <c r="S50" i="140"/>
  <c r="Q50" i="140"/>
  <c r="O50" i="140"/>
  <c r="N50" i="140"/>
  <c r="M50" i="140"/>
  <c r="L50" i="140"/>
  <c r="K50" i="140"/>
  <c r="A50" i="140"/>
  <c r="AS49" i="140"/>
  <c r="AR49" i="140"/>
  <c r="AQ49" i="140"/>
  <c r="AP49" i="140"/>
  <c r="AO49" i="140"/>
  <c r="AN49" i="140"/>
  <c r="AM49" i="140"/>
  <c r="AL49" i="140"/>
  <c r="AK49" i="140"/>
  <c r="AJ49" i="140"/>
  <c r="AI49" i="140"/>
  <c r="AH49" i="140"/>
  <c r="AG49" i="140"/>
  <c r="AF49" i="140"/>
  <c r="AE49" i="140"/>
  <c r="AD49" i="140"/>
  <c r="AC49" i="140"/>
  <c r="AB49" i="140"/>
  <c r="AA49" i="140"/>
  <c r="Z49" i="140"/>
  <c r="Y49" i="140"/>
  <c r="X49" i="140"/>
  <c r="W49" i="140"/>
  <c r="V49" i="140"/>
  <c r="U49" i="140"/>
  <c r="T49" i="140"/>
  <c r="S49" i="140"/>
  <c r="Q49" i="140"/>
  <c r="O49" i="140"/>
  <c r="N49" i="140"/>
  <c r="M49" i="140"/>
  <c r="L49" i="140"/>
  <c r="K49" i="140"/>
  <c r="A49" i="140"/>
  <c r="AS48" i="140"/>
  <c r="AR48" i="140"/>
  <c r="AQ48" i="140"/>
  <c r="AP48" i="140"/>
  <c r="AO48" i="140"/>
  <c r="AN48" i="140"/>
  <c r="AM48" i="140"/>
  <c r="AL48" i="140"/>
  <c r="AK48" i="140"/>
  <c r="AJ48" i="140"/>
  <c r="AI48" i="140"/>
  <c r="AH48" i="140"/>
  <c r="AG48" i="140"/>
  <c r="AF48" i="140"/>
  <c r="AE48" i="140"/>
  <c r="AD48" i="140"/>
  <c r="AC48" i="140"/>
  <c r="AB48" i="140"/>
  <c r="AA48" i="140"/>
  <c r="Z48" i="140"/>
  <c r="Y48" i="140"/>
  <c r="X48" i="140"/>
  <c r="W48" i="140"/>
  <c r="V48" i="140"/>
  <c r="U48" i="140"/>
  <c r="T48" i="140"/>
  <c r="S48" i="140"/>
  <c r="Q48" i="140"/>
  <c r="O48" i="140"/>
  <c r="N48" i="140"/>
  <c r="M48" i="140"/>
  <c r="L48" i="140"/>
  <c r="K48" i="140"/>
  <c r="A48" i="140"/>
  <c r="CL47" i="140"/>
  <c r="CK47" i="140"/>
  <c r="AQ47" i="140" s="1"/>
  <c r="CJ47" i="140"/>
  <c r="AN47" i="140" s="1"/>
  <c r="CI47" i="140"/>
  <c r="CH47" i="140"/>
  <c r="AM47" i="140" s="1"/>
  <c r="CG47" i="140"/>
  <c r="CF47" i="140"/>
  <c r="CE47" i="140"/>
  <c r="AL47" i="140" s="1"/>
  <c r="CD47" i="140"/>
  <c r="AP47" i="140" s="1"/>
  <c r="CC47" i="140"/>
  <c r="AO47" i="140" s="1"/>
  <c r="CB47" i="140"/>
  <c r="AK47" i="140" s="1"/>
  <c r="CA47" i="140"/>
  <c r="AF47" i="140" s="1"/>
  <c r="BZ47" i="140"/>
  <c r="AH47" i="140"/>
  <c r="BY47" i="140"/>
  <c r="AJ47" i="140" s="1"/>
  <c r="BX47" i="140"/>
  <c r="AC47" i="140"/>
  <c r="BW47" i="140"/>
  <c r="AI47" i="140" s="1"/>
  <c r="BV47" i="140"/>
  <c r="AG47" i="140"/>
  <c r="AD47" i="140"/>
  <c r="BT47" i="140"/>
  <c r="BR47" i="140"/>
  <c r="W47" i="140"/>
  <c r="BQ47" i="140"/>
  <c r="BP47" i="140"/>
  <c r="AB47" i="140" s="1"/>
  <c r="BN47" i="140"/>
  <c r="BM47" i="140"/>
  <c r="Z47" i="140"/>
  <c r="BK47" i="140"/>
  <c r="BJ47" i="140"/>
  <c r="BI47" i="140"/>
  <c r="BF47" i="140"/>
  <c r="K47" i="140" s="1"/>
  <c r="BE47" i="140"/>
  <c r="O47" i="140" s="1"/>
  <c r="BD47" i="140"/>
  <c r="M47" i="140" s="1"/>
  <c r="BC47" i="140"/>
  <c r="U47" i="140" s="1"/>
  <c r="BB47" i="140"/>
  <c r="T47" i="140" s="1"/>
  <c r="BA47" i="140"/>
  <c r="AY47" i="140"/>
  <c r="L47" i="140" s="1"/>
  <c r="AX47" i="140"/>
  <c r="AW47" i="140"/>
  <c r="N47" i="140" s="1"/>
  <c r="AU47" i="140"/>
  <c r="Q47" i="140"/>
  <c r="AR47" i="140"/>
  <c r="I47" i="140"/>
  <c r="H47" i="140"/>
  <c r="G47" i="140"/>
  <c r="A47" i="140"/>
  <c r="AS46" i="140"/>
  <c r="AR46" i="140"/>
  <c r="AQ46" i="140"/>
  <c r="AP46" i="140"/>
  <c r="AO46" i="140"/>
  <c r="AN46" i="140"/>
  <c r="AM46" i="140"/>
  <c r="AL46" i="140"/>
  <c r="AK46" i="140"/>
  <c r="AJ46" i="140"/>
  <c r="AI46" i="140"/>
  <c r="AH46" i="140"/>
  <c r="AG46" i="140"/>
  <c r="AF46" i="140"/>
  <c r="AD46" i="140"/>
  <c r="AC46" i="140"/>
  <c r="AB46" i="140"/>
  <c r="Z46" i="140"/>
  <c r="W46" i="140"/>
  <c r="U46" i="140"/>
  <c r="T46" i="140"/>
  <c r="S46" i="140"/>
  <c r="Q46" i="140"/>
  <c r="O46" i="140"/>
  <c r="N46" i="140"/>
  <c r="M46" i="140"/>
  <c r="L46" i="140"/>
  <c r="K46" i="140"/>
  <c r="A46" i="140"/>
  <c r="AS45" i="140"/>
  <c r="AR45" i="140"/>
  <c r="AQ45" i="140"/>
  <c r="AP45" i="140"/>
  <c r="AO45" i="140"/>
  <c r="AN45" i="140"/>
  <c r="AM45" i="140"/>
  <c r="AL45" i="140"/>
  <c r="AK45" i="140"/>
  <c r="AJ45" i="140"/>
  <c r="AI45" i="140"/>
  <c r="AH45" i="140"/>
  <c r="AG45" i="140"/>
  <c r="AF45" i="140"/>
  <c r="AD45" i="140"/>
  <c r="AC45" i="140"/>
  <c r="AB45" i="140"/>
  <c r="Z45" i="140"/>
  <c r="W45" i="140"/>
  <c r="U45" i="140"/>
  <c r="T45" i="140"/>
  <c r="S45" i="140"/>
  <c r="Q45" i="140"/>
  <c r="O45" i="140"/>
  <c r="N45" i="140"/>
  <c r="M45" i="140"/>
  <c r="L45" i="140"/>
  <c r="K45" i="140"/>
  <c r="A45" i="140"/>
  <c r="CL44" i="140"/>
  <c r="CK44" i="140"/>
  <c r="CJ44" i="140"/>
  <c r="CI44" i="140"/>
  <c r="CH44" i="140"/>
  <c r="CG44" i="140"/>
  <c r="CF44" i="140"/>
  <c r="CD44" i="140"/>
  <c r="CC44" i="140"/>
  <c r="CB44" i="140"/>
  <c r="CA44" i="140"/>
  <c r="BZ44" i="140"/>
  <c r="BY44" i="140"/>
  <c r="BX44" i="140"/>
  <c r="BW44" i="140"/>
  <c r="BV44" i="140"/>
  <c r="BU44" i="140"/>
  <c r="BT44" i="140"/>
  <c r="BS44" i="140"/>
  <c r="BR44" i="140"/>
  <c r="BQ44" i="140"/>
  <c r="BP44" i="140"/>
  <c r="BO44" i="140"/>
  <c r="BN44" i="140"/>
  <c r="BM44" i="140"/>
  <c r="BL44" i="140"/>
  <c r="BK44" i="140"/>
  <c r="BJ44" i="140"/>
  <c r="BI44" i="140"/>
  <c r="BH44" i="140"/>
  <c r="BG44" i="140"/>
  <c r="BF44" i="140"/>
  <c r="BE44" i="140"/>
  <c r="BD44" i="140"/>
  <c r="BC44" i="140"/>
  <c r="BB44" i="140"/>
  <c r="BA44" i="140"/>
  <c r="AZ44" i="140"/>
  <c r="AY44" i="140"/>
  <c r="AX44" i="140"/>
  <c r="AW44" i="140"/>
  <c r="AV44" i="140"/>
  <c r="AU44" i="140"/>
  <c r="AT44" i="140"/>
  <c r="I44" i="140"/>
  <c r="H44" i="140"/>
  <c r="G44" i="140"/>
  <c r="F44" i="140"/>
  <c r="A44" i="140"/>
  <c r="AS43" i="140"/>
  <c r="AS44" i="140" s="1"/>
  <c r="AR43" i="140"/>
  <c r="AR44" i="140" s="1"/>
  <c r="AQ43" i="140"/>
  <c r="AP43" i="140"/>
  <c r="AP44" i="140" s="1"/>
  <c r="AO43" i="140"/>
  <c r="AO44" i="140" s="1"/>
  <c r="AN43" i="140"/>
  <c r="AN44" i="140" s="1"/>
  <c r="AM43" i="140"/>
  <c r="AL43" i="140"/>
  <c r="AK43" i="140"/>
  <c r="AJ43" i="140"/>
  <c r="AJ44" i="140"/>
  <c r="AI43" i="140"/>
  <c r="AI44" i="140" s="1"/>
  <c r="AH43" i="140"/>
  <c r="AH44" i="140"/>
  <c r="AG43" i="140"/>
  <c r="AF43" i="140"/>
  <c r="AF44" i="140" s="1"/>
  <c r="AE43" i="140"/>
  <c r="AE44" i="140" s="1"/>
  <c r="AD43" i="140"/>
  <c r="AC43" i="140"/>
  <c r="AB43" i="140"/>
  <c r="AB44" i="140"/>
  <c r="AA43" i="140"/>
  <c r="AA44" i="140" s="1"/>
  <c r="Z43" i="140"/>
  <c r="Z44" i="140"/>
  <c r="Y43" i="140"/>
  <c r="X43" i="140"/>
  <c r="X44" i="140" s="1"/>
  <c r="W43" i="140"/>
  <c r="V43" i="140"/>
  <c r="U43" i="140"/>
  <c r="T43" i="140"/>
  <c r="T44" i="140"/>
  <c r="S43" i="140"/>
  <c r="S44" i="140"/>
  <c r="R43" i="140"/>
  <c r="R44" i="140" s="1"/>
  <c r="Q43" i="140"/>
  <c r="P43" i="140"/>
  <c r="P44" i="140" s="1"/>
  <c r="O43" i="140"/>
  <c r="N43" i="140"/>
  <c r="M43" i="140"/>
  <c r="M44" i="140" s="1"/>
  <c r="L43" i="140"/>
  <c r="L44" i="140" s="1"/>
  <c r="K43" i="140"/>
  <c r="A43" i="140"/>
  <c r="AS42" i="140"/>
  <c r="AR42" i="140"/>
  <c r="AQ42" i="140"/>
  <c r="AP42" i="140"/>
  <c r="AO42" i="140"/>
  <c r="AN42" i="140"/>
  <c r="AM42" i="140"/>
  <c r="AL42" i="140"/>
  <c r="AK42" i="140"/>
  <c r="AJ42" i="140"/>
  <c r="AI42" i="140"/>
  <c r="AH42" i="140"/>
  <c r="AG42" i="140"/>
  <c r="AF42" i="140"/>
  <c r="AE42" i="140"/>
  <c r="AE51" i="140" s="1"/>
  <c r="AD42" i="140"/>
  <c r="AC42" i="140"/>
  <c r="AB42" i="140"/>
  <c r="AA42" i="140"/>
  <c r="AA51" i="140" s="1"/>
  <c r="Z42" i="140"/>
  <c r="Y42" i="140"/>
  <c r="X42" i="140"/>
  <c r="X54" i="140" s="1"/>
  <c r="W42" i="140"/>
  <c r="V42" i="140"/>
  <c r="V51" i="140"/>
  <c r="U42" i="140"/>
  <c r="T42" i="140"/>
  <c r="S42" i="140"/>
  <c r="R42" i="140"/>
  <c r="R51" i="140" s="1"/>
  <c r="Q42" i="140"/>
  <c r="P42" i="140"/>
  <c r="P54" i="140"/>
  <c r="O42" i="140"/>
  <c r="N42" i="140"/>
  <c r="M42" i="140"/>
  <c r="L42" i="140"/>
  <c r="K42" i="140"/>
  <c r="A42" i="140"/>
  <c r="AS41" i="140"/>
  <c r="AR41" i="140"/>
  <c r="AQ41" i="140"/>
  <c r="AP41" i="140"/>
  <c r="AO41" i="140"/>
  <c r="AN41" i="140"/>
  <c r="AM41" i="140"/>
  <c r="AL41" i="140"/>
  <c r="AK41" i="140"/>
  <c r="AJ41" i="140"/>
  <c r="AI41" i="140"/>
  <c r="AH41" i="140"/>
  <c r="AG41" i="140"/>
  <c r="AF41" i="140"/>
  <c r="AE41" i="140"/>
  <c r="AD41" i="140"/>
  <c r="AC41" i="140"/>
  <c r="AB41" i="140"/>
  <c r="AA41" i="140"/>
  <c r="Z41" i="140"/>
  <c r="Y41" i="140"/>
  <c r="X41" i="140"/>
  <c r="W41" i="140"/>
  <c r="V41" i="140"/>
  <c r="U41" i="140"/>
  <c r="T41" i="140"/>
  <c r="S41" i="140"/>
  <c r="R41" i="140"/>
  <c r="Q41" i="140"/>
  <c r="P41" i="140"/>
  <c r="O41" i="140"/>
  <c r="N41" i="140"/>
  <c r="M41" i="140"/>
  <c r="L41" i="140"/>
  <c r="K41" i="140"/>
  <c r="A41" i="140"/>
  <c r="A40" i="140"/>
  <c r="AS39" i="140"/>
  <c r="AR39" i="140"/>
  <c r="AQ39" i="140"/>
  <c r="AP39" i="140"/>
  <c r="AO39" i="140"/>
  <c r="AN39" i="140"/>
  <c r="AM39" i="140"/>
  <c r="AL39" i="140"/>
  <c r="AK39" i="140"/>
  <c r="AJ39" i="140"/>
  <c r="AI39" i="140"/>
  <c r="AH39" i="140"/>
  <c r="AG39" i="140"/>
  <c r="AF39" i="140"/>
  <c r="AE39" i="140"/>
  <c r="AD39" i="140"/>
  <c r="AC39" i="140"/>
  <c r="AB39" i="140"/>
  <c r="AA39" i="140"/>
  <c r="Z39" i="140"/>
  <c r="Y39" i="140"/>
  <c r="X39" i="140"/>
  <c r="W39" i="140"/>
  <c r="V39" i="140"/>
  <c r="U39" i="140"/>
  <c r="T39" i="140"/>
  <c r="S39" i="140"/>
  <c r="R39" i="140"/>
  <c r="Q39" i="140"/>
  <c r="P39" i="140"/>
  <c r="O39" i="140"/>
  <c r="N39" i="140"/>
  <c r="M39" i="140"/>
  <c r="L39" i="140"/>
  <c r="K39" i="140"/>
  <c r="A39" i="140"/>
  <c r="AS38" i="140"/>
  <c r="AR38" i="140"/>
  <c r="AQ38" i="140"/>
  <c r="AP38" i="140"/>
  <c r="AO38" i="140"/>
  <c r="AN38" i="140"/>
  <c r="AM38" i="140"/>
  <c r="AL38" i="140"/>
  <c r="AK38" i="140"/>
  <c r="AJ38" i="140"/>
  <c r="AI38" i="140"/>
  <c r="AH38" i="140"/>
  <c r="AG38" i="140"/>
  <c r="AF38" i="140"/>
  <c r="AE38" i="140"/>
  <c r="AD38" i="140"/>
  <c r="AC38" i="140"/>
  <c r="AB38" i="140"/>
  <c r="AA38" i="140"/>
  <c r="Z38" i="140"/>
  <c r="Y38" i="140"/>
  <c r="W38" i="140"/>
  <c r="V38" i="140"/>
  <c r="U38" i="140"/>
  <c r="T38" i="140"/>
  <c r="S38" i="140"/>
  <c r="R38" i="140"/>
  <c r="Q38" i="140"/>
  <c r="P38" i="140"/>
  <c r="O38" i="140"/>
  <c r="N38" i="140"/>
  <c r="M38" i="140"/>
  <c r="L38" i="140"/>
  <c r="K38" i="140"/>
  <c r="A38" i="140"/>
  <c r="AS37" i="140"/>
  <c r="AR37" i="140"/>
  <c r="AQ37" i="140"/>
  <c r="AP37" i="140"/>
  <c r="AO37" i="140"/>
  <c r="AN37" i="140"/>
  <c r="AM37" i="140"/>
  <c r="AL37" i="140"/>
  <c r="AK37" i="140"/>
  <c r="AJ37" i="140"/>
  <c r="AI37" i="140"/>
  <c r="AH37" i="140"/>
  <c r="AG37" i="140"/>
  <c r="AF37" i="140"/>
  <c r="AE37" i="140"/>
  <c r="AD37" i="140"/>
  <c r="AC37" i="140"/>
  <c r="AB37" i="140"/>
  <c r="Z37" i="140"/>
  <c r="X37" i="140"/>
  <c r="W37" i="140"/>
  <c r="V37" i="140"/>
  <c r="U37" i="140"/>
  <c r="T37" i="140"/>
  <c r="S37" i="140"/>
  <c r="R37" i="140"/>
  <c r="Q37" i="140"/>
  <c r="P37" i="140"/>
  <c r="O37" i="140"/>
  <c r="N37" i="140"/>
  <c r="M37" i="140"/>
  <c r="L37" i="140"/>
  <c r="K37" i="140"/>
  <c r="A37" i="140"/>
  <c r="AS36" i="140"/>
  <c r="AR36" i="140"/>
  <c r="AQ36" i="140"/>
  <c r="AP36" i="140"/>
  <c r="AO36" i="140"/>
  <c r="AN36" i="140"/>
  <c r="AM36" i="140"/>
  <c r="AL36" i="140"/>
  <c r="AK36" i="140"/>
  <c r="AJ36" i="140"/>
  <c r="AI36" i="140"/>
  <c r="AH36" i="140"/>
  <c r="AG36" i="140"/>
  <c r="AF36" i="140"/>
  <c r="AE36" i="140"/>
  <c r="AD36" i="140"/>
  <c r="AC36" i="140"/>
  <c r="AB36" i="140"/>
  <c r="AA36" i="140"/>
  <c r="Z36" i="140"/>
  <c r="Y36" i="140"/>
  <c r="X36" i="140"/>
  <c r="W36" i="140"/>
  <c r="V36" i="140"/>
  <c r="U36" i="140"/>
  <c r="T36" i="140"/>
  <c r="S36" i="140"/>
  <c r="R36" i="140"/>
  <c r="Q36" i="140"/>
  <c r="P36" i="140"/>
  <c r="O36" i="140"/>
  <c r="N36" i="140"/>
  <c r="M36" i="140"/>
  <c r="L36" i="140"/>
  <c r="K36" i="140"/>
  <c r="A36" i="140"/>
  <c r="AS35" i="140"/>
  <c r="AR35" i="140"/>
  <c r="AQ35" i="140"/>
  <c r="AQ127" i="140" s="1"/>
  <c r="AP35" i="140"/>
  <c r="AO35" i="140"/>
  <c r="AN35" i="140"/>
  <c r="AM35" i="140"/>
  <c r="AL35" i="140"/>
  <c r="AK35" i="140"/>
  <c r="AJ35" i="140"/>
  <c r="AI35" i="140"/>
  <c r="AI127" i="140" s="1"/>
  <c r="AH35" i="140"/>
  <c r="AG35" i="140"/>
  <c r="AF35" i="140"/>
  <c r="AE35" i="140"/>
  <c r="AE93" i="140" s="1"/>
  <c r="AD35" i="140"/>
  <c r="AC35" i="140"/>
  <c r="AB35" i="140"/>
  <c r="AA35" i="140"/>
  <c r="AA93" i="140" s="1"/>
  <c r="Z35" i="140"/>
  <c r="Y35" i="140"/>
  <c r="X35" i="140"/>
  <c r="X50" i="140" s="1"/>
  <c r="W35" i="140"/>
  <c r="V35" i="140"/>
  <c r="V50" i="140" s="1"/>
  <c r="U35" i="140"/>
  <c r="T35" i="140"/>
  <c r="S35" i="140"/>
  <c r="S127" i="140"/>
  <c r="R35" i="140"/>
  <c r="R50" i="140" s="1"/>
  <c r="Q35" i="140"/>
  <c r="P35" i="140"/>
  <c r="P50" i="140" s="1"/>
  <c r="O35" i="140"/>
  <c r="N35" i="140"/>
  <c r="M35" i="140"/>
  <c r="L35" i="140"/>
  <c r="L127" i="140" s="1"/>
  <c r="K35" i="140"/>
  <c r="K127" i="140" s="1"/>
  <c r="A35" i="140"/>
  <c r="A34" i="140"/>
  <c r="CL33" i="140"/>
  <c r="CK33" i="140"/>
  <c r="AQ33" i="140"/>
  <c r="CJ33" i="140"/>
  <c r="AN33" i="140" s="1"/>
  <c r="CI33" i="140"/>
  <c r="AR33" i="140" s="1"/>
  <c r="CH33" i="140"/>
  <c r="AM33" i="140"/>
  <c r="CG33" i="140"/>
  <c r="CF33" i="140"/>
  <c r="CE33" i="140"/>
  <c r="AL33" i="140"/>
  <c r="CD33" i="140"/>
  <c r="AP33" i="140" s="1"/>
  <c r="CC33" i="140"/>
  <c r="AO33" i="140" s="1"/>
  <c r="CB33" i="140"/>
  <c r="AK33" i="140"/>
  <c r="CA33" i="140"/>
  <c r="BZ33" i="140"/>
  <c r="AH33" i="140" s="1"/>
  <c r="BY33" i="140"/>
  <c r="AJ33" i="140" s="1"/>
  <c r="BX33" i="140"/>
  <c r="AC33" i="140" s="1"/>
  <c r="BW33" i="140"/>
  <c r="AI33" i="140" s="1"/>
  <c r="BV33" i="140"/>
  <c r="AG33" i="140" s="1"/>
  <c r="BU33" i="140"/>
  <c r="AD33" i="140" s="1"/>
  <c r="BT33" i="140"/>
  <c r="BS33" i="140"/>
  <c r="BR33" i="140"/>
  <c r="W33" i="140" s="1"/>
  <c r="BQ33" i="140"/>
  <c r="BP33" i="140"/>
  <c r="AB33" i="140"/>
  <c r="BO33" i="140"/>
  <c r="BN33" i="140"/>
  <c r="BM33" i="140"/>
  <c r="Z33" i="140"/>
  <c r="BL33" i="140"/>
  <c r="BK33" i="140"/>
  <c r="BJ33" i="140"/>
  <c r="BI33" i="140"/>
  <c r="BH33" i="140"/>
  <c r="BG33" i="140"/>
  <c r="BF33" i="140"/>
  <c r="K33" i="140"/>
  <c r="BE33" i="140"/>
  <c r="O33" i="140" s="1"/>
  <c r="BD33" i="140"/>
  <c r="M33" i="140" s="1"/>
  <c r="BC33" i="140"/>
  <c r="U33" i="140" s="1"/>
  <c r="BB33" i="140"/>
  <c r="T33" i="140" s="1"/>
  <c r="BA33" i="140"/>
  <c r="AZ33" i="140"/>
  <c r="AY33" i="140"/>
  <c r="L33" i="140" s="1"/>
  <c r="AX33" i="140"/>
  <c r="AW33" i="140"/>
  <c r="N33" i="140"/>
  <c r="AV33" i="140"/>
  <c r="S33" i="140"/>
  <c r="AU33" i="140"/>
  <c r="Q33" i="140" s="1"/>
  <c r="AT33" i="140"/>
  <c r="AF33" i="140"/>
  <c r="I33" i="140"/>
  <c r="H33" i="140"/>
  <c r="G33" i="140"/>
  <c r="F33" i="140"/>
  <c r="A33" i="140"/>
  <c r="AR32" i="140"/>
  <c r="AQ32" i="140"/>
  <c r="AP32" i="140"/>
  <c r="AO32" i="140"/>
  <c r="AN32" i="140"/>
  <c r="AM32" i="140"/>
  <c r="AL32" i="140"/>
  <c r="AK32" i="140"/>
  <c r="AJ32" i="140"/>
  <c r="AI32" i="140"/>
  <c r="AH32" i="140"/>
  <c r="AG32" i="140"/>
  <c r="AF32" i="140"/>
  <c r="AD32" i="140"/>
  <c r="AC32" i="140"/>
  <c r="AB32" i="140"/>
  <c r="Z32" i="140"/>
  <c r="W32" i="140"/>
  <c r="U32" i="140"/>
  <c r="T32" i="140"/>
  <c r="S32" i="140"/>
  <c r="Q32" i="140"/>
  <c r="O32" i="140"/>
  <c r="N32" i="140"/>
  <c r="M32" i="140"/>
  <c r="L32" i="140"/>
  <c r="K32" i="140"/>
  <c r="A32" i="140"/>
  <c r="CF31" i="140"/>
  <c r="BO31" i="140"/>
  <c r="BL31" i="140"/>
  <c r="BH31" i="140"/>
  <c r="BE31" i="140"/>
  <c r="O31" i="140" s="1"/>
  <c r="B31" i="140"/>
  <c r="A31" i="140"/>
  <c r="CL30" i="140"/>
  <c r="CK30" i="140"/>
  <c r="AQ30" i="140" s="1"/>
  <c r="CJ30" i="140"/>
  <c r="AN30" i="140" s="1"/>
  <c r="CH30" i="140"/>
  <c r="CG30" i="140"/>
  <c r="CF30" i="140"/>
  <c r="CC30" i="140"/>
  <c r="CB30" i="140"/>
  <c r="AK30" i="140" s="1"/>
  <c r="BZ30" i="140"/>
  <c r="AH30" i="140" s="1"/>
  <c r="BY30" i="140"/>
  <c r="AJ30" i="140" s="1"/>
  <c r="BX30" i="140"/>
  <c r="AC30" i="140" s="1"/>
  <c r="BU30" i="140"/>
  <c r="BT30" i="140"/>
  <c r="BS30" i="140"/>
  <c r="BR30" i="140"/>
  <c r="W30" i="140" s="1"/>
  <c r="BQ30" i="140"/>
  <c r="BP30" i="140"/>
  <c r="AB30" i="140" s="1"/>
  <c r="BM30" i="140"/>
  <c r="Z30" i="140" s="1"/>
  <c r="BL30" i="140"/>
  <c r="BK30" i="140"/>
  <c r="BJ30" i="140"/>
  <c r="BI30" i="140"/>
  <c r="BH30" i="140"/>
  <c r="BF30" i="140"/>
  <c r="K30" i="140" s="1"/>
  <c r="BE30" i="140"/>
  <c r="BC30" i="140"/>
  <c r="U30" i="140" s="1"/>
  <c r="BB30" i="140"/>
  <c r="T30" i="140"/>
  <c r="BA30" i="140"/>
  <c r="AZ30" i="140"/>
  <c r="AW30" i="140"/>
  <c r="N30" i="140" s="1"/>
  <c r="AV30" i="140"/>
  <c r="S30" i="140" s="1"/>
  <c r="AT30" i="140"/>
  <c r="AO30" i="140"/>
  <c r="AM30" i="140"/>
  <c r="AD30" i="140"/>
  <c r="O30" i="140"/>
  <c r="I30" i="140"/>
  <c r="G30" i="140"/>
  <c r="A30" i="140"/>
  <c r="AS29" i="140"/>
  <c r="AR29" i="140"/>
  <c r="AQ29" i="140"/>
  <c r="AP29" i="140"/>
  <c r="AO29" i="140"/>
  <c r="AN29" i="140"/>
  <c r="AM29" i="140"/>
  <c r="AL29" i="140"/>
  <c r="AK29" i="140"/>
  <c r="AJ29" i="140"/>
  <c r="AI29" i="140"/>
  <c r="AH29" i="140"/>
  <c r="AG29" i="140"/>
  <c r="AF29" i="140"/>
  <c r="AE29" i="140"/>
  <c r="AD29" i="140"/>
  <c r="AC29" i="140"/>
  <c r="AB29" i="140"/>
  <c r="AA29" i="140"/>
  <c r="Z29" i="140"/>
  <c r="Y29" i="140"/>
  <c r="X29" i="140"/>
  <c r="W29" i="140"/>
  <c r="V29" i="140"/>
  <c r="U29" i="140"/>
  <c r="T29" i="140"/>
  <c r="S29" i="140"/>
  <c r="R29" i="140"/>
  <c r="Q29" i="140"/>
  <c r="P29" i="140"/>
  <c r="O29" i="140"/>
  <c r="N29" i="140"/>
  <c r="M29" i="140"/>
  <c r="L29" i="140"/>
  <c r="K29" i="140"/>
  <c r="A29" i="140"/>
  <c r="AS28" i="140"/>
  <c r="AR28" i="140"/>
  <c r="AQ28" i="140"/>
  <c r="AP28" i="140"/>
  <c r="AO28" i="140"/>
  <c r="AN28" i="140"/>
  <c r="AM28" i="140"/>
  <c r="AL28" i="140"/>
  <c r="AK28" i="140"/>
  <c r="AJ28" i="140"/>
  <c r="AI28" i="140"/>
  <c r="AH28" i="140"/>
  <c r="AG28" i="140"/>
  <c r="AF28" i="140"/>
  <c r="AE28" i="140"/>
  <c r="AD28" i="140"/>
  <c r="AC28" i="140"/>
  <c r="AB28" i="140"/>
  <c r="AA28" i="140"/>
  <c r="Z28" i="140"/>
  <c r="Y28" i="140"/>
  <c r="X28" i="140"/>
  <c r="W28" i="140"/>
  <c r="V28" i="140"/>
  <c r="U28" i="140"/>
  <c r="T28" i="140"/>
  <c r="S28" i="140"/>
  <c r="R28" i="140"/>
  <c r="Q28" i="140"/>
  <c r="P28" i="140"/>
  <c r="O28" i="140"/>
  <c r="N28" i="140"/>
  <c r="M28" i="140"/>
  <c r="L28" i="140"/>
  <c r="K28" i="140"/>
  <c r="A28" i="140"/>
  <c r="AS27" i="140"/>
  <c r="AR27" i="140"/>
  <c r="AQ27" i="140"/>
  <c r="AP27" i="140"/>
  <c r="AO27" i="140"/>
  <c r="AN27" i="140"/>
  <c r="AM27" i="140"/>
  <c r="AL27" i="140"/>
  <c r="AK27" i="140"/>
  <c r="AJ27" i="140"/>
  <c r="AI27" i="140"/>
  <c r="AH27" i="140"/>
  <c r="AG27" i="140"/>
  <c r="AF27" i="140"/>
  <c r="AE27" i="140"/>
  <c r="AD27" i="140"/>
  <c r="AC27" i="140"/>
  <c r="AB27" i="140"/>
  <c r="AA27" i="140"/>
  <c r="Z27" i="140"/>
  <c r="Y27" i="140"/>
  <c r="X27" i="140"/>
  <c r="W27" i="140"/>
  <c r="V27" i="140"/>
  <c r="U27" i="140"/>
  <c r="T27" i="140"/>
  <c r="S27" i="140"/>
  <c r="R27" i="140"/>
  <c r="Q27" i="140"/>
  <c r="P27" i="140"/>
  <c r="O27" i="140"/>
  <c r="N27" i="140"/>
  <c r="M27" i="140"/>
  <c r="L27" i="140"/>
  <c r="K27" i="140"/>
  <c r="A27" i="140"/>
  <c r="AS26" i="140"/>
  <c r="AR26" i="140"/>
  <c r="AQ26" i="140"/>
  <c r="AP26" i="140"/>
  <c r="AO26" i="140"/>
  <c r="AN26" i="140"/>
  <c r="AM26" i="140"/>
  <c r="AL26" i="140"/>
  <c r="AK26" i="140"/>
  <c r="AJ26" i="140"/>
  <c r="AI26" i="140"/>
  <c r="AH26" i="140"/>
  <c r="AG26" i="140"/>
  <c r="AF26" i="140"/>
  <c r="AE26" i="140"/>
  <c r="AD26" i="140"/>
  <c r="AC26" i="140"/>
  <c r="AB26" i="140"/>
  <c r="AA26" i="140"/>
  <c r="Z26" i="140"/>
  <c r="Y26" i="140"/>
  <c r="X26" i="140"/>
  <c r="W26" i="140"/>
  <c r="V26" i="140"/>
  <c r="U26" i="140"/>
  <c r="T26" i="140"/>
  <c r="S26" i="140"/>
  <c r="R26" i="140"/>
  <c r="Q26" i="140"/>
  <c r="P26" i="140"/>
  <c r="O26" i="140"/>
  <c r="N26" i="140"/>
  <c r="M26" i="140"/>
  <c r="L26" i="140"/>
  <c r="K26" i="140"/>
  <c r="A26" i="140"/>
  <c r="AS25" i="140"/>
  <c r="AR25" i="140"/>
  <c r="AQ25" i="140"/>
  <c r="AP25" i="140"/>
  <c r="AO25" i="140"/>
  <c r="AN25" i="140"/>
  <c r="AM25" i="140"/>
  <c r="AL25" i="140"/>
  <c r="AK25" i="140"/>
  <c r="AJ25" i="140"/>
  <c r="AI25" i="140"/>
  <c r="AH25" i="140"/>
  <c r="AG25" i="140"/>
  <c r="AF25" i="140"/>
  <c r="AE25" i="140"/>
  <c r="AD25" i="140"/>
  <c r="AC25" i="140"/>
  <c r="AB25" i="140"/>
  <c r="AA25" i="140"/>
  <c r="Z25" i="140"/>
  <c r="Y25" i="140"/>
  <c r="X25" i="140"/>
  <c r="W25" i="140"/>
  <c r="V25" i="140"/>
  <c r="U25" i="140"/>
  <c r="T25" i="140"/>
  <c r="S25" i="140"/>
  <c r="R25" i="140"/>
  <c r="Q25" i="140"/>
  <c r="P25" i="140"/>
  <c r="O25" i="140"/>
  <c r="N25" i="140"/>
  <c r="M25" i="140"/>
  <c r="L25" i="140"/>
  <c r="K25" i="140"/>
  <c r="A25" i="140"/>
  <c r="AS24" i="140"/>
  <c r="AR24" i="140"/>
  <c r="AQ24" i="140"/>
  <c r="AP24" i="140"/>
  <c r="AO24" i="140"/>
  <c r="AN24" i="140"/>
  <c r="AM24" i="140"/>
  <c r="AL24" i="140"/>
  <c r="AK24" i="140"/>
  <c r="AJ24" i="140"/>
  <c r="AI24" i="140"/>
  <c r="AH24" i="140"/>
  <c r="AG24" i="140"/>
  <c r="AF24" i="140"/>
  <c r="AE24" i="140"/>
  <c r="AD24" i="140"/>
  <c r="AC24" i="140"/>
  <c r="AB24" i="140"/>
  <c r="AA24" i="140"/>
  <c r="Z24" i="140"/>
  <c r="Y24" i="140"/>
  <c r="X24" i="140"/>
  <c r="W24" i="140"/>
  <c r="V24" i="140"/>
  <c r="U24" i="140"/>
  <c r="T24" i="140"/>
  <c r="S24" i="140"/>
  <c r="R24" i="140"/>
  <c r="Q24" i="140"/>
  <c r="P24" i="140"/>
  <c r="O24" i="140"/>
  <c r="N24" i="140"/>
  <c r="M24" i="140"/>
  <c r="L24" i="140"/>
  <c r="K24" i="140"/>
  <c r="A24" i="140"/>
  <c r="AS23" i="140"/>
  <c r="AR23" i="140"/>
  <c r="AQ23" i="140"/>
  <c r="AP23" i="140"/>
  <c r="AO23" i="140"/>
  <c r="AN23" i="140"/>
  <c r="AM23" i="140"/>
  <c r="AK23" i="140"/>
  <c r="AJ23" i="140"/>
  <c r="AI23" i="140"/>
  <c r="AH23" i="140"/>
  <c r="AE23" i="140"/>
  <c r="AE30" i="140" s="1"/>
  <c r="AD23" i="140"/>
  <c r="AC23" i="140"/>
  <c r="AB23" i="140"/>
  <c r="AA23" i="140"/>
  <c r="Z23" i="140"/>
  <c r="X23" i="140"/>
  <c r="X30" i="140" s="1"/>
  <c r="W23" i="140"/>
  <c r="V23" i="140"/>
  <c r="U23" i="140"/>
  <c r="T23" i="140"/>
  <c r="S23" i="140"/>
  <c r="Q23" i="140"/>
  <c r="P23" i="140"/>
  <c r="O23" i="140"/>
  <c r="N23" i="140"/>
  <c r="M23" i="140"/>
  <c r="L23" i="140"/>
  <c r="A23" i="140"/>
  <c r="Q22" i="140"/>
  <c r="A22" i="140"/>
  <c r="CL21" i="140"/>
  <c r="CK21" i="140"/>
  <c r="CJ21" i="140"/>
  <c r="CI21" i="140"/>
  <c r="CH21" i="140"/>
  <c r="CG21" i="140"/>
  <c r="CF21" i="140"/>
  <c r="CE21" i="140"/>
  <c r="CD21" i="140"/>
  <c r="CC21" i="140"/>
  <c r="CB21" i="140"/>
  <c r="CA21" i="140"/>
  <c r="BZ21" i="140"/>
  <c r="BY21" i="140"/>
  <c r="BX21" i="140"/>
  <c r="BW21" i="140"/>
  <c r="BV21" i="140"/>
  <c r="BU21" i="140"/>
  <c r="BT21" i="140"/>
  <c r="BS21" i="140"/>
  <c r="BR21" i="140"/>
  <c r="BQ21" i="140"/>
  <c r="BP21" i="140"/>
  <c r="BO21" i="140"/>
  <c r="BN21" i="140"/>
  <c r="BM21" i="140"/>
  <c r="BL21" i="140"/>
  <c r="BK21" i="140"/>
  <c r="BJ21" i="140"/>
  <c r="BI21" i="140"/>
  <c r="BH21" i="140"/>
  <c r="BG21" i="140"/>
  <c r="BF21" i="140"/>
  <c r="BE21" i="140"/>
  <c r="BD21" i="140"/>
  <c r="BC21" i="140"/>
  <c r="BB21" i="140"/>
  <c r="BA21" i="140"/>
  <c r="AZ21" i="140"/>
  <c r="AY21" i="140"/>
  <c r="AX21" i="140"/>
  <c r="AW21" i="140"/>
  <c r="AV21" i="140"/>
  <c r="AU21" i="140"/>
  <c r="AT21" i="140"/>
  <c r="I21" i="140"/>
  <c r="H21" i="140"/>
  <c r="G21" i="140"/>
  <c r="F21" i="140"/>
  <c r="A21" i="140"/>
  <c r="AS20" i="140"/>
  <c r="AS21" i="140"/>
  <c r="AR20" i="140"/>
  <c r="AR21" i="140"/>
  <c r="AQ20" i="140"/>
  <c r="AQ21" i="140" s="1"/>
  <c r="AP20" i="140"/>
  <c r="AP21" i="140"/>
  <c r="AO20" i="140"/>
  <c r="AO21" i="140"/>
  <c r="AN20" i="140"/>
  <c r="AM20" i="140"/>
  <c r="AM21" i="140" s="1"/>
  <c r="AL20" i="140"/>
  <c r="AL21" i="140" s="1"/>
  <c r="AK20" i="140"/>
  <c r="AK21" i="140" s="1"/>
  <c r="AJ20" i="140"/>
  <c r="AJ21" i="140" s="1"/>
  <c r="AI20" i="140"/>
  <c r="AI21" i="140" s="1"/>
  <c r="AH20" i="140"/>
  <c r="AH21" i="140" s="1"/>
  <c r="AG20" i="140"/>
  <c r="AG21" i="140" s="1"/>
  <c r="AF20" i="140"/>
  <c r="AE20" i="140"/>
  <c r="AE21" i="140"/>
  <c r="AD20" i="140"/>
  <c r="AC20" i="140"/>
  <c r="AC21" i="140" s="1"/>
  <c r="AB20" i="140"/>
  <c r="AB21" i="140" s="1"/>
  <c r="AA20" i="140"/>
  <c r="AA21" i="140"/>
  <c r="Z20" i="140"/>
  <c r="Y20" i="140"/>
  <c r="X20" i="140"/>
  <c r="X21" i="140" s="1"/>
  <c r="W20" i="140"/>
  <c r="W21" i="140"/>
  <c r="V20" i="140"/>
  <c r="U20" i="140"/>
  <c r="U21" i="140" s="1"/>
  <c r="T20" i="140"/>
  <c r="S20" i="140"/>
  <c r="S21" i="140" s="1"/>
  <c r="R20" i="140"/>
  <c r="Q20" i="140"/>
  <c r="Q21" i="140" s="1"/>
  <c r="P20" i="140"/>
  <c r="P21" i="140" s="1"/>
  <c r="O20" i="140"/>
  <c r="O21" i="140" s="1"/>
  <c r="N20" i="140"/>
  <c r="N21" i="140" s="1"/>
  <c r="M20" i="140"/>
  <c r="M21" i="140" s="1"/>
  <c r="L20" i="140"/>
  <c r="K20" i="140"/>
  <c r="K21" i="140"/>
  <c r="A20" i="140"/>
  <c r="AS19" i="140"/>
  <c r="AR19" i="140"/>
  <c r="AQ19" i="140"/>
  <c r="AP19" i="140"/>
  <c r="AO19" i="140"/>
  <c r="AN19" i="140"/>
  <c r="AM19" i="140"/>
  <c r="AL19" i="140"/>
  <c r="AK19" i="140"/>
  <c r="AJ19" i="140"/>
  <c r="AI19" i="140"/>
  <c r="AH19" i="140"/>
  <c r="AG19" i="140"/>
  <c r="AF19" i="140"/>
  <c r="AE19" i="140"/>
  <c r="AD19" i="140"/>
  <c r="AC19" i="140"/>
  <c r="AB19" i="140"/>
  <c r="AA19" i="140"/>
  <c r="Z19" i="140"/>
  <c r="Y19" i="140"/>
  <c r="X19" i="140"/>
  <c r="W19" i="140"/>
  <c r="V19" i="140"/>
  <c r="U19" i="140"/>
  <c r="T19" i="140"/>
  <c r="S19" i="140"/>
  <c r="R19" i="140"/>
  <c r="Q19" i="140"/>
  <c r="P19" i="140"/>
  <c r="O19" i="140"/>
  <c r="N19" i="140"/>
  <c r="M19" i="140"/>
  <c r="L19" i="140"/>
  <c r="K19" i="140"/>
  <c r="A19" i="140"/>
  <c r="AS18" i="140"/>
  <c r="AR18" i="140"/>
  <c r="AQ18" i="140"/>
  <c r="AP18" i="140"/>
  <c r="AO18" i="140"/>
  <c r="AN18" i="140"/>
  <c r="AM18" i="140"/>
  <c r="AL18" i="140"/>
  <c r="AK18" i="140"/>
  <c r="AJ18" i="140"/>
  <c r="AI18" i="140"/>
  <c r="AH18" i="140"/>
  <c r="AG18" i="140"/>
  <c r="AF18" i="140"/>
  <c r="AE18" i="140"/>
  <c r="AD18" i="140"/>
  <c r="AC18" i="140"/>
  <c r="AB18" i="140"/>
  <c r="AA18" i="140"/>
  <c r="Z18" i="140"/>
  <c r="Y18" i="140"/>
  <c r="X18" i="140"/>
  <c r="W18" i="140"/>
  <c r="V18" i="140"/>
  <c r="U18" i="140"/>
  <c r="T18" i="140"/>
  <c r="S18" i="140"/>
  <c r="R18" i="140"/>
  <c r="Q18" i="140"/>
  <c r="P18" i="140"/>
  <c r="O18" i="140"/>
  <c r="N18" i="140"/>
  <c r="M18" i="140"/>
  <c r="L18" i="140"/>
  <c r="K18" i="140"/>
  <c r="A18" i="140"/>
  <c r="AR17" i="140"/>
  <c r="AQ17" i="140"/>
  <c r="AP17" i="140"/>
  <c r="AO17" i="140"/>
  <c r="AN17" i="140"/>
  <c r="AM17" i="140"/>
  <c r="AL17" i="140"/>
  <c r="AK17" i="140"/>
  <c r="AJ17" i="140"/>
  <c r="AI17" i="140"/>
  <c r="AH17" i="140"/>
  <c r="AG17" i="140"/>
  <c r="AF17" i="140"/>
  <c r="AD17" i="140"/>
  <c r="AC17" i="140"/>
  <c r="AB17" i="140"/>
  <c r="Z17" i="140"/>
  <c r="W17" i="140"/>
  <c r="U17" i="140"/>
  <c r="T17" i="140"/>
  <c r="S17" i="140"/>
  <c r="Q17" i="140"/>
  <c r="O17" i="140"/>
  <c r="N17" i="140"/>
  <c r="M17" i="140"/>
  <c r="L17" i="140"/>
  <c r="K17" i="140"/>
  <c r="I17" i="140"/>
  <c r="H17" i="140"/>
  <c r="G17" i="140"/>
  <c r="F17" i="140"/>
  <c r="A17" i="140"/>
  <c r="AS16" i="140"/>
  <c r="AS17" i="140" s="1"/>
  <c r="AR16" i="140"/>
  <c r="AQ16" i="140"/>
  <c r="AP16" i="140"/>
  <c r="AO16" i="140"/>
  <c r="AN16" i="140"/>
  <c r="AM16" i="140"/>
  <c r="AL16" i="140"/>
  <c r="AK16" i="140"/>
  <c r="AJ16" i="140"/>
  <c r="AI16" i="140"/>
  <c r="AH16" i="140"/>
  <c r="AG16" i="140"/>
  <c r="AF16" i="140"/>
  <c r="AE16" i="140"/>
  <c r="AE17" i="140"/>
  <c r="AD16" i="140"/>
  <c r="AC16" i="140"/>
  <c r="AB16" i="140"/>
  <c r="AA16" i="140"/>
  <c r="AA17" i="140" s="1"/>
  <c r="Z16" i="140"/>
  <c r="Y16" i="140"/>
  <c r="Y17" i="140"/>
  <c r="X16" i="140"/>
  <c r="X17" i="140" s="1"/>
  <c r="W16" i="140"/>
  <c r="V16" i="140"/>
  <c r="V17" i="140" s="1"/>
  <c r="U16" i="140"/>
  <c r="T16" i="140"/>
  <c r="S16" i="140"/>
  <c r="R16" i="140"/>
  <c r="R17" i="140"/>
  <c r="Q16" i="140"/>
  <c r="P16" i="140"/>
  <c r="P17" i="140" s="1"/>
  <c r="O16" i="140"/>
  <c r="N16" i="140"/>
  <c r="M16" i="140"/>
  <c r="L16" i="140"/>
  <c r="K16" i="140"/>
  <c r="A16" i="140"/>
  <c r="A15" i="140"/>
  <c r="CL14" i="140"/>
  <c r="CK14" i="140"/>
  <c r="AQ14" i="140" s="1"/>
  <c r="CJ14" i="140"/>
  <c r="AN14" i="140" s="1"/>
  <c r="CI14" i="140"/>
  <c r="AR14" i="140" s="1"/>
  <c r="CH14" i="140"/>
  <c r="AM14" i="140"/>
  <c r="CG14" i="140"/>
  <c r="CF14" i="140"/>
  <c r="CE14" i="140"/>
  <c r="AL14" i="140" s="1"/>
  <c r="CD14" i="140"/>
  <c r="AP14" i="140" s="1"/>
  <c r="CC14" i="140"/>
  <c r="AO14" i="140"/>
  <c r="CB14" i="140"/>
  <c r="AK14" i="140" s="1"/>
  <c r="CA14" i="140"/>
  <c r="AF14" i="140" s="1"/>
  <c r="BZ14" i="140"/>
  <c r="AH14" i="140" s="1"/>
  <c r="BY14" i="140"/>
  <c r="AJ14" i="140"/>
  <c r="BX14" i="140"/>
  <c r="AC14" i="140" s="1"/>
  <c r="BV14" i="140"/>
  <c r="AG14" i="140" s="1"/>
  <c r="BU14" i="140"/>
  <c r="AD14" i="140" s="1"/>
  <c r="BT14" i="140"/>
  <c r="BS14" i="140"/>
  <c r="W14" i="140"/>
  <c r="BM14" i="140"/>
  <c r="Z14" i="140" s="1"/>
  <c r="BL14" i="140"/>
  <c r="BK14" i="140"/>
  <c r="BJ14" i="140"/>
  <c r="BI14" i="140"/>
  <c r="BH14" i="140"/>
  <c r="BG14" i="140"/>
  <c r="BF14" i="140"/>
  <c r="K14" i="140" s="1"/>
  <c r="BD14" i="140"/>
  <c r="M14" i="140" s="1"/>
  <c r="BC14" i="140"/>
  <c r="U14" i="140" s="1"/>
  <c r="BB14" i="140"/>
  <c r="T14" i="140"/>
  <c r="BA14" i="140"/>
  <c r="AZ14" i="140"/>
  <c r="AY14" i="140"/>
  <c r="L14" i="140" s="1"/>
  <c r="AX14" i="140"/>
  <c r="AW14" i="140"/>
  <c r="N14" i="140" s="1"/>
  <c r="AV14" i="140"/>
  <c r="S14" i="140" s="1"/>
  <c r="AU14" i="140"/>
  <c r="Q14" i="140" s="1"/>
  <c r="AT14" i="140"/>
  <c r="AI14" i="140"/>
  <c r="AB14" i="140"/>
  <c r="I14" i="140"/>
  <c r="H14" i="140"/>
  <c r="G14" i="140"/>
  <c r="F14" i="140"/>
  <c r="A14" i="140"/>
  <c r="AS13" i="140"/>
  <c r="AR13" i="140"/>
  <c r="AQ13" i="140"/>
  <c r="AP13" i="140"/>
  <c r="AO13" i="140"/>
  <c r="AN13" i="140"/>
  <c r="AM13" i="140"/>
  <c r="AL13" i="140"/>
  <c r="AK13" i="140"/>
  <c r="AJ13" i="140"/>
  <c r="AI13" i="140"/>
  <c r="AH13" i="140"/>
  <c r="AG13" i="140"/>
  <c r="AF13" i="140"/>
  <c r="AE13" i="140"/>
  <c r="AD13" i="140"/>
  <c r="AC13" i="140"/>
  <c r="AB13" i="140"/>
  <c r="AA13" i="140"/>
  <c r="Z13" i="140"/>
  <c r="Y13" i="140"/>
  <c r="X13" i="140"/>
  <c r="V13" i="140"/>
  <c r="U13" i="140"/>
  <c r="T13" i="140"/>
  <c r="S13" i="140"/>
  <c r="R13" i="140"/>
  <c r="Q13" i="140"/>
  <c r="P13" i="140"/>
  <c r="O13" i="140"/>
  <c r="N13" i="140"/>
  <c r="M13" i="140"/>
  <c r="L13" i="140"/>
  <c r="K13" i="140"/>
  <c r="A13" i="140"/>
  <c r="CL12" i="140"/>
  <c r="CK12" i="140"/>
  <c r="AQ12" i="140" s="1"/>
  <c r="CJ12" i="140"/>
  <c r="AN12" i="140" s="1"/>
  <c r="CI12" i="140"/>
  <c r="CH12" i="140"/>
  <c r="CG12" i="140"/>
  <c r="CF12" i="140"/>
  <c r="CE12" i="140"/>
  <c r="CD12" i="140"/>
  <c r="AP12" i="140" s="1"/>
  <c r="CC12" i="140"/>
  <c r="AO12" i="140" s="1"/>
  <c r="CB12" i="140"/>
  <c r="CA12" i="140"/>
  <c r="BZ12" i="140"/>
  <c r="AH12" i="140" s="1"/>
  <c r="BY12" i="140"/>
  <c r="AJ12" i="140" s="1"/>
  <c r="BX12" i="140"/>
  <c r="BW12" i="140"/>
  <c r="AI12" i="140" s="1"/>
  <c r="BV12" i="140"/>
  <c r="AG12" i="140" s="1"/>
  <c r="BU12" i="140"/>
  <c r="AD12" i="140" s="1"/>
  <c r="BT12" i="140"/>
  <c r="BS12" i="140"/>
  <c r="BR12" i="140"/>
  <c r="W12" i="140" s="1"/>
  <c r="BQ12" i="140"/>
  <c r="BP12" i="140"/>
  <c r="AB12" i="140" s="1"/>
  <c r="BO12" i="140"/>
  <c r="BN12" i="140"/>
  <c r="BM12" i="140"/>
  <c r="Z12" i="140" s="1"/>
  <c r="BL12" i="140"/>
  <c r="BK12" i="140"/>
  <c r="BJ12" i="140"/>
  <c r="BI12" i="140"/>
  <c r="BH12" i="140"/>
  <c r="BG12" i="140"/>
  <c r="BF12" i="140"/>
  <c r="K12" i="140" s="1"/>
  <c r="BE12" i="140"/>
  <c r="O12" i="140" s="1"/>
  <c r="BD12" i="140"/>
  <c r="BC12" i="140"/>
  <c r="U12" i="140" s="1"/>
  <c r="BB12" i="140"/>
  <c r="T12" i="140" s="1"/>
  <c r="BA12" i="140"/>
  <c r="AZ12" i="140"/>
  <c r="AY12" i="140"/>
  <c r="AX12" i="140"/>
  <c r="AW12" i="140"/>
  <c r="N12" i="140" s="1"/>
  <c r="AV12" i="140"/>
  <c r="S12" i="140" s="1"/>
  <c r="AU12" i="140"/>
  <c r="AT12" i="140"/>
  <c r="AM12" i="140"/>
  <c r="I12" i="140"/>
  <c r="H12" i="140"/>
  <c r="G12" i="140"/>
  <c r="F12" i="140"/>
  <c r="A12" i="140"/>
  <c r="AS11" i="140"/>
  <c r="AR11" i="140"/>
  <c r="AQ11" i="140"/>
  <c r="AP11" i="140"/>
  <c r="AO11" i="140"/>
  <c r="AN11" i="140"/>
  <c r="AM11" i="140"/>
  <c r="AL11" i="140"/>
  <c r="AK11" i="140"/>
  <c r="AJ11" i="140"/>
  <c r="AI11" i="140"/>
  <c r="AH11" i="140"/>
  <c r="AG11" i="140"/>
  <c r="AF11" i="140"/>
  <c r="AE11" i="140"/>
  <c r="AD11" i="140"/>
  <c r="AC11" i="140"/>
  <c r="AB11" i="140"/>
  <c r="AA11" i="140"/>
  <c r="Z11" i="140"/>
  <c r="Y11" i="140"/>
  <c r="X11" i="140"/>
  <c r="W11" i="140"/>
  <c r="V11" i="140"/>
  <c r="U11" i="140"/>
  <c r="T11" i="140"/>
  <c r="S11" i="140"/>
  <c r="R11" i="140"/>
  <c r="Q11" i="140"/>
  <c r="P11" i="140"/>
  <c r="O11" i="140"/>
  <c r="N11" i="140"/>
  <c r="M11" i="140"/>
  <c r="L11" i="140"/>
  <c r="K11" i="140"/>
  <c r="A11" i="140"/>
  <c r="AS10" i="140"/>
  <c r="AR10" i="140"/>
  <c r="AQ10" i="140"/>
  <c r="AP10" i="140"/>
  <c r="AO10" i="140"/>
  <c r="AN10" i="140"/>
  <c r="AM10" i="140"/>
  <c r="AL10" i="140"/>
  <c r="AK10" i="140"/>
  <c r="AJ10" i="140"/>
  <c r="AI10" i="140"/>
  <c r="AH10" i="140"/>
  <c r="AG10" i="140"/>
  <c r="AF10" i="140"/>
  <c r="AE10" i="140"/>
  <c r="AD10" i="140"/>
  <c r="AC10" i="140"/>
  <c r="AB10" i="140"/>
  <c r="AA10" i="140"/>
  <c r="Z10" i="140"/>
  <c r="Y10" i="140"/>
  <c r="X10" i="140"/>
  <c r="W10" i="140"/>
  <c r="V10" i="140"/>
  <c r="U10" i="140"/>
  <c r="T10" i="140"/>
  <c r="S10" i="140"/>
  <c r="R10" i="140"/>
  <c r="Q10" i="140"/>
  <c r="P10" i="140"/>
  <c r="O10" i="140"/>
  <c r="N10" i="140"/>
  <c r="M10" i="140"/>
  <c r="L10" i="140"/>
  <c r="K10" i="140"/>
  <c r="A10" i="140"/>
  <c r="AS9" i="140"/>
  <c r="AR9" i="140"/>
  <c r="AQ9" i="140"/>
  <c r="AP9" i="140"/>
  <c r="AO9" i="140"/>
  <c r="AN9" i="140"/>
  <c r="AM9" i="140"/>
  <c r="AL9" i="140"/>
  <c r="AK9" i="140"/>
  <c r="AJ9" i="140"/>
  <c r="AI9" i="140"/>
  <c r="AH9" i="140"/>
  <c r="AG9" i="140"/>
  <c r="AF9" i="140"/>
  <c r="AE9" i="140"/>
  <c r="AD9" i="140"/>
  <c r="AC9" i="140"/>
  <c r="AB9" i="140"/>
  <c r="AA9" i="140"/>
  <c r="Z9" i="140"/>
  <c r="Y9" i="140"/>
  <c r="X9" i="140"/>
  <c r="W9" i="140"/>
  <c r="V9" i="140"/>
  <c r="U9" i="140"/>
  <c r="T9" i="140"/>
  <c r="S9" i="140"/>
  <c r="R9" i="140"/>
  <c r="Q9" i="140"/>
  <c r="P9" i="140"/>
  <c r="O9" i="140"/>
  <c r="N9" i="140"/>
  <c r="M9" i="140"/>
  <c r="L9" i="140"/>
  <c r="K9" i="140"/>
  <c r="A9" i="140"/>
  <c r="AS8" i="140"/>
  <c r="AR8" i="140"/>
  <c r="AQ8" i="140"/>
  <c r="AP8" i="140"/>
  <c r="AO8" i="140"/>
  <c r="AN8" i="140"/>
  <c r="AM8" i="140"/>
  <c r="AL8" i="140"/>
  <c r="AK8" i="140"/>
  <c r="AJ8" i="140"/>
  <c r="AI8" i="140"/>
  <c r="AH8" i="140"/>
  <c r="AG8" i="140"/>
  <c r="AF8" i="140"/>
  <c r="AE8" i="140"/>
  <c r="AD8" i="140"/>
  <c r="AC8" i="140"/>
  <c r="AB8" i="140"/>
  <c r="AA8" i="140"/>
  <c r="Z8" i="140"/>
  <c r="Y8" i="140"/>
  <c r="X8" i="140"/>
  <c r="W8" i="140"/>
  <c r="V8" i="140"/>
  <c r="U8" i="140"/>
  <c r="T8" i="140"/>
  <c r="S8" i="140"/>
  <c r="R8" i="140"/>
  <c r="Q8" i="140"/>
  <c r="P8" i="140"/>
  <c r="O8" i="140"/>
  <c r="N8" i="140"/>
  <c r="M8" i="140"/>
  <c r="L8" i="140"/>
  <c r="K8" i="140"/>
  <c r="A8" i="140"/>
  <c r="AS7" i="140"/>
  <c r="AR7" i="140"/>
  <c r="AQ7" i="140"/>
  <c r="AP7" i="140"/>
  <c r="AO7" i="140"/>
  <c r="AN7" i="140"/>
  <c r="AM7" i="140"/>
  <c r="AL7" i="140"/>
  <c r="AK7" i="140"/>
  <c r="AJ7" i="140"/>
  <c r="AI7" i="140"/>
  <c r="AH7" i="140"/>
  <c r="AG7" i="140"/>
  <c r="AF7" i="140"/>
  <c r="AE7" i="140"/>
  <c r="AD7" i="140"/>
  <c r="AC7" i="140"/>
  <c r="AB7" i="140"/>
  <c r="AA7" i="140"/>
  <c r="Z7" i="140"/>
  <c r="Y7" i="140"/>
  <c r="X7" i="140"/>
  <c r="W7" i="140"/>
  <c r="V7" i="140"/>
  <c r="U7" i="140"/>
  <c r="T7" i="140"/>
  <c r="S7" i="140"/>
  <c r="R7" i="140"/>
  <c r="Q7" i="140"/>
  <c r="P7" i="140"/>
  <c r="O7" i="140"/>
  <c r="N7" i="140"/>
  <c r="M7" i="140"/>
  <c r="L7" i="140"/>
  <c r="K7" i="140"/>
  <c r="A7" i="140"/>
  <c r="A6" i="140"/>
  <c r="CL5" i="140"/>
  <c r="CK5" i="140"/>
  <c r="CJ5" i="140"/>
  <c r="CI5" i="140"/>
  <c r="CH5" i="140"/>
  <c r="CG5" i="140"/>
  <c r="CF5" i="140"/>
  <c r="CE5" i="140"/>
  <c r="CD5" i="140"/>
  <c r="CC5" i="140"/>
  <c r="CB5" i="140"/>
  <c r="CA5" i="140"/>
  <c r="BZ5" i="140"/>
  <c r="BY5" i="140"/>
  <c r="BX5" i="140"/>
  <c r="BW5" i="140"/>
  <c r="BV5" i="140"/>
  <c r="BU5" i="140"/>
  <c r="BT5" i="140"/>
  <c r="BS5" i="140"/>
  <c r="BR5" i="140"/>
  <c r="BQ5" i="140"/>
  <c r="BP5" i="140"/>
  <c r="BO5" i="140"/>
  <c r="BN5" i="140"/>
  <c r="BM5" i="140"/>
  <c r="BL5" i="140"/>
  <c r="BK5" i="140"/>
  <c r="BJ5" i="140"/>
  <c r="BI5" i="140"/>
  <c r="BH5" i="140"/>
  <c r="BG5" i="140"/>
  <c r="BF5" i="140"/>
  <c r="BE5" i="140"/>
  <c r="BD5" i="140"/>
  <c r="BC5" i="140"/>
  <c r="BB5" i="140"/>
  <c r="BA5" i="140"/>
  <c r="AZ5" i="140"/>
  <c r="AY5" i="140"/>
  <c r="AX5" i="140"/>
  <c r="AW5" i="140"/>
  <c r="AV5" i="140"/>
  <c r="AU5" i="140"/>
  <c r="AT5" i="140"/>
  <c r="AS5" i="140"/>
  <c r="AR5" i="140"/>
  <c r="AQ5" i="140"/>
  <c r="AP5" i="140"/>
  <c r="AO5" i="140"/>
  <c r="AN5" i="140"/>
  <c r="AM5" i="140"/>
  <c r="AL5" i="140"/>
  <c r="AK5" i="140"/>
  <c r="AJ5" i="140"/>
  <c r="AI5" i="140"/>
  <c r="AH5" i="140"/>
  <c r="AG5" i="140"/>
  <c r="AF5" i="140"/>
  <c r="AE5" i="140"/>
  <c r="AD5" i="140"/>
  <c r="AC5" i="140"/>
  <c r="AB5" i="140"/>
  <c r="AA5" i="140"/>
  <c r="Z5" i="140"/>
  <c r="Y5" i="140"/>
  <c r="X5" i="140"/>
  <c r="W5" i="140"/>
  <c r="V5" i="140"/>
  <c r="U5" i="140"/>
  <c r="T5" i="140"/>
  <c r="S5" i="140"/>
  <c r="R5" i="140"/>
  <c r="Q5" i="140"/>
  <c r="P5" i="140"/>
  <c r="O5" i="140"/>
  <c r="N5" i="140"/>
  <c r="M5" i="140"/>
  <c r="L5" i="140"/>
  <c r="K5" i="140"/>
  <c r="J5" i="140"/>
  <c r="I5" i="140"/>
  <c r="H5" i="140"/>
  <c r="G5" i="140"/>
  <c r="F5" i="140"/>
  <c r="A5" i="140"/>
  <c r="CL70" i="138"/>
  <c r="CL69" i="138"/>
  <c r="CL70" i="136"/>
  <c r="CL69" i="136"/>
  <c r="CL70" i="135"/>
  <c r="CL69" i="135"/>
  <c r="CL70" i="120"/>
  <c r="CL69" i="120"/>
  <c r="CL42" i="132"/>
  <c r="CK42" i="132"/>
  <c r="CJ42" i="132"/>
  <c r="CI42" i="132"/>
  <c r="CH42" i="132"/>
  <c r="CG42" i="132"/>
  <c r="CF42" i="132"/>
  <c r="CE42" i="132"/>
  <c r="CD42" i="132"/>
  <c r="CC42" i="132"/>
  <c r="CB42" i="132"/>
  <c r="CA42" i="132"/>
  <c r="BZ42" i="132"/>
  <c r="BY42" i="132"/>
  <c r="BX42" i="132"/>
  <c r="BW42" i="132"/>
  <c r="BV42" i="132"/>
  <c r="BU42" i="132"/>
  <c r="BT42" i="132"/>
  <c r="BS42" i="132"/>
  <c r="BR42" i="132"/>
  <c r="BQ42" i="132"/>
  <c r="BP42" i="132"/>
  <c r="BO42" i="132"/>
  <c r="BN42" i="132"/>
  <c r="BM42" i="132"/>
  <c r="BK42" i="132"/>
  <c r="BJ42" i="132"/>
  <c r="BI42" i="132"/>
  <c r="BH42" i="132"/>
  <c r="BG42" i="132"/>
  <c r="BF42" i="132"/>
  <c r="BE42" i="132"/>
  <c r="BD42" i="132"/>
  <c r="BC42" i="132"/>
  <c r="BB42" i="132"/>
  <c r="BA42" i="132"/>
  <c r="AZ42" i="132"/>
  <c r="AY42" i="132"/>
  <c r="AX42" i="132"/>
  <c r="AW42" i="132"/>
  <c r="AV42" i="132"/>
  <c r="AU42" i="132"/>
  <c r="AT42" i="132"/>
  <c r="I42" i="132"/>
  <c r="H42" i="132"/>
  <c r="G42" i="132"/>
  <c r="F42" i="132"/>
  <c r="CL42" i="131"/>
  <c r="CK42" i="131"/>
  <c r="CJ42" i="131"/>
  <c r="CI42" i="131"/>
  <c r="CH42" i="131"/>
  <c r="CG42" i="131"/>
  <c r="CF42" i="131"/>
  <c r="CE42" i="131"/>
  <c r="CD42" i="131"/>
  <c r="CC42" i="131"/>
  <c r="CB42" i="131"/>
  <c r="CA42" i="131"/>
  <c r="BZ42" i="131"/>
  <c r="BY42" i="131"/>
  <c r="BX42" i="131"/>
  <c r="BW42" i="131"/>
  <c r="BV42" i="131"/>
  <c r="BU42" i="131"/>
  <c r="BT42" i="131"/>
  <c r="BS42" i="131"/>
  <c r="BR42" i="131"/>
  <c r="BQ42" i="131"/>
  <c r="BP42" i="131"/>
  <c r="BN42" i="131"/>
  <c r="BM42" i="131"/>
  <c r="BJ42" i="131"/>
  <c r="BI42" i="131"/>
  <c r="BF42" i="131"/>
  <c r="BE42" i="131"/>
  <c r="BD42" i="131"/>
  <c r="BC42" i="131"/>
  <c r="BB42" i="131"/>
  <c r="BA42" i="131"/>
  <c r="AZ42" i="131"/>
  <c r="AY42" i="131"/>
  <c r="AX42" i="131"/>
  <c r="AW42" i="131"/>
  <c r="AV42" i="131"/>
  <c r="AU42" i="131"/>
  <c r="AT42" i="131"/>
  <c r="I42" i="131"/>
  <c r="H42" i="131"/>
  <c r="G42" i="131"/>
  <c r="F42" i="131"/>
  <c r="K44" i="125"/>
  <c r="L44" i="125"/>
  <c r="M44" i="125"/>
  <c r="N44" i="125"/>
  <c r="O44" i="125"/>
  <c r="Q44" i="125"/>
  <c r="S44" i="125"/>
  <c r="T44" i="125"/>
  <c r="U44" i="125"/>
  <c r="W44" i="125"/>
  <c r="Z44" i="125"/>
  <c r="AB44" i="125"/>
  <c r="AC44" i="125"/>
  <c r="AD44" i="125"/>
  <c r="AF44" i="125"/>
  <c r="AG44" i="125"/>
  <c r="AH44" i="125"/>
  <c r="AI44" i="125"/>
  <c r="AJ44" i="125"/>
  <c r="AK44" i="125"/>
  <c r="AL44" i="125"/>
  <c r="AM44" i="125"/>
  <c r="AN44" i="125"/>
  <c r="AO44" i="125"/>
  <c r="AP44" i="125"/>
  <c r="AQ44" i="125"/>
  <c r="AR44" i="125"/>
  <c r="CL44" i="120"/>
  <c r="CK44" i="120"/>
  <c r="CJ44" i="120"/>
  <c r="CI44" i="120"/>
  <c r="CH44" i="120"/>
  <c r="CG44" i="120"/>
  <c r="CF44" i="120"/>
  <c r="CE44" i="120"/>
  <c r="CD44" i="120"/>
  <c r="CC44" i="120"/>
  <c r="CB44" i="120"/>
  <c r="CA44" i="120"/>
  <c r="BZ44" i="120"/>
  <c r="BY44" i="120"/>
  <c r="BX44" i="120"/>
  <c r="BW44" i="120"/>
  <c r="BV44" i="120"/>
  <c r="BU44" i="120"/>
  <c r="BT44" i="120"/>
  <c r="BS44" i="120"/>
  <c r="BR44" i="120"/>
  <c r="BQ44" i="120"/>
  <c r="BP44" i="120"/>
  <c r="BO44" i="120"/>
  <c r="BN44" i="120"/>
  <c r="BM44" i="120"/>
  <c r="BL44" i="120"/>
  <c r="BK44" i="120"/>
  <c r="BJ44" i="120"/>
  <c r="BI44" i="120"/>
  <c r="BH44" i="120"/>
  <c r="BG44" i="120"/>
  <c r="BF44" i="120"/>
  <c r="BE44" i="120"/>
  <c r="BD44" i="120"/>
  <c r="BC44" i="120"/>
  <c r="BB44" i="120"/>
  <c r="BA44" i="120"/>
  <c r="AZ44" i="120"/>
  <c r="AY44" i="120"/>
  <c r="AX44" i="120"/>
  <c r="AW44" i="120"/>
  <c r="AV44" i="120"/>
  <c r="AU44" i="120"/>
  <c r="AT44" i="120"/>
  <c r="J44" i="120"/>
  <c r="I44" i="120"/>
  <c r="H44" i="120"/>
  <c r="G44" i="120"/>
  <c r="F44" i="120"/>
  <c r="CL44" i="135"/>
  <c r="CK44" i="135"/>
  <c r="CJ44" i="135"/>
  <c r="CI44" i="135"/>
  <c r="CH44" i="135"/>
  <c r="CG44" i="135"/>
  <c r="CF44" i="135"/>
  <c r="CE44" i="135"/>
  <c r="CD44" i="135"/>
  <c r="CC44" i="135"/>
  <c r="CB44" i="135"/>
  <c r="CA44" i="135"/>
  <c r="BZ44" i="135"/>
  <c r="BY44" i="135"/>
  <c r="BX44" i="135"/>
  <c r="BW44" i="135"/>
  <c r="BV44" i="135"/>
  <c r="BU44" i="135"/>
  <c r="BT44" i="135"/>
  <c r="BS44" i="135"/>
  <c r="BR44" i="135"/>
  <c r="BQ44" i="135"/>
  <c r="BP44" i="135"/>
  <c r="BO44" i="135"/>
  <c r="BN44" i="135"/>
  <c r="BM44" i="135"/>
  <c r="BL44" i="135"/>
  <c r="BK44" i="135"/>
  <c r="BJ44" i="135"/>
  <c r="BI44" i="135"/>
  <c r="BH44" i="135"/>
  <c r="BG44" i="135"/>
  <c r="BF44" i="135"/>
  <c r="BE44" i="135"/>
  <c r="BD44" i="135"/>
  <c r="BC44" i="135"/>
  <c r="BB44" i="135"/>
  <c r="BA44" i="135"/>
  <c r="AZ44" i="135"/>
  <c r="AY44" i="135"/>
  <c r="AX44" i="135"/>
  <c r="AW44" i="135"/>
  <c r="AV44" i="135"/>
  <c r="AU44" i="135"/>
  <c r="AT44" i="135"/>
  <c r="I44" i="135"/>
  <c r="H44" i="135"/>
  <c r="G44" i="135"/>
  <c r="F44" i="135"/>
  <c r="CL44" i="136"/>
  <c r="CK44" i="136"/>
  <c r="CJ44" i="136"/>
  <c r="CI44" i="136"/>
  <c r="CH44" i="136"/>
  <c r="CG44" i="136"/>
  <c r="CF44" i="136"/>
  <c r="CE44" i="136"/>
  <c r="CD44" i="136"/>
  <c r="CC44" i="136"/>
  <c r="CB44" i="136"/>
  <c r="CA44" i="136"/>
  <c r="BZ44" i="136"/>
  <c r="BY44" i="136"/>
  <c r="BX44" i="136"/>
  <c r="BW44" i="136"/>
  <c r="BV44" i="136"/>
  <c r="BU44" i="136"/>
  <c r="BT44" i="136"/>
  <c r="BS44" i="136"/>
  <c r="BR44" i="136"/>
  <c r="BQ44" i="136"/>
  <c r="BP44" i="136"/>
  <c r="BO44" i="136"/>
  <c r="BN44" i="136"/>
  <c r="BM44" i="136"/>
  <c r="BL44" i="136"/>
  <c r="BK44" i="136"/>
  <c r="BJ44" i="136"/>
  <c r="BI44" i="136"/>
  <c r="BH44" i="136"/>
  <c r="BG44" i="136"/>
  <c r="BF44" i="136"/>
  <c r="BE44" i="136"/>
  <c r="BD44" i="136"/>
  <c r="BC44" i="136"/>
  <c r="BB44" i="136"/>
  <c r="BA44" i="136"/>
  <c r="AZ44" i="136"/>
  <c r="AY44" i="136"/>
  <c r="AX44" i="136"/>
  <c r="AW44" i="136"/>
  <c r="AV44" i="136"/>
  <c r="AU44" i="136"/>
  <c r="AT44" i="136"/>
  <c r="J44" i="136"/>
  <c r="I44" i="136"/>
  <c r="H44" i="136"/>
  <c r="G44" i="136"/>
  <c r="F44" i="136"/>
  <c r="CL44" i="138"/>
  <c r="CK44" i="138"/>
  <c r="CJ44" i="138"/>
  <c r="CI44" i="138"/>
  <c r="CH44" i="138"/>
  <c r="CG44" i="138"/>
  <c r="CF44" i="138"/>
  <c r="CE44" i="138"/>
  <c r="CD44" i="138"/>
  <c r="CC44" i="138"/>
  <c r="CB44" i="138"/>
  <c r="CA44" i="138"/>
  <c r="BZ44" i="138"/>
  <c r="BY44" i="138"/>
  <c r="BX44" i="138"/>
  <c r="BW44" i="138"/>
  <c r="BV44" i="138"/>
  <c r="BU44" i="138"/>
  <c r="BT44" i="138"/>
  <c r="BS44" i="138"/>
  <c r="BR44" i="138"/>
  <c r="BQ44" i="138"/>
  <c r="BP44" i="138"/>
  <c r="BO44" i="138"/>
  <c r="BN44" i="138"/>
  <c r="BM44" i="138"/>
  <c r="BL44" i="138"/>
  <c r="BK44" i="138"/>
  <c r="BJ44" i="138"/>
  <c r="BI44" i="138"/>
  <c r="BH44" i="138"/>
  <c r="BG44" i="138"/>
  <c r="BF44" i="138"/>
  <c r="BE44" i="138"/>
  <c r="BD44" i="138"/>
  <c r="BC44" i="138"/>
  <c r="BB44" i="138"/>
  <c r="BA44" i="138"/>
  <c r="AZ44" i="138"/>
  <c r="AY44" i="138"/>
  <c r="AX44" i="138"/>
  <c r="AW44" i="138"/>
  <c r="AV44" i="138"/>
  <c r="AU44" i="138"/>
  <c r="AT44" i="138"/>
  <c r="I44" i="138"/>
  <c r="H44" i="138"/>
  <c r="G44" i="138"/>
  <c r="F44" i="138"/>
  <c r="CL44" i="134"/>
  <c r="CK44" i="134"/>
  <c r="CJ44" i="134"/>
  <c r="CI44" i="134"/>
  <c r="CH44" i="134"/>
  <c r="CG44" i="134"/>
  <c r="CF44" i="134"/>
  <c r="CE44" i="134"/>
  <c r="CD44" i="134"/>
  <c r="CC44" i="134"/>
  <c r="CB44" i="134"/>
  <c r="CA44" i="134"/>
  <c r="BZ44" i="134"/>
  <c r="BY44" i="134"/>
  <c r="BX44" i="134"/>
  <c r="BW44" i="134"/>
  <c r="BV44" i="134"/>
  <c r="BU44" i="134"/>
  <c r="BT44" i="134"/>
  <c r="BS44" i="134"/>
  <c r="BR44" i="134"/>
  <c r="BQ44" i="134"/>
  <c r="BP44" i="134"/>
  <c r="BO44" i="134"/>
  <c r="BN44" i="134"/>
  <c r="BM44" i="134"/>
  <c r="BL44" i="134"/>
  <c r="BK44" i="134"/>
  <c r="BJ44" i="134"/>
  <c r="BI44" i="134"/>
  <c r="BH44" i="134"/>
  <c r="BG44" i="134"/>
  <c r="BF44" i="134"/>
  <c r="BE44" i="134"/>
  <c r="BD44" i="134"/>
  <c r="BC44" i="134"/>
  <c r="BB44" i="134"/>
  <c r="BA44" i="134"/>
  <c r="AZ44" i="134"/>
  <c r="AY44" i="134"/>
  <c r="AX44" i="134"/>
  <c r="AW44" i="134"/>
  <c r="AV44" i="134"/>
  <c r="AU44" i="134"/>
  <c r="AT44" i="134"/>
  <c r="I44" i="134"/>
  <c r="H44" i="134"/>
  <c r="G44" i="134"/>
  <c r="F44" i="134"/>
  <c r="AS43" i="132"/>
  <c r="AR43" i="132"/>
  <c r="AQ43" i="132"/>
  <c r="AP43" i="132"/>
  <c r="AO43" i="132"/>
  <c r="AN43" i="132"/>
  <c r="AM43" i="132"/>
  <c r="AL43" i="132"/>
  <c r="AK43" i="132"/>
  <c r="AJ43" i="132"/>
  <c r="AI43" i="132"/>
  <c r="AH43" i="132"/>
  <c r="AG43" i="132"/>
  <c r="AF43" i="132"/>
  <c r="AE43" i="132"/>
  <c r="AD43" i="132"/>
  <c r="AC43" i="132"/>
  <c r="AB43" i="132"/>
  <c r="AA43" i="132"/>
  <c r="Z43" i="132"/>
  <c r="Y43" i="132"/>
  <c r="X43" i="132"/>
  <c r="W43" i="132"/>
  <c r="V43" i="132"/>
  <c r="U43" i="132"/>
  <c r="T43" i="132"/>
  <c r="S43" i="132"/>
  <c r="R43" i="132"/>
  <c r="Q43" i="132"/>
  <c r="P43" i="132"/>
  <c r="O43" i="132"/>
  <c r="N43" i="132"/>
  <c r="M43" i="132"/>
  <c r="L43" i="132"/>
  <c r="K43" i="132"/>
  <c r="AS43" i="131"/>
  <c r="AR43" i="131"/>
  <c r="AQ43" i="131"/>
  <c r="AP43" i="131"/>
  <c r="AO43" i="131"/>
  <c r="AN43" i="131"/>
  <c r="AM43" i="131"/>
  <c r="AL43" i="131"/>
  <c r="AK43" i="131"/>
  <c r="AJ43" i="131"/>
  <c r="AI43" i="131"/>
  <c r="AH43" i="131"/>
  <c r="AG43" i="131"/>
  <c r="AF43" i="131"/>
  <c r="AE43" i="131"/>
  <c r="AD43" i="131"/>
  <c r="AC43" i="131"/>
  <c r="AB43" i="131"/>
  <c r="AA43" i="131"/>
  <c r="Z43" i="131"/>
  <c r="Y43" i="131"/>
  <c r="X43" i="131"/>
  <c r="W43" i="131"/>
  <c r="V43" i="131"/>
  <c r="U43" i="131"/>
  <c r="T43" i="131"/>
  <c r="S43" i="131"/>
  <c r="R43" i="131"/>
  <c r="Q43" i="131"/>
  <c r="P43" i="131"/>
  <c r="O43" i="131"/>
  <c r="N43" i="131"/>
  <c r="M43" i="131"/>
  <c r="L43" i="131"/>
  <c r="K43" i="131"/>
  <c r="AS43" i="130"/>
  <c r="AR43" i="130"/>
  <c r="AQ43" i="130"/>
  <c r="AP43" i="130"/>
  <c r="AO43" i="130"/>
  <c r="AN43" i="130"/>
  <c r="AM43" i="130"/>
  <c r="AL43" i="130"/>
  <c r="AK43" i="130"/>
  <c r="AJ43" i="130"/>
  <c r="AI43" i="130"/>
  <c r="AH43" i="130"/>
  <c r="AG43" i="130"/>
  <c r="AF43" i="130"/>
  <c r="AE43" i="130"/>
  <c r="AD43" i="130"/>
  <c r="AC43" i="130"/>
  <c r="AB43" i="130"/>
  <c r="AA43" i="130"/>
  <c r="Z43" i="130"/>
  <c r="Y43" i="130"/>
  <c r="X43" i="130"/>
  <c r="W43" i="130"/>
  <c r="V43" i="130"/>
  <c r="U43" i="130"/>
  <c r="T43" i="130"/>
  <c r="S43" i="130"/>
  <c r="R43" i="130"/>
  <c r="Q43" i="130"/>
  <c r="P43" i="130"/>
  <c r="O43" i="130"/>
  <c r="N43" i="130"/>
  <c r="M43" i="130"/>
  <c r="L43" i="130"/>
  <c r="K43" i="130"/>
  <c r="AS43" i="127"/>
  <c r="AR43" i="127"/>
  <c r="AQ43" i="127"/>
  <c r="AP43" i="127"/>
  <c r="AO43" i="127"/>
  <c r="AN43" i="127"/>
  <c r="AM43" i="127"/>
  <c r="AL43" i="127"/>
  <c r="AK43" i="127"/>
  <c r="AJ43" i="127"/>
  <c r="AI43" i="127"/>
  <c r="AH43" i="127"/>
  <c r="AG43" i="127"/>
  <c r="AF43" i="127"/>
  <c r="AE43" i="127"/>
  <c r="AD43" i="127"/>
  <c r="AC43" i="127"/>
  <c r="AB43" i="127"/>
  <c r="AA43" i="127"/>
  <c r="Z43" i="127"/>
  <c r="Y43" i="127"/>
  <c r="X43" i="127"/>
  <c r="W43" i="127"/>
  <c r="V43" i="127"/>
  <c r="U43" i="127"/>
  <c r="T43" i="127"/>
  <c r="S43" i="127"/>
  <c r="R43" i="127"/>
  <c r="Q43" i="127"/>
  <c r="P43" i="127"/>
  <c r="O43" i="127"/>
  <c r="N43" i="127"/>
  <c r="M43" i="127"/>
  <c r="L43" i="127"/>
  <c r="K43" i="127"/>
  <c r="AS43" i="125"/>
  <c r="AR43" i="125"/>
  <c r="AQ43" i="125"/>
  <c r="AP43" i="125"/>
  <c r="AO43" i="125"/>
  <c r="AN43" i="125"/>
  <c r="AM43" i="125"/>
  <c r="AL43" i="125"/>
  <c r="AK43" i="125"/>
  <c r="AJ43" i="125"/>
  <c r="AI43" i="125"/>
  <c r="AH43" i="125"/>
  <c r="AG43" i="125"/>
  <c r="AF43" i="125"/>
  <c r="AE43" i="125"/>
  <c r="AD43" i="125"/>
  <c r="AC43" i="125"/>
  <c r="AB43" i="125"/>
  <c r="AA43" i="125"/>
  <c r="Z43" i="125"/>
  <c r="Y43" i="125"/>
  <c r="X43" i="125"/>
  <c r="W43" i="125"/>
  <c r="V43" i="125"/>
  <c r="U43" i="125"/>
  <c r="T43" i="125"/>
  <c r="S43" i="125"/>
  <c r="R43" i="125"/>
  <c r="Q43" i="125"/>
  <c r="P43" i="125"/>
  <c r="O43" i="125"/>
  <c r="N43" i="125"/>
  <c r="M43" i="125"/>
  <c r="L43" i="125"/>
  <c r="K43" i="125"/>
  <c r="AS43" i="120"/>
  <c r="AS44" i="120"/>
  <c r="AR43" i="120"/>
  <c r="AR44" i="120" s="1"/>
  <c r="AQ43" i="120"/>
  <c r="AQ44" i="120"/>
  <c r="AP43" i="120"/>
  <c r="AP44" i="120" s="1"/>
  <c r="AO43" i="120"/>
  <c r="AO44" i="120" s="1"/>
  <c r="AN43" i="120"/>
  <c r="AN44" i="120" s="1"/>
  <c r="AM43" i="120"/>
  <c r="AM44" i="120" s="1"/>
  <c r="AL43" i="120"/>
  <c r="AL44" i="120" s="1"/>
  <c r="AK43" i="120"/>
  <c r="AK44" i="120" s="1"/>
  <c r="AJ43" i="120"/>
  <c r="AJ44" i="120" s="1"/>
  <c r="AI43" i="120"/>
  <c r="AI44" i="120" s="1"/>
  <c r="AH43" i="120"/>
  <c r="AH44" i="120" s="1"/>
  <c r="AG43" i="120"/>
  <c r="AG44" i="120" s="1"/>
  <c r="AF43" i="120"/>
  <c r="AF44" i="120" s="1"/>
  <c r="AE43" i="120"/>
  <c r="AE44" i="120" s="1"/>
  <c r="AD43" i="120"/>
  <c r="AD44" i="120" s="1"/>
  <c r="AC43" i="120"/>
  <c r="AC44" i="120"/>
  <c r="AB43" i="120"/>
  <c r="AB44" i="120"/>
  <c r="AA43" i="120"/>
  <c r="AA44" i="120" s="1"/>
  <c r="Z43" i="120"/>
  <c r="Z44" i="120" s="1"/>
  <c r="Y43" i="120"/>
  <c r="Y44" i="120" s="1"/>
  <c r="X43" i="120"/>
  <c r="X44" i="120" s="1"/>
  <c r="W43" i="120"/>
  <c r="W44" i="120" s="1"/>
  <c r="V43" i="120"/>
  <c r="V44" i="120" s="1"/>
  <c r="U43" i="120"/>
  <c r="U44" i="120"/>
  <c r="T43" i="120"/>
  <c r="T44" i="120" s="1"/>
  <c r="S43" i="120"/>
  <c r="S44" i="120" s="1"/>
  <c r="R43" i="120"/>
  <c r="R44" i="120" s="1"/>
  <c r="Q43" i="120"/>
  <c r="Q44" i="120" s="1"/>
  <c r="P43" i="120"/>
  <c r="P44" i="120" s="1"/>
  <c r="O43" i="120"/>
  <c r="O44" i="120" s="1"/>
  <c r="N43" i="120"/>
  <c r="N44" i="120" s="1"/>
  <c r="M43" i="120"/>
  <c r="M44" i="120"/>
  <c r="L43" i="120"/>
  <c r="L44" i="120"/>
  <c r="K43" i="120"/>
  <c r="K44" i="120"/>
  <c r="AS43" i="134"/>
  <c r="AR43" i="134"/>
  <c r="AQ43" i="134"/>
  <c r="AP43" i="134"/>
  <c r="AO43" i="134"/>
  <c r="AN43" i="134"/>
  <c r="AM43" i="134"/>
  <c r="AL43" i="134"/>
  <c r="AK43" i="134"/>
  <c r="AJ43" i="134"/>
  <c r="AI43" i="134"/>
  <c r="AH43" i="134"/>
  <c r="AG43" i="134"/>
  <c r="AF43" i="134"/>
  <c r="AE43" i="134"/>
  <c r="AD43" i="134"/>
  <c r="AC43" i="134"/>
  <c r="AB43" i="134"/>
  <c r="AA43" i="134"/>
  <c r="Z43" i="134"/>
  <c r="Y43" i="134"/>
  <c r="X43" i="134"/>
  <c r="W43" i="134"/>
  <c r="V43" i="134"/>
  <c r="U43" i="134"/>
  <c r="T43" i="134"/>
  <c r="S43" i="134"/>
  <c r="R43" i="134"/>
  <c r="Q43" i="134"/>
  <c r="P43" i="134"/>
  <c r="O43" i="134"/>
  <c r="N43" i="134"/>
  <c r="M43" i="134"/>
  <c r="L43" i="134"/>
  <c r="K43" i="134"/>
  <c r="AS43" i="135"/>
  <c r="AR43" i="135"/>
  <c r="AQ43" i="135"/>
  <c r="AP43" i="135"/>
  <c r="AO43" i="135"/>
  <c r="AN43" i="135"/>
  <c r="AM43" i="135"/>
  <c r="AL43" i="135"/>
  <c r="AK43" i="135"/>
  <c r="AJ43" i="135"/>
  <c r="AI43" i="135"/>
  <c r="AH43" i="135"/>
  <c r="AG43" i="135"/>
  <c r="AF43" i="135"/>
  <c r="AE43" i="135"/>
  <c r="AD43" i="135"/>
  <c r="AC43" i="135"/>
  <c r="AB43" i="135"/>
  <c r="AA43" i="135"/>
  <c r="Z43" i="135"/>
  <c r="Y43" i="135"/>
  <c r="X43" i="135"/>
  <c r="W43" i="135"/>
  <c r="V43" i="135"/>
  <c r="U43" i="135"/>
  <c r="T43" i="135"/>
  <c r="S43" i="135"/>
  <c r="R43" i="135"/>
  <c r="Q43" i="135"/>
  <c r="P43" i="135"/>
  <c r="O43" i="135"/>
  <c r="N43" i="135"/>
  <c r="M43" i="135"/>
  <c r="L43" i="135"/>
  <c r="K43" i="135"/>
  <c r="AS43" i="136"/>
  <c r="AR43" i="136"/>
  <c r="AQ43" i="136"/>
  <c r="AP43" i="136"/>
  <c r="AO43" i="136"/>
  <c r="AN43" i="136"/>
  <c r="AM43" i="136"/>
  <c r="AL43" i="136"/>
  <c r="AK43" i="136"/>
  <c r="AJ43" i="136"/>
  <c r="AI43" i="136"/>
  <c r="AH43" i="136"/>
  <c r="AG43" i="136"/>
  <c r="AF43" i="136"/>
  <c r="AE43" i="136"/>
  <c r="AD43" i="136"/>
  <c r="AC43" i="136"/>
  <c r="AB43" i="136"/>
  <c r="AA43" i="136"/>
  <c r="Z43" i="136"/>
  <c r="Y43" i="136"/>
  <c r="X43" i="136"/>
  <c r="W43" i="136"/>
  <c r="V43" i="136"/>
  <c r="U43" i="136"/>
  <c r="T43" i="136"/>
  <c r="S43" i="136"/>
  <c r="R43" i="136"/>
  <c r="Q43" i="136"/>
  <c r="P43" i="136"/>
  <c r="O43" i="136"/>
  <c r="N43" i="136"/>
  <c r="M43" i="136"/>
  <c r="L43" i="136"/>
  <c r="K43" i="136"/>
  <c r="AS43" i="138"/>
  <c r="AR43" i="138"/>
  <c r="AQ43" i="138"/>
  <c r="AP43" i="138"/>
  <c r="AO43" i="138"/>
  <c r="AN43" i="138"/>
  <c r="AM43" i="138"/>
  <c r="AL43" i="138"/>
  <c r="AL44" i="138" s="1"/>
  <c r="AK43" i="138"/>
  <c r="AJ43" i="138"/>
  <c r="AI43" i="138"/>
  <c r="AH43" i="138"/>
  <c r="AH44" i="138" s="1"/>
  <c r="AG43" i="138"/>
  <c r="AF43" i="138"/>
  <c r="AE43" i="138"/>
  <c r="AE44" i="138" s="1"/>
  <c r="AD43" i="138"/>
  <c r="AD44" i="138" s="1"/>
  <c r="AC43" i="138"/>
  <c r="AB43" i="138"/>
  <c r="AA43" i="138"/>
  <c r="AA44" i="138" s="1"/>
  <c r="Z43" i="138"/>
  <c r="Y43" i="138"/>
  <c r="X43" i="138"/>
  <c r="W43" i="138"/>
  <c r="V43" i="138"/>
  <c r="U43" i="138"/>
  <c r="T43" i="138"/>
  <c r="S43" i="138"/>
  <c r="S44" i="138" s="1"/>
  <c r="R43" i="138"/>
  <c r="R44" i="138" s="1"/>
  <c r="Q43" i="138"/>
  <c r="P43" i="138"/>
  <c r="O43" i="138"/>
  <c r="O44" i="138" s="1"/>
  <c r="N43" i="138"/>
  <c r="N44" i="138" s="1"/>
  <c r="M43" i="138"/>
  <c r="L43" i="138"/>
  <c r="K43" i="138"/>
  <c r="CC21" i="138"/>
  <c r="AA87" i="138"/>
  <c r="AA100" i="138"/>
  <c r="AT71" i="138"/>
  <c r="AT127" i="138"/>
  <c r="AT51" i="138"/>
  <c r="AT54" i="138"/>
  <c r="AT21" i="138"/>
  <c r="AU21" i="138"/>
  <c r="CL127" i="138"/>
  <c r="CK127" i="138"/>
  <c r="CJ127" i="138"/>
  <c r="CI127" i="138"/>
  <c r="CH127" i="138"/>
  <c r="CG127" i="138"/>
  <c r="CF127" i="138"/>
  <c r="CE127" i="138"/>
  <c r="CD127" i="138"/>
  <c r="CC127" i="138"/>
  <c r="CB127" i="138"/>
  <c r="CA127" i="138"/>
  <c r="BZ127" i="138"/>
  <c r="BY127" i="138"/>
  <c r="BX127" i="138"/>
  <c r="BW127" i="138"/>
  <c r="BV127" i="138"/>
  <c r="BU127" i="138"/>
  <c r="BT127" i="138"/>
  <c r="BS127" i="138"/>
  <c r="BR127" i="138"/>
  <c r="BQ127" i="138"/>
  <c r="BP127" i="138"/>
  <c r="BO127" i="138"/>
  <c r="BN127" i="138"/>
  <c r="BM127" i="138"/>
  <c r="BL127" i="138"/>
  <c r="BK127" i="138"/>
  <c r="BJ127" i="138"/>
  <c r="BI127" i="138"/>
  <c r="BH127" i="138"/>
  <c r="BG127" i="138"/>
  <c r="BF127" i="138"/>
  <c r="BE127" i="138"/>
  <c r="BD127" i="138"/>
  <c r="BC127" i="138"/>
  <c r="BB127" i="138"/>
  <c r="BA127" i="138"/>
  <c r="AZ127" i="138"/>
  <c r="AY127" i="138"/>
  <c r="AX127" i="138"/>
  <c r="AW127" i="138"/>
  <c r="AV127" i="138"/>
  <c r="AU127" i="138"/>
  <c r="AS126" i="138"/>
  <c r="AR126" i="138"/>
  <c r="AQ126" i="138"/>
  <c r="AP126" i="138"/>
  <c r="AO126" i="138"/>
  <c r="AN126" i="138"/>
  <c r="AM126" i="138"/>
  <c r="AL126" i="138"/>
  <c r="AK126" i="138"/>
  <c r="AJ126" i="138"/>
  <c r="AI126" i="138"/>
  <c r="AH126" i="138"/>
  <c r="AG126" i="138"/>
  <c r="AF126" i="138"/>
  <c r="AE126" i="138"/>
  <c r="AD126" i="138"/>
  <c r="AC126" i="138"/>
  <c r="AB126" i="138"/>
  <c r="AA126" i="138"/>
  <c r="Z126" i="138"/>
  <c r="Y126" i="138"/>
  <c r="X126" i="138"/>
  <c r="W126" i="138"/>
  <c r="V126" i="138"/>
  <c r="U126" i="138"/>
  <c r="T126" i="138"/>
  <c r="S126" i="138"/>
  <c r="R126" i="138"/>
  <c r="Q126" i="138"/>
  <c r="P126" i="138"/>
  <c r="O126" i="138"/>
  <c r="N126" i="138"/>
  <c r="M126" i="138"/>
  <c r="L126" i="138"/>
  <c r="K126" i="138"/>
  <c r="I126" i="138"/>
  <c r="I127" i="138" s="1"/>
  <c r="H126" i="138"/>
  <c r="H127" i="138" s="1"/>
  <c r="G126" i="138"/>
  <c r="G127" i="138" s="1"/>
  <c r="F126" i="138"/>
  <c r="F127" i="138" s="1"/>
  <c r="AS123" i="138"/>
  <c r="AS44" i="138" s="1"/>
  <c r="AR123" i="138"/>
  <c r="AR44" i="138" s="1"/>
  <c r="AQ123" i="138"/>
  <c r="AQ44" i="138"/>
  <c r="AP123" i="138"/>
  <c r="AO123" i="138"/>
  <c r="AO44" i="138" s="1"/>
  <c r="AN123" i="138"/>
  <c r="AN44" i="138" s="1"/>
  <c r="AM123" i="138"/>
  <c r="AM44" i="138"/>
  <c r="AL123" i="138"/>
  <c r="AK123" i="138"/>
  <c r="AK44" i="138" s="1"/>
  <c r="AJ123" i="138"/>
  <c r="AJ44" i="138" s="1"/>
  <c r="AI123" i="138"/>
  <c r="AI44" i="138"/>
  <c r="AH123" i="138"/>
  <c r="AG123" i="138"/>
  <c r="AF123" i="138"/>
  <c r="AF44" i="138" s="1"/>
  <c r="AE123" i="138"/>
  <c r="AD123" i="138"/>
  <c r="AC123" i="138"/>
  <c r="AC44" i="138" s="1"/>
  <c r="AB123" i="138"/>
  <c r="AB44" i="138" s="1"/>
  <c r="AA123" i="138"/>
  <c r="Z123" i="138"/>
  <c r="Y123" i="138"/>
  <c r="X123" i="138"/>
  <c r="X44" i="138" s="1"/>
  <c r="W123" i="138"/>
  <c r="W44" i="138" s="1"/>
  <c r="V123" i="138"/>
  <c r="U123" i="138"/>
  <c r="U44" i="138" s="1"/>
  <c r="T123" i="138"/>
  <c r="T44" i="138" s="1"/>
  <c r="S123" i="138"/>
  <c r="R123" i="138"/>
  <c r="Q123" i="138"/>
  <c r="P123" i="138"/>
  <c r="P44" i="138" s="1"/>
  <c r="O123" i="138"/>
  <c r="N123" i="138"/>
  <c r="M123" i="138"/>
  <c r="M44" i="138" s="1"/>
  <c r="L123" i="138"/>
  <c r="L44" i="138" s="1"/>
  <c r="K123" i="138"/>
  <c r="K44" i="138"/>
  <c r="AS118" i="138"/>
  <c r="AR118" i="138"/>
  <c r="AQ118" i="138"/>
  <c r="AP118" i="138"/>
  <c r="AO118" i="138"/>
  <c r="AN118" i="138"/>
  <c r="AM118" i="138"/>
  <c r="AL118" i="138"/>
  <c r="AK118" i="138"/>
  <c r="AJ118" i="138"/>
  <c r="AI118" i="138"/>
  <c r="AH118" i="138"/>
  <c r="AG118" i="138"/>
  <c r="AF118" i="138"/>
  <c r="AE118" i="138"/>
  <c r="AD118" i="138"/>
  <c r="AC118" i="138"/>
  <c r="AB118" i="138"/>
  <c r="AA118" i="138"/>
  <c r="Z118" i="138"/>
  <c r="Y118" i="138"/>
  <c r="X118" i="138"/>
  <c r="W118" i="138"/>
  <c r="V118" i="138"/>
  <c r="V21" i="138" s="1"/>
  <c r="U118" i="138"/>
  <c r="T118" i="138"/>
  <c r="S118" i="138"/>
  <c r="R118" i="138"/>
  <c r="Q118" i="138"/>
  <c r="P118" i="138"/>
  <c r="O118" i="138"/>
  <c r="N118" i="138"/>
  <c r="M118" i="138"/>
  <c r="L118" i="138"/>
  <c r="K118" i="138"/>
  <c r="AS117" i="138"/>
  <c r="AR117" i="138"/>
  <c r="AQ117" i="138"/>
  <c r="AP117" i="138"/>
  <c r="AO117" i="138"/>
  <c r="AN117" i="138"/>
  <c r="AM117" i="138"/>
  <c r="AL117" i="138"/>
  <c r="AK117" i="138"/>
  <c r="AJ117" i="138"/>
  <c r="AI117" i="138"/>
  <c r="AH117" i="138"/>
  <c r="AG117" i="138"/>
  <c r="AF117" i="138"/>
  <c r="AE117" i="138"/>
  <c r="AD117" i="138"/>
  <c r="AC117" i="138"/>
  <c r="AB117" i="138"/>
  <c r="AA117" i="138"/>
  <c r="Z117" i="138"/>
  <c r="Y117" i="138"/>
  <c r="X117" i="138"/>
  <c r="W117" i="138"/>
  <c r="V117" i="138"/>
  <c r="U117" i="138"/>
  <c r="T117" i="138"/>
  <c r="S117" i="138"/>
  <c r="R117" i="138"/>
  <c r="Q117" i="138"/>
  <c r="P117" i="138"/>
  <c r="O117" i="138"/>
  <c r="N117" i="138"/>
  <c r="M117" i="138"/>
  <c r="L117" i="138"/>
  <c r="K117" i="138"/>
  <c r="J107" i="138"/>
  <c r="AS106" i="138"/>
  <c r="AR106" i="138"/>
  <c r="AQ106" i="138"/>
  <c r="AP106" i="138"/>
  <c r="AO106" i="138"/>
  <c r="AN106" i="138"/>
  <c r="AM106" i="138"/>
  <c r="AL106" i="138"/>
  <c r="AK106" i="138"/>
  <c r="AJ106" i="138"/>
  <c r="AI106" i="138"/>
  <c r="AH106" i="138"/>
  <c r="AG106" i="138"/>
  <c r="AF106" i="138"/>
  <c r="AE106" i="138"/>
  <c r="AD106" i="138"/>
  <c r="AC106" i="138"/>
  <c r="AB106" i="138"/>
  <c r="AA106" i="138"/>
  <c r="Z106" i="138"/>
  <c r="Y106" i="138"/>
  <c r="X106" i="138"/>
  <c r="W106" i="138"/>
  <c r="V106" i="138"/>
  <c r="U106" i="138"/>
  <c r="T106" i="138"/>
  <c r="S106" i="138"/>
  <c r="R106" i="138"/>
  <c r="Q106" i="138"/>
  <c r="P106" i="138"/>
  <c r="O106" i="138"/>
  <c r="N106" i="138"/>
  <c r="M106" i="138"/>
  <c r="L106" i="138"/>
  <c r="K106" i="138"/>
  <c r="A106" i="138"/>
  <c r="AS105" i="138"/>
  <c r="AR105" i="138"/>
  <c r="AQ105" i="138"/>
  <c r="AP105" i="138"/>
  <c r="AO105" i="138"/>
  <c r="AN105" i="138"/>
  <c r="AM105" i="138"/>
  <c r="AL105" i="138"/>
  <c r="AK105" i="138"/>
  <c r="AJ105" i="138"/>
  <c r="AI105" i="138"/>
  <c r="AH105" i="138"/>
  <c r="AG105" i="138"/>
  <c r="AF105" i="138"/>
  <c r="AE105" i="138"/>
  <c r="AD105" i="138"/>
  <c r="AC105" i="138"/>
  <c r="AB105" i="138"/>
  <c r="AA105" i="138"/>
  <c r="Z105" i="138"/>
  <c r="Y105" i="138"/>
  <c r="X105" i="138"/>
  <c r="W105" i="138"/>
  <c r="V105" i="138"/>
  <c r="U105" i="138"/>
  <c r="T105" i="138"/>
  <c r="S105" i="138"/>
  <c r="R105" i="138"/>
  <c r="Q105" i="138"/>
  <c r="P105" i="138"/>
  <c r="O105" i="138"/>
  <c r="N105" i="138"/>
  <c r="M105" i="138"/>
  <c r="L105" i="138"/>
  <c r="K105" i="138"/>
  <c r="A105" i="138"/>
  <c r="AS104" i="138"/>
  <c r="AR104" i="138"/>
  <c r="AQ104" i="138"/>
  <c r="AP104" i="138"/>
  <c r="AO104" i="138"/>
  <c r="AN104" i="138"/>
  <c r="AM104" i="138"/>
  <c r="AL104" i="138"/>
  <c r="AK104" i="138"/>
  <c r="AJ104" i="138"/>
  <c r="AI104" i="138"/>
  <c r="AH104" i="138"/>
  <c r="AG104" i="138"/>
  <c r="AF104" i="138"/>
  <c r="AE104" i="138"/>
  <c r="AD104" i="138"/>
  <c r="AC104" i="138"/>
  <c r="AB104" i="138"/>
  <c r="AA104" i="138"/>
  <c r="Z104" i="138"/>
  <c r="Y104" i="138"/>
  <c r="X104" i="138"/>
  <c r="W104" i="138"/>
  <c r="V104" i="138"/>
  <c r="U104" i="138"/>
  <c r="T104" i="138"/>
  <c r="S104" i="138"/>
  <c r="R104" i="138"/>
  <c r="Q104" i="138"/>
  <c r="P104" i="138"/>
  <c r="O104" i="138"/>
  <c r="N104" i="138"/>
  <c r="M104" i="138"/>
  <c r="L104" i="138"/>
  <c r="K104" i="138"/>
  <c r="A104" i="138"/>
  <c r="AS103" i="138"/>
  <c r="AR103" i="138"/>
  <c r="AQ103" i="138"/>
  <c r="AP103" i="138"/>
  <c r="AO103" i="138"/>
  <c r="AN103" i="138"/>
  <c r="AM103" i="138"/>
  <c r="AL103" i="138"/>
  <c r="AK103" i="138"/>
  <c r="AJ103" i="138"/>
  <c r="AI103" i="138"/>
  <c r="AH103" i="138"/>
  <c r="AG103" i="138"/>
  <c r="AF103" i="138"/>
  <c r="AE103" i="138"/>
  <c r="AD103" i="138"/>
  <c r="AC103" i="138"/>
  <c r="AB103" i="138"/>
  <c r="AA103" i="138"/>
  <c r="Z103" i="138"/>
  <c r="Y103" i="138"/>
  <c r="X103" i="138"/>
  <c r="W103" i="138"/>
  <c r="V103" i="138"/>
  <c r="U103" i="138"/>
  <c r="T103" i="138"/>
  <c r="S103" i="138"/>
  <c r="R103" i="138"/>
  <c r="Q103" i="138"/>
  <c r="P103" i="138"/>
  <c r="O103" i="138"/>
  <c r="N103" i="138"/>
  <c r="M103" i="138"/>
  <c r="L103" i="138"/>
  <c r="K103" i="138"/>
  <c r="A103" i="138"/>
  <c r="A102" i="138"/>
  <c r="A101" i="138"/>
  <c r="AS100" i="138"/>
  <c r="AR100" i="138"/>
  <c r="AQ100" i="138"/>
  <c r="AP100" i="138"/>
  <c r="AO100" i="138"/>
  <c r="AN100" i="138"/>
  <c r="AM100" i="138"/>
  <c r="AL100" i="138"/>
  <c r="AK100" i="138"/>
  <c r="AJ100" i="138"/>
  <c r="AI100" i="138"/>
  <c r="AH100" i="138"/>
  <c r="AG100" i="138"/>
  <c r="AF100" i="138"/>
  <c r="AE100" i="138"/>
  <c r="AD100" i="138"/>
  <c r="AC100" i="138"/>
  <c r="AB100" i="138"/>
  <c r="Z100" i="138"/>
  <c r="Y100" i="138"/>
  <c r="X100" i="138"/>
  <c r="W100" i="138"/>
  <c r="V100" i="138"/>
  <c r="U100" i="138"/>
  <c r="T100" i="138"/>
  <c r="S100" i="138"/>
  <c r="R100" i="138"/>
  <c r="Q100" i="138"/>
  <c r="P100" i="138"/>
  <c r="O100" i="138"/>
  <c r="N100" i="138"/>
  <c r="M100" i="138"/>
  <c r="L100" i="138"/>
  <c r="K100" i="138"/>
  <c r="A100" i="138"/>
  <c r="A99" i="138"/>
  <c r="AS98" i="138"/>
  <c r="AR98" i="138"/>
  <c r="AQ98" i="138"/>
  <c r="AP98" i="138"/>
  <c r="AO98" i="138"/>
  <c r="AN98" i="138"/>
  <c r="AM98" i="138"/>
  <c r="AL98" i="138"/>
  <c r="AK98" i="138"/>
  <c r="AJ98" i="138"/>
  <c r="AI98" i="138"/>
  <c r="AH98" i="138"/>
  <c r="AG98" i="138"/>
  <c r="AF98" i="138"/>
  <c r="AE98" i="138"/>
  <c r="AD98" i="138"/>
  <c r="AC98" i="138"/>
  <c r="AB98" i="138"/>
  <c r="AA98" i="138"/>
  <c r="Z98" i="138"/>
  <c r="Y98" i="138"/>
  <c r="X98" i="138"/>
  <c r="W98" i="138"/>
  <c r="V98" i="138"/>
  <c r="U98" i="138"/>
  <c r="T98" i="138"/>
  <c r="S98" i="138"/>
  <c r="R98" i="138"/>
  <c r="Q98" i="138"/>
  <c r="P98" i="138"/>
  <c r="O98" i="138"/>
  <c r="N98" i="138"/>
  <c r="M98" i="138"/>
  <c r="L98" i="138"/>
  <c r="K98" i="138"/>
  <c r="C98" i="138"/>
  <c r="A98" i="138"/>
  <c r="AS97" i="138"/>
  <c r="AR97" i="138"/>
  <c r="AQ97" i="138"/>
  <c r="AP97" i="138"/>
  <c r="AO97" i="138"/>
  <c r="AN97" i="138"/>
  <c r="AM97" i="138"/>
  <c r="AL97" i="138"/>
  <c r="AK97" i="138"/>
  <c r="AJ97" i="138"/>
  <c r="AI97" i="138"/>
  <c r="AH97" i="138"/>
  <c r="AG97" i="138"/>
  <c r="AF97" i="138"/>
  <c r="AE97" i="138"/>
  <c r="AD97" i="138"/>
  <c r="AC97" i="138"/>
  <c r="AB97" i="138"/>
  <c r="AA97" i="138"/>
  <c r="Z97" i="138"/>
  <c r="Y97" i="138"/>
  <c r="X97" i="138"/>
  <c r="W97" i="138"/>
  <c r="V97" i="138"/>
  <c r="U97" i="138"/>
  <c r="T97" i="138"/>
  <c r="S97" i="138"/>
  <c r="R97" i="138"/>
  <c r="Q97" i="138"/>
  <c r="P97" i="138"/>
  <c r="O97" i="138"/>
  <c r="N97" i="138"/>
  <c r="M97" i="138"/>
  <c r="L97" i="138"/>
  <c r="K97" i="138"/>
  <c r="A97" i="138"/>
  <c r="AS96" i="138"/>
  <c r="AR96" i="138"/>
  <c r="AQ96" i="138"/>
  <c r="AP96" i="138"/>
  <c r="AO96" i="138"/>
  <c r="AN96" i="138"/>
  <c r="AM96" i="138"/>
  <c r="AL96" i="138"/>
  <c r="AK96" i="138"/>
  <c r="AJ96" i="138"/>
  <c r="AI96" i="138"/>
  <c r="AH96" i="138"/>
  <c r="AG96" i="138"/>
  <c r="AF96" i="138"/>
  <c r="AE96" i="138"/>
  <c r="AD96" i="138"/>
  <c r="AC96" i="138"/>
  <c r="AB96" i="138"/>
  <c r="AA96" i="138"/>
  <c r="Z96" i="138"/>
  <c r="Y96" i="138"/>
  <c r="X96" i="138"/>
  <c r="W96" i="138"/>
  <c r="V96" i="138"/>
  <c r="U96" i="138"/>
  <c r="T96" i="138"/>
  <c r="S96" i="138"/>
  <c r="R96" i="138"/>
  <c r="Q96" i="138"/>
  <c r="P96" i="138"/>
  <c r="O96" i="138"/>
  <c r="N96" i="138"/>
  <c r="M96" i="138"/>
  <c r="L96" i="138"/>
  <c r="K96" i="138"/>
  <c r="I96" i="138"/>
  <c r="H96" i="138"/>
  <c r="G96" i="138"/>
  <c r="F96" i="138"/>
  <c r="A96" i="138"/>
  <c r="AS95" i="138"/>
  <c r="AR95" i="138"/>
  <c r="AQ95" i="138"/>
  <c r="AP95" i="138"/>
  <c r="AO95" i="138"/>
  <c r="AN95" i="138"/>
  <c r="AM95" i="138"/>
  <c r="AL95" i="138"/>
  <c r="AK95" i="138"/>
  <c r="AJ95" i="138"/>
  <c r="AI95" i="138"/>
  <c r="AH95" i="138"/>
  <c r="AG95" i="138"/>
  <c r="AF95" i="138"/>
  <c r="AE95" i="138"/>
  <c r="AD95" i="138"/>
  <c r="AC95" i="138"/>
  <c r="AB95" i="138"/>
  <c r="AA95" i="138"/>
  <c r="Z95" i="138"/>
  <c r="Y95" i="138"/>
  <c r="X95" i="138"/>
  <c r="W95" i="138"/>
  <c r="V95" i="138"/>
  <c r="U95" i="138"/>
  <c r="T95" i="138"/>
  <c r="S95" i="138"/>
  <c r="R95" i="138"/>
  <c r="Q95" i="138"/>
  <c r="P95" i="138"/>
  <c r="O95" i="138"/>
  <c r="N95" i="138"/>
  <c r="M95" i="138"/>
  <c r="L95" i="138"/>
  <c r="K95" i="138"/>
  <c r="I95" i="138"/>
  <c r="I51" i="138" s="1"/>
  <c r="H95" i="138"/>
  <c r="G95" i="138"/>
  <c r="F95" i="138"/>
  <c r="F51" i="138" s="1"/>
  <c r="A95" i="138"/>
  <c r="A94" i="138"/>
  <c r="AR93" i="138"/>
  <c r="AQ93" i="138"/>
  <c r="AP93" i="138"/>
  <c r="AO93" i="138"/>
  <c r="AN93" i="138"/>
  <c r="AM93" i="138"/>
  <c r="AL93" i="138"/>
  <c r="AK93" i="138"/>
  <c r="AJ93" i="138"/>
  <c r="AI93" i="138"/>
  <c r="AH93" i="138"/>
  <c r="AG93" i="138"/>
  <c r="AF93" i="138"/>
  <c r="AD93" i="138"/>
  <c r="AC93" i="138"/>
  <c r="AB93" i="138"/>
  <c r="Z93" i="138"/>
  <c r="W93" i="138"/>
  <c r="U93" i="138"/>
  <c r="T93" i="138"/>
  <c r="S93" i="138"/>
  <c r="Q93" i="138"/>
  <c r="O93" i="138"/>
  <c r="N93" i="138"/>
  <c r="M93" i="138"/>
  <c r="L93" i="138"/>
  <c r="K93" i="138"/>
  <c r="A93" i="138"/>
  <c r="AS92" i="138"/>
  <c r="AR92" i="138"/>
  <c r="AQ92" i="138"/>
  <c r="AP92" i="138"/>
  <c r="AO92" i="138"/>
  <c r="AN92" i="138"/>
  <c r="AM92" i="138"/>
  <c r="AL92" i="138"/>
  <c r="AK92" i="138"/>
  <c r="AJ92" i="138"/>
  <c r="AI92" i="138"/>
  <c r="AH92" i="138"/>
  <c r="AG92" i="138"/>
  <c r="AF92" i="138"/>
  <c r="AE92" i="138"/>
  <c r="AD92" i="138"/>
  <c r="AC92" i="138"/>
  <c r="AB92" i="138"/>
  <c r="AA92" i="138"/>
  <c r="Z92" i="138"/>
  <c r="Y92" i="138"/>
  <c r="X92" i="138"/>
  <c r="W92" i="138"/>
  <c r="V92" i="138"/>
  <c r="U92" i="138"/>
  <c r="T92" i="138"/>
  <c r="S92" i="138"/>
  <c r="R92" i="138"/>
  <c r="Q92" i="138"/>
  <c r="P92" i="138"/>
  <c r="O92" i="138"/>
  <c r="N92" i="138"/>
  <c r="M92" i="138"/>
  <c r="L92" i="138"/>
  <c r="K92" i="138"/>
  <c r="A92" i="138"/>
  <c r="AS91" i="138"/>
  <c r="AR91" i="138"/>
  <c r="AQ91" i="138"/>
  <c r="AP91" i="138"/>
  <c r="AO91" i="138"/>
  <c r="AN91" i="138"/>
  <c r="AM91" i="138"/>
  <c r="AL91" i="138"/>
  <c r="AK91" i="138"/>
  <c r="AJ91" i="138"/>
  <c r="AI91" i="138"/>
  <c r="AH91" i="138"/>
  <c r="AG91" i="138"/>
  <c r="AF91" i="138"/>
  <c r="AE91" i="138"/>
  <c r="AD91" i="138"/>
  <c r="AC91" i="138"/>
  <c r="AB91" i="138"/>
  <c r="AA91" i="138"/>
  <c r="Z91" i="138"/>
  <c r="Y91" i="138"/>
  <c r="X91" i="138"/>
  <c r="W91" i="138"/>
  <c r="V91" i="138"/>
  <c r="U91" i="138"/>
  <c r="T91" i="138"/>
  <c r="S91" i="138"/>
  <c r="R91" i="138"/>
  <c r="Q91" i="138"/>
  <c r="P91" i="138"/>
  <c r="O91" i="138"/>
  <c r="N91" i="138"/>
  <c r="M91" i="138"/>
  <c r="L91" i="138"/>
  <c r="K91" i="138"/>
  <c r="A91" i="138"/>
  <c r="AS90" i="138"/>
  <c r="AR90" i="138"/>
  <c r="AQ90" i="138"/>
  <c r="AP90" i="138"/>
  <c r="AO90" i="138"/>
  <c r="AN90" i="138"/>
  <c r="AM90" i="138"/>
  <c r="AL90" i="138"/>
  <c r="AK90" i="138"/>
  <c r="AJ90" i="138"/>
  <c r="AI90" i="138"/>
  <c r="AH90" i="138"/>
  <c r="AG90" i="138"/>
  <c r="AF90" i="138"/>
  <c r="AE90" i="138"/>
  <c r="AD90" i="138"/>
  <c r="AC90" i="138"/>
  <c r="AB90" i="138"/>
  <c r="AA90" i="138"/>
  <c r="Z90" i="138"/>
  <c r="Y90" i="138"/>
  <c r="X90" i="138"/>
  <c r="W90" i="138"/>
  <c r="V90" i="138"/>
  <c r="U90" i="138"/>
  <c r="T90" i="138"/>
  <c r="S90" i="138"/>
  <c r="R90" i="138"/>
  <c r="Q90" i="138"/>
  <c r="P90" i="138"/>
  <c r="O90" i="138"/>
  <c r="N90" i="138"/>
  <c r="M90" i="138"/>
  <c r="L90" i="138"/>
  <c r="K90" i="138"/>
  <c r="A90" i="138"/>
  <c r="AS89" i="138"/>
  <c r="AR89" i="138"/>
  <c r="AQ89" i="138"/>
  <c r="AP89" i="138"/>
  <c r="AO89" i="138"/>
  <c r="AN89" i="138"/>
  <c r="AM89" i="138"/>
  <c r="AL89" i="138"/>
  <c r="AK89" i="138"/>
  <c r="AJ89" i="138"/>
  <c r="AI89" i="138"/>
  <c r="AH89" i="138"/>
  <c r="AG89" i="138"/>
  <c r="AF89" i="138"/>
  <c r="AE89" i="138"/>
  <c r="AD89" i="138"/>
  <c r="AC89" i="138"/>
  <c r="AB89" i="138"/>
  <c r="AA89" i="138"/>
  <c r="Z89" i="138"/>
  <c r="Y89" i="138"/>
  <c r="X89" i="138"/>
  <c r="W89" i="138"/>
  <c r="V89" i="138"/>
  <c r="U89" i="138"/>
  <c r="T89" i="138"/>
  <c r="S89" i="138"/>
  <c r="R89" i="138"/>
  <c r="Q89" i="138"/>
  <c r="P89" i="138"/>
  <c r="O89" i="138"/>
  <c r="N89" i="138"/>
  <c r="M89" i="138"/>
  <c r="L89" i="138"/>
  <c r="K89" i="138"/>
  <c r="A89" i="138"/>
  <c r="A88" i="138"/>
  <c r="AS87" i="138"/>
  <c r="AR87" i="138"/>
  <c r="AQ87" i="138"/>
  <c r="AP87" i="138"/>
  <c r="AO87" i="138"/>
  <c r="AN87" i="138"/>
  <c r="AM87" i="138"/>
  <c r="AL87" i="138"/>
  <c r="AK87" i="138"/>
  <c r="AJ87" i="138"/>
  <c r="AI87" i="138"/>
  <c r="AH87" i="138"/>
  <c r="AG87" i="138"/>
  <c r="AF87" i="138"/>
  <c r="AE87" i="138"/>
  <c r="AD87" i="138"/>
  <c r="AC87" i="138"/>
  <c r="AB87" i="138"/>
  <c r="Z87" i="138"/>
  <c r="Y87" i="138"/>
  <c r="X87" i="138"/>
  <c r="W87" i="138"/>
  <c r="V87" i="138"/>
  <c r="U87" i="138"/>
  <c r="T87" i="138"/>
  <c r="S87" i="138"/>
  <c r="R87" i="138"/>
  <c r="Q87" i="138"/>
  <c r="P87" i="138"/>
  <c r="O87" i="138"/>
  <c r="N87" i="138"/>
  <c r="M87" i="138"/>
  <c r="L87" i="138"/>
  <c r="K87" i="138"/>
  <c r="A87" i="138"/>
  <c r="A86" i="138"/>
  <c r="A85" i="138"/>
  <c r="A84" i="138"/>
  <c r="A83" i="138"/>
  <c r="A82" i="138"/>
  <c r="A81" i="138"/>
  <c r="AS80" i="138"/>
  <c r="AR80" i="138"/>
  <c r="AQ80" i="138"/>
  <c r="AP80" i="138"/>
  <c r="AO80" i="138"/>
  <c r="AN80" i="138"/>
  <c r="AM80" i="138"/>
  <c r="AL80" i="138"/>
  <c r="AK80" i="138"/>
  <c r="AJ80" i="138"/>
  <c r="AI80" i="138"/>
  <c r="AH80" i="138"/>
  <c r="AG80" i="138"/>
  <c r="AF80" i="138"/>
  <c r="AE80" i="138"/>
  <c r="AD80" i="138"/>
  <c r="AC80" i="138"/>
  <c r="AB80" i="138"/>
  <c r="AA80" i="138"/>
  <c r="Z80" i="138"/>
  <c r="Y80" i="138"/>
  <c r="X80" i="138"/>
  <c r="W80" i="138"/>
  <c r="V80" i="138"/>
  <c r="U80" i="138"/>
  <c r="T80" i="138"/>
  <c r="S80" i="138"/>
  <c r="R80" i="138"/>
  <c r="Q80" i="138"/>
  <c r="P80" i="138"/>
  <c r="O80" i="138"/>
  <c r="N80" i="138"/>
  <c r="M80" i="138"/>
  <c r="L80" i="138"/>
  <c r="K80" i="138"/>
  <c r="I80" i="138"/>
  <c r="H80" i="138"/>
  <c r="G80" i="138"/>
  <c r="F80" i="138"/>
  <c r="A80" i="138"/>
  <c r="A79" i="138"/>
  <c r="AS78" i="138"/>
  <c r="AR78" i="138"/>
  <c r="AQ78" i="138"/>
  <c r="AP78" i="138"/>
  <c r="AO78" i="138"/>
  <c r="AN78" i="138"/>
  <c r="AM78" i="138"/>
  <c r="AL78" i="138"/>
  <c r="AK78" i="138"/>
  <c r="AJ78" i="138"/>
  <c r="AI78" i="138"/>
  <c r="AH78" i="138"/>
  <c r="AG78" i="138"/>
  <c r="AF78" i="138"/>
  <c r="AE78" i="138"/>
  <c r="AD78" i="138"/>
  <c r="AC78" i="138"/>
  <c r="AB78" i="138"/>
  <c r="AA78" i="138"/>
  <c r="Z78" i="138"/>
  <c r="Y78" i="138"/>
  <c r="X78" i="138"/>
  <c r="W78" i="138"/>
  <c r="V78" i="138"/>
  <c r="U78" i="138"/>
  <c r="T78" i="138"/>
  <c r="S78" i="138"/>
  <c r="R78" i="138"/>
  <c r="Q78" i="138"/>
  <c r="P78" i="138"/>
  <c r="O78" i="138"/>
  <c r="N78" i="138"/>
  <c r="M78" i="138"/>
  <c r="L78" i="138"/>
  <c r="K78" i="138"/>
  <c r="A78" i="138"/>
  <c r="AS77" i="138"/>
  <c r="AR77" i="138"/>
  <c r="AQ77" i="138"/>
  <c r="AP77" i="138"/>
  <c r="AO77" i="138"/>
  <c r="AN77" i="138"/>
  <c r="AM77" i="138"/>
  <c r="AL77" i="138"/>
  <c r="AK77" i="138"/>
  <c r="AJ77" i="138"/>
  <c r="AI77" i="138"/>
  <c r="AH77" i="138"/>
  <c r="AG77" i="138"/>
  <c r="AF77" i="138"/>
  <c r="AE77" i="138"/>
  <c r="AD77" i="138"/>
  <c r="AC77" i="138"/>
  <c r="AB77" i="138"/>
  <c r="AA77" i="138"/>
  <c r="Z77" i="138"/>
  <c r="Y77" i="138"/>
  <c r="X77" i="138"/>
  <c r="W77" i="138"/>
  <c r="V77" i="138"/>
  <c r="U77" i="138"/>
  <c r="T77" i="138"/>
  <c r="S77" i="138"/>
  <c r="R77" i="138"/>
  <c r="Q77" i="138"/>
  <c r="P77" i="138"/>
  <c r="O77" i="138"/>
  <c r="N77" i="138"/>
  <c r="M77" i="138"/>
  <c r="L77" i="138"/>
  <c r="K77" i="138"/>
  <c r="A77" i="138"/>
  <c r="AS76" i="138"/>
  <c r="AR76" i="138"/>
  <c r="AQ76" i="138"/>
  <c r="AP76" i="138"/>
  <c r="AO76" i="138"/>
  <c r="AN76" i="138"/>
  <c r="AM76" i="138"/>
  <c r="AL76" i="138"/>
  <c r="AK76" i="138"/>
  <c r="AJ76" i="138"/>
  <c r="AI76" i="138"/>
  <c r="AH76" i="138"/>
  <c r="AG76" i="138"/>
  <c r="AF76" i="138"/>
  <c r="AE76" i="138"/>
  <c r="AD76" i="138"/>
  <c r="AC76" i="138"/>
  <c r="AB76" i="138"/>
  <c r="AA76" i="138"/>
  <c r="Z76" i="138"/>
  <c r="Y76" i="138"/>
  <c r="X76" i="138"/>
  <c r="W76" i="138"/>
  <c r="V76" i="138"/>
  <c r="U76" i="138"/>
  <c r="T76" i="138"/>
  <c r="S76" i="138"/>
  <c r="R76" i="138"/>
  <c r="Q76" i="138"/>
  <c r="P76" i="138"/>
  <c r="O76" i="138"/>
  <c r="N76" i="138"/>
  <c r="M76" i="138"/>
  <c r="L76" i="138"/>
  <c r="K76" i="138"/>
  <c r="A76" i="138"/>
  <c r="AS75" i="138"/>
  <c r="AR75" i="138"/>
  <c r="AQ75" i="138"/>
  <c r="AP75" i="138"/>
  <c r="AO75" i="138"/>
  <c r="AN75" i="138"/>
  <c r="AM75" i="138"/>
  <c r="AL75" i="138"/>
  <c r="AK75" i="138"/>
  <c r="AJ75" i="138"/>
  <c r="AI75" i="138"/>
  <c r="AH75" i="138"/>
  <c r="AG75" i="138"/>
  <c r="AF75" i="138"/>
  <c r="AE75" i="138"/>
  <c r="AD75" i="138"/>
  <c r="AC75" i="138"/>
  <c r="AB75" i="138"/>
  <c r="AA75" i="138"/>
  <c r="Z75" i="138"/>
  <c r="Y75" i="138"/>
  <c r="X75" i="138"/>
  <c r="W75" i="138"/>
  <c r="V75" i="138"/>
  <c r="U75" i="138"/>
  <c r="T75" i="138"/>
  <c r="S75" i="138"/>
  <c r="R75" i="138"/>
  <c r="Q75" i="138"/>
  <c r="P75" i="138"/>
  <c r="O75" i="138"/>
  <c r="N75" i="138"/>
  <c r="M75" i="138"/>
  <c r="L75" i="138"/>
  <c r="K75" i="138"/>
  <c r="A75" i="138"/>
  <c r="AS74" i="138"/>
  <c r="AR74" i="138"/>
  <c r="AQ74" i="138"/>
  <c r="AP74" i="138"/>
  <c r="AO74" i="138"/>
  <c r="AN74" i="138"/>
  <c r="AM74" i="138"/>
  <c r="AL74" i="138"/>
  <c r="AK74" i="138"/>
  <c r="AJ74" i="138"/>
  <c r="AI74" i="138"/>
  <c r="AH74" i="138"/>
  <c r="AG74" i="138"/>
  <c r="AF74" i="138"/>
  <c r="AE74" i="138"/>
  <c r="AD74" i="138"/>
  <c r="AC74" i="138"/>
  <c r="AB74" i="138"/>
  <c r="AA74" i="138"/>
  <c r="Z74" i="138"/>
  <c r="Y74" i="138"/>
  <c r="X74" i="138"/>
  <c r="W74" i="138"/>
  <c r="V74" i="138"/>
  <c r="U74" i="138"/>
  <c r="T74" i="138"/>
  <c r="S74" i="138"/>
  <c r="R74" i="138"/>
  <c r="Q74" i="138"/>
  <c r="P74" i="138"/>
  <c r="O74" i="138"/>
  <c r="N74" i="138"/>
  <c r="M74" i="138"/>
  <c r="L74" i="138"/>
  <c r="K74" i="138"/>
  <c r="A74" i="138"/>
  <c r="AS73" i="138"/>
  <c r="AR73" i="138"/>
  <c r="AQ73" i="138"/>
  <c r="AP73" i="138"/>
  <c r="AO73" i="138"/>
  <c r="AN73" i="138"/>
  <c r="AM73" i="138"/>
  <c r="AL73" i="138"/>
  <c r="AK73" i="138"/>
  <c r="AJ73" i="138"/>
  <c r="AI73" i="138"/>
  <c r="AH73" i="138"/>
  <c r="AG73" i="138"/>
  <c r="AF73" i="138"/>
  <c r="AE73" i="138"/>
  <c r="AD73" i="138"/>
  <c r="AC73" i="138"/>
  <c r="AB73" i="138"/>
  <c r="AA73" i="138"/>
  <c r="Z73" i="138"/>
  <c r="Y73" i="138"/>
  <c r="X73" i="138"/>
  <c r="W73" i="138"/>
  <c r="V73" i="138"/>
  <c r="U73" i="138"/>
  <c r="T73" i="138"/>
  <c r="S73" i="138"/>
  <c r="R73" i="138"/>
  <c r="Q73" i="138"/>
  <c r="P73" i="138"/>
  <c r="O73" i="138"/>
  <c r="N73" i="138"/>
  <c r="M73" i="138"/>
  <c r="L73" i="138"/>
  <c r="K73" i="138"/>
  <c r="A73" i="138"/>
  <c r="A72" i="138"/>
  <c r="CL71" i="138"/>
  <c r="CK71" i="138"/>
  <c r="CJ71" i="138"/>
  <c r="CI71" i="138"/>
  <c r="CH71" i="138"/>
  <c r="CG71" i="138"/>
  <c r="CF71" i="138"/>
  <c r="CE71" i="138"/>
  <c r="CD71" i="138"/>
  <c r="CC71" i="138"/>
  <c r="CB71" i="138"/>
  <c r="CA71" i="138"/>
  <c r="BZ71" i="138"/>
  <c r="BY71" i="138"/>
  <c r="BX71" i="138"/>
  <c r="BW71" i="138"/>
  <c r="BV71" i="138"/>
  <c r="BU71" i="138"/>
  <c r="BT71" i="138"/>
  <c r="BS71" i="138"/>
  <c r="BR71" i="138"/>
  <c r="BQ71" i="138"/>
  <c r="BP71" i="138"/>
  <c r="BO71" i="138"/>
  <c r="BN71" i="138"/>
  <c r="BM71" i="138"/>
  <c r="BL71" i="138"/>
  <c r="BK71" i="138"/>
  <c r="BJ71" i="138"/>
  <c r="BI71" i="138"/>
  <c r="BH71" i="138"/>
  <c r="BG71" i="138"/>
  <c r="BF71" i="138"/>
  <c r="BE71" i="138"/>
  <c r="BD71" i="138"/>
  <c r="BC71" i="138"/>
  <c r="BB71" i="138"/>
  <c r="BA71" i="138"/>
  <c r="AZ71" i="138"/>
  <c r="AY71" i="138"/>
  <c r="AX71" i="138"/>
  <c r="AW71" i="138"/>
  <c r="AV71" i="138"/>
  <c r="AU71" i="138"/>
  <c r="A71" i="138"/>
  <c r="AS70" i="138"/>
  <c r="AR70" i="138"/>
  <c r="AQ70" i="138"/>
  <c r="AP70" i="138"/>
  <c r="AO70" i="138"/>
  <c r="AN70" i="138"/>
  <c r="AM70" i="138"/>
  <c r="AL70" i="138"/>
  <c r="AK70" i="138"/>
  <c r="AJ70" i="138"/>
  <c r="AI70" i="138"/>
  <c r="AH70" i="138"/>
  <c r="AG70" i="138"/>
  <c r="AF70" i="138"/>
  <c r="AE70" i="138"/>
  <c r="AD70" i="138"/>
  <c r="AC70" i="138"/>
  <c r="AB70" i="138"/>
  <c r="AA70" i="138"/>
  <c r="Z70" i="138"/>
  <c r="Y70" i="138"/>
  <c r="X70" i="138"/>
  <c r="W70" i="138"/>
  <c r="V70" i="138"/>
  <c r="U70" i="138"/>
  <c r="T70" i="138"/>
  <c r="S70" i="138"/>
  <c r="R70" i="138"/>
  <c r="Q70" i="138"/>
  <c r="P70" i="138"/>
  <c r="O70" i="138"/>
  <c r="N70" i="138"/>
  <c r="M70" i="138"/>
  <c r="L70" i="138"/>
  <c r="K70" i="138"/>
  <c r="I70" i="138"/>
  <c r="H70" i="138"/>
  <c r="G70" i="138"/>
  <c r="F70" i="138"/>
  <c r="A70" i="138"/>
  <c r="AS69" i="138"/>
  <c r="AR69" i="138"/>
  <c r="AQ69" i="138"/>
  <c r="AP69" i="138"/>
  <c r="AO69" i="138"/>
  <c r="AN69" i="138"/>
  <c r="AM69" i="138"/>
  <c r="AL69" i="138"/>
  <c r="AK69" i="138"/>
  <c r="AJ69" i="138"/>
  <c r="AI69" i="138"/>
  <c r="AH69" i="138"/>
  <c r="AG69" i="138"/>
  <c r="AF69" i="138"/>
  <c r="AE69" i="138"/>
  <c r="AD69" i="138"/>
  <c r="AC69" i="138"/>
  <c r="AB69" i="138"/>
  <c r="AA69" i="138"/>
  <c r="Z69" i="138"/>
  <c r="Y69" i="138"/>
  <c r="X69" i="138"/>
  <c r="W69" i="138"/>
  <c r="V69" i="138"/>
  <c r="U69" i="138"/>
  <c r="T69" i="138"/>
  <c r="S69" i="138"/>
  <c r="R69" i="138"/>
  <c r="Q69" i="138"/>
  <c r="P69" i="138"/>
  <c r="O69" i="138"/>
  <c r="N69" i="138"/>
  <c r="M69" i="138"/>
  <c r="L69" i="138"/>
  <c r="K69" i="138"/>
  <c r="I69" i="138"/>
  <c r="H69" i="138"/>
  <c r="G69" i="138"/>
  <c r="F69" i="138"/>
  <c r="A69" i="138"/>
  <c r="A68" i="138"/>
  <c r="A67" i="138"/>
  <c r="A66" i="138"/>
  <c r="A65" i="138"/>
  <c r="A64" i="138"/>
  <c r="AS63" i="138"/>
  <c r="AR63" i="138"/>
  <c r="AQ63" i="138"/>
  <c r="AP63" i="138"/>
  <c r="AO63" i="138"/>
  <c r="AN63" i="138"/>
  <c r="AM63" i="138"/>
  <c r="AL63" i="138"/>
  <c r="AK63" i="138"/>
  <c r="AJ63" i="138"/>
  <c r="AI63" i="138"/>
  <c r="AH63" i="138"/>
  <c r="AG63" i="138"/>
  <c r="AF63" i="138"/>
  <c r="AE63" i="138"/>
  <c r="AD63" i="138"/>
  <c r="AC63" i="138"/>
  <c r="AB63" i="138"/>
  <c r="AA63" i="138"/>
  <c r="Z63" i="138"/>
  <c r="Y63" i="138"/>
  <c r="X63" i="138"/>
  <c r="W63" i="138"/>
  <c r="V63" i="138"/>
  <c r="U63" i="138"/>
  <c r="T63" i="138"/>
  <c r="S63" i="138"/>
  <c r="R63" i="138"/>
  <c r="Q63" i="138"/>
  <c r="P63" i="138"/>
  <c r="O63" i="138"/>
  <c r="N63" i="138"/>
  <c r="M63" i="138"/>
  <c r="L63" i="138"/>
  <c r="K63" i="138"/>
  <c r="A63" i="138"/>
  <c r="AS62" i="138"/>
  <c r="AR62" i="138"/>
  <c r="AQ62" i="138"/>
  <c r="AP62" i="138"/>
  <c r="AO62" i="138"/>
  <c r="AN62" i="138"/>
  <c r="AM62" i="138"/>
  <c r="AL62" i="138"/>
  <c r="AK62" i="138"/>
  <c r="AJ62" i="138"/>
  <c r="AI62" i="138"/>
  <c r="AH62" i="138"/>
  <c r="AG62" i="138"/>
  <c r="AF62" i="138"/>
  <c r="AE62" i="138"/>
  <c r="AD62" i="138"/>
  <c r="AC62" i="138"/>
  <c r="AB62" i="138"/>
  <c r="AA62" i="138"/>
  <c r="Z62" i="138"/>
  <c r="Y62" i="138"/>
  <c r="X62" i="138"/>
  <c r="W62" i="138"/>
  <c r="V62" i="138"/>
  <c r="U62" i="138"/>
  <c r="T62" i="138"/>
  <c r="S62" i="138"/>
  <c r="R62" i="138"/>
  <c r="Q62" i="138"/>
  <c r="P62" i="138"/>
  <c r="O62" i="138"/>
  <c r="N62" i="138"/>
  <c r="M62" i="138"/>
  <c r="L62" i="138"/>
  <c r="K62" i="138"/>
  <c r="A62" i="138"/>
  <c r="AS61" i="138"/>
  <c r="AR61" i="138"/>
  <c r="AQ61" i="138"/>
  <c r="AP61" i="138"/>
  <c r="AO61" i="138"/>
  <c r="AN61" i="138"/>
  <c r="AM61" i="138"/>
  <c r="AL61" i="138"/>
  <c r="AK61" i="138"/>
  <c r="AJ61" i="138"/>
  <c r="AI61" i="138"/>
  <c r="AH61" i="138"/>
  <c r="AG61" i="138"/>
  <c r="AF61" i="138"/>
  <c r="AE61" i="138"/>
  <c r="AD61" i="138"/>
  <c r="AC61" i="138"/>
  <c r="AB61" i="138"/>
  <c r="AA61" i="138"/>
  <c r="Z61" i="138"/>
  <c r="Y61" i="138"/>
  <c r="X61" i="138"/>
  <c r="W61" i="138"/>
  <c r="V61" i="138"/>
  <c r="U61" i="138"/>
  <c r="T61" i="138"/>
  <c r="S61" i="138"/>
  <c r="R61" i="138"/>
  <c r="Q61" i="138"/>
  <c r="P61" i="138"/>
  <c r="O61" i="138"/>
  <c r="N61" i="138"/>
  <c r="M61" i="138"/>
  <c r="L61" i="138"/>
  <c r="K61" i="138"/>
  <c r="A61" i="138"/>
  <c r="AS60" i="138"/>
  <c r="AR60" i="138"/>
  <c r="AQ60" i="138"/>
  <c r="AP60" i="138"/>
  <c r="AO60" i="138"/>
  <c r="AN60" i="138"/>
  <c r="AM60" i="138"/>
  <c r="AL60" i="138"/>
  <c r="AK60" i="138"/>
  <c r="AJ60" i="138"/>
  <c r="AI60" i="138"/>
  <c r="AH60" i="138"/>
  <c r="AG60" i="138"/>
  <c r="AF60" i="138"/>
  <c r="AE60" i="138"/>
  <c r="AD60" i="138"/>
  <c r="AC60" i="138"/>
  <c r="AB60" i="138"/>
  <c r="AA60" i="138"/>
  <c r="Z60" i="138"/>
  <c r="Y60" i="138"/>
  <c r="X60" i="138"/>
  <c r="W60" i="138"/>
  <c r="V60" i="138"/>
  <c r="U60" i="138"/>
  <c r="T60" i="138"/>
  <c r="S60" i="138"/>
  <c r="R60" i="138"/>
  <c r="Q60" i="138"/>
  <c r="P60" i="138"/>
  <c r="O60" i="138"/>
  <c r="N60" i="138"/>
  <c r="M60" i="138"/>
  <c r="L60" i="138"/>
  <c r="K60" i="138"/>
  <c r="A60" i="138"/>
  <c r="AS59" i="138"/>
  <c r="AR59" i="138"/>
  <c r="AQ59" i="138"/>
  <c r="AP59" i="138"/>
  <c r="AO59" i="138"/>
  <c r="AN59" i="138"/>
  <c r="AM59" i="138"/>
  <c r="AL59" i="138"/>
  <c r="AK59" i="138"/>
  <c r="AJ59" i="138"/>
  <c r="AI59" i="138"/>
  <c r="AH59" i="138"/>
  <c r="AG59" i="138"/>
  <c r="AF59" i="138"/>
  <c r="AE59" i="138"/>
  <c r="AD59" i="138"/>
  <c r="AC59" i="138"/>
  <c r="AB59" i="138"/>
  <c r="AA59" i="138"/>
  <c r="Z59" i="138"/>
  <c r="Y59" i="138"/>
  <c r="X59" i="138"/>
  <c r="W59" i="138"/>
  <c r="V59" i="138"/>
  <c r="U59" i="138"/>
  <c r="T59" i="138"/>
  <c r="S59" i="138"/>
  <c r="R59" i="138"/>
  <c r="Q59" i="138"/>
  <c r="P59" i="138"/>
  <c r="O59" i="138"/>
  <c r="N59" i="138"/>
  <c r="M59" i="138"/>
  <c r="L59" i="138"/>
  <c r="K59" i="138"/>
  <c r="A59" i="138"/>
  <c r="AS58" i="138"/>
  <c r="AR58" i="138"/>
  <c r="AQ58" i="138"/>
  <c r="AP58" i="138"/>
  <c r="AO58" i="138"/>
  <c r="AN58" i="138"/>
  <c r="AM58" i="138"/>
  <c r="AL58" i="138"/>
  <c r="AK58" i="138"/>
  <c r="AJ58" i="138"/>
  <c r="AI58" i="138"/>
  <c r="AH58" i="138"/>
  <c r="AG58" i="138"/>
  <c r="AF58" i="138"/>
  <c r="AE58" i="138"/>
  <c r="AD58" i="138"/>
  <c r="AC58" i="138"/>
  <c r="AB58" i="138"/>
  <c r="AA58" i="138"/>
  <c r="Z58" i="138"/>
  <c r="Y58" i="138"/>
  <c r="X58" i="138"/>
  <c r="W58" i="138"/>
  <c r="V58" i="138"/>
  <c r="U58" i="138"/>
  <c r="T58" i="138"/>
  <c r="S58" i="138"/>
  <c r="R58" i="138"/>
  <c r="Q58" i="138"/>
  <c r="P58" i="138"/>
  <c r="O58" i="138"/>
  <c r="N58" i="138"/>
  <c r="M58" i="138"/>
  <c r="L58" i="138"/>
  <c r="K58" i="138"/>
  <c r="A58" i="138"/>
  <c r="AS57" i="138"/>
  <c r="AR57" i="138"/>
  <c r="AQ57" i="138"/>
  <c r="AP57" i="138"/>
  <c r="AO57" i="138"/>
  <c r="AN57" i="138"/>
  <c r="AM57" i="138"/>
  <c r="AL57" i="138"/>
  <c r="AK57" i="138"/>
  <c r="AJ57" i="138"/>
  <c r="AI57" i="138"/>
  <c r="AH57" i="138"/>
  <c r="AG57" i="138"/>
  <c r="AF57" i="138"/>
  <c r="AE57" i="138"/>
  <c r="AD57" i="138"/>
  <c r="AC57" i="138"/>
  <c r="AB57" i="138"/>
  <c r="AA57" i="138"/>
  <c r="Z57" i="138"/>
  <c r="Y57" i="138"/>
  <c r="X57" i="138"/>
  <c r="W57" i="138"/>
  <c r="V57" i="138"/>
  <c r="U57" i="138"/>
  <c r="T57" i="138"/>
  <c r="S57" i="138"/>
  <c r="R57" i="138"/>
  <c r="Q57" i="138"/>
  <c r="P57" i="138"/>
  <c r="O57" i="138"/>
  <c r="N57" i="138"/>
  <c r="M57" i="138"/>
  <c r="L57" i="138"/>
  <c r="K57" i="138"/>
  <c r="A57" i="138"/>
  <c r="AS56" i="138"/>
  <c r="AR56" i="138"/>
  <c r="AQ56" i="138"/>
  <c r="AP56" i="138"/>
  <c r="AO56" i="138"/>
  <c r="AN56" i="138"/>
  <c r="AM56" i="138"/>
  <c r="AL56" i="138"/>
  <c r="AK56" i="138"/>
  <c r="AJ56" i="138"/>
  <c r="AI56" i="138"/>
  <c r="AH56" i="138"/>
  <c r="AG56" i="138"/>
  <c r="AF56" i="138"/>
  <c r="AE56" i="138"/>
  <c r="AD56" i="138"/>
  <c r="AC56" i="138"/>
  <c r="AB56" i="138"/>
  <c r="AA56" i="138"/>
  <c r="Z56" i="138"/>
  <c r="Y56" i="138"/>
  <c r="X56" i="138"/>
  <c r="W56" i="138"/>
  <c r="V56" i="138"/>
  <c r="U56" i="138"/>
  <c r="T56" i="138"/>
  <c r="S56" i="138"/>
  <c r="R56" i="138"/>
  <c r="Q56" i="138"/>
  <c r="P56" i="138"/>
  <c r="O56" i="138"/>
  <c r="N56" i="138"/>
  <c r="M56" i="138"/>
  <c r="L56" i="138"/>
  <c r="K56" i="138"/>
  <c r="A56" i="138"/>
  <c r="A55" i="138"/>
  <c r="CL54" i="138"/>
  <c r="CK54" i="138"/>
  <c r="CJ54" i="138"/>
  <c r="CI54" i="138"/>
  <c r="CH54" i="138"/>
  <c r="AM54" i="138" s="1"/>
  <c r="CG54" i="138"/>
  <c r="CF54" i="138"/>
  <c r="CE54" i="138"/>
  <c r="AL54" i="138" s="1"/>
  <c r="CD54" i="138"/>
  <c r="CC54" i="138"/>
  <c r="AO54" i="138" s="1"/>
  <c r="CB54" i="138"/>
  <c r="AK54" i="138" s="1"/>
  <c r="CA54" i="138"/>
  <c r="BZ54" i="138"/>
  <c r="AH54" i="138"/>
  <c r="BY54" i="138"/>
  <c r="AJ54" i="138" s="1"/>
  <c r="BX54" i="138"/>
  <c r="AC54" i="138" s="1"/>
  <c r="BW54" i="138"/>
  <c r="BV54" i="138"/>
  <c r="AG54" i="138"/>
  <c r="BU54" i="138"/>
  <c r="BT54" i="138"/>
  <c r="BS54" i="138"/>
  <c r="BR54" i="138"/>
  <c r="W54" i="138" s="1"/>
  <c r="BQ54" i="138"/>
  <c r="BP54" i="138"/>
  <c r="AB54" i="138"/>
  <c r="BO54" i="138"/>
  <c r="BN54" i="138"/>
  <c r="BM54" i="138"/>
  <c r="Z54" i="138"/>
  <c r="BL54" i="138"/>
  <c r="BK54" i="138"/>
  <c r="BJ54" i="138"/>
  <c r="BI54" i="138"/>
  <c r="BH54" i="138"/>
  <c r="BG54" i="138"/>
  <c r="BF54" i="138"/>
  <c r="K54" i="138"/>
  <c r="BE54" i="138"/>
  <c r="BD54" i="138"/>
  <c r="M54" i="138" s="1"/>
  <c r="BC54" i="138"/>
  <c r="BB54" i="138"/>
  <c r="T54" i="138"/>
  <c r="BA54" i="138"/>
  <c r="AZ54" i="138"/>
  <c r="AY54" i="138"/>
  <c r="L54" i="138" s="1"/>
  <c r="AX54" i="138"/>
  <c r="AW54" i="138"/>
  <c r="AV54" i="138"/>
  <c r="S54" i="138"/>
  <c r="AU54" i="138"/>
  <c r="AR54" i="138"/>
  <c r="AQ54" i="138"/>
  <c r="AP54" i="138"/>
  <c r="AN54" i="138"/>
  <c r="AI54" i="138"/>
  <c r="AF54" i="138"/>
  <c r="AD54" i="138"/>
  <c r="U54" i="138"/>
  <c r="O54" i="138"/>
  <c r="N54" i="138"/>
  <c r="I54" i="138"/>
  <c r="H54" i="138"/>
  <c r="G54" i="138"/>
  <c r="F54" i="138"/>
  <c r="A54" i="138"/>
  <c r="A53" i="138"/>
  <c r="AC52" i="138"/>
  <c r="T52" i="138"/>
  <c r="AQ52" i="138"/>
  <c r="AO52" i="138"/>
  <c r="AM52" i="138"/>
  <c r="AL52" i="138"/>
  <c r="AJ52" i="138"/>
  <c r="AI52" i="138"/>
  <c r="AG52" i="138"/>
  <c r="AF52" i="138"/>
  <c r="W52" i="138"/>
  <c r="S52" i="138"/>
  <c r="R52" i="138"/>
  <c r="O52" i="138"/>
  <c r="N52" i="138"/>
  <c r="M52" i="138"/>
  <c r="L52" i="138"/>
  <c r="K52" i="138"/>
  <c r="A52" i="138"/>
  <c r="CL51" i="138"/>
  <c r="CK51" i="138"/>
  <c r="AQ51" i="138" s="1"/>
  <c r="CJ51" i="138"/>
  <c r="AN51" i="138" s="1"/>
  <c r="CI51" i="138"/>
  <c r="CH51" i="138"/>
  <c r="AM51" i="138" s="1"/>
  <c r="CG51" i="138"/>
  <c r="CF51" i="138"/>
  <c r="CE51" i="138"/>
  <c r="CD51" i="138"/>
  <c r="AP51" i="138" s="1"/>
  <c r="CC51" i="138"/>
  <c r="AO51" i="138" s="1"/>
  <c r="CB51" i="138"/>
  <c r="AK51" i="138" s="1"/>
  <c r="CA51" i="138"/>
  <c r="AF51" i="138" s="1"/>
  <c r="BZ51" i="138"/>
  <c r="AH51" i="138"/>
  <c r="BY51" i="138"/>
  <c r="BX51" i="138"/>
  <c r="AC51" i="138" s="1"/>
  <c r="BW51" i="138"/>
  <c r="AI51" i="138" s="1"/>
  <c r="BV51" i="138"/>
  <c r="AG51" i="138" s="1"/>
  <c r="BU51" i="138"/>
  <c r="BT51" i="138"/>
  <c r="BS51" i="138"/>
  <c r="BR51" i="138"/>
  <c r="W51" i="138" s="1"/>
  <c r="BQ51" i="138"/>
  <c r="BP51" i="138"/>
  <c r="AB51" i="138" s="1"/>
  <c r="BO51" i="138"/>
  <c r="BN51" i="138"/>
  <c r="BM51" i="138"/>
  <c r="Z51" i="138" s="1"/>
  <c r="BL51" i="138"/>
  <c r="BK51" i="138"/>
  <c r="BJ51" i="138"/>
  <c r="BI51" i="138"/>
  <c r="BH51" i="138"/>
  <c r="BG51" i="138"/>
  <c r="BF51" i="138"/>
  <c r="BE51" i="138"/>
  <c r="O51" i="138" s="1"/>
  <c r="BD51" i="138"/>
  <c r="M51" i="138" s="1"/>
  <c r="BC51" i="138"/>
  <c r="U51" i="138"/>
  <c r="BB51" i="138"/>
  <c r="T51" i="138" s="1"/>
  <c r="BA51" i="138"/>
  <c r="AZ51" i="138"/>
  <c r="AY51" i="138"/>
  <c r="L51" i="138" s="1"/>
  <c r="AX51" i="138"/>
  <c r="AW51" i="138"/>
  <c r="N51" i="138" s="1"/>
  <c r="AV51" i="138"/>
  <c r="AU51" i="138"/>
  <c r="AR51" i="138"/>
  <c r="AL51" i="138"/>
  <c r="AJ51" i="138"/>
  <c r="AD51" i="138"/>
  <c r="S51" i="138"/>
  <c r="K51" i="138"/>
  <c r="H51" i="138"/>
  <c r="G51" i="138"/>
  <c r="A51" i="138"/>
  <c r="AR50" i="138"/>
  <c r="AQ50" i="138"/>
  <c r="AP50" i="138"/>
  <c r="AO50" i="138"/>
  <c r="AN50" i="138"/>
  <c r="AM50" i="138"/>
  <c r="AL50" i="138"/>
  <c r="AK50" i="138"/>
  <c r="AJ50" i="138"/>
  <c r="AI50" i="138"/>
  <c r="AH50" i="138"/>
  <c r="AG50" i="138"/>
  <c r="AF50" i="138"/>
  <c r="AD50" i="138"/>
  <c r="AC50" i="138"/>
  <c r="AB50" i="138"/>
  <c r="Z50" i="138"/>
  <c r="W50" i="138"/>
  <c r="U50" i="138"/>
  <c r="T50" i="138"/>
  <c r="S50" i="138"/>
  <c r="Q50" i="138"/>
  <c r="O50" i="138"/>
  <c r="N50" i="138"/>
  <c r="M50" i="138"/>
  <c r="L50" i="138"/>
  <c r="K50" i="138"/>
  <c r="A50" i="138"/>
  <c r="AS49" i="138"/>
  <c r="AR49" i="138"/>
  <c r="AQ49" i="138"/>
  <c r="AP49" i="138"/>
  <c r="AO49" i="138"/>
  <c r="AN49" i="138"/>
  <c r="AM49" i="138"/>
  <c r="AL49" i="138"/>
  <c r="AK49" i="138"/>
  <c r="AJ49" i="138"/>
  <c r="AI49" i="138"/>
  <c r="AH49" i="138"/>
  <c r="AG49" i="138"/>
  <c r="AF49" i="138"/>
  <c r="AE49" i="138"/>
  <c r="AD49" i="138"/>
  <c r="AC49" i="138"/>
  <c r="AB49" i="138"/>
  <c r="AA49" i="138"/>
  <c r="Z49" i="138"/>
  <c r="Y49" i="138"/>
  <c r="X49" i="138"/>
  <c r="W49" i="138"/>
  <c r="V49" i="138"/>
  <c r="U49" i="138"/>
  <c r="T49" i="138"/>
  <c r="S49" i="138"/>
  <c r="R49" i="138"/>
  <c r="Q49" i="138"/>
  <c r="P49" i="138"/>
  <c r="O49" i="138"/>
  <c r="N49" i="138"/>
  <c r="M49" i="138"/>
  <c r="L49" i="138"/>
  <c r="K49" i="138"/>
  <c r="A49" i="138"/>
  <c r="AS48" i="138"/>
  <c r="AR48" i="138"/>
  <c r="AQ48" i="138"/>
  <c r="AP48" i="138"/>
  <c r="AO48" i="138"/>
  <c r="AN48" i="138"/>
  <c r="AM48" i="138"/>
  <c r="AL48" i="138"/>
  <c r="AK48" i="138"/>
  <c r="AJ48" i="138"/>
  <c r="AI48" i="138"/>
  <c r="AH48" i="138"/>
  <c r="AG48" i="138"/>
  <c r="AF48" i="138"/>
  <c r="AE48" i="138"/>
  <c r="AD48" i="138"/>
  <c r="AC48" i="138"/>
  <c r="AB48" i="138"/>
  <c r="AA48" i="138"/>
  <c r="Z48" i="138"/>
  <c r="Y48" i="138"/>
  <c r="X48" i="138"/>
  <c r="W48" i="138"/>
  <c r="V48" i="138"/>
  <c r="U48" i="138"/>
  <c r="T48" i="138"/>
  <c r="S48" i="138"/>
  <c r="R48" i="138"/>
  <c r="Q48" i="138"/>
  <c r="P48" i="138"/>
  <c r="O48" i="138"/>
  <c r="N48" i="138"/>
  <c r="M48" i="138"/>
  <c r="L48" i="138"/>
  <c r="K48" i="138"/>
  <c r="A48" i="138"/>
  <c r="CL47" i="138"/>
  <c r="CK47" i="138"/>
  <c r="AQ47" i="138" s="1"/>
  <c r="CJ47" i="138"/>
  <c r="AN47" i="138" s="1"/>
  <c r="CI47" i="138"/>
  <c r="AR47" i="138" s="1"/>
  <c r="CH47" i="138"/>
  <c r="AM47" i="138" s="1"/>
  <c r="CG47" i="138"/>
  <c r="CF47" i="138"/>
  <c r="CE47" i="138"/>
  <c r="CD47" i="138"/>
  <c r="AP47" i="138" s="1"/>
  <c r="CC47" i="138"/>
  <c r="AO47" i="138" s="1"/>
  <c r="CB47" i="138"/>
  <c r="AK47" i="138" s="1"/>
  <c r="CA47" i="138"/>
  <c r="AF47" i="138" s="1"/>
  <c r="BZ47" i="138"/>
  <c r="AH47" i="138" s="1"/>
  <c r="BY47" i="138"/>
  <c r="AJ47" i="138" s="1"/>
  <c r="BX47" i="138"/>
  <c r="AC47" i="138" s="1"/>
  <c r="BW47" i="138"/>
  <c r="AI47" i="138" s="1"/>
  <c r="BV47" i="138"/>
  <c r="BU47" i="138"/>
  <c r="BT47" i="138"/>
  <c r="BS47" i="138"/>
  <c r="BR47" i="138"/>
  <c r="W47" i="138" s="1"/>
  <c r="BQ47" i="138"/>
  <c r="BP47" i="138"/>
  <c r="AB47" i="138" s="1"/>
  <c r="BN47" i="138"/>
  <c r="BM47" i="138"/>
  <c r="Z47" i="138" s="1"/>
  <c r="BK47" i="138"/>
  <c r="BJ47" i="138"/>
  <c r="BI47" i="138"/>
  <c r="BH47" i="138"/>
  <c r="BF47" i="138"/>
  <c r="K47" i="138" s="1"/>
  <c r="BE47" i="138"/>
  <c r="O47" i="138" s="1"/>
  <c r="BD47" i="138"/>
  <c r="M47" i="138"/>
  <c r="BC47" i="138"/>
  <c r="BB47" i="138"/>
  <c r="BA47" i="138"/>
  <c r="AY47" i="138"/>
  <c r="L47" i="138" s="1"/>
  <c r="AX47" i="138"/>
  <c r="AW47" i="138"/>
  <c r="AV47" i="138"/>
  <c r="S47" i="138" s="1"/>
  <c r="AU47" i="138"/>
  <c r="Q47" i="138" s="1"/>
  <c r="AL47" i="138"/>
  <c r="AG47" i="138"/>
  <c r="AD47" i="138"/>
  <c r="U47" i="138"/>
  <c r="T47" i="138"/>
  <c r="N47" i="138"/>
  <c r="I47" i="138"/>
  <c r="H47" i="138"/>
  <c r="G47" i="138"/>
  <c r="F47" i="138"/>
  <c r="A47" i="138"/>
  <c r="AS46" i="138"/>
  <c r="AR46" i="138"/>
  <c r="AQ46" i="138"/>
  <c r="AP46" i="138"/>
  <c r="AO46" i="138"/>
  <c r="AN46" i="138"/>
  <c r="AM46" i="138"/>
  <c r="AL46" i="138"/>
  <c r="AK46" i="138"/>
  <c r="AJ46" i="138"/>
  <c r="AI46" i="138"/>
  <c r="AH46" i="138"/>
  <c r="AG46" i="138"/>
  <c r="AF46" i="138"/>
  <c r="AD46" i="138"/>
  <c r="AC46" i="138"/>
  <c r="AB46" i="138"/>
  <c r="Z46" i="138"/>
  <c r="W46" i="138"/>
  <c r="U46" i="138"/>
  <c r="T46" i="138"/>
  <c r="S46" i="138"/>
  <c r="Q46" i="138"/>
  <c r="O46" i="138"/>
  <c r="N46" i="138"/>
  <c r="M46" i="138"/>
  <c r="L46" i="138"/>
  <c r="K46" i="138"/>
  <c r="A46" i="138"/>
  <c r="AS45" i="138"/>
  <c r="AR45" i="138"/>
  <c r="AQ45" i="138"/>
  <c r="AP45" i="138"/>
  <c r="AO45" i="138"/>
  <c r="AN45" i="138"/>
  <c r="AM45" i="138"/>
  <c r="AL45" i="138"/>
  <c r="AK45" i="138"/>
  <c r="AJ45" i="138"/>
  <c r="AI45" i="138"/>
  <c r="AH45" i="138"/>
  <c r="AG45" i="138"/>
  <c r="AF45" i="138"/>
  <c r="AD45" i="138"/>
  <c r="Z45" i="138"/>
  <c r="W45" i="138"/>
  <c r="U45" i="138"/>
  <c r="T45" i="138"/>
  <c r="S45" i="138"/>
  <c r="Q45" i="138"/>
  <c r="O45" i="138"/>
  <c r="N45" i="138"/>
  <c r="M45" i="138"/>
  <c r="L45" i="138"/>
  <c r="K45" i="138"/>
  <c r="A45" i="138"/>
  <c r="A44" i="138"/>
  <c r="A43" i="138"/>
  <c r="AS42" i="138"/>
  <c r="AS54" i="138"/>
  <c r="AR42" i="138"/>
  <c r="AQ42" i="138"/>
  <c r="AP42" i="138"/>
  <c r="AO42" i="138"/>
  <c r="AN42" i="138"/>
  <c r="AM42" i="138"/>
  <c r="AL42" i="138"/>
  <c r="AK42" i="138"/>
  <c r="AJ42" i="138"/>
  <c r="AI42" i="138"/>
  <c r="AH42" i="138"/>
  <c r="AG42" i="138"/>
  <c r="AF42" i="138"/>
  <c r="AE42" i="138"/>
  <c r="AD42" i="138"/>
  <c r="AC42" i="138"/>
  <c r="AB42" i="138"/>
  <c r="AA42" i="138"/>
  <c r="AA54" i="138"/>
  <c r="Z42" i="138"/>
  <c r="Y42" i="138"/>
  <c r="Y54" i="138" s="1"/>
  <c r="X42" i="138"/>
  <c r="W42" i="138"/>
  <c r="V42" i="138"/>
  <c r="V54" i="138" s="1"/>
  <c r="U42" i="138"/>
  <c r="T42" i="138"/>
  <c r="S42" i="138"/>
  <c r="R42" i="138"/>
  <c r="R54" i="138" s="1"/>
  <c r="Q42" i="138"/>
  <c r="P42" i="138"/>
  <c r="P54" i="138"/>
  <c r="O42" i="138"/>
  <c r="N42" i="138"/>
  <c r="M42" i="138"/>
  <c r="L42" i="138"/>
  <c r="K42" i="138"/>
  <c r="A42" i="138"/>
  <c r="AS41" i="138"/>
  <c r="AR41" i="138"/>
  <c r="AQ41" i="138"/>
  <c r="AP41" i="138"/>
  <c r="AO41" i="138"/>
  <c r="AN41" i="138"/>
  <c r="AM41" i="138"/>
  <c r="AL41" i="138"/>
  <c r="AK41" i="138"/>
  <c r="AJ41" i="138"/>
  <c r="AI41" i="138"/>
  <c r="AH41" i="138"/>
  <c r="AG41" i="138"/>
  <c r="AF41" i="138"/>
  <c r="AE41" i="138"/>
  <c r="AD41" i="138"/>
  <c r="AC41" i="138"/>
  <c r="AB41" i="138"/>
  <c r="AA41" i="138"/>
  <c r="Z41" i="138"/>
  <c r="Y41" i="138"/>
  <c r="X41" i="138"/>
  <c r="W41" i="138"/>
  <c r="V41" i="138"/>
  <c r="U41" i="138"/>
  <c r="T41" i="138"/>
  <c r="S41" i="138"/>
  <c r="R41" i="138"/>
  <c r="Q41" i="138"/>
  <c r="P41" i="138"/>
  <c r="O41" i="138"/>
  <c r="N41" i="138"/>
  <c r="M41" i="138"/>
  <c r="L41" i="138"/>
  <c r="K41" i="138"/>
  <c r="A41" i="138"/>
  <c r="A40" i="138"/>
  <c r="AS39" i="138"/>
  <c r="AR39" i="138"/>
  <c r="AQ39" i="138"/>
  <c r="AP39" i="138"/>
  <c r="AO39" i="138"/>
  <c r="AN39" i="138"/>
  <c r="AM39" i="138"/>
  <c r="AL39" i="138"/>
  <c r="AK39" i="138"/>
  <c r="AJ39" i="138"/>
  <c r="AI39" i="138"/>
  <c r="AH39" i="138"/>
  <c r="AG39" i="138"/>
  <c r="AF39" i="138"/>
  <c r="AE39" i="138"/>
  <c r="AD39" i="138"/>
  <c r="AC39" i="138"/>
  <c r="AB39" i="138"/>
  <c r="AA39" i="138"/>
  <c r="Z39" i="138"/>
  <c r="Y39" i="138"/>
  <c r="X39" i="138"/>
  <c r="W39" i="138"/>
  <c r="V39" i="138"/>
  <c r="U39" i="138"/>
  <c r="T39" i="138"/>
  <c r="S39" i="138"/>
  <c r="R39" i="138"/>
  <c r="Q39" i="138"/>
  <c r="P39" i="138"/>
  <c r="O39" i="138"/>
  <c r="N39" i="138"/>
  <c r="M39" i="138"/>
  <c r="L39" i="138"/>
  <c r="K39" i="138"/>
  <c r="A39" i="138"/>
  <c r="AS38" i="138"/>
  <c r="AR38" i="138"/>
  <c r="AQ38" i="138"/>
  <c r="AP38" i="138"/>
  <c r="AO38" i="138"/>
  <c r="AN38" i="138"/>
  <c r="AM38" i="138"/>
  <c r="AL38" i="138"/>
  <c r="AK38" i="138"/>
  <c r="AJ38" i="138"/>
  <c r="AI38" i="138"/>
  <c r="AH38" i="138"/>
  <c r="AG38" i="138"/>
  <c r="AF38" i="138"/>
  <c r="AE38" i="138"/>
  <c r="AD38" i="138"/>
  <c r="AC38" i="138"/>
  <c r="AB38" i="138"/>
  <c r="AA38" i="138"/>
  <c r="Z38" i="138"/>
  <c r="Y38" i="138"/>
  <c r="X38" i="138"/>
  <c r="W38" i="138"/>
  <c r="V38" i="138"/>
  <c r="U38" i="138"/>
  <c r="T38" i="138"/>
  <c r="S38" i="138"/>
  <c r="R38" i="138"/>
  <c r="Q38" i="138"/>
  <c r="P38" i="138"/>
  <c r="O38" i="138"/>
  <c r="N38" i="138"/>
  <c r="M38" i="138"/>
  <c r="L38" i="138"/>
  <c r="K38" i="138"/>
  <c r="A38" i="138"/>
  <c r="AS37" i="138"/>
  <c r="AR37" i="138"/>
  <c r="AQ37" i="138"/>
  <c r="AP37" i="138"/>
  <c r="AO37" i="138"/>
  <c r="AN37" i="138"/>
  <c r="AM37" i="138"/>
  <c r="AL37" i="138"/>
  <c r="AK37" i="138"/>
  <c r="AJ37" i="138"/>
  <c r="AI37" i="138"/>
  <c r="AH37" i="138"/>
  <c r="AG37" i="138"/>
  <c r="AF37" i="138"/>
  <c r="AE37" i="138"/>
  <c r="AD37" i="138"/>
  <c r="AC37" i="138"/>
  <c r="AB37" i="138"/>
  <c r="AA37" i="138"/>
  <c r="Z37" i="138"/>
  <c r="Y37" i="138"/>
  <c r="X37" i="138"/>
  <c r="W37" i="138"/>
  <c r="V37" i="138"/>
  <c r="U37" i="138"/>
  <c r="T37" i="138"/>
  <c r="S37" i="138"/>
  <c r="R37" i="138"/>
  <c r="Q37" i="138"/>
  <c r="P37" i="138"/>
  <c r="O37" i="138"/>
  <c r="N37" i="138"/>
  <c r="M37" i="138"/>
  <c r="L37" i="138"/>
  <c r="K37" i="138"/>
  <c r="A37" i="138"/>
  <c r="AS36" i="138"/>
  <c r="AR36" i="138"/>
  <c r="AQ36" i="138"/>
  <c r="AP36" i="138"/>
  <c r="AO36" i="138"/>
  <c r="AN36" i="138"/>
  <c r="AM36" i="138"/>
  <c r="AL36" i="138"/>
  <c r="AK36" i="138"/>
  <c r="AJ36" i="138"/>
  <c r="AI36" i="138"/>
  <c r="AH36" i="138"/>
  <c r="AG36" i="138"/>
  <c r="AF36" i="138"/>
  <c r="AE36" i="138"/>
  <c r="AD36" i="138"/>
  <c r="AC36" i="138"/>
  <c r="AB36" i="138"/>
  <c r="AA36" i="138"/>
  <c r="Z36" i="138"/>
  <c r="Y36" i="138"/>
  <c r="X36" i="138"/>
  <c r="W36" i="138"/>
  <c r="V36" i="138"/>
  <c r="U36" i="138"/>
  <c r="T36" i="138"/>
  <c r="S36" i="138"/>
  <c r="R36" i="138"/>
  <c r="Q36" i="138"/>
  <c r="P36" i="138"/>
  <c r="O36" i="138"/>
  <c r="N36" i="138"/>
  <c r="M36" i="138"/>
  <c r="L36" i="138"/>
  <c r="K36" i="138"/>
  <c r="A36" i="138"/>
  <c r="AS35" i="138"/>
  <c r="AS93" i="138" s="1"/>
  <c r="AR35" i="138"/>
  <c r="AQ35" i="138"/>
  <c r="AP35" i="138"/>
  <c r="AO35" i="138"/>
  <c r="AN35" i="138"/>
  <c r="AM35" i="138"/>
  <c r="AL35" i="138"/>
  <c r="AK35" i="138"/>
  <c r="AJ35" i="138"/>
  <c r="AI35" i="138"/>
  <c r="AH35" i="138"/>
  <c r="AG35" i="138"/>
  <c r="AF35" i="138"/>
  <c r="AE35" i="138"/>
  <c r="AE93" i="138"/>
  <c r="AD35" i="138"/>
  <c r="AC35" i="138"/>
  <c r="AB35" i="138"/>
  <c r="AA35" i="138"/>
  <c r="AA93" i="138" s="1"/>
  <c r="Z35" i="138"/>
  <c r="Y35" i="138"/>
  <c r="Y93" i="138" s="1"/>
  <c r="X35" i="138"/>
  <c r="X93" i="138" s="1"/>
  <c r="W35" i="138"/>
  <c r="V35" i="138"/>
  <c r="V93" i="138" s="1"/>
  <c r="U35" i="138"/>
  <c r="T35" i="138"/>
  <c r="S35" i="138"/>
  <c r="R35" i="138"/>
  <c r="R93" i="138"/>
  <c r="Q35" i="138"/>
  <c r="P35" i="138"/>
  <c r="P93" i="138" s="1"/>
  <c r="O35" i="138"/>
  <c r="N35" i="138"/>
  <c r="M35" i="138"/>
  <c r="L35" i="138"/>
  <c r="K35" i="138"/>
  <c r="A35" i="138"/>
  <c r="A34" i="138"/>
  <c r="CL33" i="138"/>
  <c r="CK33" i="138"/>
  <c r="AQ33" i="138" s="1"/>
  <c r="CJ33" i="138"/>
  <c r="AN33" i="138" s="1"/>
  <c r="CI33" i="138"/>
  <c r="AR33" i="138" s="1"/>
  <c r="CH33" i="138"/>
  <c r="CG33" i="138"/>
  <c r="CF33" i="138"/>
  <c r="CE33" i="138"/>
  <c r="AL33" i="138" s="1"/>
  <c r="CD33" i="138"/>
  <c r="CC33" i="138"/>
  <c r="AO33" i="138"/>
  <c r="CB33" i="138"/>
  <c r="AK33" i="138" s="1"/>
  <c r="CA33" i="138"/>
  <c r="AF33" i="138" s="1"/>
  <c r="BZ33" i="138"/>
  <c r="AH33" i="138" s="1"/>
  <c r="BY33" i="138"/>
  <c r="AJ33" i="138" s="1"/>
  <c r="BX33" i="138"/>
  <c r="AC33" i="138" s="1"/>
  <c r="BW33" i="138"/>
  <c r="AI33" i="138" s="1"/>
  <c r="BV33" i="138"/>
  <c r="BU33" i="138"/>
  <c r="AD33" i="138" s="1"/>
  <c r="BT33" i="138"/>
  <c r="BS33" i="138"/>
  <c r="BR33" i="138"/>
  <c r="W33" i="138" s="1"/>
  <c r="BQ33" i="138"/>
  <c r="BP33" i="138"/>
  <c r="AB33" i="138" s="1"/>
  <c r="BO33" i="138"/>
  <c r="BN33" i="138"/>
  <c r="BM33" i="138"/>
  <c r="Z33" i="138" s="1"/>
  <c r="BL33" i="138"/>
  <c r="BK33" i="138"/>
  <c r="BJ33" i="138"/>
  <c r="BI33" i="138"/>
  <c r="BH33" i="138"/>
  <c r="BG33" i="138"/>
  <c r="BF33" i="138"/>
  <c r="BE33" i="138"/>
  <c r="O33" i="138" s="1"/>
  <c r="BD33" i="138"/>
  <c r="M33" i="138" s="1"/>
  <c r="BC33" i="138"/>
  <c r="U33" i="138" s="1"/>
  <c r="BB33" i="138"/>
  <c r="BA33" i="138"/>
  <c r="AZ33" i="138"/>
  <c r="AY33" i="138"/>
  <c r="L33" i="138" s="1"/>
  <c r="AX33" i="138"/>
  <c r="AW33" i="138"/>
  <c r="N33" i="138" s="1"/>
  <c r="AV33" i="138"/>
  <c r="S33" i="138" s="1"/>
  <c r="AU33" i="138"/>
  <c r="Q33" i="138"/>
  <c r="AT33" i="138"/>
  <c r="AP33" i="138"/>
  <c r="AM33" i="138"/>
  <c r="AG33" i="138"/>
  <c r="T33" i="138"/>
  <c r="K33" i="138"/>
  <c r="I33" i="138"/>
  <c r="H33" i="138"/>
  <c r="G33" i="138"/>
  <c r="F33" i="138"/>
  <c r="A33" i="138"/>
  <c r="AR32" i="138"/>
  <c r="AQ32" i="138"/>
  <c r="AP32" i="138"/>
  <c r="AO32" i="138"/>
  <c r="AN32" i="138"/>
  <c r="AM32" i="138"/>
  <c r="AL32" i="138"/>
  <c r="AK32" i="138"/>
  <c r="AJ32" i="138"/>
  <c r="AI32" i="138"/>
  <c r="AH32" i="138"/>
  <c r="AG32" i="138"/>
  <c r="AF32" i="138"/>
  <c r="AD32" i="138"/>
  <c r="AC32" i="138"/>
  <c r="AB32" i="138"/>
  <c r="Z32" i="138"/>
  <c r="W32" i="138"/>
  <c r="U32" i="138"/>
  <c r="T32" i="138"/>
  <c r="S32" i="138"/>
  <c r="Q32" i="138"/>
  <c r="O32" i="138"/>
  <c r="N32" i="138"/>
  <c r="M32" i="138"/>
  <c r="L32" i="138"/>
  <c r="K32" i="138"/>
  <c r="A32" i="138"/>
  <c r="CF31" i="138"/>
  <c r="BO31" i="138"/>
  <c r="BL31" i="138"/>
  <c r="BK31" i="138"/>
  <c r="BH31" i="138"/>
  <c r="BG31" i="138"/>
  <c r="BE31" i="138"/>
  <c r="O31" i="138" s="1"/>
  <c r="B31" i="138"/>
  <c r="A31" i="138"/>
  <c r="CL30" i="138"/>
  <c r="CK30" i="138"/>
  <c r="AQ30" i="138" s="1"/>
  <c r="CJ30" i="138"/>
  <c r="AN30" i="138" s="1"/>
  <c r="CI30" i="138"/>
  <c r="CH30" i="138"/>
  <c r="CG30" i="138"/>
  <c r="CF30" i="138"/>
  <c r="CE30" i="138"/>
  <c r="AL30" i="138" s="1"/>
  <c r="CD30" i="138"/>
  <c r="AP30" i="138" s="1"/>
  <c r="CC30" i="138"/>
  <c r="AO30" i="138" s="1"/>
  <c r="CB30" i="138"/>
  <c r="CA30" i="138"/>
  <c r="AF30" i="138" s="1"/>
  <c r="BZ30" i="138"/>
  <c r="AH30" i="138" s="1"/>
  <c r="BY30" i="138"/>
  <c r="AJ30" i="138" s="1"/>
  <c r="BX30" i="138"/>
  <c r="AC30" i="138" s="1"/>
  <c r="BW30" i="138"/>
  <c r="BV30" i="138"/>
  <c r="BU30" i="138"/>
  <c r="AD30" i="138" s="1"/>
  <c r="BT30" i="138"/>
  <c r="BS30" i="138"/>
  <c r="BR30" i="138"/>
  <c r="BQ30" i="138"/>
  <c r="BP30" i="138"/>
  <c r="AB30" i="138" s="1"/>
  <c r="BO30" i="138"/>
  <c r="BN30" i="138"/>
  <c r="BM30" i="138"/>
  <c r="Z30" i="138" s="1"/>
  <c r="BL30" i="138"/>
  <c r="BK30" i="138"/>
  <c r="BJ30" i="138"/>
  <c r="BI30" i="138"/>
  <c r="BH30" i="138"/>
  <c r="BG30" i="138"/>
  <c r="BF30" i="138"/>
  <c r="K30" i="138" s="1"/>
  <c r="BE30" i="138"/>
  <c r="O30" i="138" s="1"/>
  <c r="BD30" i="138"/>
  <c r="M30" i="138" s="1"/>
  <c r="BC30" i="138"/>
  <c r="U30" i="138" s="1"/>
  <c r="BB30" i="138"/>
  <c r="BA30" i="138"/>
  <c r="AZ30" i="138"/>
  <c r="AY30" i="138"/>
  <c r="AX30" i="138"/>
  <c r="AW30" i="138"/>
  <c r="N30" i="138" s="1"/>
  <c r="AV30" i="138"/>
  <c r="S30" i="138" s="1"/>
  <c r="AU30" i="138"/>
  <c r="Q30" i="138" s="1"/>
  <c r="AT30" i="138"/>
  <c r="AR30" i="138"/>
  <c r="AM30" i="138"/>
  <c r="AK30" i="138"/>
  <c r="AI30" i="138"/>
  <c r="AG30" i="138"/>
  <c r="W30" i="138"/>
  <c r="T30" i="138"/>
  <c r="L30" i="138"/>
  <c r="I30" i="138"/>
  <c r="H30" i="138"/>
  <c r="G30" i="138"/>
  <c r="F30" i="138"/>
  <c r="A30" i="138"/>
  <c r="AS29" i="138"/>
  <c r="AR29" i="138"/>
  <c r="AQ29" i="138"/>
  <c r="AP29" i="138"/>
  <c r="AO29" i="138"/>
  <c r="AN29" i="138"/>
  <c r="AM29" i="138"/>
  <c r="AL29" i="138"/>
  <c r="AK29" i="138"/>
  <c r="AJ29" i="138"/>
  <c r="AI29" i="138"/>
  <c r="AH29" i="138"/>
  <c r="AG29" i="138"/>
  <c r="AF29" i="138"/>
  <c r="AE29" i="138"/>
  <c r="AD29" i="138"/>
  <c r="AC29" i="138"/>
  <c r="AB29" i="138"/>
  <c r="AA29" i="138"/>
  <c r="Z29" i="138"/>
  <c r="Y29" i="138"/>
  <c r="X29" i="138"/>
  <c r="W29" i="138"/>
  <c r="V29" i="138"/>
  <c r="U29" i="138"/>
  <c r="T29" i="138"/>
  <c r="S29" i="138"/>
  <c r="R29" i="138"/>
  <c r="Q29" i="138"/>
  <c r="P29" i="138"/>
  <c r="O29" i="138"/>
  <c r="N29" i="138"/>
  <c r="M29" i="138"/>
  <c r="L29" i="138"/>
  <c r="K29" i="138"/>
  <c r="A29" i="138"/>
  <c r="AS28" i="138"/>
  <c r="AR28" i="138"/>
  <c r="AQ28" i="138"/>
  <c r="AP28" i="138"/>
  <c r="AO28" i="138"/>
  <c r="AN28" i="138"/>
  <c r="AM28" i="138"/>
  <c r="AL28" i="138"/>
  <c r="AK28" i="138"/>
  <c r="AJ28" i="138"/>
  <c r="AI28" i="138"/>
  <c r="AH28" i="138"/>
  <c r="AG28" i="138"/>
  <c r="AF28" i="138"/>
  <c r="AE28" i="138"/>
  <c r="AD28" i="138"/>
  <c r="AC28" i="138"/>
  <c r="AB28" i="138"/>
  <c r="AA28" i="138"/>
  <c r="Z28" i="138"/>
  <c r="Y28" i="138"/>
  <c r="X28" i="138"/>
  <c r="W28" i="138"/>
  <c r="V28" i="138"/>
  <c r="U28" i="138"/>
  <c r="T28" i="138"/>
  <c r="S28" i="138"/>
  <c r="R28" i="138"/>
  <c r="Q28" i="138"/>
  <c r="P28" i="138"/>
  <c r="O28" i="138"/>
  <c r="N28" i="138"/>
  <c r="M28" i="138"/>
  <c r="L28" i="138"/>
  <c r="K28" i="138"/>
  <c r="A28" i="138"/>
  <c r="AS27" i="138"/>
  <c r="AR27" i="138"/>
  <c r="AQ27" i="138"/>
  <c r="AP27" i="138"/>
  <c r="AO27" i="138"/>
  <c r="AN27" i="138"/>
  <c r="AM27" i="138"/>
  <c r="AL27" i="138"/>
  <c r="AK27" i="138"/>
  <c r="AJ27" i="138"/>
  <c r="AI27" i="138"/>
  <c r="AH27" i="138"/>
  <c r="AG27" i="138"/>
  <c r="AF27" i="138"/>
  <c r="AE27" i="138"/>
  <c r="AD27" i="138"/>
  <c r="AC27" i="138"/>
  <c r="AB27" i="138"/>
  <c r="AA27" i="138"/>
  <c r="Z27" i="138"/>
  <c r="Y27" i="138"/>
  <c r="X27" i="138"/>
  <c r="W27" i="138"/>
  <c r="V27" i="138"/>
  <c r="U27" i="138"/>
  <c r="T27" i="138"/>
  <c r="S27" i="138"/>
  <c r="R27" i="138"/>
  <c r="Q27" i="138"/>
  <c r="P27" i="138"/>
  <c r="O27" i="138"/>
  <c r="N27" i="138"/>
  <c r="M27" i="138"/>
  <c r="L27" i="138"/>
  <c r="K27" i="138"/>
  <c r="A27" i="138"/>
  <c r="AS26" i="138"/>
  <c r="AR26" i="138"/>
  <c r="AQ26" i="138"/>
  <c r="AP26" i="138"/>
  <c r="AO26" i="138"/>
  <c r="AN26" i="138"/>
  <c r="AM26" i="138"/>
  <c r="AL26" i="138"/>
  <c r="AK26" i="138"/>
  <c r="AJ26" i="138"/>
  <c r="AI26" i="138"/>
  <c r="AH26" i="138"/>
  <c r="AG26" i="138"/>
  <c r="AF26" i="138"/>
  <c r="AE26" i="138"/>
  <c r="AD26" i="138"/>
  <c r="AC26" i="138"/>
  <c r="AB26" i="138"/>
  <c r="AA26" i="138"/>
  <c r="Z26" i="138"/>
  <c r="Y26" i="138"/>
  <c r="X26" i="138"/>
  <c r="W26" i="138"/>
  <c r="V26" i="138"/>
  <c r="U26" i="138"/>
  <c r="T26" i="138"/>
  <c r="S26" i="138"/>
  <c r="R26" i="138"/>
  <c r="Q26" i="138"/>
  <c r="P26" i="138"/>
  <c r="O26" i="138"/>
  <c r="N26" i="138"/>
  <c r="M26" i="138"/>
  <c r="L26" i="138"/>
  <c r="K26" i="138"/>
  <c r="A26" i="138"/>
  <c r="AS25" i="138"/>
  <c r="AR25" i="138"/>
  <c r="AQ25" i="138"/>
  <c r="AP25" i="138"/>
  <c r="AO25" i="138"/>
  <c r="AN25" i="138"/>
  <c r="AM25" i="138"/>
  <c r="AL25" i="138"/>
  <c r="AK25" i="138"/>
  <c r="AJ25" i="138"/>
  <c r="AI25" i="138"/>
  <c r="AH25" i="138"/>
  <c r="AG25" i="138"/>
  <c r="AF25" i="138"/>
  <c r="AE25" i="138"/>
  <c r="AD25" i="138"/>
  <c r="AC25" i="138"/>
  <c r="AB25" i="138"/>
  <c r="AA25" i="138"/>
  <c r="Z25" i="138"/>
  <c r="Y25" i="138"/>
  <c r="X25" i="138"/>
  <c r="W25" i="138"/>
  <c r="V25" i="138"/>
  <c r="U25" i="138"/>
  <c r="T25" i="138"/>
  <c r="S25" i="138"/>
  <c r="R25" i="138"/>
  <c r="Q25" i="138"/>
  <c r="P25" i="138"/>
  <c r="O25" i="138"/>
  <c r="N25" i="138"/>
  <c r="M25" i="138"/>
  <c r="L25" i="138"/>
  <c r="K25" i="138"/>
  <c r="A25" i="138"/>
  <c r="AS24" i="138"/>
  <c r="AR24" i="138"/>
  <c r="AQ24" i="138"/>
  <c r="AP24" i="138"/>
  <c r="AO24" i="138"/>
  <c r="AN24" i="138"/>
  <c r="AM24" i="138"/>
  <c r="AL24" i="138"/>
  <c r="AK24" i="138"/>
  <c r="AJ24" i="138"/>
  <c r="AI24" i="138"/>
  <c r="AH24" i="138"/>
  <c r="AG24" i="138"/>
  <c r="AF24" i="138"/>
  <c r="AE24" i="138"/>
  <c r="AD24" i="138"/>
  <c r="AC24" i="138"/>
  <c r="AB24" i="138"/>
  <c r="AA24" i="138"/>
  <c r="Z24" i="138"/>
  <c r="Y24" i="138"/>
  <c r="X24" i="138"/>
  <c r="W24" i="138"/>
  <c r="V24" i="138"/>
  <c r="U24" i="138"/>
  <c r="T24" i="138"/>
  <c r="S24" i="138"/>
  <c r="R24" i="138"/>
  <c r="Q24" i="138"/>
  <c r="P24" i="138"/>
  <c r="O24" i="138"/>
  <c r="N24" i="138"/>
  <c r="M24" i="138"/>
  <c r="L24" i="138"/>
  <c r="K24" i="138"/>
  <c r="A24" i="138"/>
  <c r="AS23" i="138"/>
  <c r="AR23" i="138"/>
  <c r="AQ23" i="138"/>
  <c r="AP23" i="138"/>
  <c r="AO23" i="138"/>
  <c r="AN23" i="138"/>
  <c r="AM23" i="138"/>
  <c r="AL23" i="138"/>
  <c r="AK23" i="138"/>
  <c r="AJ23" i="138"/>
  <c r="AI23" i="138"/>
  <c r="AH23" i="138"/>
  <c r="AG23" i="138"/>
  <c r="AF23" i="138"/>
  <c r="AE23" i="138"/>
  <c r="AD23" i="138"/>
  <c r="AC23" i="138"/>
  <c r="AB23" i="138"/>
  <c r="AA23" i="138"/>
  <c r="Z23" i="138"/>
  <c r="Y23" i="138"/>
  <c r="X23" i="138"/>
  <c r="X32" i="138" s="1"/>
  <c r="X33" i="138" s="1"/>
  <c r="W23" i="138"/>
  <c r="V23" i="138"/>
  <c r="V32" i="138" s="1"/>
  <c r="V33" i="138" s="1"/>
  <c r="U23" i="138"/>
  <c r="T23" i="138"/>
  <c r="S23" i="138"/>
  <c r="R23" i="138"/>
  <c r="R32" i="138" s="1"/>
  <c r="R33" i="138" s="1"/>
  <c r="Q23" i="138"/>
  <c r="P23" i="138"/>
  <c r="P32" i="138" s="1"/>
  <c r="P33" i="138" s="1"/>
  <c r="O23" i="138"/>
  <c r="N23" i="138"/>
  <c r="M23" i="138"/>
  <c r="L23" i="138"/>
  <c r="K23" i="138"/>
  <c r="A23" i="138"/>
  <c r="Q22" i="138"/>
  <c r="A22" i="138"/>
  <c r="CL21" i="138"/>
  <c r="CK21" i="138"/>
  <c r="CJ21" i="138"/>
  <c r="CI21" i="138"/>
  <c r="CH21" i="138"/>
  <c r="CG21" i="138"/>
  <c r="CF21" i="138"/>
  <c r="CE21" i="138"/>
  <c r="CD21" i="138"/>
  <c r="CB21" i="138"/>
  <c r="CA21" i="138"/>
  <c r="BZ21" i="138"/>
  <c r="BY21" i="138"/>
  <c r="BX21" i="138"/>
  <c r="BW21" i="138"/>
  <c r="BV21" i="138"/>
  <c r="BU21" i="138"/>
  <c r="BT21" i="138"/>
  <c r="BS21" i="138"/>
  <c r="BR21" i="138"/>
  <c r="BQ21" i="138"/>
  <c r="BP21" i="138"/>
  <c r="BO21" i="138"/>
  <c r="BN21" i="138"/>
  <c r="BM21" i="138"/>
  <c r="BL21" i="138"/>
  <c r="BK21" i="138"/>
  <c r="BJ21" i="138"/>
  <c r="BI21" i="138"/>
  <c r="BH21" i="138"/>
  <c r="BG21" i="138"/>
  <c r="BF21" i="138"/>
  <c r="BE21" i="138"/>
  <c r="BD21" i="138"/>
  <c r="BC21" i="138"/>
  <c r="BB21" i="138"/>
  <c r="BA21" i="138"/>
  <c r="AZ21" i="138"/>
  <c r="AY21" i="138"/>
  <c r="AX21" i="138"/>
  <c r="AW21" i="138"/>
  <c r="AV21" i="138"/>
  <c r="I21" i="138"/>
  <c r="H21" i="138"/>
  <c r="G21" i="138"/>
  <c r="F21" i="138"/>
  <c r="A21" i="138"/>
  <c r="AS20" i="138"/>
  <c r="AR20" i="138"/>
  <c r="AQ20" i="138"/>
  <c r="AQ21" i="138" s="1"/>
  <c r="AP20" i="138"/>
  <c r="AP21" i="138" s="1"/>
  <c r="AO20" i="138"/>
  <c r="AO21" i="138" s="1"/>
  <c r="AN20" i="138"/>
  <c r="AN21" i="138" s="1"/>
  <c r="AM20" i="138"/>
  <c r="AM21" i="138" s="1"/>
  <c r="AL20" i="138"/>
  <c r="AL21" i="138" s="1"/>
  <c r="AK20" i="138"/>
  <c r="AJ20" i="138"/>
  <c r="AI20" i="138"/>
  <c r="AI21" i="138" s="1"/>
  <c r="AH20" i="138"/>
  <c r="AH21" i="138" s="1"/>
  <c r="AG20" i="138"/>
  <c r="AG21" i="138" s="1"/>
  <c r="AF20" i="138"/>
  <c r="AF21" i="138" s="1"/>
  <c r="AE20" i="138"/>
  <c r="AE21" i="138" s="1"/>
  <c r="AD20" i="138"/>
  <c r="AD21" i="138" s="1"/>
  <c r="AC20" i="138"/>
  <c r="AB20" i="138"/>
  <c r="AA20" i="138"/>
  <c r="AA21" i="138" s="1"/>
  <c r="Z20" i="138"/>
  <c r="Z21" i="138" s="1"/>
  <c r="Y20" i="138"/>
  <c r="Y21" i="138" s="1"/>
  <c r="X20" i="138"/>
  <c r="W20" i="138"/>
  <c r="W21" i="138"/>
  <c r="V20" i="138"/>
  <c r="U20" i="138"/>
  <c r="T20" i="138"/>
  <c r="S20" i="138"/>
  <c r="S21" i="138" s="1"/>
  <c r="R20" i="138"/>
  <c r="R21" i="138" s="1"/>
  <c r="Q20" i="138"/>
  <c r="P20" i="138"/>
  <c r="P21" i="138" s="1"/>
  <c r="O20" i="138"/>
  <c r="O21" i="138" s="1"/>
  <c r="N20" i="138"/>
  <c r="M20" i="138"/>
  <c r="M21" i="138" s="1"/>
  <c r="L20" i="138"/>
  <c r="K20" i="138"/>
  <c r="K21" i="138" s="1"/>
  <c r="A20" i="138"/>
  <c r="AS19" i="138"/>
  <c r="AR19" i="138"/>
  <c r="AQ19" i="138"/>
  <c r="AP19" i="138"/>
  <c r="AO19" i="138"/>
  <c r="AN19" i="138"/>
  <c r="AM19" i="138"/>
  <c r="AL19" i="138"/>
  <c r="AK19" i="138"/>
  <c r="AJ19" i="138"/>
  <c r="AI19" i="138"/>
  <c r="AH19" i="138"/>
  <c r="AG19" i="138"/>
  <c r="AF19" i="138"/>
  <c r="AE19" i="138"/>
  <c r="AD19" i="138"/>
  <c r="AC19" i="138"/>
  <c r="AB19" i="138"/>
  <c r="AA19" i="138"/>
  <c r="Z19" i="138"/>
  <c r="Y19" i="138"/>
  <c r="X19" i="138"/>
  <c r="W19" i="138"/>
  <c r="V19" i="138"/>
  <c r="U19" i="138"/>
  <c r="T19" i="138"/>
  <c r="S19" i="138"/>
  <c r="R19" i="138"/>
  <c r="Q19" i="138"/>
  <c r="P19" i="138"/>
  <c r="O19" i="138"/>
  <c r="N19" i="138"/>
  <c r="M19" i="138"/>
  <c r="L19" i="138"/>
  <c r="K19" i="138"/>
  <c r="A19" i="138"/>
  <c r="AS18" i="138"/>
  <c r="AR18" i="138"/>
  <c r="AQ18" i="138"/>
  <c r="AP18" i="138"/>
  <c r="AO18" i="138"/>
  <c r="AN18" i="138"/>
  <c r="AM18" i="138"/>
  <c r="AL18" i="138"/>
  <c r="AK18" i="138"/>
  <c r="AJ18" i="138"/>
  <c r="AI18" i="138"/>
  <c r="AH18" i="138"/>
  <c r="AG18" i="138"/>
  <c r="AF18" i="138"/>
  <c r="AE18" i="138"/>
  <c r="AD18" i="138"/>
  <c r="AC18" i="138"/>
  <c r="AB18" i="138"/>
  <c r="AA18" i="138"/>
  <c r="Z18" i="138"/>
  <c r="Y18" i="138"/>
  <c r="X18" i="138"/>
  <c r="W18" i="138"/>
  <c r="V18" i="138"/>
  <c r="U18" i="138"/>
  <c r="T18" i="138"/>
  <c r="S18" i="138"/>
  <c r="R18" i="138"/>
  <c r="Q18" i="138"/>
  <c r="P18" i="138"/>
  <c r="O18" i="138"/>
  <c r="N18" i="138"/>
  <c r="M18" i="138"/>
  <c r="L18" i="138"/>
  <c r="K18" i="138"/>
  <c r="A18" i="138"/>
  <c r="AR17" i="138"/>
  <c r="AQ17" i="138"/>
  <c r="AP17" i="138"/>
  <c r="AO17" i="138"/>
  <c r="AN17" i="138"/>
  <c r="AM17" i="138"/>
  <c r="AL17" i="138"/>
  <c r="AK17" i="138"/>
  <c r="AJ17" i="138"/>
  <c r="AI17" i="138"/>
  <c r="AH17" i="138"/>
  <c r="AG17" i="138"/>
  <c r="AF17" i="138"/>
  <c r="AD17" i="138"/>
  <c r="AC17" i="138"/>
  <c r="AB17" i="138"/>
  <c r="Z17" i="138"/>
  <c r="W17" i="138"/>
  <c r="U17" i="138"/>
  <c r="T17" i="138"/>
  <c r="S17" i="138"/>
  <c r="Q17" i="138"/>
  <c r="O17" i="138"/>
  <c r="N17" i="138"/>
  <c r="M17" i="138"/>
  <c r="L17" i="138"/>
  <c r="K17" i="138"/>
  <c r="I17" i="138"/>
  <c r="H17" i="138"/>
  <c r="G17" i="138"/>
  <c r="F17" i="138"/>
  <c r="A17" i="138"/>
  <c r="AS16" i="138"/>
  <c r="AS17" i="138"/>
  <c r="AR16" i="138"/>
  <c r="AQ16" i="138"/>
  <c r="AP16" i="138"/>
  <c r="AO16" i="138"/>
  <c r="AN16" i="138"/>
  <c r="AM16" i="138"/>
  <c r="AL16" i="138"/>
  <c r="AK16" i="138"/>
  <c r="AJ16" i="138"/>
  <c r="AI16" i="138"/>
  <c r="AH16" i="138"/>
  <c r="AG16" i="138"/>
  <c r="AF16" i="138"/>
  <c r="AE16" i="138"/>
  <c r="AE17" i="138" s="1"/>
  <c r="AD16" i="138"/>
  <c r="AC16" i="138"/>
  <c r="AB16" i="138"/>
  <c r="AA16" i="138"/>
  <c r="AA17" i="138"/>
  <c r="Z16" i="138"/>
  <c r="Y16" i="138"/>
  <c r="Y17" i="138" s="1"/>
  <c r="X16" i="138"/>
  <c r="X17" i="138" s="1"/>
  <c r="W16" i="138"/>
  <c r="V16" i="138"/>
  <c r="V17" i="138" s="1"/>
  <c r="U16" i="138"/>
  <c r="T16" i="138"/>
  <c r="S16" i="138"/>
  <c r="R16" i="138"/>
  <c r="R17" i="138" s="1"/>
  <c r="Q16" i="138"/>
  <c r="P16" i="138"/>
  <c r="P17" i="138"/>
  <c r="O16" i="138"/>
  <c r="N16" i="138"/>
  <c r="M16" i="138"/>
  <c r="L16" i="138"/>
  <c r="K16" i="138"/>
  <c r="A16" i="138"/>
  <c r="A15" i="138"/>
  <c r="CL14" i="138"/>
  <c r="CK14" i="138"/>
  <c r="AQ14" i="138" s="1"/>
  <c r="CJ14" i="138"/>
  <c r="AN14" i="138" s="1"/>
  <c r="CI14" i="138"/>
  <c r="CH14" i="138"/>
  <c r="CG14" i="138"/>
  <c r="CF14" i="138"/>
  <c r="CE14" i="138"/>
  <c r="CD14" i="138"/>
  <c r="CC14" i="138"/>
  <c r="AO14" i="138" s="1"/>
  <c r="CB14" i="138"/>
  <c r="AK14" i="138" s="1"/>
  <c r="CA14" i="138"/>
  <c r="AF14" i="138" s="1"/>
  <c r="BZ14" i="138"/>
  <c r="AH14" i="138" s="1"/>
  <c r="BY14" i="138"/>
  <c r="AJ14" i="138" s="1"/>
  <c r="BX14" i="138"/>
  <c r="AC14" i="138" s="1"/>
  <c r="BW14" i="138"/>
  <c r="BV14" i="138"/>
  <c r="BU14" i="138"/>
  <c r="AD14" i="138" s="1"/>
  <c r="BT14" i="138"/>
  <c r="BS14" i="138"/>
  <c r="BR14" i="138"/>
  <c r="W14" i="138" s="1"/>
  <c r="BQ14" i="138"/>
  <c r="BP14" i="138"/>
  <c r="BO14" i="138"/>
  <c r="BN14" i="138"/>
  <c r="BM14" i="138"/>
  <c r="Z14" i="138" s="1"/>
  <c r="BL14" i="138"/>
  <c r="BK14" i="138"/>
  <c r="BJ14" i="138"/>
  <c r="BI14" i="138"/>
  <c r="BH14" i="138"/>
  <c r="BG14" i="138"/>
  <c r="BF14" i="138"/>
  <c r="K14" i="138" s="1"/>
  <c r="BE14" i="138"/>
  <c r="O14" i="138"/>
  <c r="BD14" i="138"/>
  <c r="M14" i="138" s="1"/>
  <c r="BC14" i="138"/>
  <c r="BB14" i="138"/>
  <c r="T14" i="138" s="1"/>
  <c r="BA14" i="138"/>
  <c r="AZ14" i="138"/>
  <c r="AY14" i="138"/>
  <c r="AX14" i="138"/>
  <c r="AW14" i="138"/>
  <c r="AV14" i="138"/>
  <c r="S14" i="138" s="1"/>
  <c r="AU14" i="138"/>
  <c r="AT14" i="138"/>
  <c r="AR14" i="138"/>
  <c r="AP14" i="138"/>
  <c r="AM14" i="138"/>
  <c r="AL14" i="138"/>
  <c r="AI14" i="138"/>
  <c r="AG14" i="138"/>
  <c r="AB14" i="138"/>
  <c r="U14" i="138"/>
  <c r="N14" i="138"/>
  <c r="L14" i="138"/>
  <c r="I14" i="138"/>
  <c r="H14" i="138"/>
  <c r="G14" i="138"/>
  <c r="F14" i="138"/>
  <c r="A14" i="138"/>
  <c r="AS13" i="138"/>
  <c r="AS14" i="138" s="1"/>
  <c r="AR13" i="138"/>
  <c r="AQ13" i="138"/>
  <c r="AP13" i="138"/>
  <c r="AO13" i="138"/>
  <c r="AN13" i="138"/>
  <c r="AM13" i="138"/>
  <c r="AL13" i="138"/>
  <c r="AK13" i="138"/>
  <c r="AJ13" i="138"/>
  <c r="AI13" i="138"/>
  <c r="AH13" i="138"/>
  <c r="AG13" i="138"/>
  <c r="AF13" i="138"/>
  <c r="AE13" i="138"/>
  <c r="AD13" i="138"/>
  <c r="AC13" i="138"/>
  <c r="AB13" i="138"/>
  <c r="AA13" i="138"/>
  <c r="Z13" i="138"/>
  <c r="Y13" i="138"/>
  <c r="X13" i="138"/>
  <c r="W13" i="138"/>
  <c r="V13" i="138"/>
  <c r="U13" i="138"/>
  <c r="T13" i="138"/>
  <c r="S13" i="138"/>
  <c r="R13" i="138"/>
  <c r="R14" i="138" s="1"/>
  <c r="Q13" i="138"/>
  <c r="P13" i="138"/>
  <c r="P14" i="138" s="1"/>
  <c r="O13" i="138"/>
  <c r="N13" i="138"/>
  <c r="M13" i="138"/>
  <c r="L13" i="138"/>
  <c r="K13" i="138"/>
  <c r="A13" i="138"/>
  <c r="CL12" i="138"/>
  <c r="CK12" i="138"/>
  <c r="AQ12" i="138" s="1"/>
  <c r="CJ12" i="138"/>
  <c r="CI12" i="138"/>
  <c r="CH12" i="138"/>
  <c r="AM12" i="138" s="1"/>
  <c r="CG12" i="138"/>
  <c r="CF12" i="138"/>
  <c r="CE12" i="138"/>
  <c r="AL12" i="138" s="1"/>
  <c r="CD12" i="138"/>
  <c r="AP12" i="138" s="1"/>
  <c r="CC12" i="138"/>
  <c r="AO12" i="138" s="1"/>
  <c r="CB12" i="138"/>
  <c r="AK12" i="138" s="1"/>
  <c r="CA12" i="138"/>
  <c r="AF12" i="138" s="1"/>
  <c r="BZ12" i="138"/>
  <c r="BY12" i="138"/>
  <c r="BX12" i="138"/>
  <c r="AC12" i="138" s="1"/>
  <c r="BW12" i="138"/>
  <c r="AI12" i="138" s="1"/>
  <c r="BV12" i="138"/>
  <c r="BU12" i="138"/>
  <c r="BT12" i="138"/>
  <c r="AE12" i="138" s="1"/>
  <c r="BS12" i="138"/>
  <c r="BR12" i="138"/>
  <c r="W12" i="138" s="1"/>
  <c r="BQ12" i="138"/>
  <c r="BP12" i="138"/>
  <c r="AB12" i="138" s="1"/>
  <c r="BO12" i="138"/>
  <c r="BN12" i="138"/>
  <c r="BM12" i="138"/>
  <c r="Z12" i="138" s="1"/>
  <c r="BL12" i="138"/>
  <c r="BK12" i="138"/>
  <c r="BJ12" i="138"/>
  <c r="V12" i="138" s="1"/>
  <c r="BI12" i="138"/>
  <c r="BH12" i="138"/>
  <c r="X12" i="138" s="1"/>
  <c r="BG12" i="138"/>
  <c r="BF12" i="138"/>
  <c r="BE12" i="138"/>
  <c r="O12" i="138" s="1"/>
  <c r="BD12" i="138"/>
  <c r="BC12" i="138"/>
  <c r="U12" i="138" s="1"/>
  <c r="BB12" i="138"/>
  <c r="T12" i="138" s="1"/>
  <c r="BA12" i="138"/>
  <c r="AZ12" i="138"/>
  <c r="AY12" i="138"/>
  <c r="AX12" i="138"/>
  <c r="AW12" i="138"/>
  <c r="AV12" i="138"/>
  <c r="AU12" i="138"/>
  <c r="Q12" i="138" s="1"/>
  <c r="AT12" i="138"/>
  <c r="AS12" i="138"/>
  <c r="AN12" i="138"/>
  <c r="AH12" i="138"/>
  <c r="AG12" i="138"/>
  <c r="Y12" i="138"/>
  <c r="S12" i="138"/>
  <c r="P12" i="138"/>
  <c r="M12" i="138"/>
  <c r="L12" i="138"/>
  <c r="K12" i="138"/>
  <c r="I12" i="138"/>
  <c r="H12" i="138"/>
  <c r="G12" i="138"/>
  <c r="F12" i="138"/>
  <c r="A12" i="138"/>
  <c r="AS11" i="138"/>
  <c r="AR11" i="138"/>
  <c r="AQ11" i="138"/>
  <c r="AP11" i="138"/>
  <c r="AO11" i="138"/>
  <c r="AN11" i="138"/>
  <c r="AM11" i="138"/>
  <c r="AL11" i="138"/>
  <c r="AK11" i="138"/>
  <c r="AJ11" i="138"/>
  <c r="AI11" i="138"/>
  <c r="AH11" i="138"/>
  <c r="AG11" i="138"/>
  <c r="AF11" i="138"/>
  <c r="AE11" i="138"/>
  <c r="AD11" i="138"/>
  <c r="AC11" i="138"/>
  <c r="AB11" i="138"/>
  <c r="AA11" i="138"/>
  <c r="Z11" i="138"/>
  <c r="Y11" i="138"/>
  <c r="X11" i="138"/>
  <c r="W11" i="138"/>
  <c r="V11" i="138"/>
  <c r="U11" i="138"/>
  <c r="T11" i="138"/>
  <c r="S11" i="138"/>
  <c r="R11" i="138"/>
  <c r="Q11" i="138"/>
  <c r="P11" i="138"/>
  <c r="O11" i="138"/>
  <c r="N11" i="138"/>
  <c r="M11" i="138"/>
  <c r="L11" i="138"/>
  <c r="K11" i="138"/>
  <c r="A11" i="138"/>
  <c r="AS10" i="138"/>
  <c r="AR10" i="138"/>
  <c r="AQ10" i="138"/>
  <c r="AP10" i="138"/>
  <c r="AO10" i="138"/>
  <c r="AN10" i="138"/>
  <c r="AM10" i="138"/>
  <c r="AL10" i="138"/>
  <c r="AK10" i="138"/>
  <c r="AJ10" i="138"/>
  <c r="AI10" i="138"/>
  <c r="AH10" i="138"/>
  <c r="AG10" i="138"/>
  <c r="AF10" i="138"/>
  <c r="AE10" i="138"/>
  <c r="AD10" i="138"/>
  <c r="AC10" i="138"/>
  <c r="AB10" i="138"/>
  <c r="AA10" i="138"/>
  <c r="Z10" i="138"/>
  <c r="Y10" i="138"/>
  <c r="X10" i="138"/>
  <c r="W10" i="138"/>
  <c r="V10" i="138"/>
  <c r="U10" i="138"/>
  <c r="T10" i="138"/>
  <c r="S10" i="138"/>
  <c r="R10" i="138"/>
  <c r="Q10" i="138"/>
  <c r="P10" i="138"/>
  <c r="O10" i="138"/>
  <c r="N10" i="138"/>
  <c r="M10" i="138"/>
  <c r="L10" i="138"/>
  <c r="K10" i="138"/>
  <c r="A10" i="138"/>
  <c r="AS9" i="138"/>
  <c r="AR9" i="138"/>
  <c r="AQ9" i="138"/>
  <c r="AP9" i="138"/>
  <c r="AO9" i="138"/>
  <c r="AN9" i="138"/>
  <c r="AM9" i="138"/>
  <c r="AL9" i="138"/>
  <c r="AK9" i="138"/>
  <c r="AJ9" i="138"/>
  <c r="AI9" i="138"/>
  <c r="AH9" i="138"/>
  <c r="AG9" i="138"/>
  <c r="AF9" i="138"/>
  <c r="AE9" i="138"/>
  <c r="AD9" i="138"/>
  <c r="AC9" i="138"/>
  <c r="AB9" i="138"/>
  <c r="AA9" i="138"/>
  <c r="Z9" i="138"/>
  <c r="Y9" i="138"/>
  <c r="X9" i="138"/>
  <c r="W9" i="138"/>
  <c r="V9" i="138"/>
  <c r="U9" i="138"/>
  <c r="T9" i="138"/>
  <c r="S9" i="138"/>
  <c r="R9" i="138"/>
  <c r="Q9" i="138"/>
  <c r="P9" i="138"/>
  <c r="O9" i="138"/>
  <c r="N9" i="138"/>
  <c r="M9" i="138"/>
  <c r="L9" i="138"/>
  <c r="K9" i="138"/>
  <c r="A9" i="138"/>
  <c r="AS8" i="138"/>
  <c r="AR8" i="138"/>
  <c r="AQ8" i="138"/>
  <c r="AP8" i="138"/>
  <c r="AO8" i="138"/>
  <c r="AN8" i="138"/>
  <c r="AM8" i="138"/>
  <c r="AL8" i="138"/>
  <c r="AK8" i="138"/>
  <c r="AJ8" i="138"/>
  <c r="AI8" i="138"/>
  <c r="AH8" i="138"/>
  <c r="AG8" i="138"/>
  <c r="AF8" i="138"/>
  <c r="AE8" i="138"/>
  <c r="AD8" i="138"/>
  <c r="AC8" i="138"/>
  <c r="AB8" i="138"/>
  <c r="AA8" i="138"/>
  <c r="Z8" i="138"/>
  <c r="Y8" i="138"/>
  <c r="X8" i="138"/>
  <c r="W8" i="138"/>
  <c r="V8" i="138"/>
  <c r="U8" i="138"/>
  <c r="T8" i="138"/>
  <c r="S8" i="138"/>
  <c r="R8" i="138"/>
  <c r="Q8" i="138"/>
  <c r="P8" i="138"/>
  <c r="O8" i="138"/>
  <c r="N8" i="138"/>
  <c r="M8" i="138"/>
  <c r="L8" i="138"/>
  <c r="K8" i="138"/>
  <c r="A8" i="138"/>
  <c r="AS7" i="138"/>
  <c r="AR7" i="138"/>
  <c r="AQ7" i="138"/>
  <c r="AP7" i="138"/>
  <c r="AO7" i="138"/>
  <c r="AN7" i="138"/>
  <c r="AM7" i="138"/>
  <c r="AL7" i="138"/>
  <c r="AK7" i="138"/>
  <c r="AJ7" i="138"/>
  <c r="AI7" i="138"/>
  <c r="AH7" i="138"/>
  <c r="AG7" i="138"/>
  <c r="AF7" i="138"/>
  <c r="AE7" i="138"/>
  <c r="AD7" i="138"/>
  <c r="AC7" i="138"/>
  <c r="AB7" i="138"/>
  <c r="AA7" i="138"/>
  <c r="AA14" i="138" s="1"/>
  <c r="Z7" i="138"/>
  <c r="Y7" i="138"/>
  <c r="X7" i="138"/>
  <c r="W7" i="138"/>
  <c r="V7" i="138"/>
  <c r="V14" i="138" s="1"/>
  <c r="U7" i="138"/>
  <c r="T7" i="138"/>
  <c r="S7" i="138"/>
  <c r="R7" i="138"/>
  <c r="Q7" i="138"/>
  <c r="P7" i="138"/>
  <c r="O7" i="138"/>
  <c r="N7" i="138"/>
  <c r="M7" i="138"/>
  <c r="L7" i="138"/>
  <c r="K7" i="138"/>
  <c r="A7" i="138"/>
  <c r="A6" i="138"/>
  <c r="CL5" i="138"/>
  <c r="CK5" i="138"/>
  <c r="CJ5" i="138"/>
  <c r="CI5" i="138"/>
  <c r="CH5" i="138"/>
  <c r="CG5" i="138"/>
  <c r="CF5" i="138"/>
  <c r="CE5" i="138"/>
  <c r="CD5" i="138"/>
  <c r="CC5" i="138"/>
  <c r="CB5" i="138"/>
  <c r="CA5" i="138"/>
  <c r="BZ5" i="138"/>
  <c r="BY5" i="138"/>
  <c r="BX5" i="138"/>
  <c r="BW5" i="138"/>
  <c r="BV5" i="138"/>
  <c r="BU5" i="138"/>
  <c r="BT5" i="138"/>
  <c r="BS5" i="138"/>
  <c r="BR5" i="138"/>
  <c r="BQ5" i="138"/>
  <c r="BP5" i="138"/>
  <c r="BO5" i="138"/>
  <c r="BN5" i="138"/>
  <c r="BM5" i="138"/>
  <c r="BL5" i="138"/>
  <c r="BK5" i="138"/>
  <c r="BJ5" i="138"/>
  <c r="BI5" i="138"/>
  <c r="BH5" i="138"/>
  <c r="BG5" i="138"/>
  <c r="BF5" i="138"/>
  <c r="BE5" i="138"/>
  <c r="BD5" i="138"/>
  <c r="BC5" i="138"/>
  <c r="BB5" i="138"/>
  <c r="BA5" i="138"/>
  <c r="AZ5" i="138"/>
  <c r="AY5" i="138"/>
  <c r="AX5" i="138"/>
  <c r="AW5" i="138"/>
  <c r="AV5" i="138"/>
  <c r="AU5" i="138"/>
  <c r="AT5" i="138"/>
  <c r="AS5" i="138"/>
  <c r="AR5" i="138"/>
  <c r="AQ5" i="138"/>
  <c r="AP5" i="138"/>
  <c r="AO5" i="138"/>
  <c r="AN5" i="138"/>
  <c r="AM5" i="138"/>
  <c r="AL5" i="138"/>
  <c r="AK5" i="138"/>
  <c r="AJ5" i="138"/>
  <c r="AI5" i="138"/>
  <c r="AH5" i="138"/>
  <c r="AG5" i="138"/>
  <c r="AF5" i="138"/>
  <c r="AE5" i="138"/>
  <c r="AD5" i="138"/>
  <c r="AC5" i="138"/>
  <c r="AB5" i="138"/>
  <c r="AA5" i="138"/>
  <c r="Z5" i="138"/>
  <c r="Y5" i="138"/>
  <c r="X5" i="138"/>
  <c r="W5" i="138"/>
  <c r="V5" i="138"/>
  <c r="U5" i="138"/>
  <c r="T5" i="138"/>
  <c r="S5" i="138"/>
  <c r="R5" i="138"/>
  <c r="Q5" i="138"/>
  <c r="P5" i="138"/>
  <c r="O5" i="138"/>
  <c r="N5" i="138"/>
  <c r="M5" i="138"/>
  <c r="L5" i="138"/>
  <c r="K5" i="138"/>
  <c r="J5" i="138"/>
  <c r="I5" i="138"/>
  <c r="H5" i="138"/>
  <c r="G5" i="138"/>
  <c r="F5" i="138"/>
  <c r="A5" i="138"/>
  <c r="B46" i="137"/>
  <c r="B52" i="137"/>
  <c r="B54" i="137"/>
  <c r="B56" i="137"/>
  <c r="B58" i="137"/>
  <c r="B57" i="137"/>
  <c r="B62" i="137"/>
  <c r="B61" i="137"/>
  <c r="B53" i="137"/>
  <c r="B48" i="137"/>
  <c r="G66" i="137"/>
  <c r="H66" i="137"/>
  <c r="I66" i="137"/>
  <c r="J66" i="137"/>
  <c r="K66" i="137"/>
  <c r="L66" i="137"/>
  <c r="M66" i="137"/>
  <c r="N66" i="137"/>
  <c r="F66" i="137"/>
  <c r="B59" i="137"/>
  <c r="B55" i="137"/>
  <c r="B41" i="137"/>
  <c r="B42" i="137"/>
  <c r="B51" i="137"/>
  <c r="B50" i="137"/>
  <c r="B49" i="137"/>
  <c r="B47" i="137"/>
  <c r="B45" i="137"/>
  <c r="B44" i="137"/>
  <c r="B43" i="137"/>
  <c r="A89" i="122"/>
  <c r="A88" i="122"/>
  <c r="A87" i="122"/>
  <c r="A86" i="122"/>
  <c r="A85" i="122"/>
  <c r="A84" i="122"/>
  <c r="A83" i="122"/>
  <c r="A81" i="122"/>
  <c r="A80" i="122"/>
  <c r="A79" i="122"/>
  <c r="A78" i="122"/>
  <c r="A77" i="122"/>
  <c r="A76" i="122"/>
  <c r="A75" i="122"/>
  <c r="A74" i="122"/>
  <c r="A73" i="122"/>
  <c r="A72" i="122"/>
  <c r="A71" i="122"/>
  <c r="A70" i="122"/>
  <c r="A69" i="122"/>
  <c r="A68" i="122"/>
  <c r="A65" i="122"/>
  <c r="A61" i="122"/>
  <c r="A59" i="122"/>
  <c r="A57" i="122"/>
  <c r="A55" i="122"/>
  <c r="A53" i="122"/>
  <c r="A52" i="122"/>
  <c r="A49" i="122"/>
  <c r="A48" i="122"/>
  <c r="A47" i="122"/>
  <c r="A46" i="122"/>
  <c r="A45" i="122"/>
  <c r="A44" i="122"/>
  <c r="A43" i="122"/>
  <c r="A42" i="122"/>
  <c r="A41" i="122"/>
  <c r="A40" i="122"/>
  <c r="A39" i="122"/>
  <c r="A38" i="122"/>
  <c r="A37" i="122"/>
  <c r="A36" i="122"/>
  <c r="A35" i="122"/>
  <c r="A34" i="122"/>
  <c r="A33" i="122"/>
  <c r="A32" i="122"/>
  <c r="A31" i="122"/>
  <c r="A30" i="122"/>
  <c r="A29" i="122"/>
  <c r="A28" i="122"/>
  <c r="A27" i="122"/>
  <c r="A26" i="122"/>
  <c r="A25" i="122"/>
  <c r="A24" i="122"/>
  <c r="A23" i="122"/>
  <c r="A22" i="122"/>
  <c r="A21" i="122"/>
  <c r="A20" i="122"/>
  <c r="A19" i="122"/>
  <c r="A18" i="122"/>
  <c r="A17" i="122"/>
  <c r="A16" i="122"/>
  <c r="A15" i="122"/>
  <c r="A14" i="122"/>
  <c r="A13" i="122"/>
  <c r="A12" i="122"/>
  <c r="A11" i="122"/>
  <c r="A10" i="122"/>
  <c r="A9" i="122"/>
  <c r="A8" i="122"/>
  <c r="A7" i="122"/>
  <c r="A6" i="122"/>
  <c r="A5" i="122"/>
  <c r="A4" i="122"/>
  <c r="A89" i="124"/>
  <c r="A88" i="124"/>
  <c r="A87" i="124"/>
  <c r="A86" i="124"/>
  <c r="A85" i="124"/>
  <c r="A84" i="124"/>
  <c r="A83" i="124"/>
  <c r="A81" i="124"/>
  <c r="A80" i="124"/>
  <c r="A79" i="124"/>
  <c r="A78" i="124"/>
  <c r="A77" i="124"/>
  <c r="A76" i="124"/>
  <c r="A75" i="124"/>
  <c r="A72" i="124"/>
  <c r="A73" i="124"/>
  <c r="A74" i="124"/>
  <c r="A71" i="124"/>
  <c r="A70" i="124"/>
  <c r="A69" i="124"/>
  <c r="A68" i="124"/>
  <c r="A67" i="124"/>
  <c r="A66" i="124"/>
  <c r="A65" i="124"/>
  <c r="A61" i="124"/>
  <c r="A55" i="124"/>
  <c r="A57" i="124"/>
  <c r="A59" i="124"/>
  <c r="A53" i="124"/>
  <c r="A52" i="124"/>
  <c r="A49" i="124"/>
  <c r="A48" i="124"/>
  <c r="A47" i="124"/>
  <c r="A46" i="124"/>
  <c r="A45" i="124"/>
  <c r="A44" i="124"/>
  <c r="A43" i="124"/>
  <c r="A42" i="124"/>
  <c r="A41" i="124"/>
  <c r="A40" i="124"/>
  <c r="A39" i="124"/>
  <c r="A38" i="124"/>
  <c r="A37" i="124"/>
  <c r="A36" i="124"/>
  <c r="A35" i="124"/>
  <c r="A34" i="124"/>
  <c r="A33" i="124"/>
  <c r="A32" i="124"/>
  <c r="A31" i="124"/>
  <c r="A30" i="124"/>
  <c r="A29" i="124"/>
  <c r="A27" i="124"/>
  <c r="A22" i="124"/>
  <c r="A23" i="124"/>
  <c r="A24" i="124"/>
  <c r="A25" i="124"/>
  <c r="A26" i="124"/>
  <c r="A21" i="124"/>
  <c r="A20" i="124"/>
  <c r="A19" i="124"/>
  <c r="F70" i="136"/>
  <c r="G70" i="136"/>
  <c r="H70" i="136"/>
  <c r="H71" i="136" s="1"/>
  <c r="I70" i="136"/>
  <c r="I69" i="136"/>
  <c r="I71" i="136" s="1"/>
  <c r="H69" i="136"/>
  <c r="G69" i="136"/>
  <c r="F69" i="136"/>
  <c r="A18" i="124"/>
  <c r="A17" i="124"/>
  <c r="A16" i="124"/>
  <c r="A15" i="124"/>
  <c r="A14" i="124"/>
  <c r="A13" i="124"/>
  <c r="A12" i="124"/>
  <c r="A11" i="124"/>
  <c r="A10" i="124"/>
  <c r="A9" i="124"/>
  <c r="A8" i="124"/>
  <c r="A7" i="124"/>
  <c r="A6" i="124"/>
  <c r="A5" i="124"/>
  <c r="A4" i="124"/>
  <c r="A3" i="124"/>
  <c r="I12" i="136"/>
  <c r="H12" i="136"/>
  <c r="G12" i="136"/>
  <c r="F12" i="136"/>
  <c r="CL12" i="136"/>
  <c r="CK12" i="136"/>
  <c r="CJ12" i="136"/>
  <c r="CI12" i="136"/>
  <c r="CH12" i="136"/>
  <c r="CG12" i="136"/>
  <c r="CF12" i="136"/>
  <c r="CE12" i="136"/>
  <c r="CD12" i="136"/>
  <c r="CC12" i="136"/>
  <c r="CB12" i="136"/>
  <c r="CA12" i="136"/>
  <c r="BZ12" i="136"/>
  <c r="BY12" i="136"/>
  <c r="BX12" i="136"/>
  <c r="BW12" i="136"/>
  <c r="BV12" i="136"/>
  <c r="BU12" i="136"/>
  <c r="BT12" i="136"/>
  <c r="BS12" i="136"/>
  <c r="BR12" i="136"/>
  <c r="BQ12" i="136"/>
  <c r="BP12" i="136"/>
  <c r="BO12" i="136"/>
  <c r="BO107" i="136" s="1"/>
  <c r="BN12" i="136"/>
  <c r="BM12" i="136"/>
  <c r="BL12" i="136"/>
  <c r="BK12" i="136"/>
  <c r="BJ12" i="136"/>
  <c r="BI12" i="136"/>
  <c r="BH12" i="136"/>
  <c r="BG12" i="136"/>
  <c r="BG107" i="136" s="1"/>
  <c r="BF12" i="136"/>
  <c r="BE12" i="136"/>
  <c r="BD12" i="136"/>
  <c r="BC12" i="136"/>
  <c r="BB12" i="136"/>
  <c r="BA12" i="136"/>
  <c r="AZ12" i="136"/>
  <c r="AY12" i="136"/>
  <c r="L12" i="136" s="1"/>
  <c r="AX12" i="136"/>
  <c r="AW12" i="136"/>
  <c r="AV12" i="136"/>
  <c r="AU12" i="136"/>
  <c r="AT12" i="136"/>
  <c r="I12" i="135"/>
  <c r="H12" i="135"/>
  <c r="G12" i="135"/>
  <c r="F12" i="135"/>
  <c r="CL12" i="135"/>
  <c r="CK12" i="135"/>
  <c r="CJ12" i="135"/>
  <c r="CI12" i="135"/>
  <c r="CH12" i="135"/>
  <c r="CG12" i="135"/>
  <c r="CF12" i="135"/>
  <c r="CE12" i="135"/>
  <c r="CD12" i="135"/>
  <c r="CC12" i="135"/>
  <c r="CB12" i="135"/>
  <c r="CA12" i="135"/>
  <c r="BZ12" i="135"/>
  <c r="BY12" i="135"/>
  <c r="BX12" i="135"/>
  <c r="BW12" i="135"/>
  <c r="BV12" i="135"/>
  <c r="BU12" i="135"/>
  <c r="BT12" i="135"/>
  <c r="BS12" i="135"/>
  <c r="BR12" i="135"/>
  <c r="BQ12" i="135"/>
  <c r="BP12" i="135"/>
  <c r="BO12" i="135"/>
  <c r="BN12" i="135"/>
  <c r="BM12" i="135"/>
  <c r="BL12" i="135"/>
  <c r="BK12" i="135"/>
  <c r="BJ12" i="135"/>
  <c r="BI12" i="135"/>
  <c r="BH12" i="135"/>
  <c r="BG12" i="135"/>
  <c r="BF12" i="135"/>
  <c r="BE12" i="135"/>
  <c r="BD12" i="135"/>
  <c r="BC12" i="135"/>
  <c r="BB12" i="135"/>
  <c r="BA12" i="135"/>
  <c r="AZ12" i="135"/>
  <c r="AY12" i="135"/>
  <c r="AX12" i="135"/>
  <c r="AW12" i="135"/>
  <c r="N12" i="135" s="1"/>
  <c r="AV12" i="135"/>
  <c r="AU12" i="135"/>
  <c r="AT12" i="135"/>
  <c r="B86" i="124"/>
  <c r="B84" i="124"/>
  <c r="B81" i="124"/>
  <c r="B74" i="124"/>
  <c r="B73" i="124"/>
  <c r="B72" i="124"/>
  <c r="B71" i="124"/>
  <c r="B64" i="124"/>
  <c r="B63" i="124"/>
  <c r="B62" i="124"/>
  <c r="B60" i="124"/>
  <c r="B55" i="124"/>
  <c r="B54" i="124"/>
  <c r="B53" i="124"/>
  <c r="B49" i="124"/>
  <c r="B46" i="124"/>
  <c r="B45" i="124"/>
  <c r="B44" i="124"/>
  <c r="B38" i="124"/>
  <c r="B36" i="124"/>
  <c r="B35" i="124"/>
  <c r="B28" i="124"/>
  <c r="B27" i="124"/>
  <c r="B26" i="124"/>
  <c r="B25" i="124"/>
  <c r="B23" i="124"/>
  <c r="B20" i="124"/>
  <c r="B18" i="124"/>
  <c r="B17" i="124"/>
  <c r="B10" i="124"/>
  <c r="B9" i="124"/>
  <c r="B8" i="124"/>
  <c r="CL127" i="136"/>
  <c r="CK127" i="136"/>
  <c r="CJ127" i="136"/>
  <c r="CI127" i="136"/>
  <c r="CH127" i="136"/>
  <c r="CG127" i="136"/>
  <c r="CF127" i="136"/>
  <c r="CE127" i="136"/>
  <c r="CD127" i="136"/>
  <c r="CC127" i="136"/>
  <c r="CB127" i="136"/>
  <c r="CA127" i="136"/>
  <c r="BZ127" i="136"/>
  <c r="BY127" i="136"/>
  <c r="BX127" i="136"/>
  <c r="BW127" i="136"/>
  <c r="BV127" i="136"/>
  <c r="BU127" i="136"/>
  <c r="BT127" i="136"/>
  <c r="BS127" i="136"/>
  <c r="BR127" i="136"/>
  <c r="BQ127" i="136"/>
  <c r="BP127" i="136"/>
  <c r="BO127" i="136"/>
  <c r="BN127" i="136"/>
  <c r="BM127" i="136"/>
  <c r="BL127" i="136"/>
  <c r="BK127" i="136"/>
  <c r="BJ127" i="136"/>
  <c r="BI127" i="136"/>
  <c r="BH127" i="136"/>
  <c r="BG127" i="136"/>
  <c r="BF127" i="136"/>
  <c r="BE127" i="136"/>
  <c r="BD127" i="136"/>
  <c r="BC127" i="136"/>
  <c r="BB127" i="136"/>
  <c r="BA127" i="136"/>
  <c r="AZ127" i="136"/>
  <c r="AY127" i="136"/>
  <c r="AX127" i="136"/>
  <c r="AW127" i="136"/>
  <c r="AV127" i="136"/>
  <c r="AU127" i="136"/>
  <c r="AS126" i="136"/>
  <c r="AR126" i="136"/>
  <c r="AQ126" i="136"/>
  <c r="AP126" i="136"/>
  <c r="AO126" i="136"/>
  <c r="AN126" i="136"/>
  <c r="AM126" i="136"/>
  <c r="AL126" i="136"/>
  <c r="AK126" i="136"/>
  <c r="AJ126" i="136"/>
  <c r="AI126" i="136"/>
  <c r="AH126" i="136"/>
  <c r="AG126" i="136"/>
  <c r="AF126" i="136"/>
  <c r="AE126" i="136"/>
  <c r="AD126" i="136"/>
  <c r="AC126" i="136"/>
  <c r="AB126" i="136"/>
  <c r="AA126" i="136"/>
  <c r="Z126" i="136"/>
  <c r="Y126" i="136"/>
  <c r="X126" i="136"/>
  <c r="W126" i="136"/>
  <c r="V126" i="136"/>
  <c r="U126" i="136"/>
  <c r="T126" i="136"/>
  <c r="S126" i="136"/>
  <c r="R126" i="136"/>
  <c r="Q126" i="136"/>
  <c r="P126" i="136"/>
  <c r="O126" i="136"/>
  <c r="N126" i="136"/>
  <c r="M126" i="136"/>
  <c r="L126" i="136"/>
  <c r="K126" i="136"/>
  <c r="I126" i="136"/>
  <c r="I127" i="136" s="1"/>
  <c r="H126" i="136"/>
  <c r="H127" i="136" s="1"/>
  <c r="G126" i="136"/>
  <c r="G127" i="136" s="1"/>
  <c r="F126" i="136"/>
  <c r="F127" i="136" s="1"/>
  <c r="AS123" i="136"/>
  <c r="AR123" i="136"/>
  <c r="AQ123" i="136"/>
  <c r="AQ44" i="136" s="1"/>
  <c r="AP123" i="136"/>
  <c r="AO123" i="136"/>
  <c r="AN123" i="136"/>
  <c r="AM123" i="136"/>
  <c r="AM44" i="136"/>
  <c r="AL123" i="136"/>
  <c r="AK123" i="136"/>
  <c r="AJ123" i="136"/>
  <c r="AI123" i="136"/>
  <c r="AI44" i="136" s="1"/>
  <c r="AH123" i="136"/>
  <c r="AG123" i="136"/>
  <c r="AF123" i="136"/>
  <c r="AE123" i="136"/>
  <c r="AE44" i="136" s="1"/>
  <c r="AD123" i="136"/>
  <c r="AC123" i="136"/>
  <c r="AB123" i="136"/>
  <c r="AA123" i="136"/>
  <c r="AA44" i="136" s="1"/>
  <c r="Z123" i="136"/>
  <c r="Y123" i="136"/>
  <c r="X123" i="136"/>
  <c r="W123" i="136"/>
  <c r="W44" i="136" s="1"/>
  <c r="V123" i="136"/>
  <c r="U123" i="136"/>
  <c r="T123" i="136"/>
  <c r="S123" i="136"/>
  <c r="S44" i="136" s="1"/>
  <c r="R123" i="136"/>
  <c r="Q123" i="136"/>
  <c r="P123" i="136"/>
  <c r="O123" i="136"/>
  <c r="O44" i="136"/>
  <c r="N123" i="136"/>
  <c r="M123" i="136"/>
  <c r="L123" i="136"/>
  <c r="K123" i="136"/>
  <c r="K44" i="136" s="1"/>
  <c r="AS118" i="136"/>
  <c r="AR118" i="136"/>
  <c r="AQ118" i="136"/>
  <c r="AP118" i="136"/>
  <c r="AO118" i="136"/>
  <c r="AN118" i="136"/>
  <c r="AM118" i="136"/>
  <c r="AL118" i="136"/>
  <c r="AK118" i="136"/>
  <c r="AJ118" i="136"/>
  <c r="AI118" i="136"/>
  <c r="AH118" i="136"/>
  <c r="AG118" i="136"/>
  <c r="AF118" i="136"/>
  <c r="AE118" i="136"/>
  <c r="AD118" i="136"/>
  <c r="AC118" i="136"/>
  <c r="AC21" i="136" s="1"/>
  <c r="AB118" i="136"/>
  <c r="AA118" i="136"/>
  <c r="Z118" i="136"/>
  <c r="Y118" i="136"/>
  <c r="X118" i="136"/>
  <c r="W118" i="136"/>
  <c r="V118" i="136"/>
  <c r="U118" i="136"/>
  <c r="T118" i="136"/>
  <c r="S118" i="136"/>
  <c r="R118" i="136"/>
  <c r="Q118" i="136"/>
  <c r="P118" i="136"/>
  <c r="O118" i="136"/>
  <c r="N118" i="136"/>
  <c r="M118" i="136"/>
  <c r="L118" i="136"/>
  <c r="K118" i="136"/>
  <c r="AS117" i="136"/>
  <c r="AR117" i="136"/>
  <c r="AQ117" i="136"/>
  <c r="AP117" i="136"/>
  <c r="AO117" i="136"/>
  <c r="AN117" i="136"/>
  <c r="AM117" i="136"/>
  <c r="AL117" i="136"/>
  <c r="AK117" i="136"/>
  <c r="AJ117" i="136"/>
  <c r="AI117" i="136"/>
  <c r="AH117" i="136"/>
  <c r="AG117" i="136"/>
  <c r="AF117" i="136"/>
  <c r="AE117" i="136"/>
  <c r="AD117" i="136"/>
  <c r="AC117" i="136"/>
  <c r="AB117" i="136"/>
  <c r="AA117" i="136"/>
  <c r="Z117" i="136"/>
  <c r="Y117" i="136"/>
  <c r="X117" i="136"/>
  <c r="W117" i="136"/>
  <c r="V117" i="136"/>
  <c r="U117" i="136"/>
  <c r="T117" i="136"/>
  <c r="S117" i="136"/>
  <c r="R117" i="136"/>
  <c r="Q117" i="136"/>
  <c r="P117" i="136"/>
  <c r="O117" i="136"/>
  <c r="N117" i="136"/>
  <c r="M117" i="136"/>
  <c r="L117" i="136"/>
  <c r="K117" i="136"/>
  <c r="J107" i="136"/>
  <c r="AS106" i="136"/>
  <c r="AR106" i="136"/>
  <c r="AQ106" i="136"/>
  <c r="AP106" i="136"/>
  <c r="AO106" i="136"/>
  <c r="AN106" i="136"/>
  <c r="AM106" i="136"/>
  <c r="AL106" i="136"/>
  <c r="AK106" i="136"/>
  <c r="AJ106" i="136"/>
  <c r="AI106" i="136"/>
  <c r="AH106" i="136"/>
  <c r="AG106" i="136"/>
  <c r="AF106" i="136"/>
  <c r="AE106" i="136"/>
  <c r="AD106" i="136"/>
  <c r="AC106" i="136"/>
  <c r="AB106" i="136"/>
  <c r="AA106" i="136"/>
  <c r="Z106" i="136"/>
  <c r="Y106" i="136"/>
  <c r="X106" i="136"/>
  <c r="W106" i="136"/>
  <c r="V106" i="136"/>
  <c r="U106" i="136"/>
  <c r="T106" i="136"/>
  <c r="S106" i="136"/>
  <c r="R106" i="136"/>
  <c r="Q106" i="136"/>
  <c r="P106" i="136"/>
  <c r="O106" i="136"/>
  <c r="N106" i="136"/>
  <c r="M106" i="136"/>
  <c r="L106" i="136"/>
  <c r="K106" i="136"/>
  <c r="A106" i="136"/>
  <c r="AS105" i="136"/>
  <c r="AR105" i="136"/>
  <c r="AQ105" i="136"/>
  <c r="AP105" i="136"/>
  <c r="AO105" i="136"/>
  <c r="AN105" i="136"/>
  <c r="AM105" i="136"/>
  <c r="AL105" i="136"/>
  <c r="AK105" i="136"/>
  <c r="AJ105" i="136"/>
  <c r="AI105" i="136"/>
  <c r="AH105" i="136"/>
  <c r="AG105" i="136"/>
  <c r="AF105" i="136"/>
  <c r="AE105" i="136"/>
  <c r="AD105" i="136"/>
  <c r="AC105" i="136"/>
  <c r="AB105" i="136"/>
  <c r="AA105" i="136"/>
  <c r="Z105" i="136"/>
  <c r="Y105" i="136"/>
  <c r="X105" i="136"/>
  <c r="W105" i="136"/>
  <c r="V105" i="136"/>
  <c r="U105" i="136"/>
  <c r="T105" i="136"/>
  <c r="S105" i="136"/>
  <c r="R105" i="136"/>
  <c r="Q105" i="136"/>
  <c r="P105" i="136"/>
  <c r="O105" i="136"/>
  <c r="N105" i="136"/>
  <c r="M105" i="136"/>
  <c r="L105" i="136"/>
  <c r="K105" i="136"/>
  <c r="A105" i="136"/>
  <c r="AS104" i="136"/>
  <c r="AR104" i="136"/>
  <c r="AQ104" i="136"/>
  <c r="AP104" i="136"/>
  <c r="AO104" i="136"/>
  <c r="AN104" i="136"/>
  <c r="AM104" i="136"/>
  <c r="AL104" i="136"/>
  <c r="AK104" i="136"/>
  <c r="AJ104" i="136"/>
  <c r="AI104" i="136"/>
  <c r="AH104" i="136"/>
  <c r="AG104" i="136"/>
  <c r="AF104" i="136"/>
  <c r="AE104" i="136"/>
  <c r="AD104" i="136"/>
  <c r="AC104" i="136"/>
  <c r="AB104" i="136"/>
  <c r="AA104" i="136"/>
  <c r="Z104" i="136"/>
  <c r="Y104" i="136"/>
  <c r="X104" i="136"/>
  <c r="W104" i="136"/>
  <c r="V104" i="136"/>
  <c r="U104" i="136"/>
  <c r="T104" i="136"/>
  <c r="S104" i="136"/>
  <c r="R104" i="136"/>
  <c r="Q104" i="136"/>
  <c r="P104" i="136"/>
  <c r="O104" i="136"/>
  <c r="N104" i="136"/>
  <c r="M104" i="136"/>
  <c r="L104" i="136"/>
  <c r="K104" i="136"/>
  <c r="A104" i="136"/>
  <c r="AS103" i="136"/>
  <c r="AR103" i="136"/>
  <c r="AQ103" i="136"/>
  <c r="AP103" i="136"/>
  <c r="AO103" i="136"/>
  <c r="AN103" i="136"/>
  <c r="AM103" i="136"/>
  <c r="AL103" i="136"/>
  <c r="AK103" i="136"/>
  <c r="AJ103" i="136"/>
  <c r="AI103" i="136"/>
  <c r="AH103" i="136"/>
  <c r="AG103" i="136"/>
  <c r="AF103" i="136"/>
  <c r="AE103" i="136"/>
  <c r="AD103" i="136"/>
  <c r="AC103" i="136"/>
  <c r="AB103" i="136"/>
  <c r="AA103" i="136"/>
  <c r="Z103" i="136"/>
  <c r="Y103" i="136"/>
  <c r="X103" i="136"/>
  <c r="W103" i="136"/>
  <c r="V103" i="136"/>
  <c r="U103" i="136"/>
  <c r="T103" i="136"/>
  <c r="S103" i="136"/>
  <c r="R103" i="136"/>
  <c r="Q103" i="136"/>
  <c r="P103" i="136"/>
  <c r="O103" i="136"/>
  <c r="N103" i="136"/>
  <c r="M103" i="136"/>
  <c r="L103" i="136"/>
  <c r="K103" i="136"/>
  <c r="A103" i="136"/>
  <c r="A102" i="136"/>
  <c r="A101" i="136"/>
  <c r="AS100" i="136"/>
  <c r="AR100" i="136"/>
  <c r="AQ100" i="136"/>
  <c r="AP100" i="136"/>
  <c r="AO100" i="136"/>
  <c r="AN100" i="136"/>
  <c r="AM100" i="136"/>
  <c r="AL100" i="136"/>
  <c r="AK100" i="136"/>
  <c r="AJ100" i="136"/>
  <c r="AI100" i="136"/>
  <c r="AH100" i="136"/>
  <c r="AG100" i="136"/>
  <c r="AF100" i="136"/>
  <c r="AE100" i="136"/>
  <c r="AD100" i="136"/>
  <c r="AC100" i="136"/>
  <c r="AB100" i="136"/>
  <c r="AA100" i="136"/>
  <c r="Z100" i="136"/>
  <c r="Y100" i="136"/>
  <c r="X100" i="136"/>
  <c r="W100" i="136"/>
  <c r="V100" i="136"/>
  <c r="U100" i="136"/>
  <c r="T100" i="136"/>
  <c r="S100" i="136"/>
  <c r="R100" i="136"/>
  <c r="Q100" i="136"/>
  <c r="P100" i="136"/>
  <c r="O100" i="136"/>
  <c r="N100" i="136"/>
  <c r="M100" i="136"/>
  <c r="L100" i="136"/>
  <c r="K100" i="136"/>
  <c r="E100" i="136"/>
  <c r="C100" i="136"/>
  <c r="A100" i="136"/>
  <c r="A99" i="136"/>
  <c r="AS98" i="136"/>
  <c r="AR98" i="136"/>
  <c r="AQ98" i="136"/>
  <c r="AP98" i="136"/>
  <c r="AO98" i="136"/>
  <c r="AN98" i="136"/>
  <c r="AM98" i="136"/>
  <c r="AL98" i="136"/>
  <c r="AK98" i="136"/>
  <c r="AJ98" i="136"/>
  <c r="AI98" i="136"/>
  <c r="AH98" i="136"/>
  <c r="AG98" i="136"/>
  <c r="AF98" i="136"/>
  <c r="AE98" i="136"/>
  <c r="AD98" i="136"/>
  <c r="AC98" i="136"/>
  <c r="AB98" i="136"/>
  <c r="AA98" i="136"/>
  <c r="Z98" i="136"/>
  <c r="Y98" i="136"/>
  <c r="X98" i="136"/>
  <c r="W98" i="136"/>
  <c r="V98" i="136"/>
  <c r="U98" i="136"/>
  <c r="T98" i="136"/>
  <c r="S98" i="136"/>
  <c r="R98" i="136"/>
  <c r="Q98" i="136"/>
  <c r="P98" i="136"/>
  <c r="O98" i="136"/>
  <c r="N98" i="136"/>
  <c r="M98" i="136"/>
  <c r="L98" i="136"/>
  <c r="K98" i="136"/>
  <c r="C98" i="136"/>
  <c r="A98" i="136"/>
  <c r="AS97" i="136"/>
  <c r="AR97" i="136"/>
  <c r="AQ97" i="136"/>
  <c r="AP97" i="136"/>
  <c r="AO97" i="136"/>
  <c r="AN97" i="136"/>
  <c r="AM97" i="136"/>
  <c r="AL97" i="136"/>
  <c r="AK97" i="136"/>
  <c r="AJ97" i="136"/>
  <c r="AI97" i="136"/>
  <c r="AH97" i="136"/>
  <c r="AG97" i="136"/>
  <c r="AF97" i="136"/>
  <c r="AE97" i="136"/>
  <c r="AD97" i="136"/>
  <c r="AC97" i="136"/>
  <c r="AB97" i="136"/>
  <c r="AA97" i="136"/>
  <c r="Z97" i="136"/>
  <c r="Y97" i="136"/>
  <c r="X97" i="136"/>
  <c r="W97" i="136"/>
  <c r="V97" i="136"/>
  <c r="U97" i="136"/>
  <c r="T97" i="136"/>
  <c r="S97" i="136"/>
  <c r="R97" i="136"/>
  <c r="Q97" i="136"/>
  <c r="P97" i="136"/>
  <c r="O97" i="136"/>
  <c r="N97" i="136"/>
  <c r="M97" i="136"/>
  <c r="L97" i="136"/>
  <c r="K97" i="136"/>
  <c r="A97" i="136"/>
  <c r="AS96" i="136"/>
  <c r="AR96" i="136"/>
  <c r="AQ96" i="136"/>
  <c r="AP96" i="136"/>
  <c r="AO96" i="136"/>
  <c r="AN96" i="136"/>
  <c r="AM96" i="136"/>
  <c r="AL96" i="136"/>
  <c r="AK96" i="136"/>
  <c r="AJ96" i="136"/>
  <c r="AI96" i="136"/>
  <c r="AH96" i="136"/>
  <c r="AG96" i="136"/>
  <c r="AF96" i="136"/>
  <c r="AE96" i="136"/>
  <c r="AD96" i="136"/>
  <c r="AC96" i="136"/>
  <c r="AB96" i="136"/>
  <c r="AA96" i="136"/>
  <c r="Z96" i="136"/>
  <c r="Y96" i="136"/>
  <c r="X96" i="136"/>
  <c r="W96" i="136"/>
  <c r="V96" i="136"/>
  <c r="U96" i="136"/>
  <c r="T96" i="136"/>
  <c r="S96" i="136"/>
  <c r="R96" i="136"/>
  <c r="Q96" i="136"/>
  <c r="P96" i="136"/>
  <c r="O96" i="136"/>
  <c r="N96" i="136"/>
  <c r="M96" i="136"/>
  <c r="L96" i="136"/>
  <c r="K96" i="136"/>
  <c r="I96" i="136"/>
  <c r="H96" i="136"/>
  <c r="G96" i="136"/>
  <c r="F96" i="136"/>
  <c r="A96" i="136"/>
  <c r="AS95" i="136"/>
  <c r="AR95" i="136"/>
  <c r="AQ95" i="136"/>
  <c r="AP95" i="136"/>
  <c r="AO95" i="136"/>
  <c r="AN95" i="136"/>
  <c r="AM95" i="136"/>
  <c r="AL95" i="136"/>
  <c r="AK95" i="136"/>
  <c r="AJ95" i="136"/>
  <c r="AI95" i="136"/>
  <c r="AH95" i="136"/>
  <c r="AG95" i="136"/>
  <c r="AF95" i="136"/>
  <c r="AE95" i="136"/>
  <c r="AD95" i="136"/>
  <c r="AC95" i="136"/>
  <c r="AB95" i="136"/>
  <c r="AA95" i="136"/>
  <c r="Z95" i="136"/>
  <c r="Y95" i="136"/>
  <c r="X95" i="136"/>
  <c r="W95" i="136"/>
  <c r="V95" i="136"/>
  <c r="U95" i="136"/>
  <c r="T95" i="136"/>
  <c r="S95" i="136"/>
  <c r="R95" i="136"/>
  <c r="Q95" i="136"/>
  <c r="P95" i="136"/>
  <c r="O95" i="136"/>
  <c r="N95" i="136"/>
  <c r="M95" i="136"/>
  <c r="L95" i="136"/>
  <c r="K95" i="136"/>
  <c r="I95" i="136"/>
  <c r="H95" i="136"/>
  <c r="H51" i="136" s="1"/>
  <c r="G95" i="136"/>
  <c r="F95" i="136"/>
  <c r="A95" i="136"/>
  <c r="A94" i="136"/>
  <c r="AR93" i="136"/>
  <c r="AQ93" i="136"/>
  <c r="AP93" i="136"/>
  <c r="AO93" i="136"/>
  <c r="AN93" i="136"/>
  <c r="AM93" i="136"/>
  <c r="AL93" i="136"/>
  <c r="AK93" i="136"/>
  <c r="AJ93" i="136"/>
  <c r="AI93" i="136"/>
  <c r="AH93" i="136"/>
  <c r="AG93" i="136"/>
  <c r="AF93" i="136"/>
  <c r="AD93" i="136"/>
  <c r="AC93" i="136"/>
  <c r="AB93" i="136"/>
  <c r="Z93" i="136"/>
  <c r="W93" i="136"/>
  <c r="U93" i="136"/>
  <c r="T93" i="136"/>
  <c r="S93" i="136"/>
  <c r="Q93" i="136"/>
  <c r="O93" i="136"/>
  <c r="N93" i="136"/>
  <c r="M93" i="136"/>
  <c r="L93" i="136"/>
  <c r="K93" i="136"/>
  <c r="A93" i="136"/>
  <c r="AS92" i="136"/>
  <c r="AR92" i="136"/>
  <c r="AQ92" i="136"/>
  <c r="AP92" i="136"/>
  <c r="AO92" i="136"/>
  <c r="AN92" i="136"/>
  <c r="AM92" i="136"/>
  <c r="AL92" i="136"/>
  <c r="AK92" i="136"/>
  <c r="AJ92" i="136"/>
  <c r="AI92" i="136"/>
  <c r="AH92" i="136"/>
  <c r="AG92" i="136"/>
  <c r="AF92" i="136"/>
  <c r="AE92" i="136"/>
  <c r="AD92" i="136"/>
  <c r="AC92" i="136"/>
  <c r="AB92" i="136"/>
  <c r="AA92" i="136"/>
  <c r="Z92" i="136"/>
  <c r="Y92" i="136"/>
  <c r="X92" i="136"/>
  <c r="W92" i="136"/>
  <c r="V92" i="136"/>
  <c r="U92" i="136"/>
  <c r="T92" i="136"/>
  <c r="S92" i="136"/>
  <c r="R92" i="136"/>
  <c r="Q92" i="136"/>
  <c r="P92" i="136"/>
  <c r="O92" i="136"/>
  <c r="N92" i="136"/>
  <c r="M92" i="136"/>
  <c r="L92" i="136"/>
  <c r="K92" i="136"/>
  <c r="A92" i="136"/>
  <c r="AS91" i="136"/>
  <c r="AR91" i="136"/>
  <c r="AQ91" i="136"/>
  <c r="AP91" i="136"/>
  <c r="AO91" i="136"/>
  <c r="AN91" i="136"/>
  <c r="AM91" i="136"/>
  <c r="AL91" i="136"/>
  <c r="AK91" i="136"/>
  <c r="AJ91" i="136"/>
  <c r="AI91" i="136"/>
  <c r="AH91" i="136"/>
  <c r="AG91" i="136"/>
  <c r="AF91" i="136"/>
  <c r="AE91" i="136"/>
  <c r="AD91" i="136"/>
  <c r="AC91" i="136"/>
  <c r="AB91" i="136"/>
  <c r="AA91" i="136"/>
  <c r="Z91" i="136"/>
  <c r="Y91" i="136"/>
  <c r="X91" i="136"/>
  <c r="W91" i="136"/>
  <c r="V91" i="136"/>
  <c r="U91" i="136"/>
  <c r="T91" i="136"/>
  <c r="S91" i="136"/>
  <c r="R91" i="136"/>
  <c r="Q91" i="136"/>
  <c r="P91" i="136"/>
  <c r="O91" i="136"/>
  <c r="N91" i="136"/>
  <c r="M91" i="136"/>
  <c r="L91" i="136"/>
  <c r="K91" i="136"/>
  <c r="A91" i="136"/>
  <c r="AS90" i="136"/>
  <c r="AR90" i="136"/>
  <c r="AQ90" i="136"/>
  <c r="AP90" i="136"/>
  <c r="AO90" i="136"/>
  <c r="AN90" i="136"/>
  <c r="AM90" i="136"/>
  <c r="AL90" i="136"/>
  <c r="AK90" i="136"/>
  <c r="AJ90" i="136"/>
  <c r="AI90" i="136"/>
  <c r="AH90" i="136"/>
  <c r="AG90" i="136"/>
  <c r="AF90" i="136"/>
  <c r="AE90" i="136"/>
  <c r="AD90" i="136"/>
  <c r="AC90" i="136"/>
  <c r="AB90" i="136"/>
  <c r="AA90" i="136"/>
  <c r="Z90" i="136"/>
  <c r="Y90" i="136"/>
  <c r="X90" i="136"/>
  <c r="W90" i="136"/>
  <c r="V90" i="136"/>
  <c r="U90" i="136"/>
  <c r="T90" i="136"/>
  <c r="S90" i="136"/>
  <c r="R90" i="136"/>
  <c r="Q90" i="136"/>
  <c r="P90" i="136"/>
  <c r="O90" i="136"/>
  <c r="N90" i="136"/>
  <c r="M90" i="136"/>
  <c r="L90" i="136"/>
  <c r="K90" i="136"/>
  <c r="A90" i="136"/>
  <c r="AS89" i="136"/>
  <c r="AR89" i="136"/>
  <c r="AQ89" i="136"/>
  <c r="AP89" i="136"/>
  <c r="AO89" i="136"/>
  <c r="AN89" i="136"/>
  <c r="AM89" i="136"/>
  <c r="AL89" i="136"/>
  <c r="AK89" i="136"/>
  <c r="AJ89" i="136"/>
  <c r="AI89" i="136"/>
  <c r="AH89" i="136"/>
  <c r="AG89" i="136"/>
  <c r="AF89" i="136"/>
  <c r="AE89" i="136"/>
  <c r="AD89" i="136"/>
  <c r="AC89" i="136"/>
  <c r="AB89" i="136"/>
  <c r="AA89" i="136"/>
  <c r="Z89" i="136"/>
  <c r="Y89" i="136"/>
  <c r="X89" i="136"/>
  <c r="W89" i="136"/>
  <c r="V89" i="136"/>
  <c r="U89" i="136"/>
  <c r="T89" i="136"/>
  <c r="S89" i="136"/>
  <c r="R89" i="136"/>
  <c r="Q89" i="136"/>
  <c r="P89" i="136"/>
  <c r="O89" i="136"/>
  <c r="N89" i="136"/>
  <c r="M89" i="136"/>
  <c r="L89" i="136"/>
  <c r="K89" i="136"/>
  <c r="A89" i="136"/>
  <c r="A88" i="136"/>
  <c r="AS87" i="136"/>
  <c r="AR87" i="136"/>
  <c r="AQ87" i="136"/>
  <c r="AP87" i="136"/>
  <c r="AO87" i="136"/>
  <c r="AN87" i="136"/>
  <c r="AM87" i="136"/>
  <c r="AL87" i="136"/>
  <c r="AK87" i="136"/>
  <c r="AJ87" i="136"/>
  <c r="AI87" i="136"/>
  <c r="AH87" i="136"/>
  <c r="AG87" i="136"/>
  <c r="AF87" i="136"/>
  <c r="AE87" i="136"/>
  <c r="AD87" i="136"/>
  <c r="AC87" i="136"/>
  <c r="AB87" i="136"/>
  <c r="AA87" i="136"/>
  <c r="Z87" i="136"/>
  <c r="Y87" i="136"/>
  <c r="X87" i="136"/>
  <c r="W87" i="136"/>
  <c r="V87" i="136"/>
  <c r="U87" i="136"/>
  <c r="T87" i="136"/>
  <c r="S87" i="136"/>
  <c r="R87" i="136"/>
  <c r="Q87" i="136"/>
  <c r="P87" i="136"/>
  <c r="O87" i="136"/>
  <c r="N87" i="136"/>
  <c r="M87" i="136"/>
  <c r="L87" i="136"/>
  <c r="K87" i="136"/>
  <c r="A87" i="136"/>
  <c r="A86" i="136"/>
  <c r="A85" i="136"/>
  <c r="A84" i="136"/>
  <c r="A83" i="136"/>
  <c r="A82" i="136"/>
  <c r="A81" i="136"/>
  <c r="BT80" i="136"/>
  <c r="AS80" i="136"/>
  <c r="AS84" i="136" s="1"/>
  <c r="AR80" i="136"/>
  <c r="AR84" i="136" s="1"/>
  <c r="AQ80" i="136"/>
  <c r="AQ84" i="136" s="1"/>
  <c r="AP80" i="136"/>
  <c r="AP84" i="136" s="1"/>
  <c r="AO80" i="136"/>
  <c r="AO84" i="136" s="1"/>
  <c r="AN80" i="136"/>
  <c r="AN84" i="136" s="1"/>
  <c r="AM80" i="136"/>
  <c r="AM84" i="136" s="1"/>
  <c r="AL80" i="136"/>
  <c r="AL84" i="136" s="1"/>
  <c r="AK80" i="136"/>
  <c r="AK84" i="136" s="1"/>
  <c r="AJ80" i="136"/>
  <c r="AJ84" i="136" s="1"/>
  <c r="AI80" i="136"/>
  <c r="AI84" i="136" s="1"/>
  <c r="AH80" i="136"/>
  <c r="AH84" i="136" s="1"/>
  <c r="AG80" i="136"/>
  <c r="AG84" i="136" s="1"/>
  <c r="AF80" i="136"/>
  <c r="AF84" i="136" s="1"/>
  <c r="AE80" i="136"/>
  <c r="AE84" i="136" s="1"/>
  <c r="AD80" i="136"/>
  <c r="AD84" i="136" s="1"/>
  <c r="AC80" i="136"/>
  <c r="AC84" i="136" s="1"/>
  <c r="AB80" i="136"/>
  <c r="AB84" i="136" s="1"/>
  <c r="AA80" i="136"/>
  <c r="AA84" i="136" s="1"/>
  <c r="Z80" i="136"/>
  <c r="Z84" i="136" s="1"/>
  <c r="Y80" i="136"/>
  <c r="Y84" i="136" s="1"/>
  <c r="X80" i="136"/>
  <c r="X84" i="136" s="1"/>
  <c r="W80" i="136"/>
  <c r="W84" i="136" s="1"/>
  <c r="V80" i="136"/>
  <c r="V84" i="136" s="1"/>
  <c r="U80" i="136"/>
  <c r="U84" i="136" s="1"/>
  <c r="T80" i="136"/>
  <c r="T84" i="136" s="1"/>
  <c r="S80" i="136"/>
  <c r="S84" i="136" s="1"/>
  <c r="R80" i="136"/>
  <c r="R84" i="136" s="1"/>
  <c r="Q80" i="136"/>
  <c r="Q84" i="136" s="1"/>
  <c r="P80" i="136"/>
  <c r="P84" i="136" s="1"/>
  <c r="O80" i="136"/>
  <c r="O84" i="136" s="1"/>
  <c r="N80" i="136"/>
  <c r="N84" i="136" s="1"/>
  <c r="M80" i="136"/>
  <c r="M84" i="136" s="1"/>
  <c r="L80" i="136"/>
  <c r="L84" i="136" s="1"/>
  <c r="K80" i="136"/>
  <c r="K84" i="136" s="1"/>
  <c r="I80" i="136"/>
  <c r="H80" i="136"/>
  <c r="G80" i="136"/>
  <c r="F80" i="136"/>
  <c r="A80" i="136"/>
  <c r="A79" i="136"/>
  <c r="AS78" i="136"/>
  <c r="AR78" i="136"/>
  <c r="AQ78" i="136"/>
  <c r="AP78" i="136"/>
  <c r="AO78" i="136"/>
  <c r="AN78" i="136"/>
  <c r="AM78" i="136"/>
  <c r="AL78" i="136"/>
  <c r="AK78" i="136"/>
  <c r="AJ78" i="136"/>
  <c r="AI78" i="136"/>
  <c r="AH78" i="136"/>
  <c r="AG78" i="136"/>
  <c r="AF78" i="136"/>
  <c r="AE78" i="136"/>
  <c r="AD78" i="136"/>
  <c r="AC78" i="136"/>
  <c r="AB78" i="136"/>
  <c r="AA78" i="136"/>
  <c r="Z78" i="136"/>
  <c r="Y78" i="136"/>
  <c r="X78" i="136"/>
  <c r="W78" i="136"/>
  <c r="V78" i="136"/>
  <c r="U78" i="136"/>
  <c r="T78" i="136"/>
  <c r="S78" i="136"/>
  <c r="R78" i="136"/>
  <c r="Q78" i="136"/>
  <c r="P78" i="136"/>
  <c r="O78" i="136"/>
  <c r="N78" i="136"/>
  <c r="M78" i="136"/>
  <c r="L78" i="136"/>
  <c r="K78" i="136"/>
  <c r="A78" i="136"/>
  <c r="AS77" i="136"/>
  <c r="AR77" i="136"/>
  <c r="AQ77" i="136"/>
  <c r="AP77" i="136"/>
  <c r="AO77" i="136"/>
  <c r="AN77" i="136"/>
  <c r="AM77" i="136"/>
  <c r="AL77" i="136"/>
  <c r="AK77" i="136"/>
  <c r="AJ77" i="136"/>
  <c r="AI77" i="136"/>
  <c r="AH77" i="136"/>
  <c r="AG77" i="136"/>
  <c r="AF77" i="136"/>
  <c r="AE77" i="136"/>
  <c r="AD77" i="136"/>
  <c r="AC77" i="136"/>
  <c r="AB77" i="136"/>
  <c r="AA77" i="136"/>
  <c r="Z77" i="136"/>
  <c r="Y77" i="136"/>
  <c r="X77" i="136"/>
  <c r="W77" i="136"/>
  <c r="V77" i="136"/>
  <c r="U77" i="136"/>
  <c r="T77" i="136"/>
  <c r="S77" i="136"/>
  <c r="R77" i="136"/>
  <c r="Q77" i="136"/>
  <c r="P77" i="136"/>
  <c r="O77" i="136"/>
  <c r="N77" i="136"/>
  <c r="M77" i="136"/>
  <c r="L77" i="136"/>
  <c r="K77" i="136"/>
  <c r="A77" i="136"/>
  <c r="AS76" i="136"/>
  <c r="AR76" i="136"/>
  <c r="AQ76" i="136"/>
  <c r="AP76" i="136"/>
  <c r="AO76" i="136"/>
  <c r="AN76" i="136"/>
  <c r="AM76" i="136"/>
  <c r="AL76" i="136"/>
  <c r="AK76" i="136"/>
  <c r="AJ76" i="136"/>
  <c r="AI76" i="136"/>
  <c r="AH76" i="136"/>
  <c r="AG76" i="136"/>
  <c r="AF76" i="136"/>
  <c r="AE76" i="136"/>
  <c r="AD76" i="136"/>
  <c r="AC76" i="136"/>
  <c r="AB76" i="136"/>
  <c r="AA76" i="136"/>
  <c r="Z76" i="136"/>
  <c r="Y76" i="136"/>
  <c r="X76" i="136"/>
  <c r="W76" i="136"/>
  <c r="V76" i="136"/>
  <c r="U76" i="136"/>
  <c r="T76" i="136"/>
  <c r="S76" i="136"/>
  <c r="R76" i="136"/>
  <c r="Q76" i="136"/>
  <c r="P76" i="136"/>
  <c r="O76" i="136"/>
  <c r="N76" i="136"/>
  <c r="M76" i="136"/>
  <c r="L76" i="136"/>
  <c r="K76" i="136"/>
  <c r="A76" i="136"/>
  <c r="AS75" i="136"/>
  <c r="AR75" i="136"/>
  <c r="AQ75" i="136"/>
  <c r="AP75" i="136"/>
  <c r="AO75" i="136"/>
  <c r="AN75" i="136"/>
  <c r="AM75" i="136"/>
  <c r="AL75" i="136"/>
  <c r="AK75" i="136"/>
  <c r="AJ75" i="136"/>
  <c r="AI75" i="136"/>
  <c r="AH75" i="136"/>
  <c r="AG75" i="136"/>
  <c r="AF75" i="136"/>
  <c r="AE75" i="136"/>
  <c r="AD75" i="136"/>
  <c r="AC75" i="136"/>
  <c r="AB75" i="136"/>
  <c r="AA75" i="136"/>
  <c r="Z75" i="136"/>
  <c r="Y75" i="136"/>
  <c r="X75" i="136"/>
  <c r="W75" i="136"/>
  <c r="V75" i="136"/>
  <c r="U75" i="136"/>
  <c r="T75" i="136"/>
  <c r="S75" i="136"/>
  <c r="R75" i="136"/>
  <c r="Q75" i="136"/>
  <c r="P75" i="136"/>
  <c r="O75" i="136"/>
  <c r="N75" i="136"/>
  <c r="M75" i="136"/>
  <c r="L75" i="136"/>
  <c r="K75" i="136"/>
  <c r="A75" i="136"/>
  <c r="AS74" i="136"/>
  <c r="AR74" i="136"/>
  <c r="AQ74" i="136"/>
  <c r="AP74" i="136"/>
  <c r="AO74" i="136"/>
  <c r="AN74" i="136"/>
  <c r="AM74" i="136"/>
  <c r="AL74" i="136"/>
  <c r="AK74" i="136"/>
  <c r="AJ74" i="136"/>
  <c r="AI74" i="136"/>
  <c r="AH74" i="136"/>
  <c r="AG74" i="136"/>
  <c r="AF74" i="136"/>
  <c r="AE74" i="136"/>
  <c r="AD74" i="136"/>
  <c r="AC74" i="136"/>
  <c r="AB74" i="136"/>
  <c r="AA74" i="136"/>
  <c r="Z74" i="136"/>
  <c r="Y74" i="136"/>
  <c r="X74" i="136"/>
  <c r="W74" i="136"/>
  <c r="V74" i="136"/>
  <c r="U74" i="136"/>
  <c r="T74" i="136"/>
  <c r="S74" i="136"/>
  <c r="R74" i="136"/>
  <c r="Q74" i="136"/>
  <c r="P74" i="136"/>
  <c r="O74" i="136"/>
  <c r="N74" i="136"/>
  <c r="M74" i="136"/>
  <c r="L74" i="136"/>
  <c r="K74" i="136"/>
  <c r="A74"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V73" i="136"/>
  <c r="U73" i="136"/>
  <c r="T73" i="136"/>
  <c r="S73" i="136"/>
  <c r="R73" i="136"/>
  <c r="Q73" i="136"/>
  <c r="P73" i="136"/>
  <c r="O73" i="136"/>
  <c r="N73" i="136"/>
  <c r="M73" i="136"/>
  <c r="L73" i="136"/>
  <c r="K73" i="136"/>
  <c r="A73" i="136"/>
  <c r="A72" i="136"/>
  <c r="CL71" i="136"/>
  <c r="CK71" i="136"/>
  <c r="CJ71" i="136"/>
  <c r="CI71" i="136"/>
  <c r="CH71" i="136"/>
  <c r="CG71" i="136"/>
  <c r="CF71" i="136"/>
  <c r="CE71" i="136"/>
  <c r="CD71" i="136"/>
  <c r="CC71" i="136"/>
  <c r="CB71" i="136"/>
  <c r="CA71" i="136"/>
  <c r="BZ71" i="136"/>
  <c r="BY71" i="136"/>
  <c r="BX71" i="136"/>
  <c r="BW71" i="136"/>
  <c r="BV71" i="136"/>
  <c r="BU71" i="136"/>
  <c r="BT71" i="136"/>
  <c r="BS71" i="136"/>
  <c r="BR71" i="136"/>
  <c r="BQ71" i="136"/>
  <c r="BP71" i="136"/>
  <c r="BO71" i="136"/>
  <c r="BN71" i="136"/>
  <c r="BM71" i="136"/>
  <c r="BL71" i="136"/>
  <c r="BK71" i="136"/>
  <c r="BJ71" i="136"/>
  <c r="BI71" i="136"/>
  <c r="BH71" i="136"/>
  <c r="BG71" i="136"/>
  <c r="BF71" i="136"/>
  <c r="BE71" i="136"/>
  <c r="BD71" i="136"/>
  <c r="BC71" i="136"/>
  <c r="BB71" i="136"/>
  <c r="BA71" i="136"/>
  <c r="AZ71" i="136"/>
  <c r="AY71" i="136"/>
  <c r="AX71" i="136"/>
  <c r="AW71" i="136"/>
  <c r="AV71" i="136"/>
  <c r="AU71" i="136"/>
  <c r="AT71" i="136"/>
  <c r="F71" i="136"/>
  <c r="A71" i="136"/>
  <c r="AS70" i="136"/>
  <c r="AR70" i="136"/>
  <c r="AQ70" i="136"/>
  <c r="AP70" i="136"/>
  <c r="AO70" i="136"/>
  <c r="AN70" i="136"/>
  <c r="AM70" i="136"/>
  <c r="AL70" i="136"/>
  <c r="AK70" i="136"/>
  <c r="AJ70" i="136"/>
  <c r="AI70" i="136"/>
  <c r="AH70" i="136"/>
  <c r="AG70" i="136"/>
  <c r="AF70" i="136"/>
  <c r="AE70" i="136"/>
  <c r="AD70" i="136"/>
  <c r="AC70" i="136"/>
  <c r="AB70" i="136"/>
  <c r="AA70" i="136"/>
  <c r="Z70" i="136"/>
  <c r="Y70" i="136"/>
  <c r="X70" i="136"/>
  <c r="W70" i="136"/>
  <c r="V70" i="136"/>
  <c r="U70" i="136"/>
  <c r="T70" i="136"/>
  <c r="S70" i="136"/>
  <c r="R70" i="136"/>
  <c r="Q70" i="136"/>
  <c r="P70" i="136"/>
  <c r="O70" i="136"/>
  <c r="N70" i="136"/>
  <c r="M70" i="136"/>
  <c r="L70" i="136"/>
  <c r="K70" i="136"/>
  <c r="A70" i="136"/>
  <c r="AS69" i="136"/>
  <c r="AR69" i="136"/>
  <c r="AQ69" i="136"/>
  <c r="AP69" i="136"/>
  <c r="AO69" i="136"/>
  <c r="AO71" i="136"/>
  <c r="AN69" i="136"/>
  <c r="AM69" i="136"/>
  <c r="AM71" i="136" s="1"/>
  <c r="AL69" i="136"/>
  <c r="AK69" i="136"/>
  <c r="AJ69" i="136"/>
  <c r="AI69" i="136"/>
  <c r="AI71" i="136" s="1"/>
  <c r="AH69" i="136"/>
  <c r="AG69" i="136"/>
  <c r="AF69" i="136"/>
  <c r="AE69" i="136"/>
  <c r="AD69" i="136"/>
  <c r="AC69" i="136"/>
  <c r="AB69" i="136"/>
  <c r="AA69" i="136"/>
  <c r="Z69" i="136"/>
  <c r="Y69" i="136"/>
  <c r="X69" i="136"/>
  <c r="W69" i="136"/>
  <c r="W71" i="136"/>
  <c r="V69" i="136"/>
  <c r="U69" i="136"/>
  <c r="T69" i="136"/>
  <c r="S69" i="136"/>
  <c r="R69" i="136"/>
  <c r="Q69" i="136"/>
  <c r="P69" i="136"/>
  <c r="O69" i="136"/>
  <c r="N69" i="136"/>
  <c r="M69" i="136"/>
  <c r="L69" i="136"/>
  <c r="K69" i="136"/>
  <c r="A69" i="136"/>
  <c r="A68" i="136"/>
  <c r="A67" i="136"/>
  <c r="A66" i="136"/>
  <c r="A65" i="136"/>
  <c r="A64" i="136"/>
  <c r="AS63" i="136"/>
  <c r="AR63" i="136"/>
  <c r="AQ63" i="136"/>
  <c r="AP63" i="136"/>
  <c r="AO63" i="136"/>
  <c r="AN63" i="136"/>
  <c r="AM63" i="136"/>
  <c r="AL63" i="136"/>
  <c r="AK63" i="136"/>
  <c r="AJ63" i="136"/>
  <c r="AI63" i="136"/>
  <c r="AH63" i="136"/>
  <c r="AG63" i="136"/>
  <c r="AF63" i="136"/>
  <c r="AE63" i="136"/>
  <c r="AD63" i="136"/>
  <c r="AC63" i="136"/>
  <c r="AB63" i="136"/>
  <c r="AA63" i="136"/>
  <c r="Z63" i="136"/>
  <c r="Y63" i="136"/>
  <c r="X63" i="136"/>
  <c r="W63" i="136"/>
  <c r="V63" i="136"/>
  <c r="U63" i="136"/>
  <c r="T63" i="136"/>
  <c r="S63" i="136"/>
  <c r="R63" i="136"/>
  <c r="Q63" i="136"/>
  <c r="P63" i="136"/>
  <c r="O63" i="136"/>
  <c r="N63" i="136"/>
  <c r="M63" i="136"/>
  <c r="L63" i="136"/>
  <c r="K63" i="136"/>
  <c r="A63" i="136"/>
  <c r="AS62" i="136"/>
  <c r="AR62" i="136"/>
  <c r="AQ62" i="136"/>
  <c r="AP62" i="136"/>
  <c r="AO62" i="136"/>
  <c r="AN62" i="136"/>
  <c r="AM62" i="136"/>
  <c r="AL62" i="136"/>
  <c r="AK62" i="136"/>
  <c r="AJ62" i="136"/>
  <c r="AI62" i="136"/>
  <c r="AH62" i="136"/>
  <c r="AG62" i="136"/>
  <c r="AF62" i="136"/>
  <c r="AE62" i="136"/>
  <c r="AD62" i="136"/>
  <c r="AC62" i="136"/>
  <c r="AB62" i="136"/>
  <c r="AA62" i="136"/>
  <c r="Z62" i="136"/>
  <c r="Y62" i="136"/>
  <c r="X62" i="136"/>
  <c r="W62" i="136"/>
  <c r="V62" i="136"/>
  <c r="U62" i="136"/>
  <c r="T62" i="136"/>
  <c r="S62" i="136"/>
  <c r="R62" i="136"/>
  <c r="Q62" i="136"/>
  <c r="P62" i="136"/>
  <c r="O62" i="136"/>
  <c r="N62" i="136"/>
  <c r="M62" i="136"/>
  <c r="L62" i="136"/>
  <c r="K62" i="136"/>
  <c r="A62" i="136"/>
  <c r="AS61" i="136"/>
  <c r="AR61" i="136"/>
  <c r="AQ61" i="136"/>
  <c r="AP61" i="136"/>
  <c r="AO61" i="136"/>
  <c r="AN61" i="136"/>
  <c r="AM61" i="136"/>
  <c r="AL61" i="136"/>
  <c r="AK61" i="136"/>
  <c r="AJ61" i="136"/>
  <c r="AI61" i="136"/>
  <c r="AH61" i="136"/>
  <c r="AG61" i="136"/>
  <c r="AF61" i="136"/>
  <c r="AE61" i="136"/>
  <c r="AD61" i="136"/>
  <c r="AC61" i="136"/>
  <c r="AB61" i="136"/>
  <c r="AA61" i="136"/>
  <c r="Z61" i="136"/>
  <c r="Y61" i="136"/>
  <c r="X61" i="136"/>
  <c r="W61" i="136"/>
  <c r="V61" i="136"/>
  <c r="U61" i="136"/>
  <c r="T61" i="136"/>
  <c r="S61" i="136"/>
  <c r="R61" i="136"/>
  <c r="Q61" i="136"/>
  <c r="P61" i="136"/>
  <c r="O61" i="136"/>
  <c r="N61" i="136"/>
  <c r="M61" i="136"/>
  <c r="L61" i="136"/>
  <c r="K61" i="136"/>
  <c r="A61" i="136"/>
  <c r="AS60" i="136"/>
  <c r="AR60" i="136"/>
  <c r="AQ60" i="136"/>
  <c r="AP60" i="136"/>
  <c r="AO60" i="136"/>
  <c r="AN60" i="136"/>
  <c r="AM60" i="136"/>
  <c r="AL60" i="136"/>
  <c r="AK60" i="136"/>
  <c r="AJ60" i="136"/>
  <c r="AI60" i="136"/>
  <c r="AH60" i="136"/>
  <c r="AG60" i="136"/>
  <c r="AF60" i="136"/>
  <c r="AE60" i="136"/>
  <c r="AD60" i="136"/>
  <c r="AC60" i="136"/>
  <c r="AB60" i="136"/>
  <c r="AA60" i="136"/>
  <c r="Z60" i="136"/>
  <c r="Y60" i="136"/>
  <c r="X60" i="136"/>
  <c r="W60" i="136"/>
  <c r="V60" i="136"/>
  <c r="U60" i="136"/>
  <c r="T60" i="136"/>
  <c r="S60" i="136"/>
  <c r="R60" i="136"/>
  <c r="Q60" i="136"/>
  <c r="P60" i="136"/>
  <c r="O60" i="136"/>
  <c r="N60" i="136"/>
  <c r="M60" i="136"/>
  <c r="L60" i="136"/>
  <c r="K60" i="136"/>
  <c r="A60"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V59" i="136"/>
  <c r="U59" i="136"/>
  <c r="T59" i="136"/>
  <c r="S59" i="136"/>
  <c r="R59" i="136"/>
  <c r="Q59" i="136"/>
  <c r="P59" i="136"/>
  <c r="O59" i="136"/>
  <c r="N59" i="136"/>
  <c r="M59" i="136"/>
  <c r="L59" i="136"/>
  <c r="K59" i="136"/>
  <c r="A59"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V58" i="136"/>
  <c r="U58" i="136"/>
  <c r="T58" i="136"/>
  <c r="S58" i="136"/>
  <c r="R58" i="136"/>
  <c r="Q58" i="136"/>
  <c r="P58" i="136"/>
  <c r="O58" i="136"/>
  <c r="N58" i="136"/>
  <c r="M58" i="136"/>
  <c r="L58" i="136"/>
  <c r="K58" i="136"/>
  <c r="A58" i="136"/>
  <c r="AS57" i="136"/>
  <c r="AR57" i="136"/>
  <c r="AQ57" i="136"/>
  <c r="AP57" i="136"/>
  <c r="AO57" i="136"/>
  <c r="AN57" i="136"/>
  <c r="AM57" i="136"/>
  <c r="AL57" i="136"/>
  <c r="AK57" i="136"/>
  <c r="AJ57" i="136"/>
  <c r="AI57" i="136"/>
  <c r="AH57" i="136"/>
  <c r="AG57" i="136"/>
  <c r="AF57" i="136"/>
  <c r="AE57" i="136"/>
  <c r="AD57" i="136"/>
  <c r="AC57" i="136"/>
  <c r="AB57" i="136"/>
  <c r="AA57" i="136"/>
  <c r="Z57" i="136"/>
  <c r="Y57" i="136"/>
  <c r="X57" i="136"/>
  <c r="W57" i="136"/>
  <c r="V57" i="136"/>
  <c r="U57" i="136"/>
  <c r="T57" i="136"/>
  <c r="S57" i="136"/>
  <c r="R57" i="136"/>
  <c r="Q57" i="136"/>
  <c r="P57" i="136"/>
  <c r="O57" i="136"/>
  <c r="N57" i="136"/>
  <c r="M57" i="136"/>
  <c r="L57" i="136"/>
  <c r="K57" i="136"/>
  <c r="A57" i="136"/>
  <c r="AS56" i="136"/>
  <c r="AR56" i="136"/>
  <c r="AQ56" i="136"/>
  <c r="AP56" i="136"/>
  <c r="AO56" i="136"/>
  <c r="AN56" i="136"/>
  <c r="AM56" i="136"/>
  <c r="AL56" i="136"/>
  <c r="AK56" i="136"/>
  <c r="AJ56" i="136"/>
  <c r="AI56" i="136"/>
  <c r="AH56" i="136"/>
  <c r="AG56" i="136"/>
  <c r="AF56" i="136"/>
  <c r="AE56" i="136"/>
  <c r="AD56" i="136"/>
  <c r="AC56" i="136"/>
  <c r="AB56" i="136"/>
  <c r="AA56" i="136"/>
  <c r="Z56" i="136"/>
  <c r="Y56" i="136"/>
  <c r="X56" i="136"/>
  <c r="W56" i="136"/>
  <c r="V56" i="136"/>
  <c r="U56" i="136"/>
  <c r="T56" i="136"/>
  <c r="S56" i="136"/>
  <c r="R56" i="136"/>
  <c r="Q56" i="136"/>
  <c r="P56" i="136"/>
  <c r="O56" i="136"/>
  <c r="N56" i="136"/>
  <c r="M56" i="136"/>
  <c r="L56" i="136"/>
  <c r="K56" i="136"/>
  <c r="A56" i="136"/>
  <c r="A55" i="136"/>
  <c r="CL54" i="136"/>
  <c r="CK54" i="136"/>
  <c r="AQ54" i="136" s="1"/>
  <c r="CJ54" i="136"/>
  <c r="AN54" i="136" s="1"/>
  <c r="CI54" i="136"/>
  <c r="AR54" i="136" s="1"/>
  <c r="CH54" i="136"/>
  <c r="CG54" i="136"/>
  <c r="CF54" i="136"/>
  <c r="CE54" i="136"/>
  <c r="AL54" i="136" s="1"/>
  <c r="CD54" i="136"/>
  <c r="AP54" i="136" s="1"/>
  <c r="CC54" i="136"/>
  <c r="AO54" i="136" s="1"/>
  <c r="CB54" i="136"/>
  <c r="AK54" i="136" s="1"/>
  <c r="CA54" i="136"/>
  <c r="AF54" i="136" s="1"/>
  <c r="BZ54" i="136"/>
  <c r="AH54" i="136" s="1"/>
  <c r="BY54" i="136"/>
  <c r="BX54" i="136"/>
  <c r="AC54" i="136" s="1"/>
  <c r="BW54" i="136"/>
  <c r="AI54" i="136" s="1"/>
  <c r="BV54" i="136"/>
  <c r="AG54" i="136" s="1"/>
  <c r="BU54" i="136"/>
  <c r="AD54" i="136" s="1"/>
  <c r="BT54" i="136"/>
  <c r="BS54" i="136"/>
  <c r="BR54" i="136"/>
  <c r="W54" i="136" s="1"/>
  <c r="BQ54" i="136"/>
  <c r="BP54" i="136"/>
  <c r="AB54" i="136" s="1"/>
  <c r="BO54" i="136"/>
  <c r="BN54" i="136"/>
  <c r="BM54" i="136"/>
  <c r="BL54" i="136"/>
  <c r="BK54" i="136"/>
  <c r="BJ54" i="136"/>
  <c r="BI54" i="136"/>
  <c r="BH54" i="136"/>
  <c r="BG54" i="136"/>
  <c r="BF54" i="136"/>
  <c r="K54" i="136"/>
  <c r="BE54" i="136"/>
  <c r="BD54" i="136"/>
  <c r="M54" i="136" s="1"/>
  <c r="BC54" i="136"/>
  <c r="U54" i="136" s="1"/>
  <c r="BB54" i="136"/>
  <c r="T54" i="136"/>
  <c r="BA54" i="136"/>
  <c r="AZ54" i="136"/>
  <c r="AY54" i="136"/>
  <c r="L54" i="136" s="1"/>
  <c r="AX54" i="136"/>
  <c r="AW54" i="136"/>
  <c r="N54" i="136" s="1"/>
  <c r="AV54" i="136"/>
  <c r="S54" i="136" s="1"/>
  <c r="AU54" i="136"/>
  <c r="AT54" i="136"/>
  <c r="AM54" i="136"/>
  <c r="AJ54" i="136"/>
  <c r="Z54" i="136"/>
  <c r="I54" i="136"/>
  <c r="H54" i="136"/>
  <c r="G54" i="136"/>
  <c r="F54" i="136"/>
  <c r="A54" i="136"/>
  <c r="A53" i="136"/>
  <c r="AO52" i="136"/>
  <c r="AI52" i="136"/>
  <c r="W52" i="136"/>
  <c r="R52" i="136"/>
  <c r="AQ52" i="136"/>
  <c r="AM52" i="136"/>
  <c r="AL52" i="136"/>
  <c r="AG52" i="136"/>
  <c r="AF52" i="136"/>
  <c r="AD52" i="136"/>
  <c r="Z52" i="136"/>
  <c r="U52" i="136"/>
  <c r="T52" i="136"/>
  <c r="S52" i="136"/>
  <c r="O52" i="136"/>
  <c r="K52" i="136"/>
  <c r="A52" i="136"/>
  <c r="CL51" i="136"/>
  <c r="CK51" i="136"/>
  <c r="AQ51" i="136" s="1"/>
  <c r="CJ51" i="136"/>
  <c r="CI51" i="136"/>
  <c r="AR51" i="136" s="1"/>
  <c r="CH51" i="136"/>
  <c r="AM51" i="136"/>
  <c r="CG51" i="136"/>
  <c r="CF51" i="136"/>
  <c r="CE51" i="136"/>
  <c r="AL51" i="136" s="1"/>
  <c r="CD51" i="136"/>
  <c r="AP51" i="136" s="1"/>
  <c r="CC51" i="136"/>
  <c r="AO51" i="136" s="1"/>
  <c r="CB51" i="136"/>
  <c r="AK51" i="136" s="1"/>
  <c r="CA51" i="136"/>
  <c r="AF51" i="136" s="1"/>
  <c r="BZ51" i="136"/>
  <c r="AH51" i="136" s="1"/>
  <c r="BY51" i="136"/>
  <c r="AJ51" i="136" s="1"/>
  <c r="BX51" i="136"/>
  <c r="AC51" i="136" s="1"/>
  <c r="BW51" i="136"/>
  <c r="AI51" i="136" s="1"/>
  <c r="BV51" i="136"/>
  <c r="AG51" i="136" s="1"/>
  <c r="BU51" i="136"/>
  <c r="AD51" i="136" s="1"/>
  <c r="BT51" i="136"/>
  <c r="BS51" i="136"/>
  <c r="BR51" i="136"/>
  <c r="W51" i="136" s="1"/>
  <c r="BQ51" i="136"/>
  <c r="BP51" i="136"/>
  <c r="BO51" i="136"/>
  <c r="BN51" i="136"/>
  <c r="BM51" i="136"/>
  <c r="BL51" i="136"/>
  <c r="BK51" i="136"/>
  <c r="BJ51" i="136"/>
  <c r="BI51" i="136"/>
  <c r="BH51" i="136"/>
  <c r="BG51" i="136"/>
  <c r="BF51" i="136"/>
  <c r="K51" i="136" s="1"/>
  <c r="BE51" i="136"/>
  <c r="O51" i="136" s="1"/>
  <c r="BD51" i="136"/>
  <c r="M51" i="136" s="1"/>
  <c r="BC51" i="136"/>
  <c r="U51" i="136"/>
  <c r="BB51" i="136"/>
  <c r="BA51" i="136"/>
  <c r="AZ51" i="136"/>
  <c r="AY51" i="136"/>
  <c r="L51" i="136" s="1"/>
  <c r="AX51" i="136"/>
  <c r="AW51" i="136"/>
  <c r="N51" i="136"/>
  <c r="AV51" i="136"/>
  <c r="S51" i="136" s="1"/>
  <c r="AU51" i="136"/>
  <c r="AT51" i="136"/>
  <c r="AN51" i="136"/>
  <c r="AB51" i="136"/>
  <c r="Z51" i="136"/>
  <c r="T51" i="136"/>
  <c r="I51" i="136"/>
  <c r="G51" i="136"/>
  <c r="F51" i="136"/>
  <c r="A51" i="136"/>
  <c r="AR50" i="136"/>
  <c r="AQ50" i="136"/>
  <c r="AP50" i="136"/>
  <c r="AO50" i="136"/>
  <c r="AN50" i="136"/>
  <c r="AM50" i="136"/>
  <c r="AL50" i="136"/>
  <c r="AK50" i="136"/>
  <c r="AJ50" i="136"/>
  <c r="AI50" i="136"/>
  <c r="AH50" i="136"/>
  <c r="AG50" i="136"/>
  <c r="AF50" i="136"/>
  <c r="AD50" i="136"/>
  <c r="AC50" i="136"/>
  <c r="AB50" i="136"/>
  <c r="Z50" i="136"/>
  <c r="W50" i="136"/>
  <c r="U50" i="136"/>
  <c r="T50" i="136"/>
  <c r="S50" i="136"/>
  <c r="Q50" i="136"/>
  <c r="O50" i="136"/>
  <c r="N50" i="136"/>
  <c r="M50" i="136"/>
  <c r="L50" i="136"/>
  <c r="K50" i="136"/>
  <c r="A50" i="136"/>
  <c r="AS49" i="136"/>
  <c r="AR49" i="136"/>
  <c r="AQ49" i="136"/>
  <c r="AP49" i="136"/>
  <c r="AO49" i="136"/>
  <c r="AN49" i="136"/>
  <c r="AM49" i="136"/>
  <c r="AL49" i="136"/>
  <c r="AK49" i="136"/>
  <c r="AJ49" i="136"/>
  <c r="AI49" i="136"/>
  <c r="AH49" i="136"/>
  <c r="AG49" i="136"/>
  <c r="AF49" i="136"/>
  <c r="AE49" i="136"/>
  <c r="AD49" i="136"/>
  <c r="AC49" i="136"/>
  <c r="AB49" i="136"/>
  <c r="AA49" i="136"/>
  <c r="Z49" i="136"/>
  <c r="Y49" i="136"/>
  <c r="X49" i="136"/>
  <c r="W49" i="136"/>
  <c r="V49" i="136"/>
  <c r="U49" i="136"/>
  <c r="T49" i="136"/>
  <c r="S49" i="136"/>
  <c r="R49" i="136"/>
  <c r="Q49" i="136"/>
  <c r="P49" i="136"/>
  <c r="O49" i="136"/>
  <c r="N49" i="136"/>
  <c r="M49" i="136"/>
  <c r="L49" i="136"/>
  <c r="K49" i="136"/>
  <c r="A49" i="136"/>
  <c r="AS48" i="136"/>
  <c r="AR48" i="136"/>
  <c r="AQ48" i="136"/>
  <c r="AP48" i="136"/>
  <c r="AO48" i="136"/>
  <c r="AN48" i="136"/>
  <c r="AM48" i="136"/>
  <c r="AL48" i="136"/>
  <c r="AK48" i="136"/>
  <c r="AJ48" i="136"/>
  <c r="AI48" i="136"/>
  <c r="AH48" i="136"/>
  <c r="AG48" i="136"/>
  <c r="AF48" i="136"/>
  <c r="AE48" i="136"/>
  <c r="AD48" i="136"/>
  <c r="AC48" i="136"/>
  <c r="AB48" i="136"/>
  <c r="AA48" i="136"/>
  <c r="Z48" i="136"/>
  <c r="Y48" i="136"/>
  <c r="X48" i="136"/>
  <c r="W48" i="136"/>
  <c r="V48" i="136"/>
  <c r="U48" i="136"/>
  <c r="T48" i="136"/>
  <c r="S48" i="136"/>
  <c r="R48" i="136"/>
  <c r="Q48" i="136"/>
  <c r="P48" i="136"/>
  <c r="O48" i="136"/>
  <c r="N48" i="136"/>
  <c r="M48" i="136"/>
  <c r="L48" i="136"/>
  <c r="K48" i="136"/>
  <c r="A48" i="136"/>
  <c r="CL47" i="136"/>
  <c r="CK47" i="136"/>
  <c r="AQ47" i="136"/>
  <c r="CJ47" i="136"/>
  <c r="CI47" i="136"/>
  <c r="AR47" i="136" s="1"/>
  <c r="CH47" i="136"/>
  <c r="AM47" i="136" s="1"/>
  <c r="CG47" i="136"/>
  <c r="CF47" i="136"/>
  <c r="CE47" i="136"/>
  <c r="AL47" i="136" s="1"/>
  <c r="CD47" i="136"/>
  <c r="AP47" i="136" s="1"/>
  <c r="CC47" i="136"/>
  <c r="AO47" i="136"/>
  <c r="CB47" i="136"/>
  <c r="CA47" i="136"/>
  <c r="AF47" i="136" s="1"/>
  <c r="BZ47" i="136"/>
  <c r="AH47" i="136" s="1"/>
  <c r="BY47" i="136"/>
  <c r="AJ47" i="136" s="1"/>
  <c r="BX47" i="136"/>
  <c r="AC47" i="136" s="1"/>
  <c r="BW47" i="136"/>
  <c r="AI47" i="136" s="1"/>
  <c r="BV47" i="136"/>
  <c r="AG47" i="136" s="1"/>
  <c r="BU47" i="136"/>
  <c r="AD47" i="136" s="1"/>
  <c r="BT47" i="136"/>
  <c r="BS47" i="136"/>
  <c r="BR47" i="136"/>
  <c r="W47" i="136" s="1"/>
  <c r="BQ47" i="136"/>
  <c r="BP47" i="136"/>
  <c r="AB47" i="136" s="1"/>
  <c r="BN47" i="136"/>
  <c r="BM47" i="136"/>
  <c r="Z47" i="136" s="1"/>
  <c r="BK47" i="136"/>
  <c r="BJ47" i="136"/>
  <c r="BI47" i="136"/>
  <c r="BH47" i="136"/>
  <c r="BF47" i="136"/>
  <c r="K47" i="136" s="1"/>
  <c r="BE47" i="136"/>
  <c r="BD47" i="136"/>
  <c r="M47" i="136" s="1"/>
  <c r="BC47" i="136"/>
  <c r="BB47" i="136"/>
  <c r="T47" i="136"/>
  <c r="BA47" i="136"/>
  <c r="AY47" i="136"/>
  <c r="L47" i="136" s="1"/>
  <c r="AX47" i="136"/>
  <c r="AW47" i="136"/>
  <c r="AV47" i="136"/>
  <c r="S47" i="136" s="1"/>
  <c r="AU47" i="136"/>
  <c r="Q47" i="136" s="1"/>
  <c r="AN47" i="136"/>
  <c r="AK47" i="136"/>
  <c r="U47" i="136"/>
  <c r="O47" i="136"/>
  <c r="N47" i="136"/>
  <c r="I47" i="136"/>
  <c r="H47" i="136"/>
  <c r="G47" i="136"/>
  <c r="F47" i="136"/>
  <c r="A47" i="136"/>
  <c r="AS46" i="136"/>
  <c r="AR46" i="136"/>
  <c r="AQ46" i="136"/>
  <c r="AP46" i="136"/>
  <c r="AO46" i="136"/>
  <c r="AN46" i="136"/>
  <c r="AM46" i="136"/>
  <c r="AL46" i="136"/>
  <c r="AK46" i="136"/>
  <c r="AJ46" i="136"/>
  <c r="AI46" i="136"/>
  <c r="AH46" i="136"/>
  <c r="AG46" i="136"/>
  <c r="AF46" i="136"/>
  <c r="AD46" i="136"/>
  <c r="AC46" i="136"/>
  <c r="AB46" i="136"/>
  <c r="Z46" i="136"/>
  <c r="W46" i="136"/>
  <c r="U46" i="136"/>
  <c r="T46" i="136"/>
  <c r="S46" i="136"/>
  <c r="Q46" i="136"/>
  <c r="O46" i="136"/>
  <c r="N46" i="136"/>
  <c r="M46" i="136"/>
  <c r="L46" i="136"/>
  <c r="K46" i="136"/>
  <c r="A46" i="136"/>
  <c r="AS45" i="136"/>
  <c r="AR45" i="136"/>
  <c r="AQ45" i="136"/>
  <c r="AP45" i="136"/>
  <c r="AO45" i="136"/>
  <c r="AN45" i="136"/>
  <c r="AM45" i="136"/>
  <c r="AL45" i="136"/>
  <c r="AK45" i="136"/>
  <c r="AJ45" i="136"/>
  <c r="AI45" i="136"/>
  <c r="AH45" i="136"/>
  <c r="AG45" i="136"/>
  <c r="AF45" i="136"/>
  <c r="AD45" i="136"/>
  <c r="AC45" i="136"/>
  <c r="AB45" i="136"/>
  <c r="Z45" i="136"/>
  <c r="W45" i="136"/>
  <c r="U45" i="136"/>
  <c r="T45" i="136"/>
  <c r="S45" i="136"/>
  <c r="Q45" i="136"/>
  <c r="O45" i="136"/>
  <c r="N45" i="136"/>
  <c r="M45" i="136"/>
  <c r="L45" i="136"/>
  <c r="K45" i="136"/>
  <c r="A45" i="136"/>
  <c r="A44" i="136"/>
  <c r="A43" i="136"/>
  <c r="AS42" i="136"/>
  <c r="AR42" i="136"/>
  <c r="AQ42" i="136"/>
  <c r="AP42" i="136"/>
  <c r="AO42" i="136"/>
  <c r="AN42" i="136"/>
  <c r="AM42" i="136"/>
  <c r="AL42" i="136"/>
  <c r="AK42" i="136"/>
  <c r="AJ42" i="136"/>
  <c r="AI42" i="136"/>
  <c r="AH42" i="136"/>
  <c r="AG42" i="136"/>
  <c r="AF42" i="136"/>
  <c r="AE42" i="136"/>
  <c r="AD42" i="136"/>
  <c r="AC42" i="136"/>
  <c r="AB42" i="136"/>
  <c r="AA42" i="136"/>
  <c r="Z42" i="136"/>
  <c r="Y42" i="136"/>
  <c r="X42" i="136"/>
  <c r="W42" i="136"/>
  <c r="V42" i="136"/>
  <c r="U42" i="136"/>
  <c r="T42" i="136"/>
  <c r="S42" i="136"/>
  <c r="R42" i="136"/>
  <c r="Q42" i="136"/>
  <c r="P42" i="136"/>
  <c r="O42" i="136"/>
  <c r="N42" i="136"/>
  <c r="M42" i="136"/>
  <c r="L42" i="136"/>
  <c r="K42" i="136"/>
  <c r="A42" i="136"/>
  <c r="AS41" i="136"/>
  <c r="AR41" i="136"/>
  <c r="AQ41" i="136"/>
  <c r="AP41" i="136"/>
  <c r="AO41" i="136"/>
  <c r="AN41" i="136"/>
  <c r="AM41" i="136"/>
  <c r="AL41" i="136"/>
  <c r="AK41" i="136"/>
  <c r="AJ41" i="136"/>
  <c r="AI41" i="136"/>
  <c r="AH41" i="136"/>
  <c r="AG41" i="136"/>
  <c r="AF41" i="136"/>
  <c r="AE41" i="136"/>
  <c r="AD41" i="136"/>
  <c r="AC41" i="136"/>
  <c r="AB41" i="136"/>
  <c r="AA41" i="136"/>
  <c r="Z41" i="136"/>
  <c r="Y41" i="136"/>
  <c r="X41" i="136"/>
  <c r="W41" i="136"/>
  <c r="V41" i="136"/>
  <c r="U41" i="136"/>
  <c r="T41" i="136"/>
  <c r="S41" i="136"/>
  <c r="R41" i="136"/>
  <c r="Q41" i="136"/>
  <c r="P41" i="136"/>
  <c r="O41" i="136"/>
  <c r="N41" i="136"/>
  <c r="M41" i="136"/>
  <c r="L41" i="136"/>
  <c r="K41" i="136"/>
  <c r="A41" i="136"/>
  <c r="A40" i="136"/>
  <c r="AS39" i="136"/>
  <c r="AR39" i="136"/>
  <c r="AQ39" i="136"/>
  <c r="AP39" i="136"/>
  <c r="AO39" i="136"/>
  <c r="AN39" i="136"/>
  <c r="AM39" i="136"/>
  <c r="AL39" i="136"/>
  <c r="AK39" i="136"/>
  <c r="AJ39" i="136"/>
  <c r="AI39" i="136"/>
  <c r="AH39" i="136"/>
  <c r="AG39" i="136"/>
  <c r="AF39" i="136"/>
  <c r="AE39" i="136"/>
  <c r="AD39" i="136"/>
  <c r="AC39" i="136"/>
  <c r="AB39" i="136"/>
  <c r="AA39" i="136"/>
  <c r="Z39" i="136"/>
  <c r="Y39" i="136"/>
  <c r="X39" i="136"/>
  <c r="W39" i="136"/>
  <c r="V39" i="136"/>
  <c r="U39" i="136"/>
  <c r="T39" i="136"/>
  <c r="S39" i="136"/>
  <c r="R39" i="136"/>
  <c r="Q39" i="136"/>
  <c r="P39" i="136"/>
  <c r="O39" i="136"/>
  <c r="N39" i="136"/>
  <c r="M39" i="136"/>
  <c r="L39" i="136"/>
  <c r="K39" i="136"/>
  <c r="A39" i="136"/>
  <c r="AS38" i="136"/>
  <c r="AR38" i="136"/>
  <c r="AQ38" i="136"/>
  <c r="AP38" i="136"/>
  <c r="AO38" i="136"/>
  <c r="AN38" i="136"/>
  <c r="AM38" i="136"/>
  <c r="AL38" i="136"/>
  <c r="AK38" i="136"/>
  <c r="AJ38" i="136"/>
  <c r="AI38" i="136"/>
  <c r="AH38" i="136"/>
  <c r="AG38" i="136"/>
  <c r="AF38" i="136"/>
  <c r="AE38" i="136"/>
  <c r="AD38" i="136"/>
  <c r="AC38" i="136"/>
  <c r="AB38" i="136"/>
  <c r="AA38" i="136"/>
  <c r="Z38" i="136"/>
  <c r="Y38" i="136"/>
  <c r="X38" i="136"/>
  <c r="W38" i="136"/>
  <c r="V38" i="136"/>
  <c r="U38" i="136"/>
  <c r="T38" i="136"/>
  <c r="S38" i="136"/>
  <c r="R38" i="136"/>
  <c r="Q38" i="136"/>
  <c r="P38" i="136"/>
  <c r="O38" i="136"/>
  <c r="N38" i="136"/>
  <c r="M38" i="136"/>
  <c r="L38" i="136"/>
  <c r="K38" i="136"/>
  <c r="A38" i="136"/>
  <c r="AS37" i="136"/>
  <c r="AR37" i="136"/>
  <c r="AQ37" i="136"/>
  <c r="AP37" i="136"/>
  <c r="AO37" i="136"/>
  <c r="AN37" i="136"/>
  <c r="AM37" i="136"/>
  <c r="AL37" i="136"/>
  <c r="AK37" i="136"/>
  <c r="AJ37" i="136"/>
  <c r="AI37" i="136"/>
  <c r="AH37" i="136"/>
  <c r="AG37" i="136"/>
  <c r="AF37" i="136"/>
  <c r="AE37" i="136"/>
  <c r="AD37" i="136"/>
  <c r="AC37" i="136"/>
  <c r="AB37" i="136"/>
  <c r="AA37" i="136"/>
  <c r="Z37" i="136"/>
  <c r="Y37" i="136"/>
  <c r="X37" i="136"/>
  <c r="W37" i="136"/>
  <c r="V37" i="136"/>
  <c r="U37" i="136"/>
  <c r="T37" i="136"/>
  <c r="S37" i="136"/>
  <c r="R37" i="136"/>
  <c r="Q37" i="136"/>
  <c r="P37" i="136"/>
  <c r="O37" i="136"/>
  <c r="N37" i="136"/>
  <c r="M37" i="136"/>
  <c r="L37" i="136"/>
  <c r="K37" i="136"/>
  <c r="A37" i="136"/>
  <c r="AS36" i="136"/>
  <c r="AR36" i="136"/>
  <c r="AQ36" i="136"/>
  <c r="AP36" i="136"/>
  <c r="AO36" i="136"/>
  <c r="AN36" i="136"/>
  <c r="AM36" i="136"/>
  <c r="AL36" i="136"/>
  <c r="AK36" i="136"/>
  <c r="AJ36" i="136"/>
  <c r="AI36" i="136"/>
  <c r="AH36" i="136"/>
  <c r="AG36" i="136"/>
  <c r="AF36" i="136"/>
  <c r="AE36" i="136"/>
  <c r="AD36" i="136"/>
  <c r="AC36" i="136"/>
  <c r="AB36" i="136"/>
  <c r="AA36" i="136"/>
  <c r="Z36" i="136"/>
  <c r="Y36" i="136"/>
  <c r="X36" i="136"/>
  <c r="W36" i="136"/>
  <c r="V36" i="136"/>
  <c r="U36" i="136"/>
  <c r="T36" i="136"/>
  <c r="S36" i="136"/>
  <c r="R36" i="136"/>
  <c r="Q36" i="136"/>
  <c r="P36" i="136"/>
  <c r="O36" i="136"/>
  <c r="N36" i="136"/>
  <c r="M36" i="136"/>
  <c r="L36" i="136"/>
  <c r="K36" i="136"/>
  <c r="A36" i="136"/>
  <c r="AS35" i="136"/>
  <c r="AR35" i="136"/>
  <c r="AQ35" i="136"/>
  <c r="AP35" i="136"/>
  <c r="AO35" i="136"/>
  <c r="AN35" i="136"/>
  <c r="AN127" i="136"/>
  <c r="AM35" i="136"/>
  <c r="AL35" i="136"/>
  <c r="AL127" i="136" s="1"/>
  <c r="AK35" i="136"/>
  <c r="AJ35" i="136"/>
  <c r="AJ127" i="136" s="1"/>
  <c r="AI35" i="136"/>
  <c r="AH35" i="136"/>
  <c r="AG35" i="136"/>
  <c r="AF35" i="136"/>
  <c r="AF127" i="136" s="1"/>
  <c r="AE35" i="136"/>
  <c r="AD35" i="136"/>
  <c r="AD127" i="136" s="1"/>
  <c r="AC35" i="136"/>
  <c r="AB35" i="136"/>
  <c r="AB127" i="136" s="1"/>
  <c r="AA35" i="136"/>
  <c r="Z35" i="136"/>
  <c r="Y35" i="136"/>
  <c r="X35" i="136"/>
  <c r="W35" i="136"/>
  <c r="V35" i="136"/>
  <c r="U35" i="136"/>
  <c r="T35" i="136"/>
  <c r="T127" i="136" s="1"/>
  <c r="S35" i="136"/>
  <c r="R35" i="136"/>
  <c r="Q35" i="136"/>
  <c r="P35" i="136"/>
  <c r="O35" i="136"/>
  <c r="N35" i="136"/>
  <c r="M35" i="136"/>
  <c r="L35" i="136"/>
  <c r="K35" i="136"/>
  <c r="A35" i="136"/>
  <c r="A34" i="136"/>
  <c r="CL33" i="136"/>
  <c r="CK33" i="136"/>
  <c r="AQ33" i="136" s="1"/>
  <c r="CJ33" i="136"/>
  <c r="AN33" i="136" s="1"/>
  <c r="CI33" i="136"/>
  <c r="AR33" i="136" s="1"/>
  <c r="CH33" i="136"/>
  <c r="AM33" i="136" s="1"/>
  <c r="CG33" i="136"/>
  <c r="CF33" i="136"/>
  <c r="CE33" i="136"/>
  <c r="AL33" i="136" s="1"/>
  <c r="CD33" i="136"/>
  <c r="CC33" i="136"/>
  <c r="AO33" i="136"/>
  <c r="CB33" i="136"/>
  <c r="AK33" i="136"/>
  <c r="CA33" i="136"/>
  <c r="AF33" i="136"/>
  <c r="BZ33" i="136"/>
  <c r="AH33" i="136" s="1"/>
  <c r="BY33" i="136"/>
  <c r="AJ33" i="136"/>
  <c r="BX33" i="136"/>
  <c r="AC33" i="136" s="1"/>
  <c r="BW33" i="136"/>
  <c r="AI33" i="136" s="1"/>
  <c r="BV33" i="136"/>
  <c r="AG33" i="136" s="1"/>
  <c r="BU33" i="136"/>
  <c r="AD33" i="136" s="1"/>
  <c r="BT33" i="136"/>
  <c r="BS33" i="136"/>
  <c r="BR33" i="136"/>
  <c r="BQ33" i="136"/>
  <c r="BP33" i="136"/>
  <c r="AB33" i="136" s="1"/>
  <c r="BO33" i="136"/>
  <c r="BN33" i="136"/>
  <c r="BM33" i="136"/>
  <c r="Z33" i="136" s="1"/>
  <c r="BL33" i="136"/>
  <c r="BK33" i="136"/>
  <c r="BJ33" i="136"/>
  <c r="BI33" i="136"/>
  <c r="BH33" i="136"/>
  <c r="BG33" i="136"/>
  <c r="BF33" i="136"/>
  <c r="K33" i="136" s="1"/>
  <c r="BE33" i="136"/>
  <c r="O33" i="136"/>
  <c r="BD33" i="136"/>
  <c r="M33" i="136" s="1"/>
  <c r="BC33" i="136"/>
  <c r="BB33" i="136"/>
  <c r="BA33" i="136"/>
  <c r="AZ33" i="136"/>
  <c r="AY33" i="136"/>
  <c r="L33" i="136"/>
  <c r="AX33" i="136"/>
  <c r="AW33" i="136"/>
  <c r="N33" i="136" s="1"/>
  <c r="AV33" i="136"/>
  <c r="S33" i="136" s="1"/>
  <c r="AU33" i="136"/>
  <c r="AT33" i="136"/>
  <c r="AP33" i="136"/>
  <c r="W33" i="136"/>
  <c r="U33" i="136"/>
  <c r="T33" i="136"/>
  <c r="Q33" i="136"/>
  <c r="I33" i="136"/>
  <c r="H33" i="136"/>
  <c r="G33" i="136"/>
  <c r="F33" i="136"/>
  <c r="A33" i="136"/>
  <c r="AR32" i="136"/>
  <c r="AQ32" i="136"/>
  <c r="AP32" i="136"/>
  <c r="AO32" i="136"/>
  <c r="AN32" i="136"/>
  <c r="AM32" i="136"/>
  <c r="AL32" i="136"/>
  <c r="AK32" i="136"/>
  <c r="AJ32" i="136"/>
  <c r="AI32" i="136"/>
  <c r="AH32" i="136"/>
  <c r="AG32" i="136"/>
  <c r="AF32" i="136"/>
  <c r="AD32" i="136"/>
  <c r="AC32" i="136"/>
  <c r="AB32" i="136"/>
  <c r="Z32" i="136"/>
  <c r="W32" i="136"/>
  <c r="U32" i="136"/>
  <c r="T32" i="136"/>
  <c r="S32" i="136"/>
  <c r="Q32" i="136"/>
  <c r="O32" i="136"/>
  <c r="N32" i="136"/>
  <c r="M32" i="136"/>
  <c r="L32" i="136"/>
  <c r="K32" i="136"/>
  <c r="A32" i="136"/>
  <c r="CF31" i="136"/>
  <c r="BO31" i="136"/>
  <c r="BL31" i="136"/>
  <c r="BK31" i="136"/>
  <c r="BH31" i="136"/>
  <c r="BG31" i="136"/>
  <c r="BE31" i="136"/>
  <c r="O31" i="136" s="1"/>
  <c r="B31" i="136"/>
  <c r="A31" i="136"/>
  <c r="CL30" i="136"/>
  <c r="CK30" i="136"/>
  <c r="AQ30" i="136" s="1"/>
  <c r="CJ30" i="136"/>
  <c r="AN30" i="136" s="1"/>
  <c r="CI30" i="136"/>
  <c r="AR30" i="136"/>
  <c r="CH30" i="136"/>
  <c r="AM30" i="136"/>
  <c r="CG30" i="136"/>
  <c r="CF30" i="136"/>
  <c r="CE30" i="136"/>
  <c r="AL30" i="136"/>
  <c r="CD30" i="136"/>
  <c r="AP30" i="136"/>
  <c r="CC30" i="136"/>
  <c r="CB30" i="136"/>
  <c r="AK30" i="136" s="1"/>
  <c r="CA30" i="136"/>
  <c r="AF30" i="136" s="1"/>
  <c r="BZ30" i="136"/>
  <c r="BY30" i="136"/>
  <c r="AJ30" i="136"/>
  <c r="BX30" i="136"/>
  <c r="AC30" i="136"/>
  <c r="BW30" i="136"/>
  <c r="BV30" i="136"/>
  <c r="AG30" i="136" s="1"/>
  <c r="BU30" i="136"/>
  <c r="AD30" i="136" s="1"/>
  <c r="BT30" i="136"/>
  <c r="BS30" i="136"/>
  <c r="BR30" i="136"/>
  <c r="W30" i="136" s="1"/>
  <c r="BQ30" i="136"/>
  <c r="BP30" i="136"/>
  <c r="AB30" i="136" s="1"/>
  <c r="BO30" i="136"/>
  <c r="BN30" i="136"/>
  <c r="BM30" i="136"/>
  <c r="BL30" i="136"/>
  <c r="BK30" i="136"/>
  <c r="BJ30" i="136"/>
  <c r="BI30" i="136"/>
  <c r="BH30" i="136"/>
  <c r="BG30" i="136"/>
  <c r="BF30" i="136"/>
  <c r="K30" i="136" s="1"/>
  <c r="BE30" i="136"/>
  <c r="BD30" i="136"/>
  <c r="BC30" i="136"/>
  <c r="U30" i="136" s="1"/>
  <c r="BB30" i="136"/>
  <c r="T30" i="136" s="1"/>
  <c r="BA30" i="136"/>
  <c r="AZ30" i="136"/>
  <c r="AY30" i="136"/>
  <c r="L30" i="136" s="1"/>
  <c r="AX30" i="136"/>
  <c r="AW30" i="136"/>
  <c r="N30" i="136" s="1"/>
  <c r="AV30" i="136"/>
  <c r="S30" i="136" s="1"/>
  <c r="AU30" i="136"/>
  <c r="Q30" i="136" s="1"/>
  <c r="AT30" i="136"/>
  <c r="AO30" i="136"/>
  <c r="AI30" i="136"/>
  <c r="AH30" i="136"/>
  <c r="Z30" i="136"/>
  <c r="O30" i="136"/>
  <c r="I30" i="136"/>
  <c r="H30" i="136"/>
  <c r="G30" i="136"/>
  <c r="F30" i="136"/>
  <c r="A30" i="136"/>
  <c r="AS29" i="136"/>
  <c r="AR29" i="136"/>
  <c r="AQ29" i="136"/>
  <c r="AP29" i="136"/>
  <c r="AO29" i="136"/>
  <c r="AN29" i="136"/>
  <c r="AM29" i="136"/>
  <c r="AL29" i="136"/>
  <c r="AK29" i="136"/>
  <c r="AJ29" i="136"/>
  <c r="AI29" i="136"/>
  <c r="AH29" i="136"/>
  <c r="AG29" i="136"/>
  <c r="AF29" i="136"/>
  <c r="AE29" i="136"/>
  <c r="AD29" i="136"/>
  <c r="AC29" i="136"/>
  <c r="AB29" i="136"/>
  <c r="AA29" i="136"/>
  <c r="Z29" i="136"/>
  <c r="Y29" i="136"/>
  <c r="X29" i="136"/>
  <c r="W29" i="136"/>
  <c r="V29" i="136"/>
  <c r="U29" i="136"/>
  <c r="T29" i="136"/>
  <c r="S29" i="136"/>
  <c r="R29" i="136"/>
  <c r="Q29" i="136"/>
  <c r="P29" i="136"/>
  <c r="O29" i="136"/>
  <c r="N29" i="136"/>
  <c r="M29" i="136"/>
  <c r="L29" i="136"/>
  <c r="K29" i="136"/>
  <c r="A29" i="136"/>
  <c r="AS28" i="136"/>
  <c r="AR28" i="136"/>
  <c r="AQ28" i="136"/>
  <c r="AP28" i="136"/>
  <c r="AO28" i="136"/>
  <c r="AN28" i="136"/>
  <c r="AM28" i="136"/>
  <c r="AL28" i="136"/>
  <c r="AK28" i="136"/>
  <c r="AJ28" i="136"/>
  <c r="AI28" i="136"/>
  <c r="AH28" i="136"/>
  <c r="AG28" i="136"/>
  <c r="AF28" i="136"/>
  <c r="AE28" i="136"/>
  <c r="AD28" i="136"/>
  <c r="AC28" i="136"/>
  <c r="AB28" i="136"/>
  <c r="AA28" i="136"/>
  <c r="Z28" i="136"/>
  <c r="Y28" i="136"/>
  <c r="X28" i="136"/>
  <c r="W28" i="136"/>
  <c r="V28" i="136"/>
  <c r="U28" i="136"/>
  <c r="T28" i="136"/>
  <c r="S28" i="136"/>
  <c r="R28" i="136"/>
  <c r="Q28" i="136"/>
  <c r="P28" i="136"/>
  <c r="O28" i="136"/>
  <c r="N28" i="136"/>
  <c r="M28" i="136"/>
  <c r="L28" i="136"/>
  <c r="K28" i="136"/>
  <c r="A28" i="136"/>
  <c r="AS27" i="136"/>
  <c r="AR27" i="136"/>
  <c r="AQ27" i="136"/>
  <c r="AP27" i="136"/>
  <c r="AO27" i="136"/>
  <c r="AN27" i="136"/>
  <c r="AM27" i="136"/>
  <c r="AL27" i="136"/>
  <c r="AK27" i="136"/>
  <c r="AJ27" i="136"/>
  <c r="AI27" i="136"/>
  <c r="AH27" i="136"/>
  <c r="AG27" i="136"/>
  <c r="AF27" i="136"/>
  <c r="AE27" i="136"/>
  <c r="AD27" i="136"/>
  <c r="AC27" i="136"/>
  <c r="AB27" i="136"/>
  <c r="AA27" i="136"/>
  <c r="Z27" i="136"/>
  <c r="Y27" i="136"/>
  <c r="X27" i="136"/>
  <c r="W27" i="136"/>
  <c r="V27" i="136"/>
  <c r="U27" i="136"/>
  <c r="T27" i="136"/>
  <c r="S27" i="136"/>
  <c r="R27" i="136"/>
  <c r="Q27" i="136"/>
  <c r="P27" i="136"/>
  <c r="O27" i="136"/>
  <c r="N27" i="136"/>
  <c r="M27" i="136"/>
  <c r="L27" i="136"/>
  <c r="K27" i="136"/>
  <c r="A27" i="136"/>
  <c r="AS26" i="136"/>
  <c r="AR26" i="136"/>
  <c r="AQ26" i="136"/>
  <c r="AP26" i="136"/>
  <c r="AO26" i="136"/>
  <c r="AN26" i="136"/>
  <c r="AM26" i="136"/>
  <c r="AL26" i="136"/>
  <c r="AK26" i="136"/>
  <c r="AJ26" i="136"/>
  <c r="AI26" i="136"/>
  <c r="AH26" i="136"/>
  <c r="AG26" i="136"/>
  <c r="AF26" i="136"/>
  <c r="AE26" i="136"/>
  <c r="AD26" i="136"/>
  <c r="AC26" i="136"/>
  <c r="AB26" i="136"/>
  <c r="AA26" i="136"/>
  <c r="Z26" i="136"/>
  <c r="Y26" i="136"/>
  <c r="X26" i="136"/>
  <c r="W26" i="136"/>
  <c r="V26" i="136"/>
  <c r="U26" i="136"/>
  <c r="T26" i="136"/>
  <c r="S26" i="136"/>
  <c r="R26" i="136"/>
  <c r="Q26" i="136"/>
  <c r="P26" i="136"/>
  <c r="O26" i="136"/>
  <c r="N26" i="136"/>
  <c r="M26" i="136"/>
  <c r="L26" i="136"/>
  <c r="K26" i="136"/>
  <c r="A26" i="136"/>
  <c r="AS25" i="136"/>
  <c r="AR25" i="136"/>
  <c r="AQ25" i="136"/>
  <c r="AP25" i="136"/>
  <c r="AO25" i="136"/>
  <c r="AN25" i="136"/>
  <c r="AM25" i="136"/>
  <c r="AL25" i="136"/>
  <c r="AK25" i="136"/>
  <c r="AJ25" i="136"/>
  <c r="AI25" i="136"/>
  <c r="AH25" i="136"/>
  <c r="AG25" i="136"/>
  <c r="AF25" i="136"/>
  <c r="AE25" i="136"/>
  <c r="AD25" i="136"/>
  <c r="AC25" i="136"/>
  <c r="AB25" i="136"/>
  <c r="AA25" i="136"/>
  <c r="Z25" i="136"/>
  <c r="Y25" i="136"/>
  <c r="X25" i="136"/>
  <c r="W25" i="136"/>
  <c r="V25" i="136"/>
  <c r="U25" i="136"/>
  <c r="T25" i="136"/>
  <c r="S25" i="136"/>
  <c r="R25" i="136"/>
  <c r="Q25" i="136"/>
  <c r="P25" i="136"/>
  <c r="O25" i="136"/>
  <c r="N25" i="136"/>
  <c r="M25" i="136"/>
  <c r="L25" i="136"/>
  <c r="K25" i="136"/>
  <c r="A25" i="136"/>
  <c r="AS24" i="136"/>
  <c r="AR24" i="136"/>
  <c r="AQ24" i="136"/>
  <c r="AP24" i="136"/>
  <c r="AO24" i="136"/>
  <c r="AN24" i="136"/>
  <c r="AM24" i="136"/>
  <c r="AL24" i="136"/>
  <c r="AK24" i="136"/>
  <c r="AJ24" i="136"/>
  <c r="AI24" i="136"/>
  <c r="AH24" i="136"/>
  <c r="AG24" i="136"/>
  <c r="AF24" i="136"/>
  <c r="AE24" i="136"/>
  <c r="AD24" i="136"/>
  <c r="AC24" i="136"/>
  <c r="AB24" i="136"/>
  <c r="AA24" i="136"/>
  <c r="Z24" i="136"/>
  <c r="Y24" i="136"/>
  <c r="X24" i="136"/>
  <c r="W24" i="136"/>
  <c r="V24" i="136"/>
  <c r="U24" i="136"/>
  <c r="T24" i="136"/>
  <c r="S24" i="136"/>
  <c r="R24" i="136"/>
  <c r="Q24" i="136"/>
  <c r="P24" i="136"/>
  <c r="O24" i="136"/>
  <c r="N24" i="136"/>
  <c r="M24" i="136"/>
  <c r="L24" i="136"/>
  <c r="K24" i="136"/>
  <c r="A24" i="136"/>
  <c r="AS23" i="136"/>
  <c r="AS32" i="136" s="1"/>
  <c r="AS33" i="136" s="1"/>
  <c r="AR23" i="136"/>
  <c r="AQ23" i="136"/>
  <c r="AP23" i="136"/>
  <c r="AO23" i="136"/>
  <c r="AN23" i="136"/>
  <c r="AM23" i="136"/>
  <c r="AL23" i="136"/>
  <c r="AK23" i="136"/>
  <c r="AJ23" i="136"/>
  <c r="AI23" i="136"/>
  <c r="AH23" i="136"/>
  <c r="AG23" i="136"/>
  <c r="AF23" i="136"/>
  <c r="AE23" i="136"/>
  <c r="AE32" i="136" s="1"/>
  <c r="AE33" i="136" s="1"/>
  <c r="AD23" i="136"/>
  <c r="AC23" i="136"/>
  <c r="AB23" i="136"/>
  <c r="AA23" i="136"/>
  <c r="AA32" i="136" s="1"/>
  <c r="AA33" i="136" s="1"/>
  <c r="Z23" i="136"/>
  <c r="Y23" i="136"/>
  <c r="Y32" i="136" s="1"/>
  <c r="Y33" i="136" s="1"/>
  <c r="X23" i="136"/>
  <c r="W23" i="136"/>
  <c r="V23" i="136"/>
  <c r="U23" i="136"/>
  <c r="T23" i="136"/>
  <c r="S23" i="136"/>
  <c r="R23" i="136"/>
  <c r="Q23" i="136"/>
  <c r="P23" i="136"/>
  <c r="O23" i="136"/>
  <c r="N23" i="136"/>
  <c r="M23" i="136"/>
  <c r="L23" i="136"/>
  <c r="K23" i="136"/>
  <c r="A23" i="136"/>
  <c r="Q22" i="136"/>
  <c r="A22" i="136"/>
  <c r="CL21" i="136"/>
  <c r="CK21" i="136"/>
  <c r="CJ21" i="136"/>
  <c r="CI21" i="136"/>
  <c r="CH21" i="136"/>
  <c r="CG21" i="136"/>
  <c r="CF21" i="136"/>
  <c r="CE21" i="136"/>
  <c r="CD21" i="136"/>
  <c r="CC21" i="136"/>
  <c r="CB21" i="136"/>
  <c r="CA21" i="136"/>
  <c r="BZ21" i="136"/>
  <c r="BY21" i="136"/>
  <c r="BX21" i="136"/>
  <c r="BW21" i="136"/>
  <c r="BV21" i="136"/>
  <c r="BU21" i="136"/>
  <c r="BT21" i="136"/>
  <c r="BS21" i="136"/>
  <c r="BR21" i="136"/>
  <c r="BQ21" i="136"/>
  <c r="BP21" i="136"/>
  <c r="BO21" i="136"/>
  <c r="BN21" i="136"/>
  <c r="BM21" i="136"/>
  <c r="BL21" i="136"/>
  <c r="BL107" i="136" s="1"/>
  <c r="BK21" i="136"/>
  <c r="BJ21" i="136"/>
  <c r="BI21" i="136"/>
  <c r="BH21" i="136"/>
  <c r="BG21" i="136"/>
  <c r="BF21" i="136"/>
  <c r="BE21" i="136"/>
  <c r="BD21" i="136"/>
  <c r="BC21" i="136"/>
  <c r="BB21" i="136"/>
  <c r="BA21" i="136"/>
  <c r="AZ21" i="136"/>
  <c r="AY21" i="136"/>
  <c r="AX21" i="136"/>
  <c r="AW21" i="136"/>
  <c r="AV21" i="136"/>
  <c r="AU21" i="136"/>
  <c r="AT21" i="136"/>
  <c r="I21" i="136"/>
  <c r="H21" i="136"/>
  <c r="G21" i="136"/>
  <c r="F21" i="136"/>
  <c r="A21" i="136"/>
  <c r="AS20" i="136"/>
  <c r="AR20" i="136"/>
  <c r="AR21" i="136"/>
  <c r="AQ20" i="136"/>
  <c r="AQ21" i="136" s="1"/>
  <c r="AP20" i="136"/>
  <c r="AP21" i="136" s="1"/>
  <c r="AO20" i="136"/>
  <c r="AO21" i="136" s="1"/>
  <c r="AN20" i="136"/>
  <c r="AN21" i="136"/>
  <c r="AM20" i="136"/>
  <c r="AM21" i="136" s="1"/>
  <c r="AL20" i="136"/>
  <c r="AL21" i="136" s="1"/>
  <c r="AK20" i="136"/>
  <c r="AJ20" i="136"/>
  <c r="AJ21" i="136"/>
  <c r="AI20" i="136"/>
  <c r="AI21" i="136" s="1"/>
  <c r="AH20" i="136"/>
  <c r="AH21" i="136" s="1"/>
  <c r="AG20" i="136"/>
  <c r="AG21" i="136" s="1"/>
  <c r="AF20" i="136"/>
  <c r="AF21" i="136"/>
  <c r="AE20" i="136"/>
  <c r="AE21" i="136" s="1"/>
  <c r="AD20" i="136"/>
  <c r="AD21" i="136" s="1"/>
  <c r="AC20" i="136"/>
  <c r="AB20" i="136"/>
  <c r="AB21" i="136"/>
  <c r="AA20" i="136"/>
  <c r="AA21" i="136" s="1"/>
  <c r="Z20" i="136"/>
  <c r="Z21" i="136" s="1"/>
  <c r="Y20" i="136"/>
  <c r="Y21" i="136" s="1"/>
  <c r="X20" i="136"/>
  <c r="X21" i="136"/>
  <c r="W20" i="136"/>
  <c r="W21" i="136" s="1"/>
  <c r="V20" i="136"/>
  <c r="V21" i="136" s="1"/>
  <c r="U20" i="136"/>
  <c r="T20" i="136"/>
  <c r="T21" i="136"/>
  <c r="S20" i="136"/>
  <c r="S21" i="136" s="1"/>
  <c r="R20" i="136"/>
  <c r="R21" i="136" s="1"/>
  <c r="Q20" i="136"/>
  <c r="Q21" i="136" s="1"/>
  <c r="P20" i="136"/>
  <c r="P21" i="136"/>
  <c r="O20" i="136"/>
  <c r="O21" i="136" s="1"/>
  <c r="N20" i="136"/>
  <c r="N21" i="136" s="1"/>
  <c r="M20" i="136"/>
  <c r="L20" i="136"/>
  <c r="L21" i="136"/>
  <c r="K20" i="136"/>
  <c r="K21" i="136" s="1"/>
  <c r="A20" i="136"/>
  <c r="AS19" i="136"/>
  <c r="AR19" i="136"/>
  <c r="AQ19" i="136"/>
  <c r="AP19" i="136"/>
  <c r="AO19" i="136"/>
  <c r="AN19" i="136"/>
  <c r="AM19" i="136"/>
  <c r="AL19" i="136"/>
  <c r="AK19" i="136"/>
  <c r="AJ19" i="136"/>
  <c r="AI19" i="136"/>
  <c r="AH19" i="136"/>
  <c r="AG19" i="136"/>
  <c r="AF19" i="136"/>
  <c r="AE19" i="136"/>
  <c r="AD19" i="136"/>
  <c r="AC19" i="136"/>
  <c r="AB19" i="136"/>
  <c r="AA19" i="136"/>
  <c r="Z19" i="136"/>
  <c r="Y19" i="136"/>
  <c r="X19" i="136"/>
  <c r="W19" i="136"/>
  <c r="V19" i="136"/>
  <c r="U19" i="136"/>
  <c r="T19" i="136"/>
  <c r="S19" i="136"/>
  <c r="R19" i="136"/>
  <c r="Q19" i="136"/>
  <c r="P19" i="136"/>
  <c r="O19" i="136"/>
  <c r="N19" i="136"/>
  <c r="M19" i="136"/>
  <c r="L19" i="136"/>
  <c r="K19" i="136"/>
  <c r="A19" i="136"/>
  <c r="AS18" i="136"/>
  <c r="AR18" i="136"/>
  <c r="AQ18" i="136"/>
  <c r="AP18" i="136"/>
  <c r="AO18" i="136"/>
  <c r="AN18" i="136"/>
  <c r="AM18" i="136"/>
  <c r="AL18" i="136"/>
  <c r="AK18" i="136"/>
  <c r="AJ18" i="136"/>
  <c r="AI18" i="136"/>
  <c r="AH18" i="136"/>
  <c r="AG18" i="136"/>
  <c r="AF18" i="136"/>
  <c r="AE18" i="136"/>
  <c r="AD18" i="136"/>
  <c r="AC18" i="136"/>
  <c r="AB18" i="136"/>
  <c r="AA18" i="136"/>
  <c r="Z18" i="136"/>
  <c r="Y18" i="136"/>
  <c r="X18" i="136"/>
  <c r="W18" i="136"/>
  <c r="V18" i="136"/>
  <c r="U18" i="136"/>
  <c r="T18" i="136"/>
  <c r="S18" i="136"/>
  <c r="R18" i="136"/>
  <c r="Q18" i="136"/>
  <c r="P18" i="136"/>
  <c r="O18" i="136"/>
  <c r="N18" i="136"/>
  <c r="M18" i="136"/>
  <c r="L18" i="136"/>
  <c r="K18" i="136"/>
  <c r="A18" i="136"/>
  <c r="AR17" i="136"/>
  <c r="AQ17" i="136"/>
  <c r="AP17" i="136"/>
  <c r="AO17" i="136"/>
  <c r="AN17" i="136"/>
  <c r="AM17" i="136"/>
  <c r="AL17" i="136"/>
  <c r="AK17" i="136"/>
  <c r="AJ17" i="136"/>
  <c r="AI17" i="136"/>
  <c r="AH17" i="136"/>
  <c r="AG17" i="136"/>
  <c r="AF17" i="136"/>
  <c r="AD17" i="136"/>
  <c r="AC17" i="136"/>
  <c r="AB17" i="136"/>
  <c r="Z17" i="136"/>
  <c r="W17" i="136"/>
  <c r="U17" i="136"/>
  <c r="T17" i="136"/>
  <c r="S17" i="136"/>
  <c r="Q17" i="136"/>
  <c r="O17" i="136"/>
  <c r="N17" i="136"/>
  <c r="M17" i="136"/>
  <c r="L17" i="136"/>
  <c r="K17" i="136"/>
  <c r="I17" i="136"/>
  <c r="H17" i="136"/>
  <c r="G17" i="136"/>
  <c r="F17" i="136"/>
  <c r="A17" i="136"/>
  <c r="AS16" i="136"/>
  <c r="AS17" i="136" s="1"/>
  <c r="AR16" i="136"/>
  <c r="AQ16" i="136"/>
  <c r="AP16" i="136"/>
  <c r="AO16" i="136"/>
  <c r="AN16" i="136"/>
  <c r="AM16" i="136"/>
  <c r="AL16" i="136"/>
  <c r="AK16" i="136"/>
  <c r="AJ16" i="136"/>
  <c r="AI16" i="136"/>
  <c r="AH16" i="136"/>
  <c r="AG16" i="136"/>
  <c r="AF16" i="136"/>
  <c r="AE16" i="136"/>
  <c r="AE17" i="136"/>
  <c r="AD16" i="136"/>
  <c r="AC16" i="136"/>
  <c r="AB16" i="136"/>
  <c r="AA16" i="136"/>
  <c r="AA17" i="136" s="1"/>
  <c r="Z16" i="136"/>
  <c r="Y16" i="136"/>
  <c r="Y17" i="136" s="1"/>
  <c r="X16" i="136"/>
  <c r="X17" i="136" s="1"/>
  <c r="W16" i="136"/>
  <c r="V16" i="136"/>
  <c r="V17" i="136" s="1"/>
  <c r="U16" i="136"/>
  <c r="T16" i="136"/>
  <c r="S16" i="136"/>
  <c r="R16" i="136"/>
  <c r="R17" i="136"/>
  <c r="Q16" i="136"/>
  <c r="P16" i="136"/>
  <c r="P17" i="136" s="1"/>
  <c r="O16" i="136"/>
  <c r="N16" i="136"/>
  <c r="M16" i="136"/>
  <c r="L16" i="136"/>
  <c r="K16" i="136"/>
  <c r="A16" i="136"/>
  <c r="A15" i="136"/>
  <c r="CL14" i="136"/>
  <c r="CK14" i="136"/>
  <c r="CJ14" i="136"/>
  <c r="CI14" i="136"/>
  <c r="CH14" i="136"/>
  <c r="CG14" i="136"/>
  <c r="CF14" i="136"/>
  <c r="CE14" i="136"/>
  <c r="AL14" i="136" s="1"/>
  <c r="CD14" i="136"/>
  <c r="AP14" i="136" s="1"/>
  <c r="CC14" i="136"/>
  <c r="CB14" i="136"/>
  <c r="AK14" i="136" s="1"/>
  <c r="CA14" i="136"/>
  <c r="AF14" i="136" s="1"/>
  <c r="BZ14" i="136"/>
  <c r="AH14" i="136" s="1"/>
  <c r="BY14" i="136"/>
  <c r="BX14" i="136"/>
  <c r="BW14" i="136"/>
  <c r="AI14" i="136" s="1"/>
  <c r="BV14" i="136"/>
  <c r="BU14" i="136"/>
  <c r="AD14" i="136" s="1"/>
  <c r="BT14" i="136"/>
  <c r="BS14" i="136"/>
  <c r="BR14" i="136"/>
  <c r="W14" i="136" s="1"/>
  <c r="BQ14" i="136"/>
  <c r="BP14" i="136"/>
  <c r="BO14" i="136"/>
  <c r="BN14" i="136"/>
  <c r="BM14" i="136"/>
  <c r="BL14" i="136"/>
  <c r="BK14" i="136"/>
  <c r="BJ14" i="136"/>
  <c r="BI14" i="136"/>
  <c r="BH14" i="136"/>
  <c r="BG14" i="136"/>
  <c r="BF14" i="136"/>
  <c r="BE14" i="136"/>
  <c r="O14" i="136" s="1"/>
  <c r="BD14" i="136"/>
  <c r="BC14" i="136"/>
  <c r="U14" i="136" s="1"/>
  <c r="BB14" i="136"/>
  <c r="T14" i="136" s="1"/>
  <c r="BA14" i="136"/>
  <c r="AZ14" i="136"/>
  <c r="AY14" i="136"/>
  <c r="AX14" i="136"/>
  <c r="AW14" i="136"/>
  <c r="AV14" i="136"/>
  <c r="AU14" i="136"/>
  <c r="Q14" i="136" s="1"/>
  <c r="AT14" i="136"/>
  <c r="AJ14" i="136"/>
  <c r="M14" i="136"/>
  <c r="K14" i="136"/>
  <c r="I14" i="136"/>
  <c r="H14" i="136"/>
  <c r="G14" i="136"/>
  <c r="F14" i="136"/>
  <c r="A14" i="136"/>
  <c r="AS13" i="136"/>
  <c r="AR13" i="136"/>
  <c r="AQ13" i="136"/>
  <c r="AP13" i="136"/>
  <c r="AO13" i="136"/>
  <c r="AN13" i="136"/>
  <c r="AM13" i="136"/>
  <c r="AL13" i="136"/>
  <c r="AK13" i="136"/>
  <c r="AJ13" i="136"/>
  <c r="AI13" i="136"/>
  <c r="AH13" i="136"/>
  <c r="AG13" i="136"/>
  <c r="AF13" i="136"/>
  <c r="AE13" i="136"/>
  <c r="AD13" i="136"/>
  <c r="AC13" i="136"/>
  <c r="AB13" i="136"/>
  <c r="AA13" i="136"/>
  <c r="Z13" i="136"/>
  <c r="Y13" i="136"/>
  <c r="X13" i="136"/>
  <c r="W13" i="136"/>
  <c r="V13" i="136"/>
  <c r="U13" i="136"/>
  <c r="T13" i="136"/>
  <c r="S13" i="136"/>
  <c r="R13" i="136"/>
  <c r="Q13" i="136"/>
  <c r="P13" i="136"/>
  <c r="O13" i="136"/>
  <c r="N13" i="136"/>
  <c r="M13" i="136"/>
  <c r="L13" i="136"/>
  <c r="K13" i="136"/>
  <c r="A13" i="136"/>
  <c r="AS12" i="136"/>
  <c r="AR12" i="136"/>
  <c r="AQ12" i="136"/>
  <c r="AP12" i="136"/>
  <c r="AO12" i="136"/>
  <c r="AN12" i="136"/>
  <c r="AM12" i="136"/>
  <c r="AL12" i="136"/>
  <c r="AK12" i="136"/>
  <c r="AJ12" i="136"/>
  <c r="AI12" i="136"/>
  <c r="AH12" i="136"/>
  <c r="AG12" i="136"/>
  <c r="AF12" i="136"/>
  <c r="AE12" i="136"/>
  <c r="AD12" i="136"/>
  <c r="AC12" i="136"/>
  <c r="AB12" i="136"/>
  <c r="AA12" i="136"/>
  <c r="Z12" i="136"/>
  <c r="Y12" i="136"/>
  <c r="X12" i="136"/>
  <c r="W12" i="136"/>
  <c r="V12" i="136"/>
  <c r="U12" i="136"/>
  <c r="T12" i="136"/>
  <c r="S12" i="136"/>
  <c r="R12" i="136"/>
  <c r="Q12" i="136"/>
  <c r="P12" i="136"/>
  <c r="O12" i="136"/>
  <c r="N12" i="136"/>
  <c r="M12" i="136"/>
  <c r="K12" i="136"/>
  <c r="A12" i="136"/>
  <c r="AS11" i="136"/>
  <c r="AR11" i="136"/>
  <c r="AQ11" i="136"/>
  <c r="AP11" i="136"/>
  <c r="AO11" i="136"/>
  <c r="AN11" i="136"/>
  <c r="AM11" i="136"/>
  <c r="AL11" i="136"/>
  <c r="AK11" i="136"/>
  <c r="AJ11" i="136"/>
  <c r="AI11" i="136"/>
  <c r="AH11" i="136"/>
  <c r="AG11" i="136"/>
  <c r="AF11" i="136"/>
  <c r="AE11" i="136"/>
  <c r="AD11" i="136"/>
  <c r="AC11" i="136"/>
  <c r="AB11" i="136"/>
  <c r="AA11" i="136"/>
  <c r="Z11" i="136"/>
  <c r="Y11" i="136"/>
  <c r="X11" i="136"/>
  <c r="W11" i="136"/>
  <c r="V11" i="136"/>
  <c r="U11" i="136"/>
  <c r="T11" i="136"/>
  <c r="S11" i="136"/>
  <c r="R11" i="136"/>
  <c r="Q11" i="136"/>
  <c r="P11" i="136"/>
  <c r="O11" i="136"/>
  <c r="N11" i="136"/>
  <c r="M11" i="136"/>
  <c r="L11" i="136"/>
  <c r="K11" i="136"/>
  <c r="A11" i="136"/>
  <c r="AS10" i="136"/>
  <c r="AR10" i="136"/>
  <c r="AQ10" i="136"/>
  <c r="AP10" i="136"/>
  <c r="AO10" i="136"/>
  <c r="AN10" i="136"/>
  <c r="AM10" i="136"/>
  <c r="AL10" i="136"/>
  <c r="AK10" i="136"/>
  <c r="AJ10" i="136"/>
  <c r="AI10" i="136"/>
  <c r="AH10" i="136"/>
  <c r="AG10" i="136"/>
  <c r="AF10" i="136"/>
  <c r="AE10" i="136"/>
  <c r="AD10" i="136"/>
  <c r="AC10" i="136"/>
  <c r="AB10" i="136"/>
  <c r="AA10" i="136"/>
  <c r="Z10" i="136"/>
  <c r="Y10" i="136"/>
  <c r="X10" i="136"/>
  <c r="W10" i="136"/>
  <c r="V10" i="136"/>
  <c r="U10" i="136"/>
  <c r="T10" i="136"/>
  <c r="S10" i="136"/>
  <c r="R10" i="136"/>
  <c r="Q10" i="136"/>
  <c r="P10" i="136"/>
  <c r="O10" i="136"/>
  <c r="N10" i="136"/>
  <c r="M10" i="136"/>
  <c r="L10" i="136"/>
  <c r="K10" i="136"/>
  <c r="A10" i="136"/>
  <c r="AS9" i="136"/>
  <c r="AR9" i="136"/>
  <c r="AQ9" i="136"/>
  <c r="AP9" i="136"/>
  <c r="AO9" i="136"/>
  <c r="AN9" i="136"/>
  <c r="AM9" i="136"/>
  <c r="AL9" i="136"/>
  <c r="AK9" i="136"/>
  <c r="AJ9" i="136"/>
  <c r="AI9" i="136"/>
  <c r="AH9" i="136"/>
  <c r="AG9" i="136"/>
  <c r="AF9" i="136"/>
  <c r="AE9" i="136"/>
  <c r="AD9" i="136"/>
  <c r="AC9" i="136"/>
  <c r="AB9" i="136"/>
  <c r="AA9" i="136"/>
  <c r="Z9" i="136"/>
  <c r="Y9" i="136"/>
  <c r="X9" i="136"/>
  <c r="W9" i="136"/>
  <c r="V9" i="136"/>
  <c r="U9" i="136"/>
  <c r="T9" i="136"/>
  <c r="S9" i="136"/>
  <c r="R9" i="136"/>
  <c r="Q9" i="136"/>
  <c r="P9" i="136"/>
  <c r="O9" i="136"/>
  <c r="N9" i="136"/>
  <c r="M9" i="136"/>
  <c r="L9" i="136"/>
  <c r="K9" i="136"/>
  <c r="A9" i="136"/>
  <c r="AS8" i="136"/>
  <c r="AR8" i="136"/>
  <c r="AQ8" i="136"/>
  <c r="AP8" i="136"/>
  <c r="AO8" i="136"/>
  <c r="AN8" i="136"/>
  <c r="AM8" i="136"/>
  <c r="AL8" i="136"/>
  <c r="AK8" i="136"/>
  <c r="AJ8" i="136"/>
  <c r="AI8" i="136"/>
  <c r="AH8" i="136"/>
  <c r="AG8" i="136"/>
  <c r="AF8" i="136"/>
  <c r="AE8" i="136"/>
  <c r="AD8" i="136"/>
  <c r="AC8" i="136"/>
  <c r="AB8" i="136"/>
  <c r="AA8" i="136"/>
  <c r="Z8" i="136"/>
  <c r="Y8" i="136"/>
  <c r="X8" i="136"/>
  <c r="W8" i="136"/>
  <c r="V8" i="136"/>
  <c r="U8" i="136"/>
  <c r="T8" i="136"/>
  <c r="S8" i="136"/>
  <c r="R8" i="136"/>
  <c r="Q8" i="136"/>
  <c r="P8" i="136"/>
  <c r="O8" i="136"/>
  <c r="N8" i="136"/>
  <c r="M8" i="136"/>
  <c r="L8" i="136"/>
  <c r="K8" i="136"/>
  <c r="A8" i="136"/>
  <c r="AS7" i="136"/>
  <c r="AR7" i="136"/>
  <c r="AQ7" i="136"/>
  <c r="AP7" i="136"/>
  <c r="AO7" i="136"/>
  <c r="AN7" i="136"/>
  <c r="AM7" i="136"/>
  <c r="AL7" i="136"/>
  <c r="AK7" i="136"/>
  <c r="AJ7" i="136"/>
  <c r="AI7" i="136"/>
  <c r="AH7" i="136"/>
  <c r="AG7" i="136"/>
  <c r="AF7" i="136"/>
  <c r="AE7" i="136"/>
  <c r="AE14" i="136" s="1"/>
  <c r="AD7" i="136"/>
  <c r="AC7" i="136"/>
  <c r="AB7" i="136"/>
  <c r="AA7" i="136"/>
  <c r="AA14" i="136" s="1"/>
  <c r="Z7" i="136"/>
  <c r="Y7" i="136"/>
  <c r="X7" i="136"/>
  <c r="W7" i="136"/>
  <c r="V7" i="136"/>
  <c r="V14" i="136" s="1"/>
  <c r="U7" i="136"/>
  <c r="T7" i="136"/>
  <c r="S7" i="136"/>
  <c r="R7" i="136"/>
  <c r="Q7" i="136"/>
  <c r="P7" i="136"/>
  <c r="P14" i="136" s="1"/>
  <c r="O7" i="136"/>
  <c r="N7" i="136"/>
  <c r="M7" i="136"/>
  <c r="L7" i="136"/>
  <c r="K7" i="136"/>
  <c r="A7" i="136"/>
  <c r="A6" i="136"/>
  <c r="CL5" i="136"/>
  <c r="CK5" i="136"/>
  <c r="CJ5" i="136"/>
  <c r="CI5" i="136"/>
  <c r="CH5" i="136"/>
  <c r="CG5" i="136"/>
  <c r="CF5" i="136"/>
  <c r="CE5" i="136"/>
  <c r="CD5" i="136"/>
  <c r="CC5" i="136"/>
  <c r="CB5" i="136"/>
  <c r="CA5" i="136"/>
  <c r="BZ5" i="136"/>
  <c r="BY5" i="136"/>
  <c r="BX5" i="136"/>
  <c r="BW5" i="136"/>
  <c r="BV5" i="136"/>
  <c r="BU5" i="136"/>
  <c r="BT5" i="136"/>
  <c r="BS5" i="136"/>
  <c r="BR5" i="136"/>
  <c r="BQ5" i="136"/>
  <c r="BP5" i="136"/>
  <c r="BO5" i="136"/>
  <c r="BN5" i="136"/>
  <c r="BM5" i="136"/>
  <c r="BL5" i="136"/>
  <c r="BK5" i="136"/>
  <c r="BJ5" i="136"/>
  <c r="BI5" i="136"/>
  <c r="BH5" i="136"/>
  <c r="BG5" i="136"/>
  <c r="BF5" i="136"/>
  <c r="BE5" i="136"/>
  <c r="BD5" i="136"/>
  <c r="BC5" i="136"/>
  <c r="BB5" i="136"/>
  <c r="BA5" i="136"/>
  <c r="AZ5" i="136"/>
  <c r="AY5" i="136"/>
  <c r="AX5" i="136"/>
  <c r="AW5" i="136"/>
  <c r="AV5" i="136"/>
  <c r="AU5" i="136"/>
  <c r="AT5" i="136"/>
  <c r="AS5" i="136"/>
  <c r="AR5" i="136"/>
  <c r="AQ5" i="136"/>
  <c r="AP5" i="136"/>
  <c r="AO5" i="136"/>
  <c r="AN5" i="136"/>
  <c r="AM5" i="136"/>
  <c r="AL5" i="136"/>
  <c r="AK5" i="136"/>
  <c r="AJ5" i="136"/>
  <c r="AI5" i="136"/>
  <c r="AH5" i="136"/>
  <c r="AG5" i="136"/>
  <c r="AF5" i="136"/>
  <c r="AE5" i="136"/>
  <c r="AD5" i="136"/>
  <c r="AC5" i="136"/>
  <c r="AB5" i="136"/>
  <c r="AA5" i="136"/>
  <c r="Z5" i="136"/>
  <c r="Y5" i="136"/>
  <c r="X5" i="136"/>
  <c r="W5" i="136"/>
  <c r="V5" i="136"/>
  <c r="U5" i="136"/>
  <c r="T5" i="136"/>
  <c r="S5" i="136"/>
  <c r="R5" i="136"/>
  <c r="Q5" i="136"/>
  <c r="P5" i="136"/>
  <c r="O5" i="136"/>
  <c r="N5" i="136"/>
  <c r="M5" i="136"/>
  <c r="L5" i="136"/>
  <c r="K5" i="136"/>
  <c r="J5" i="136"/>
  <c r="I5" i="136"/>
  <c r="H5" i="136"/>
  <c r="G5" i="136"/>
  <c r="F5" i="136"/>
  <c r="A5" i="136"/>
  <c r="CL127" i="135"/>
  <c r="CK127" i="135"/>
  <c r="CJ127" i="135"/>
  <c r="CI127" i="135"/>
  <c r="CH127" i="135"/>
  <c r="CG127" i="135"/>
  <c r="CF127" i="135"/>
  <c r="CE127" i="135"/>
  <c r="CD127" i="135"/>
  <c r="CC127" i="135"/>
  <c r="CB127" i="135"/>
  <c r="CA127" i="135"/>
  <c r="BZ127" i="135"/>
  <c r="BY127" i="135"/>
  <c r="BX127" i="135"/>
  <c r="BW127" i="135"/>
  <c r="BV127" i="135"/>
  <c r="BU127" i="135"/>
  <c r="BT127" i="135"/>
  <c r="BS127" i="135"/>
  <c r="BR127" i="135"/>
  <c r="BQ127" i="135"/>
  <c r="BP127" i="135"/>
  <c r="BO127" i="135"/>
  <c r="BN127" i="135"/>
  <c r="BM127" i="135"/>
  <c r="BL127" i="135"/>
  <c r="BK127" i="135"/>
  <c r="BJ127" i="135"/>
  <c r="BI127" i="135"/>
  <c r="BH127" i="135"/>
  <c r="BG127" i="135"/>
  <c r="BF127" i="135"/>
  <c r="BE127" i="135"/>
  <c r="BD127" i="135"/>
  <c r="BC127" i="135"/>
  <c r="BB127" i="135"/>
  <c r="BA127" i="135"/>
  <c r="AZ127" i="135"/>
  <c r="AY127" i="135"/>
  <c r="AX127" i="135"/>
  <c r="AW127" i="135"/>
  <c r="AV127" i="135"/>
  <c r="AU127" i="135"/>
  <c r="AT127" i="135"/>
  <c r="AS126" i="135"/>
  <c r="AR126" i="135"/>
  <c r="AQ126" i="135"/>
  <c r="AP126" i="135"/>
  <c r="AO126" i="135"/>
  <c r="AN126" i="135"/>
  <c r="AM126" i="135"/>
  <c r="AL126" i="135"/>
  <c r="AK126" i="135"/>
  <c r="AJ126" i="135"/>
  <c r="AI126" i="135"/>
  <c r="AH126" i="135"/>
  <c r="AG126" i="135"/>
  <c r="AF126" i="135"/>
  <c r="AE126" i="135"/>
  <c r="AD126" i="135"/>
  <c r="AC126" i="135"/>
  <c r="AB126" i="135"/>
  <c r="AA126" i="135"/>
  <c r="Z126" i="135"/>
  <c r="Y126" i="135"/>
  <c r="X126" i="135"/>
  <c r="W126" i="135"/>
  <c r="V126" i="135"/>
  <c r="U126" i="135"/>
  <c r="T126" i="135"/>
  <c r="S126" i="135"/>
  <c r="R126" i="135"/>
  <c r="Q126" i="135"/>
  <c r="P126" i="135"/>
  <c r="O126" i="135"/>
  <c r="N126" i="135"/>
  <c r="M126" i="135"/>
  <c r="L126" i="135"/>
  <c r="K126" i="135"/>
  <c r="I126" i="135"/>
  <c r="I127" i="135" s="1"/>
  <c r="H126" i="135"/>
  <c r="H127" i="135"/>
  <c r="G126" i="135"/>
  <c r="G127" i="135" s="1"/>
  <c r="F126" i="135"/>
  <c r="F127" i="135"/>
  <c r="AS123" i="135"/>
  <c r="AR123" i="135"/>
  <c r="AQ123" i="135"/>
  <c r="AQ44" i="135"/>
  <c r="AP123" i="135"/>
  <c r="AO123" i="135"/>
  <c r="AN123" i="135"/>
  <c r="AM123" i="135"/>
  <c r="AM44" i="135" s="1"/>
  <c r="AL123" i="135"/>
  <c r="AK123" i="135"/>
  <c r="AJ123" i="135"/>
  <c r="AI123" i="135"/>
  <c r="AI44" i="135"/>
  <c r="AH123" i="135"/>
  <c r="AG123" i="135"/>
  <c r="AF123" i="135"/>
  <c r="AE123" i="135"/>
  <c r="AE44" i="135" s="1"/>
  <c r="AD123" i="135"/>
  <c r="AC123" i="135"/>
  <c r="AB123" i="135"/>
  <c r="AA123" i="135"/>
  <c r="AA44" i="135" s="1"/>
  <c r="Z123" i="135"/>
  <c r="Y123" i="135"/>
  <c r="X123" i="135"/>
  <c r="W123" i="135"/>
  <c r="W44" i="135" s="1"/>
  <c r="V123" i="135"/>
  <c r="U123" i="135"/>
  <c r="T123" i="135"/>
  <c r="S123" i="135"/>
  <c r="S44" i="135" s="1"/>
  <c r="R123" i="135"/>
  <c r="Q123" i="135"/>
  <c r="P123" i="135"/>
  <c r="O123" i="135"/>
  <c r="O44" i="135" s="1"/>
  <c r="N123" i="135"/>
  <c r="M123" i="135"/>
  <c r="L123" i="135"/>
  <c r="K123" i="135"/>
  <c r="K44" i="135"/>
  <c r="AS118" i="135"/>
  <c r="AR118" i="135"/>
  <c r="AQ118" i="135"/>
  <c r="AP118" i="135"/>
  <c r="AO118" i="135"/>
  <c r="AN118" i="135"/>
  <c r="AM118" i="135"/>
  <c r="AL118" i="135"/>
  <c r="AK118" i="135"/>
  <c r="AJ118" i="135"/>
  <c r="AJ21" i="135" s="1"/>
  <c r="AI118" i="135"/>
  <c r="AH118" i="135"/>
  <c r="AG118" i="135"/>
  <c r="AF118" i="135"/>
  <c r="AE118" i="135"/>
  <c r="AD118" i="135"/>
  <c r="AC118" i="135"/>
  <c r="AB118" i="135"/>
  <c r="AB21" i="135" s="1"/>
  <c r="AA118" i="135"/>
  <c r="Z118" i="135"/>
  <c r="Y118" i="135"/>
  <c r="X118" i="135"/>
  <c r="W118" i="135"/>
  <c r="V118" i="135"/>
  <c r="U118" i="135"/>
  <c r="T118" i="135"/>
  <c r="T21" i="135" s="1"/>
  <c r="S118" i="135"/>
  <c r="R118" i="135"/>
  <c r="Q118" i="135"/>
  <c r="P118" i="135"/>
  <c r="O118" i="135"/>
  <c r="N118" i="135"/>
  <c r="M118" i="135"/>
  <c r="L118" i="135"/>
  <c r="K118" i="135"/>
  <c r="AS117" i="135"/>
  <c r="AR117" i="135"/>
  <c r="AQ117" i="135"/>
  <c r="AP117" i="135"/>
  <c r="AO117" i="135"/>
  <c r="AN117" i="135"/>
  <c r="AM117" i="135"/>
  <c r="AL117" i="135"/>
  <c r="AK117" i="135"/>
  <c r="AJ117" i="135"/>
  <c r="AI117" i="135"/>
  <c r="AH117" i="135"/>
  <c r="AG117" i="135"/>
  <c r="AF117" i="135"/>
  <c r="AE117" i="135"/>
  <c r="AD117" i="135"/>
  <c r="AC117" i="135"/>
  <c r="AB117" i="135"/>
  <c r="AA117" i="135"/>
  <c r="Z117" i="135"/>
  <c r="Y117" i="135"/>
  <c r="X117" i="135"/>
  <c r="W117" i="135"/>
  <c r="V117" i="135"/>
  <c r="U117" i="135"/>
  <c r="T117" i="135"/>
  <c r="S117" i="135"/>
  <c r="R117" i="135"/>
  <c r="Q117" i="135"/>
  <c r="P117" i="135"/>
  <c r="O117" i="135"/>
  <c r="N117" i="135"/>
  <c r="M117" i="135"/>
  <c r="L117" i="135"/>
  <c r="K117" i="135"/>
  <c r="J107" i="135"/>
  <c r="AS106" i="135"/>
  <c r="AR106" i="135"/>
  <c r="AQ106" i="135"/>
  <c r="AP106" i="135"/>
  <c r="AO106" i="135"/>
  <c r="AN106" i="135"/>
  <c r="AM106" i="135"/>
  <c r="AL106" i="135"/>
  <c r="AK106" i="135"/>
  <c r="AJ106" i="135"/>
  <c r="AI106" i="135"/>
  <c r="AH106" i="135"/>
  <c r="AG106" i="135"/>
  <c r="AF106" i="135"/>
  <c r="AE106" i="135"/>
  <c r="AD106" i="135"/>
  <c r="AC106" i="135"/>
  <c r="AB106" i="135"/>
  <c r="AA106" i="135"/>
  <c r="Z106" i="135"/>
  <c r="Y106" i="135"/>
  <c r="X106" i="135"/>
  <c r="W106" i="135"/>
  <c r="V106" i="135"/>
  <c r="U106" i="135"/>
  <c r="T106" i="135"/>
  <c r="S106" i="135"/>
  <c r="R106" i="135"/>
  <c r="Q106" i="135"/>
  <c r="P106" i="135"/>
  <c r="O106" i="135"/>
  <c r="N106" i="135"/>
  <c r="M106" i="135"/>
  <c r="L106" i="135"/>
  <c r="K106" i="135"/>
  <c r="A106" i="135"/>
  <c r="AS105" i="135"/>
  <c r="AR105" i="135"/>
  <c r="AQ105" i="135"/>
  <c r="AP105" i="135"/>
  <c r="AO105" i="135"/>
  <c r="AN105" i="135"/>
  <c r="AM105" i="135"/>
  <c r="AL105" i="135"/>
  <c r="AK105" i="135"/>
  <c r="AJ105" i="135"/>
  <c r="AI105" i="135"/>
  <c r="AH105" i="135"/>
  <c r="AG105" i="135"/>
  <c r="AF105" i="135"/>
  <c r="AE105" i="135"/>
  <c r="AD105" i="135"/>
  <c r="AC105" i="135"/>
  <c r="AB105" i="135"/>
  <c r="AA105" i="135"/>
  <c r="Z105" i="135"/>
  <c r="Y105" i="135"/>
  <c r="X105" i="135"/>
  <c r="W105" i="135"/>
  <c r="V105" i="135"/>
  <c r="U105" i="135"/>
  <c r="T105" i="135"/>
  <c r="S105" i="135"/>
  <c r="R105" i="135"/>
  <c r="Q105" i="135"/>
  <c r="P105" i="135"/>
  <c r="O105" i="135"/>
  <c r="N105" i="135"/>
  <c r="M105" i="135"/>
  <c r="L105" i="135"/>
  <c r="K105" i="135"/>
  <c r="A105" i="135"/>
  <c r="AS104" i="135"/>
  <c r="AR104" i="135"/>
  <c r="AQ104" i="135"/>
  <c r="AP104" i="135"/>
  <c r="AO104" i="135"/>
  <c r="AN104" i="135"/>
  <c r="AM104" i="135"/>
  <c r="AL104" i="135"/>
  <c r="AK104" i="135"/>
  <c r="AJ104" i="135"/>
  <c r="AI104" i="135"/>
  <c r="AH104" i="135"/>
  <c r="AG104" i="135"/>
  <c r="AF104" i="135"/>
  <c r="AE104" i="135"/>
  <c r="AD104" i="135"/>
  <c r="AC104" i="135"/>
  <c r="AB104" i="135"/>
  <c r="AA104" i="135"/>
  <c r="Z104" i="135"/>
  <c r="Y104" i="135"/>
  <c r="X104" i="135"/>
  <c r="W104" i="135"/>
  <c r="V104" i="135"/>
  <c r="U104" i="135"/>
  <c r="T104" i="135"/>
  <c r="S104" i="135"/>
  <c r="R104" i="135"/>
  <c r="Q104" i="135"/>
  <c r="P104" i="135"/>
  <c r="O104" i="135"/>
  <c r="N104" i="135"/>
  <c r="M104" i="135"/>
  <c r="L104" i="135"/>
  <c r="K104" i="135"/>
  <c r="A104" i="135"/>
  <c r="AS103" i="135"/>
  <c r="AR103" i="135"/>
  <c r="AQ103" i="135"/>
  <c r="AP103" i="135"/>
  <c r="AO103" i="135"/>
  <c r="AN103" i="135"/>
  <c r="AM103" i="135"/>
  <c r="AL103" i="135"/>
  <c r="AK103" i="135"/>
  <c r="AJ103" i="135"/>
  <c r="AI103" i="135"/>
  <c r="AH103" i="135"/>
  <c r="AG103" i="135"/>
  <c r="AF103" i="135"/>
  <c r="AE103" i="135"/>
  <c r="AD103" i="135"/>
  <c r="AC103" i="135"/>
  <c r="AB103" i="135"/>
  <c r="AA103" i="135"/>
  <c r="Z103" i="135"/>
  <c r="Y103" i="135"/>
  <c r="X103" i="135"/>
  <c r="W103" i="135"/>
  <c r="V103" i="135"/>
  <c r="U103" i="135"/>
  <c r="T103" i="135"/>
  <c r="S103" i="135"/>
  <c r="R103" i="135"/>
  <c r="Q103" i="135"/>
  <c r="P103" i="135"/>
  <c r="O103" i="135"/>
  <c r="N103" i="135"/>
  <c r="M103" i="135"/>
  <c r="L103" i="135"/>
  <c r="K103" i="135"/>
  <c r="A103" i="135"/>
  <c r="A102" i="135"/>
  <c r="A101" i="135"/>
  <c r="AS100" i="135"/>
  <c r="AR100" i="135"/>
  <c r="AQ100" i="135"/>
  <c r="AP100" i="135"/>
  <c r="AO100" i="135"/>
  <c r="AN100" i="135"/>
  <c r="AM100" i="135"/>
  <c r="AL100" i="135"/>
  <c r="AK100" i="135"/>
  <c r="AJ100" i="135"/>
  <c r="AI100" i="135"/>
  <c r="AH100" i="135"/>
  <c r="AG100" i="135"/>
  <c r="AF100" i="135"/>
  <c r="AE100" i="135"/>
  <c r="AD100" i="135"/>
  <c r="AC100" i="135"/>
  <c r="AB100" i="135"/>
  <c r="AA100" i="135"/>
  <c r="Z100" i="135"/>
  <c r="Y100" i="135"/>
  <c r="X100" i="135"/>
  <c r="W100" i="135"/>
  <c r="V100" i="135"/>
  <c r="U100" i="135"/>
  <c r="T100" i="135"/>
  <c r="S100" i="135"/>
  <c r="R100" i="135"/>
  <c r="Q100" i="135"/>
  <c r="P100" i="135"/>
  <c r="O100" i="135"/>
  <c r="N100" i="135"/>
  <c r="M100" i="135"/>
  <c r="L100" i="135"/>
  <c r="K100" i="135"/>
  <c r="E100" i="135"/>
  <c r="C100" i="135"/>
  <c r="A100" i="135"/>
  <c r="A99" i="135"/>
  <c r="AS98" i="135"/>
  <c r="AR98" i="135"/>
  <c r="AQ98" i="135"/>
  <c r="AP98" i="135"/>
  <c r="AO98" i="135"/>
  <c r="AN98" i="135"/>
  <c r="AM98" i="135"/>
  <c r="AL98" i="135"/>
  <c r="AK98" i="135"/>
  <c r="AJ98" i="135"/>
  <c r="AI98" i="135"/>
  <c r="AH98" i="135"/>
  <c r="AG98" i="135"/>
  <c r="AF98" i="135"/>
  <c r="AE98" i="135"/>
  <c r="AD98" i="135"/>
  <c r="AC98" i="135"/>
  <c r="AB98" i="135"/>
  <c r="AA98" i="135"/>
  <c r="Z98" i="135"/>
  <c r="Y98" i="135"/>
  <c r="X98" i="135"/>
  <c r="W98" i="135"/>
  <c r="V98" i="135"/>
  <c r="U98" i="135"/>
  <c r="T98" i="135"/>
  <c r="S98" i="135"/>
  <c r="R98" i="135"/>
  <c r="Q98" i="135"/>
  <c r="P98" i="135"/>
  <c r="O98" i="135"/>
  <c r="N98" i="135"/>
  <c r="M98" i="135"/>
  <c r="L98" i="135"/>
  <c r="K98" i="135"/>
  <c r="C98" i="135"/>
  <c r="A98" i="135"/>
  <c r="AS97" i="135"/>
  <c r="AR97" i="135"/>
  <c r="AQ97" i="135"/>
  <c r="AP97" i="135"/>
  <c r="AO97" i="135"/>
  <c r="AN97" i="135"/>
  <c r="AM97" i="135"/>
  <c r="AL97" i="135"/>
  <c r="AK97" i="135"/>
  <c r="AJ97" i="135"/>
  <c r="AI97" i="135"/>
  <c r="AH97" i="135"/>
  <c r="AG97" i="135"/>
  <c r="AF97" i="135"/>
  <c r="AE97" i="135"/>
  <c r="AD97" i="135"/>
  <c r="AC97" i="135"/>
  <c r="AB97" i="135"/>
  <c r="AA97" i="135"/>
  <c r="Z97" i="135"/>
  <c r="Y97" i="135"/>
  <c r="X97" i="135"/>
  <c r="W97" i="135"/>
  <c r="V97" i="135"/>
  <c r="U97" i="135"/>
  <c r="T97" i="135"/>
  <c r="S97" i="135"/>
  <c r="R97" i="135"/>
  <c r="Q97" i="135"/>
  <c r="P97" i="135"/>
  <c r="O97" i="135"/>
  <c r="N97" i="135"/>
  <c r="M97" i="135"/>
  <c r="L97" i="135"/>
  <c r="K97" i="135"/>
  <c r="A97" i="135"/>
  <c r="AS96" i="135"/>
  <c r="AR96" i="135"/>
  <c r="AQ96" i="135"/>
  <c r="AP96" i="135"/>
  <c r="AO96" i="135"/>
  <c r="AN96" i="135"/>
  <c r="AM96" i="135"/>
  <c r="AL96" i="135"/>
  <c r="AK96" i="135"/>
  <c r="AJ96" i="135"/>
  <c r="AI96" i="135"/>
  <c r="AH96" i="135"/>
  <c r="AG96" i="135"/>
  <c r="AF96" i="135"/>
  <c r="AE96" i="135"/>
  <c r="AD96" i="135"/>
  <c r="AC96" i="135"/>
  <c r="AB96" i="135"/>
  <c r="AA96" i="135"/>
  <c r="Z96" i="135"/>
  <c r="Y96" i="135"/>
  <c r="X96" i="135"/>
  <c r="W96" i="135"/>
  <c r="V96" i="135"/>
  <c r="U96" i="135"/>
  <c r="T96" i="135"/>
  <c r="S96" i="135"/>
  <c r="R96" i="135"/>
  <c r="Q96" i="135"/>
  <c r="P96" i="135"/>
  <c r="O96" i="135"/>
  <c r="N96" i="135"/>
  <c r="M96" i="135"/>
  <c r="L96" i="135"/>
  <c r="K96" i="135"/>
  <c r="I96" i="135"/>
  <c r="H96" i="135"/>
  <c r="G96" i="135"/>
  <c r="F96" i="135"/>
  <c r="A96" i="135"/>
  <c r="AS95" i="135"/>
  <c r="AR95" i="135"/>
  <c r="AQ95" i="135"/>
  <c r="AP95" i="135"/>
  <c r="AO95" i="135"/>
  <c r="AN95" i="135"/>
  <c r="AM95" i="135"/>
  <c r="AL95" i="135"/>
  <c r="AK95" i="135"/>
  <c r="AJ95" i="135"/>
  <c r="AI95" i="135"/>
  <c r="AH95" i="135"/>
  <c r="AG95" i="135"/>
  <c r="AF95" i="135"/>
  <c r="AE95" i="135"/>
  <c r="AD95" i="135"/>
  <c r="AC95" i="135"/>
  <c r="AB95" i="135"/>
  <c r="AA95" i="135"/>
  <c r="Z95" i="135"/>
  <c r="Y95" i="135"/>
  <c r="X95" i="135"/>
  <c r="W95" i="135"/>
  <c r="V95" i="135"/>
  <c r="U95" i="135"/>
  <c r="T95" i="135"/>
  <c r="S95" i="135"/>
  <c r="R95" i="135"/>
  <c r="Q95" i="135"/>
  <c r="P95" i="135"/>
  <c r="O95" i="135"/>
  <c r="N95" i="135"/>
  <c r="M95" i="135"/>
  <c r="L95" i="135"/>
  <c r="K95" i="135"/>
  <c r="I95" i="135"/>
  <c r="H95" i="135"/>
  <c r="G95" i="135"/>
  <c r="G51" i="135" s="1"/>
  <c r="F95" i="135"/>
  <c r="F51" i="135" s="1"/>
  <c r="A95" i="135"/>
  <c r="A94" i="135"/>
  <c r="AR93" i="135"/>
  <c r="AQ93" i="135"/>
  <c r="AP93" i="135"/>
  <c r="AO93" i="135"/>
  <c r="AN93" i="135"/>
  <c r="AM93" i="135"/>
  <c r="AL93" i="135"/>
  <c r="AK93" i="135"/>
  <c r="AJ93" i="135"/>
  <c r="AI93" i="135"/>
  <c r="AH93" i="135"/>
  <c r="AG93" i="135"/>
  <c r="AF93" i="135"/>
  <c r="AD93" i="135"/>
  <c r="AC93" i="135"/>
  <c r="AB93" i="135"/>
  <c r="Z93" i="135"/>
  <c r="W93" i="135"/>
  <c r="U93" i="135"/>
  <c r="T93" i="135"/>
  <c r="S93" i="135"/>
  <c r="Q93" i="135"/>
  <c r="O93" i="135"/>
  <c r="N93" i="135"/>
  <c r="M93" i="135"/>
  <c r="L93" i="135"/>
  <c r="K93" i="135"/>
  <c r="A93" i="135"/>
  <c r="AS92" i="135"/>
  <c r="AR92" i="135"/>
  <c r="AQ92" i="135"/>
  <c r="AP92" i="135"/>
  <c r="AO92" i="135"/>
  <c r="AN92" i="135"/>
  <c r="AM92" i="135"/>
  <c r="AL92" i="135"/>
  <c r="AK92" i="135"/>
  <c r="AJ92" i="135"/>
  <c r="AI92" i="135"/>
  <c r="AH92" i="135"/>
  <c r="AG92" i="135"/>
  <c r="AF92" i="135"/>
  <c r="AE92" i="135"/>
  <c r="AD92" i="135"/>
  <c r="AC92" i="135"/>
  <c r="AB92" i="135"/>
  <c r="AA92" i="135"/>
  <c r="Z92" i="135"/>
  <c r="Y92" i="135"/>
  <c r="X92" i="135"/>
  <c r="W92" i="135"/>
  <c r="V92" i="135"/>
  <c r="U92" i="135"/>
  <c r="T92" i="135"/>
  <c r="S92" i="135"/>
  <c r="R92" i="135"/>
  <c r="Q92" i="135"/>
  <c r="P92" i="135"/>
  <c r="O92" i="135"/>
  <c r="N92" i="135"/>
  <c r="M92" i="135"/>
  <c r="L92" i="135"/>
  <c r="K92" i="135"/>
  <c r="A92" i="135"/>
  <c r="AS91" i="135"/>
  <c r="AR91" i="135"/>
  <c r="AQ91" i="135"/>
  <c r="AP91" i="135"/>
  <c r="AO91" i="135"/>
  <c r="AN91" i="135"/>
  <c r="AM91" i="135"/>
  <c r="AL91" i="135"/>
  <c r="AK91" i="135"/>
  <c r="AJ91" i="135"/>
  <c r="AI91" i="135"/>
  <c r="AH91" i="135"/>
  <c r="AG91" i="135"/>
  <c r="AF91" i="135"/>
  <c r="AE91" i="135"/>
  <c r="AD91" i="135"/>
  <c r="AC91" i="135"/>
  <c r="AB91" i="135"/>
  <c r="AA91" i="135"/>
  <c r="Z91" i="135"/>
  <c r="Y91" i="135"/>
  <c r="X91" i="135"/>
  <c r="W91" i="135"/>
  <c r="V91" i="135"/>
  <c r="U91" i="135"/>
  <c r="T91" i="135"/>
  <c r="S91" i="135"/>
  <c r="R91" i="135"/>
  <c r="Q91" i="135"/>
  <c r="P91" i="135"/>
  <c r="O91" i="135"/>
  <c r="N91" i="135"/>
  <c r="M91" i="135"/>
  <c r="L91" i="135"/>
  <c r="K91" i="135"/>
  <c r="A91" i="135"/>
  <c r="AS90" i="135"/>
  <c r="AR90" i="135"/>
  <c r="AQ90" i="135"/>
  <c r="AP90" i="135"/>
  <c r="AO90" i="135"/>
  <c r="AN90" i="135"/>
  <c r="AM90" i="135"/>
  <c r="AL90" i="135"/>
  <c r="AK90" i="135"/>
  <c r="AJ90" i="135"/>
  <c r="AI90" i="135"/>
  <c r="AH90" i="135"/>
  <c r="AG90" i="135"/>
  <c r="AF90" i="135"/>
  <c r="AE90" i="135"/>
  <c r="AD90" i="135"/>
  <c r="AC90" i="135"/>
  <c r="AB90" i="135"/>
  <c r="AA90" i="135"/>
  <c r="Z90" i="135"/>
  <c r="Y90" i="135"/>
  <c r="X90" i="135"/>
  <c r="W90" i="135"/>
  <c r="V90" i="135"/>
  <c r="U90" i="135"/>
  <c r="T90" i="135"/>
  <c r="S90" i="135"/>
  <c r="R90" i="135"/>
  <c r="Q90" i="135"/>
  <c r="P90" i="135"/>
  <c r="O90" i="135"/>
  <c r="N90" i="135"/>
  <c r="M90" i="135"/>
  <c r="L90" i="135"/>
  <c r="K90" i="135"/>
  <c r="A90" i="135"/>
  <c r="AS89" i="135"/>
  <c r="AR89" i="135"/>
  <c r="AQ89" i="135"/>
  <c r="AP89" i="135"/>
  <c r="AO89" i="135"/>
  <c r="AN89" i="135"/>
  <c r="AM89" i="135"/>
  <c r="AL89" i="135"/>
  <c r="AK89" i="135"/>
  <c r="AJ89" i="135"/>
  <c r="AI89" i="135"/>
  <c r="AH89" i="135"/>
  <c r="AG89" i="135"/>
  <c r="AF89" i="135"/>
  <c r="AE89" i="135"/>
  <c r="AD89" i="135"/>
  <c r="AC89" i="135"/>
  <c r="AB89" i="135"/>
  <c r="AA89" i="135"/>
  <c r="Z89" i="135"/>
  <c r="Y89" i="135"/>
  <c r="X89" i="135"/>
  <c r="W89" i="135"/>
  <c r="V89" i="135"/>
  <c r="U89" i="135"/>
  <c r="T89" i="135"/>
  <c r="S89" i="135"/>
  <c r="R89" i="135"/>
  <c r="Q89" i="135"/>
  <c r="P89" i="135"/>
  <c r="O89" i="135"/>
  <c r="N89" i="135"/>
  <c r="M89" i="135"/>
  <c r="L89" i="135"/>
  <c r="K89" i="135"/>
  <c r="A89" i="135"/>
  <c r="A88" i="135"/>
  <c r="AS87" i="135"/>
  <c r="AR87" i="135"/>
  <c r="AQ87" i="135"/>
  <c r="AP87" i="135"/>
  <c r="AO87" i="135"/>
  <c r="AN87" i="135"/>
  <c r="AM87" i="135"/>
  <c r="AL87" i="135"/>
  <c r="AK87" i="135"/>
  <c r="AJ87" i="135"/>
  <c r="AI87" i="135"/>
  <c r="AH87" i="135"/>
  <c r="AG87" i="135"/>
  <c r="AF87" i="135"/>
  <c r="AE87" i="135"/>
  <c r="AD87" i="135"/>
  <c r="AC87" i="135"/>
  <c r="AB87" i="135"/>
  <c r="AA87" i="135"/>
  <c r="Z87" i="135"/>
  <c r="Y87" i="135"/>
  <c r="X87" i="135"/>
  <c r="W87" i="135"/>
  <c r="V87" i="135"/>
  <c r="U87" i="135"/>
  <c r="T87" i="135"/>
  <c r="S87" i="135"/>
  <c r="R87" i="135"/>
  <c r="Q87" i="135"/>
  <c r="P87" i="135"/>
  <c r="O87" i="135"/>
  <c r="N87" i="135"/>
  <c r="M87" i="135"/>
  <c r="L87" i="135"/>
  <c r="K87" i="135"/>
  <c r="A87" i="135"/>
  <c r="A86" i="135"/>
  <c r="A85" i="135"/>
  <c r="A84" i="135"/>
  <c r="A83" i="135"/>
  <c r="A82" i="135"/>
  <c r="A81" i="135"/>
  <c r="AS80" i="135"/>
  <c r="AR80" i="135"/>
  <c r="AQ80" i="135"/>
  <c r="AP80" i="135"/>
  <c r="AO80" i="135"/>
  <c r="AN80" i="135"/>
  <c r="AM80" i="135"/>
  <c r="AL80" i="135"/>
  <c r="AK80" i="135"/>
  <c r="AJ80" i="135"/>
  <c r="AI80" i="135"/>
  <c r="AH80" i="135"/>
  <c r="AG80" i="135"/>
  <c r="AF80" i="135"/>
  <c r="AE80" i="135"/>
  <c r="AD80" i="135"/>
  <c r="AC80" i="135"/>
  <c r="AB80" i="135"/>
  <c r="AA80" i="135"/>
  <c r="Z80" i="135"/>
  <c r="Y80" i="135"/>
  <c r="X80" i="135"/>
  <c r="W80" i="135"/>
  <c r="V80" i="135"/>
  <c r="U80" i="135"/>
  <c r="T80" i="135"/>
  <c r="S80" i="135"/>
  <c r="R80" i="135"/>
  <c r="Q80" i="135"/>
  <c r="P80" i="135"/>
  <c r="O80" i="135"/>
  <c r="N80" i="135"/>
  <c r="M80" i="135"/>
  <c r="L80" i="135"/>
  <c r="K80" i="135"/>
  <c r="I80" i="135"/>
  <c r="H80" i="135"/>
  <c r="G80" i="135"/>
  <c r="F80" i="135"/>
  <c r="A80" i="135"/>
  <c r="A79" i="135"/>
  <c r="AS78" i="135"/>
  <c r="AR78" i="135"/>
  <c r="AQ78" i="135"/>
  <c r="AP78" i="135"/>
  <c r="AO78" i="135"/>
  <c r="AN78" i="135"/>
  <c r="AM78" i="135"/>
  <c r="AL78" i="135"/>
  <c r="AK78" i="135"/>
  <c r="AJ78" i="135"/>
  <c r="AI78" i="135"/>
  <c r="AH78" i="135"/>
  <c r="AG78" i="135"/>
  <c r="AF78" i="135"/>
  <c r="AE78" i="135"/>
  <c r="AD78" i="135"/>
  <c r="AC78" i="135"/>
  <c r="AB78" i="135"/>
  <c r="AA78" i="135"/>
  <c r="Z78" i="135"/>
  <c r="Y78" i="135"/>
  <c r="X78" i="135"/>
  <c r="W78" i="135"/>
  <c r="V78" i="135"/>
  <c r="U78" i="135"/>
  <c r="T78" i="135"/>
  <c r="S78" i="135"/>
  <c r="R78" i="135"/>
  <c r="Q78" i="135"/>
  <c r="P78" i="135"/>
  <c r="O78" i="135"/>
  <c r="N78" i="135"/>
  <c r="M78" i="135"/>
  <c r="L78" i="135"/>
  <c r="K78" i="135"/>
  <c r="A78" i="135"/>
  <c r="AS77" i="135"/>
  <c r="AR77" i="135"/>
  <c r="AQ77" i="135"/>
  <c r="AP77" i="135"/>
  <c r="AO77" i="135"/>
  <c r="AN77" i="135"/>
  <c r="AM77" i="135"/>
  <c r="AL77" i="135"/>
  <c r="AK77" i="135"/>
  <c r="AJ77" i="135"/>
  <c r="AI77" i="135"/>
  <c r="AH77" i="135"/>
  <c r="AG77" i="135"/>
  <c r="AF77" i="135"/>
  <c r="AE77" i="135"/>
  <c r="AD77" i="135"/>
  <c r="AC77" i="135"/>
  <c r="AB77" i="135"/>
  <c r="AA77" i="135"/>
  <c r="Z77" i="135"/>
  <c r="Y77" i="135"/>
  <c r="X77" i="135"/>
  <c r="W77" i="135"/>
  <c r="V77" i="135"/>
  <c r="U77" i="135"/>
  <c r="T77" i="135"/>
  <c r="S77" i="135"/>
  <c r="R77" i="135"/>
  <c r="Q77" i="135"/>
  <c r="P77" i="135"/>
  <c r="O77" i="135"/>
  <c r="N77" i="135"/>
  <c r="M77" i="135"/>
  <c r="L77" i="135"/>
  <c r="K77" i="135"/>
  <c r="A77" i="135"/>
  <c r="AS76" i="135"/>
  <c r="AR76" i="135"/>
  <c r="AQ76" i="135"/>
  <c r="AP76" i="135"/>
  <c r="AO76" i="135"/>
  <c r="AN76" i="135"/>
  <c r="AM76" i="135"/>
  <c r="AL76" i="135"/>
  <c r="AK76" i="135"/>
  <c r="AJ76" i="135"/>
  <c r="AI76" i="135"/>
  <c r="AH76" i="135"/>
  <c r="AG76" i="135"/>
  <c r="AF76" i="135"/>
  <c r="AE76" i="135"/>
  <c r="AD76" i="135"/>
  <c r="AC76" i="135"/>
  <c r="AB76" i="135"/>
  <c r="AA76" i="135"/>
  <c r="Z76" i="135"/>
  <c r="Y76" i="135"/>
  <c r="X76" i="135"/>
  <c r="W76" i="135"/>
  <c r="V76" i="135"/>
  <c r="U76" i="135"/>
  <c r="T76" i="135"/>
  <c r="S76" i="135"/>
  <c r="R76" i="135"/>
  <c r="Q76" i="135"/>
  <c r="P76" i="135"/>
  <c r="O76" i="135"/>
  <c r="N76" i="135"/>
  <c r="M76" i="135"/>
  <c r="L76" i="135"/>
  <c r="K76" i="135"/>
  <c r="A76" i="135"/>
  <c r="AS75" i="135"/>
  <c r="AR75" i="135"/>
  <c r="AQ75" i="135"/>
  <c r="AP75" i="135"/>
  <c r="AO75" i="135"/>
  <c r="AN75" i="135"/>
  <c r="AM75" i="135"/>
  <c r="AL75" i="135"/>
  <c r="AK75" i="135"/>
  <c r="AJ75" i="135"/>
  <c r="AI75" i="135"/>
  <c r="AH75" i="135"/>
  <c r="AG75" i="135"/>
  <c r="AF75" i="135"/>
  <c r="AE75" i="135"/>
  <c r="AD75" i="135"/>
  <c r="AC75" i="135"/>
  <c r="AB75" i="135"/>
  <c r="AA75" i="135"/>
  <c r="Z75" i="135"/>
  <c r="Y75" i="135"/>
  <c r="X75" i="135"/>
  <c r="W75" i="135"/>
  <c r="V75" i="135"/>
  <c r="U75" i="135"/>
  <c r="T75" i="135"/>
  <c r="S75" i="135"/>
  <c r="R75" i="135"/>
  <c r="Q75" i="135"/>
  <c r="P75" i="135"/>
  <c r="O75" i="135"/>
  <c r="N75" i="135"/>
  <c r="M75" i="135"/>
  <c r="L75" i="135"/>
  <c r="K75" i="135"/>
  <c r="A75" i="135"/>
  <c r="AS74" i="135"/>
  <c r="AR74" i="135"/>
  <c r="AQ74" i="135"/>
  <c r="AP74" i="135"/>
  <c r="AO74" i="135"/>
  <c r="AN74" i="135"/>
  <c r="AM74" i="135"/>
  <c r="AL74" i="135"/>
  <c r="AK74" i="135"/>
  <c r="AJ74" i="135"/>
  <c r="AI74" i="135"/>
  <c r="AH74" i="135"/>
  <c r="AG74" i="135"/>
  <c r="AF74" i="135"/>
  <c r="AE74" i="135"/>
  <c r="AD74" i="135"/>
  <c r="AC74" i="135"/>
  <c r="AB74" i="135"/>
  <c r="AA74" i="135"/>
  <c r="Z74" i="135"/>
  <c r="Y74" i="135"/>
  <c r="X74" i="135"/>
  <c r="W74" i="135"/>
  <c r="V74" i="135"/>
  <c r="U74" i="135"/>
  <c r="T74" i="135"/>
  <c r="S74" i="135"/>
  <c r="R74" i="135"/>
  <c r="Q74" i="135"/>
  <c r="P74" i="135"/>
  <c r="O74" i="135"/>
  <c r="N74" i="135"/>
  <c r="M74" i="135"/>
  <c r="L74" i="135"/>
  <c r="K74" i="135"/>
  <c r="A74" i="135"/>
  <c r="AS73" i="135"/>
  <c r="AR73" i="135"/>
  <c r="AQ73" i="135"/>
  <c r="AP73" i="135"/>
  <c r="AO73" i="135"/>
  <c r="AN73" i="135"/>
  <c r="AM73" i="135"/>
  <c r="AL73" i="135"/>
  <c r="AK73" i="135"/>
  <c r="AJ73" i="135"/>
  <c r="AI73" i="135"/>
  <c r="AH73" i="135"/>
  <c r="AG73" i="135"/>
  <c r="AF73" i="135"/>
  <c r="AE73" i="135"/>
  <c r="AD73" i="135"/>
  <c r="AC73" i="135"/>
  <c r="AB73" i="135"/>
  <c r="AA73" i="135"/>
  <c r="Z73" i="135"/>
  <c r="Y73" i="135"/>
  <c r="X73" i="135"/>
  <c r="W73" i="135"/>
  <c r="V73" i="135"/>
  <c r="U73" i="135"/>
  <c r="T73" i="135"/>
  <c r="S73" i="135"/>
  <c r="R73" i="135"/>
  <c r="Q73" i="135"/>
  <c r="P73" i="135"/>
  <c r="O73" i="135"/>
  <c r="N73" i="135"/>
  <c r="M73" i="135"/>
  <c r="L73" i="135"/>
  <c r="K73" i="135"/>
  <c r="A73" i="135"/>
  <c r="A72" i="135"/>
  <c r="CL71" i="135"/>
  <c r="CK71" i="135"/>
  <c r="CJ71" i="135"/>
  <c r="CI71" i="135"/>
  <c r="CH71" i="135"/>
  <c r="CG71" i="135"/>
  <c r="CF71" i="135"/>
  <c r="CE71" i="135"/>
  <c r="CD71" i="135"/>
  <c r="CC71" i="135"/>
  <c r="CB71" i="135"/>
  <c r="CA71" i="135"/>
  <c r="BZ71" i="135"/>
  <c r="BY71" i="135"/>
  <c r="BX71" i="135"/>
  <c r="BW71" i="135"/>
  <c r="BV71" i="135"/>
  <c r="BU71" i="135"/>
  <c r="BT71" i="135"/>
  <c r="BS71" i="135"/>
  <c r="BR71" i="135"/>
  <c r="BQ71" i="135"/>
  <c r="BP71" i="135"/>
  <c r="BO71" i="135"/>
  <c r="BN71" i="135"/>
  <c r="BM71" i="135"/>
  <c r="BL71" i="135"/>
  <c r="BK71" i="135"/>
  <c r="BJ71" i="135"/>
  <c r="BI71" i="135"/>
  <c r="BH71" i="135"/>
  <c r="BG71" i="135"/>
  <c r="BF71" i="135"/>
  <c r="BE71" i="135"/>
  <c r="BD71" i="135"/>
  <c r="BC71" i="135"/>
  <c r="BB71" i="135"/>
  <c r="BA71" i="135"/>
  <c r="AZ71" i="135"/>
  <c r="AY71" i="135"/>
  <c r="AX71" i="135"/>
  <c r="AW71" i="135"/>
  <c r="AV71" i="135"/>
  <c r="AU71" i="135"/>
  <c r="AT71" i="135"/>
  <c r="I71" i="135"/>
  <c r="H71" i="135"/>
  <c r="G71" i="135"/>
  <c r="F71" i="135"/>
  <c r="A71" i="135"/>
  <c r="AS70" i="135"/>
  <c r="AR70" i="135"/>
  <c r="AR71" i="135"/>
  <c r="AQ70" i="135"/>
  <c r="AP70" i="135"/>
  <c r="AO70" i="135"/>
  <c r="AN70" i="135"/>
  <c r="AM70" i="135"/>
  <c r="AL70" i="135"/>
  <c r="AL71" i="135" s="1"/>
  <c r="AK70" i="135"/>
  <c r="AJ70" i="135"/>
  <c r="AJ71" i="135"/>
  <c r="AI70" i="135"/>
  <c r="AH70" i="135"/>
  <c r="AG70" i="135"/>
  <c r="AG71" i="135" s="1"/>
  <c r="AF70" i="135"/>
  <c r="AE70" i="135"/>
  <c r="AD70" i="135"/>
  <c r="AD71" i="135" s="1"/>
  <c r="AC70" i="135"/>
  <c r="AB70" i="135"/>
  <c r="AA70" i="135"/>
  <c r="Z70" i="135"/>
  <c r="Z71" i="135" s="1"/>
  <c r="Y70" i="135"/>
  <c r="X70" i="135"/>
  <c r="W70" i="135"/>
  <c r="W71" i="135"/>
  <c r="V70" i="135"/>
  <c r="U70" i="135"/>
  <c r="T70" i="135"/>
  <c r="S70" i="135"/>
  <c r="R70" i="135"/>
  <c r="Q70" i="135"/>
  <c r="P70" i="135"/>
  <c r="O70" i="135"/>
  <c r="N70" i="135"/>
  <c r="M70" i="135"/>
  <c r="L70" i="135"/>
  <c r="K70" i="135"/>
  <c r="A70" i="135"/>
  <c r="AS69" i="135"/>
  <c r="AR69" i="135"/>
  <c r="AQ69" i="135"/>
  <c r="AP69" i="135"/>
  <c r="AO69" i="135"/>
  <c r="AN69" i="135"/>
  <c r="AM69" i="135"/>
  <c r="AM71" i="135" s="1"/>
  <c r="AL69" i="135"/>
  <c r="AK69" i="135"/>
  <c r="AJ69" i="135"/>
  <c r="AI69" i="135"/>
  <c r="AI71" i="135" s="1"/>
  <c r="AH69" i="135"/>
  <c r="AG69" i="135"/>
  <c r="AF69" i="135"/>
  <c r="AF71" i="135" s="1"/>
  <c r="AE69" i="135"/>
  <c r="AD69" i="135"/>
  <c r="AC69" i="135"/>
  <c r="AB69" i="135"/>
  <c r="AA69" i="135"/>
  <c r="Z69" i="135"/>
  <c r="Y69" i="135"/>
  <c r="X69" i="135"/>
  <c r="W69" i="135"/>
  <c r="V69" i="135"/>
  <c r="U69" i="135"/>
  <c r="T69" i="135"/>
  <c r="S69" i="135"/>
  <c r="R69" i="135"/>
  <c r="Q69" i="135"/>
  <c r="P69" i="135"/>
  <c r="O69" i="135"/>
  <c r="N69" i="135"/>
  <c r="M69" i="135"/>
  <c r="L69" i="135"/>
  <c r="K69" i="135"/>
  <c r="A69" i="135"/>
  <c r="A68" i="135"/>
  <c r="A67" i="135"/>
  <c r="A66" i="135"/>
  <c r="A65" i="135"/>
  <c r="A64" i="135"/>
  <c r="AS63" i="135"/>
  <c r="AR63" i="135"/>
  <c r="AQ63" i="135"/>
  <c r="AP63" i="135"/>
  <c r="AO63" i="135"/>
  <c r="AN63" i="135"/>
  <c r="AM63" i="135"/>
  <c r="AL63" i="135"/>
  <c r="AK63" i="135"/>
  <c r="AJ63" i="135"/>
  <c r="AI63" i="135"/>
  <c r="AH63" i="135"/>
  <c r="AG63" i="135"/>
  <c r="AF63" i="135"/>
  <c r="AE63" i="135"/>
  <c r="AD63" i="135"/>
  <c r="AC63" i="135"/>
  <c r="AB63" i="135"/>
  <c r="AA63" i="135"/>
  <c r="Z63" i="135"/>
  <c r="Y63" i="135"/>
  <c r="X63" i="135"/>
  <c r="W63" i="135"/>
  <c r="V63" i="135"/>
  <c r="U63" i="135"/>
  <c r="T63" i="135"/>
  <c r="S63" i="135"/>
  <c r="R63" i="135"/>
  <c r="Q63" i="135"/>
  <c r="P63" i="135"/>
  <c r="O63" i="135"/>
  <c r="N63" i="135"/>
  <c r="M63" i="135"/>
  <c r="L63" i="135"/>
  <c r="K63" i="135"/>
  <c r="A63" i="135"/>
  <c r="AS62" i="135"/>
  <c r="AR62" i="135"/>
  <c r="AQ62" i="135"/>
  <c r="AP62" i="135"/>
  <c r="AO62" i="135"/>
  <c r="AN62" i="135"/>
  <c r="AM62" i="135"/>
  <c r="AL62" i="135"/>
  <c r="AK62" i="135"/>
  <c r="AJ62" i="135"/>
  <c r="AI62" i="135"/>
  <c r="AH62" i="135"/>
  <c r="AG62" i="135"/>
  <c r="AF62" i="135"/>
  <c r="AE62" i="135"/>
  <c r="AD62" i="135"/>
  <c r="AC62" i="135"/>
  <c r="AB62" i="135"/>
  <c r="AA62" i="135"/>
  <c r="Z62" i="135"/>
  <c r="Y62" i="135"/>
  <c r="X62" i="135"/>
  <c r="W62" i="135"/>
  <c r="V62" i="135"/>
  <c r="U62" i="135"/>
  <c r="T62" i="135"/>
  <c r="S62" i="135"/>
  <c r="R62" i="135"/>
  <c r="Q62" i="135"/>
  <c r="P62" i="135"/>
  <c r="O62" i="135"/>
  <c r="N62" i="135"/>
  <c r="M62" i="135"/>
  <c r="L62" i="135"/>
  <c r="K62" i="135"/>
  <c r="A62" i="135"/>
  <c r="AS61" i="135"/>
  <c r="AR61" i="135"/>
  <c r="AQ61" i="135"/>
  <c r="AP61" i="135"/>
  <c r="AO61" i="135"/>
  <c r="AN61" i="135"/>
  <c r="AM61" i="135"/>
  <c r="AL61" i="135"/>
  <c r="AK61" i="135"/>
  <c r="AJ61" i="135"/>
  <c r="AI61" i="135"/>
  <c r="AH61" i="135"/>
  <c r="AG61" i="135"/>
  <c r="AF61" i="135"/>
  <c r="AE61" i="135"/>
  <c r="AD61" i="135"/>
  <c r="AC61" i="135"/>
  <c r="AB61" i="135"/>
  <c r="AA61" i="135"/>
  <c r="Z61" i="135"/>
  <c r="Y61" i="135"/>
  <c r="X61" i="135"/>
  <c r="W61" i="135"/>
  <c r="V61" i="135"/>
  <c r="U61" i="135"/>
  <c r="T61" i="135"/>
  <c r="S61" i="135"/>
  <c r="R61" i="135"/>
  <c r="Q61" i="135"/>
  <c r="P61" i="135"/>
  <c r="O61" i="135"/>
  <c r="N61" i="135"/>
  <c r="M61" i="135"/>
  <c r="L61" i="135"/>
  <c r="K61" i="135"/>
  <c r="A61" i="135"/>
  <c r="AS60" i="135"/>
  <c r="AR60" i="135"/>
  <c r="AQ60" i="135"/>
  <c r="AP60" i="135"/>
  <c r="AO60" i="135"/>
  <c r="AN60" i="135"/>
  <c r="AM60" i="135"/>
  <c r="AL60" i="135"/>
  <c r="AK60" i="135"/>
  <c r="AJ60" i="135"/>
  <c r="AI60" i="135"/>
  <c r="AH60" i="135"/>
  <c r="AG60" i="135"/>
  <c r="AF60" i="135"/>
  <c r="AE60" i="135"/>
  <c r="AD60" i="135"/>
  <c r="AC60" i="135"/>
  <c r="AB60" i="135"/>
  <c r="AA60" i="135"/>
  <c r="Z60" i="135"/>
  <c r="Y60" i="135"/>
  <c r="X60" i="135"/>
  <c r="W60" i="135"/>
  <c r="V60" i="135"/>
  <c r="U60" i="135"/>
  <c r="T60" i="135"/>
  <c r="S60" i="135"/>
  <c r="R60" i="135"/>
  <c r="Q60" i="135"/>
  <c r="P60" i="135"/>
  <c r="O60" i="135"/>
  <c r="N60" i="135"/>
  <c r="M60" i="135"/>
  <c r="L60" i="135"/>
  <c r="K60" i="135"/>
  <c r="A60" i="135"/>
  <c r="AS59" i="135"/>
  <c r="AR59" i="135"/>
  <c r="AQ59" i="135"/>
  <c r="AP59" i="135"/>
  <c r="AO59" i="135"/>
  <c r="AN59" i="135"/>
  <c r="AM59" i="135"/>
  <c r="AL59" i="135"/>
  <c r="AK59" i="135"/>
  <c r="AJ59" i="135"/>
  <c r="AI59" i="135"/>
  <c r="AH59" i="135"/>
  <c r="AG59" i="135"/>
  <c r="AF59" i="135"/>
  <c r="AE59" i="135"/>
  <c r="AD59" i="135"/>
  <c r="AC59" i="135"/>
  <c r="AB59" i="135"/>
  <c r="AA59" i="135"/>
  <c r="Z59" i="135"/>
  <c r="Y59" i="135"/>
  <c r="X59" i="135"/>
  <c r="W59" i="135"/>
  <c r="V59" i="135"/>
  <c r="U59" i="135"/>
  <c r="T59" i="135"/>
  <c r="S59" i="135"/>
  <c r="R59" i="135"/>
  <c r="Q59" i="135"/>
  <c r="P59" i="135"/>
  <c r="O59" i="135"/>
  <c r="N59" i="135"/>
  <c r="M59" i="135"/>
  <c r="L59" i="135"/>
  <c r="K59" i="135"/>
  <c r="A59" i="135"/>
  <c r="AS58" i="135"/>
  <c r="AR58" i="135"/>
  <c r="AQ58" i="135"/>
  <c r="AP58" i="135"/>
  <c r="AO58" i="135"/>
  <c r="AN58" i="135"/>
  <c r="AM58" i="135"/>
  <c r="AL58" i="135"/>
  <c r="AK58" i="135"/>
  <c r="AJ58" i="135"/>
  <c r="AI58" i="135"/>
  <c r="AH58" i="135"/>
  <c r="AG58" i="135"/>
  <c r="AF58" i="135"/>
  <c r="AE58" i="135"/>
  <c r="AD58" i="135"/>
  <c r="AC58" i="135"/>
  <c r="AB58" i="135"/>
  <c r="AA58" i="135"/>
  <c r="Z58" i="135"/>
  <c r="Y58" i="135"/>
  <c r="X58" i="135"/>
  <c r="W58" i="135"/>
  <c r="V58" i="135"/>
  <c r="U58" i="135"/>
  <c r="T58" i="135"/>
  <c r="S58" i="135"/>
  <c r="R58" i="135"/>
  <c r="Q58" i="135"/>
  <c r="P58" i="135"/>
  <c r="O58" i="135"/>
  <c r="N58" i="135"/>
  <c r="M58" i="135"/>
  <c r="L58" i="135"/>
  <c r="K58" i="135"/>
  <c r="A58" i="135"/>
  <c r="AS57" i="135"/>
  <c r="AR57" i="135"/>
  <c r="AQ57" i="135"/>
  <c r="AP57" i="135"/>
  <c r="AO57" i="135"/>
  <c r="AN57" i="135"/>
  <c r="AM57" i="135"/>
  <c r="AL57" i="135"/>
  <c r="AK57" i="135"/>
  <c r="AJ57" i="135"/>
  <c r="AI57" i="135"/>
  <c r="AH57" i="135"/>
  <c r="AG57" i="135"/>
  <c r="AF57" i="135"/>
  <c r="AE57" i="135"/>
  <c r="AD57" i="135"/>
  <c r="AC57" i="135"/>
  <c r="AB57" i="135"/>
  <c r="AA57" i="135"/>
  <c r="Z57" i="135"/>
  <c r="Y57" i="135"/>
  <c r="X57" i="135"/>
  <c r="W57" i="135"/>
  <c r="V57" i="135"/>
  <c r="U57" i="135"/>
  <c r="T57" i="135"/>
  <c r="S57" i="135"/>
  <c r="R57" i="135"/>
  <c r="Q57" i="135"/>
  <c r="P57" i="135"/>
  <c r="O57" i="135"/>
  <c r="N57" i="135"/>
  <c r="M57" i="135"/>
  <c r="L57" i="135"/>
  <c r="K57" i="135"/>
  <c r="A57" i="135"/>
  <c r="AS56" i="135"/>
  <c r="AR56" i="135"/>
  <c r="AQ56" i="135"/>
  <c r="AP56" i="135"/>
  <c r="AO56" i="135"/>
  <c r="AN56" i="135"/>
  <c r="AM56" i="135"/>
  <c r="AL56" i="135"/>
  <c r="AK56" i="135"/>
  <c r="AJ56" i="135"/>
  <c r="AI56" i="135"/>
  <c r="AH56" i="135"/>
  <c r="AG56" i="135"/>
  <c r="AF56" i="135"/>
  <c r="AE56" i="135"/>
  <c r="AD56" i="135"/>
  <c r="AC56" i="135"/>
  <c r="AB56" i="135"/>
  <c r="AA56" i="135"/>
  <c r="Z56" i="135"/>
  <c r="Y56" i="135"/>
  <c r="X56" i="135"/>
  <c r="W56" i="135"/>
  <c r="V56" i="135"/>
  <c r="U56" i="135"/>
  <c r="T56" i="135"/>
  <c r="S56" i="135"/>
  <c r="R56" i="135"/>
  <c r="Q56" i="135"/>
  <c r="P56" i="135"/>
  <c r="O56" i="135"/>
  <c r="N56" i="135"/>
  <c r="M56" i="135"/>
  <c r="L56" i="135"/>
  <c r="K56" i="135"/>
  <c r="A56" i="135"/>
  <c r="A55" i="135"/>
  <c r="CL54" i="135"/>
  <c r="CK54" i="135"/>
  <c r="AQ54" i="135" s="1"/>
  <c r="CJ54" i="135"/>
  <c r="AN54" i="135" s="1"/>
  <c r="CI54" i="135"/>
  <c r="CH54" i="135"/>
  <c r="AM54" i="135" s="1"/>
  <c r="CG54" i="135"/>
  <c r="CF54" i="135"/>
  <c r="CE54" i="135"/>
  <c r="AL54" i="135" s="1"/>
  <c r="CD54" i="135"/>
  <c r="AP54" i="135" s="1"/>
  <c r="CC54" i="135"/>
  <c r="AO54" i="135" s="1"/>
  <c r="CB54" i="135"/>
  <c r="AK54" i="135" s="1"/>
  <c r="CA54" i="135"/>
  <c r="AF54" i="135" s="1"/>
  <c r="BZ54" i="135"/>
  <c r="AH54" i="135" s="1"/>
  <c r="BY54" i="135"/>
  <c r="AJ54" i="135" s="1"/>
  <c r="BX54" i="135"/>
  <c r="AC54" i="135"/>
  <c r="BW54" i="135"/>
  <c r="AI54" i="135" s="1"/>
  <c r="BV54" i="135"/>
  <c r="AG54" i="135"/>
  <c r="BU54" i="135"/>
  <c r="AD54" i="135" s="1"/>
  <c r="BT54" i="135"/>
  <c r="BS54" i="135"/>
  <c r="BR54" i="135"/>
  <c r="W54" i="135" s="1"/>
  <c r="BQ54" i="135"/>
  <c r="BP54" i="135"/>
  <c r="AB54" i="135" s="1"/>
  <c r="BO54" i="135"/>
  <c r="BN54" i="135"/>
  <c r="BM54" i="135"/>
  <c r="BL54" i="135"/>
  <c r="BK54" i="135"/>
  <c r="BJ54" i="135"/>
  <c r="BI54" i="135"/>
  <c r="BH54" i="135"/>
  <c r="BG54" i="135"/>
  <c r="BF54" i="135"/>
  <c r="K54" i="135" s="1"/>
  <c r="BE54" i="135"/>
  <c r="O54" i="135" s="1"/>
  <c r="BD54" i="135"/>
  <c r="M54" i="135" s="1"/>
  <c r="BC54" i="135"/>
  <c r="U54" i="135" s="1"/>
  <c r="BB54" i="135"/>
  <c r="T54" i="135" s="1"/>
  <c r="BA54" i="135"/>
  <c r="AZ54" i="135"/>
  <c r="AY54" i="135"/>
  <c r="L54" i="135" s="1"/>
  <c r="AX54" i="135"/>
  <c r="AW54" i="135"/>
  <c r="N54" i="135" s="1"/>
  <c r="AV54" i="135"/>
  <c r="S54" i="135" s="1"/>
  <c r="AU54" i="135"/>
  <c r="AT54" i="135"/>
  <c r="AR54" i="135"/>
  <c r="Z54" i="135"/>
  <c r="I54" i="135"/>
  <c r="H54" i="135"/>
  <c r="G54" i="135"/>
  <c r="F54" i="135"/>
  <c r="A54" i="135"/>
  <c r="A53" i="135"/>
  <c r="AR52" i="135"/>
  <c r="AS52" i="135"/>
  <c r="AO52" i="135"/>
  <c r="AJ52" i="135"/>
  <c r="BS52" i="135"/>
  <c r="BH52" i="135"/>
  <c r="AQ52" i="135"/>
  <c r="AM52" i="135"/>
  <c r="AL52" i="135"/>
  <c r="AI52" i="135"/>
  <c r="AF52" i="135"/>
  <c r="AD52" i="135"/>
  <c r="AC52" i="135"/>
  <c r="Z52" i="135"/>
  <c r="W52" i="135"/>
  <c r="U52" i="135"/>
  <c r="T52" i="135"/>
  <c r="S52" i="135"/>
  <c r="R52" i="135"/>
  <c r="O52" i="135"/>
  <c r="A52" i="135"/>
  <c r="CL51" i="135"/>
  <c r="CK51" i="135"/>
  <c r="AQ51" i="135" s="1"/>
  <c r="CJ51" i="135"/>
  <c r="AN51" i="135"/>
  <c r="CI51" i="135"/>
  <c r="AR51" i="135" s="1"/>
  <c r="CH51" i="135"/>
  <c r="AM51" i="135" s="1"/>
  <c r="CG51" i="135"/>
  <c r="CF51" i="135"/>
  <c r="CE51" i="135"/>
  <c r="AL51" i="135" s="1"/>
  <c r="CD51" i="135"/>
  <c r="AP51" i="135" s="1"/>
  <c r="CC51" i="135"/>
  <c r="AO51" i="135" s="1"/>
  <c r="CB51" i="135"/>
  <c r="AK51" i="135" s="1"/>
  <c r="CA51" i="135"/>
  <c r="AF51" i="135" s="1"/>
  <c r="BZ51" i="135"/>
  <c r="BY51" i="135"/>
  <c r="AJ51" i="135"/>
  <c r="BX51" i="135"/>
  <c r="AC51" i="135" s="1"/>
  <c r="BW51" i="135"/>
  <c r="BV51" i="135"/>
  <c r="AG51" i="135" s="1"/>
  <c r="BU51" i="135"/>
  <c r="AD51" i="135" s="1"/>
  <c r="BT51" i="135"/>
  <c r="BS51" i="135"/>
  <c r="BR51" i="135"/>
  <c r="W51" i="135" s="1"/>
  <c r="BQ51" i="135"/>
  <c r="BP51" i="135"/>
  <c r="AB51" i="135" s="1"/>
  <c r="BO51" i="135"/>
  <c r="BN51" i="135"/>
  <c r="BM51" i="135"/>
  <c r="Z51" i="135" s="1"/>
  <c r="BL51" i="135"/>
  <c r="BK51" i="135"/>
  <c r="BJ51" i="135"/>
  <c r="BI51" i="135"/>
  <c r="BH51" i="135"/>
  <c r="BG51" i="135"/>
  <c r="BG107" i="135" s="1"/>
  <c r="BF51" i="135"/>
  <c r="K51" i="135" s="1"/>
  <c r="BE51" i="135"/>
  <c r="O51" i="135" s="1"/>
  <c r="BD51" i="135"/>
  <c r="M51" i="135" s="1"/>
  <c r="BC51" i="135"/>
  <c r="U51" i="135"/>
  <c r="BB51" i="135"/>
  <c r="T51" i="135" s="1"/>
  <c r="BA51" i="135"/>
  <c r="AZ51" i="135"/>
  <c r="AY51" i="135"/>
  <c r="L51" i="135" s="1"/>
  <c r="AX51" i="135"/>
  <c r="AW51" i="135"/>
  <c r="N51" i="135" s="1"/>
  <c r="AV51" i="135"/>
  <c r="S51" i="135" s="1"/>
  <c r="AU51" i="135"/>
  <c r="AT51" i="135"/>
  <c r="AI51" i="135"/>
  <c r="AH51" i="135"/>
  <c r="I51" i="135"/>
  <c r="H51" i="135"/>
  <c r="A51" i="135"/>
  <c r="AR50" i="135"/>
  <c r="AQ50" i="135"/>
  <c r="AP50" i="135"/>
  <c r="AO50" i="135"/>
  <c r="AN50" i="135"/>
  <c r="AM50" i="135"/>
  <c r="AL50" i="135"/>
  <c r="AK50" i="135"/>
  <c r="AJ50" i="135"/>
  <c r="AI50" i="135"/>
  <c r="AH50" i="135"/>
  <c r="AG50" i="135"/>
  <c r="AF50" i="135"/>
  <c r="AD50" i="135"/>
  <c r="AC50" i="135"/>
  <c r="AB50" i="135"/>
  <c r="Z50" i="135"/>
  <c r="W50" i="135"/>
  <c r="U50" i="135"/>
  <c r="T50" i="135"/>
  <c r="S50" i="135"/>
  <c r="Q50" i="135"/>
  <c r="O50" i="135"/>
  <c r="N50" i="135"/>
  <c r="M50" i="135"/>
  <c r="L50" i="135"/>
  <c r="K50" i="135"/>
  <c r="A50" i="135"/>
  <c r="AS49" i="135"/>
  <c r="AR49" i="135"/>
  <c r="AQ49" i="135"/>
  <c r="AP49" i="135"/>
  <c r="AO49" i="135"/>
  <c r="AN49" i="135"/>
  <c r="AM49" i="135"/>
  <c r="AL49" i="135"/>
  <c r="AK49" i="135"/>
  <c r="AJ49" i="135"/>
  <c r="AI49" i="135"/>
  <c r="AH49" i="135"/>
  <c r="AG49" i="135"/>
  <c r="AF49" i="135"/>
  <c r="AE49" i="135"/>
  <c r="AD49" i="135"/>
  <c r="AC49" i="135"/>
  <c r="AB49" i="135"/>
  <c r="AA49" i="135"/>
  <c r="Z49" i="135"/>
  <c r="Y49" i="135"/>
  <c r="X49" i="135"/>
  <c r="W49" i="135"/>
  <c r="V49" i="135"/>
  <c r="U49" i="135"/>
  <c r="T49" i="135"/>
  <c r="S49" i="135"/>
  <c r="R49" i="135"/>
  <c r="Q49" i="135"/>
  <c r="P49" i="135"/>
  <c r="O49" i="135"/>
  <c r="N49" i="135"/>
  <c r="M49" i="135"/>
  <c r="L49" i="135"/>
  <c r="K49" i="135"/>
  <c r="A49" i="135"/>
  <c r="AS48" i="135"/>
  <c r="AR48" i="135"/>
  <c r="AQ48" i="135"/>
  <c r="AP48" i="135"/>
  <c r="AO48" i="135"/>
  <c r="AN48" i="135"/>
  <c r="AM48" i="135"/>
  <c r="AL48" i="135"/>
  <c r="AK48" i="135"/>
  <c r="AJ48" i="135"/>
  <c r="AI48" i="135"/>
  <c r="AH48" i="135"/>
  <c r="AG48" i="135"/>
  <c r="AF48" i="135"/>
  <c r="AE48" i="135"/>
  <c r="AD48" i="135"/>
  <c r="AC48" i="135"/>
  <c r="AB48" i="135"/>
  <c r="AA48" i="135"/>
  <c r="Z48" i="135"/>
  <c r="Y48" i="135"/>
  <c r="X48" i="135"/>
  <c r="W48" i="135"/>
  <c r="V48" i="135"/>
  <c r="U48" i="135"/>
  <c r="T48" i="135"/>
  <c r="S48" i="135"/>
  <c r="R48" i="135"/>
  <c r="Q48" i="135"/>
  <c r="P48" i="135"/>
  <c r="O48" i="135"/>
  <c r="N48" i="135"/>
  <c r="M48" i="135"/>
  <c r="L48" i="135"/>
  <c r="K48" i="135"/>
  <c r="A48" i="135"/>
  <c r="CL47" i="135"/>
  <c r="CK47" i="135"/>
  <c r="AQ47" i="135" s="1"/>
  <c r="CJ47" i="135"/>
  <c r="AN47" i="135"/>
  <c r="CI47" i="135"/>
  <c r="AR47" i="135"/>
  <c r="CH47" i="135"/>
  <c r="CG47" i="135"/>
  <c r="CF47" i="135"/>
  <c r="CE47" i="135"/>
  <c r="AL47" i="135" s="1"/>
  <c r="CD47" i="135"/>
  <c r="CC47" i="135"/>
  <c r="AO47" i="135" s="1"/>
  <c r="CB47" i="135"/>
  <c r="AK47" i="135" s="1"/>
  <c r="CA47" i="135"/>
  <c r="AF47" i="135" s="1"/>
  <c r="BZ47" i="135"/>
  <c r="BY47" i="135"/>
  <c r="AJ47" i="135" s="1"/>
  <c r="BX47" i="135"/>
  <c r="BW47" i="135"/>
  <c r="AI47" i="135" s="1"/>
  <c r="BV47" i="135"/>
  <c r="AG47" i="135" s="1"/>
  <c r="BU47" i="135"/>
  <c r="AD47" i="135" s="1"/>
  <c r="BT47" i="135"/>
  <c r="BS47" i="135"/>
  <c r="BR47" i="135"/>
  <c r="W47" i="135" s="1"/>
  <c r="BQ47" i="135"/>
  <c r="BP47" i="135"/>
  <c r="AB47" i="135" s="1"/>
  <c r="BN47" i="135"/>
  <c r="BM47" i="135"/>
  <c r="Z47" i="135" s="1"/>
  <c r="BK47" i="135"/>
  <c r="BJ47" i="135"/>
  <c r="BI47" i="135"/>
  <c r="BH47" i="135"/>
  <c r="BF47" i="135"/>
  <c r="K47" i="135" s="1"/>
  <c r="BE47" i="135"/>
  <c r="BD47" i="135"/>
  <c r="M47" i="135" s="1"/>
  <c r="BC47" i="135"/>
  <c r="BB47" i="135"/>
  <c r="T47" i="135" s="1"/>
  <c r="BA47" i="135"/>
  <c r="AY47" i="135"/>
  <c r="AX47" i="135"/>
  <c r="AW47" i="135"/>
  <c r="AV47" i="135"/>
  <c r="S47" i="135"/>
  <c r="AU47" i="135"/>
  <c r="Q47" i="135" s="1"/>
  <c r="AP47" i="135"/>
  <c r="AM47" i="135"/>
  <c r="AH47" i="135"/>
  <c r="AC47" i="135"/>
  <c r="U47" i="135"/>
  <c r="O47" i="135"/>
  <c r="N47" i="135"/>
  <c r="L47" i="135"/>
  <c r="I47" i="135"/>
  <c r="H47" i="135"/>
  <c r="G47" i="135"/>
  <c r="F47" i="135"/>
  <c r="A47" i="135"/>
  <c r="AS46" i="135"/>
  <c r="AR46" i="135"/>
  <c r="AQ46" i="135"/>
  <c r="AP46" i="135"/>
  <c r="AO46" i="135"/>
  <c r="AN46" i="135"/>
  <c r="AM46" i="135"/>
  <c r="AL46" i="135"/>
  <c r="AK46" i="135"/>
  <c r="AJ46" i="135"/>
  <c r="AI46" i="135"/>
  <c r="AH46" i="135"/>
  <c r="AG46" i="135"/>
  <c r="AF46" i="135"/>
  <c r="AD46" i="135"/>
  <c r="AC46" i="135"/>
  <c r="AB46" i="135"/>
  <c r="Z46" i="135"/>
  <c r="W46" i="135"/>
  <c r="U46" i="135"/>
  <c r="T46" i="135"/>
  <c r="S46" i="135"/>
  <c r="Q46" i="135"/>
  <c r="O46" i="135"/>
  <c r="N46" i="135"/>
  <c r="M46" i="135"/>
  <c r="L46" i="135"/>
  <c r="K46" i="135"/>
  <c r="A46" i="135"/>
  <c r="AS45" i="135"/>
  <c r="AR45" i="135"/>
  <c r="AQ45" i="135"/>
  <c r="AP45" i="135"/>
  <c r="AO45" i="135"/>
  <c r="AN45" i="135"/>
  <c r="AM45" i="135"/>
  <c r="AL45" i="135"/>
  <c r="AK45" i="135"/>
  <c r="AJ45" i="135"/>
  <c r="AI45" i="135"/>
  <c r="AH45" i="135"/>
  <c r="AG45" i="135"/>
  <c r="AF45" i="135"/>
  <c r="AD45" i="135"/>
  <c r="AC45" i="135"/>
  <c r="AB45" i="135"/>
  <c r="Z45" i="135"/>
  <c r="W45" i="135"/>
  <c r="U45" i="135"/>
  <c r="T45" i="135"/>
  <c r="S45" i="135"/>
  <c r="Q45" i="135"/>
  <c r="O45" i="135"/>
  <c r="N45" i="135"/>
  <c r="M45" i="135"/>
  <c r="L45" i="135"/>
  <c r="K45" i="135"/>
  <c r="A45" i="135"/>
  <c r="A44" i="135"/>
  <c r="A43" i="135"/>
  <c r="AS42" i="135"/>
  <c r="AR42" i="135"/>
  <c r="AQ42" i="135"/>
  <c r="AP42" i="135"/>
  <c r="AO42" i="135"/>
  <c r="AN42" i="135"/>
  <c r="AM42" i="135"/>
  <c r="AL42" i="135"/>
  <c r="AK42" i="135"/>
  <c r="AJ42" i="135"/>
  <c r="AI42" i="135"/>
  <c r="AH42" i="135"/>
  <c r="AG42" i="135"/>
  <c r="AF42" i="135"/>
  <c r="AE42" i="135"/>
  <c r="AD42" i="135"/>
  <c r="AC42" i="135"/>
  <c r="AB42" i="135"/>
  <c r="AA42" i="135"/>
  <c r="Z42" i="135"/>
  <c r="Y42" i="135"/>
  <c r="X42" i="135"/>
  <c r="X54" i="135" s="1"/>
  <c r="W42" i="135"/>
  <c r="V42" i="135"/>
  <c r="V54" i="135" s="1"/>
  <c r="U42" i="135"/>
  <c r="T42" i="135"/>
  <c r="S42" i="135"/>
  <c r="R42" i="135"/>
  <c r="R54" i="135" s="1"/>
  <c r="Q42" i="135"/>
  <c r="P42" i="135"/>
  <c r="O42" i="135"/>
  <c r="N42" i="135"/>
  <c r="M42" i="135"/>
  <c r="L42" i="135"/>
  <c r="K42" i="135"/>
  <c r="A42" i="135"/>
  <c r="AS41" i="135"/>
  <c r="AR41" i="135"/>
  <c r="AQ41" i="135"/>
  <c r="AP41" i="135"/>
  <c r="AO41" i="135"/>
  <c r="AN41" i="135"/>
  <c r="AM41" i="135"/>
  <c r="AL41" i="135"/>
  <c r="AK41" i="135"/>
  <c r="AJ41" i="135"/>
  <c r="AI41" i="135"/>
  <c r="AH41" i="135"/>
  <c r="AG41" i="135"/>
  <c r="AF41" i="135"/>
  <c r="AE41" i="135"/>
  <c r="AD41" i="135"/>
  <c r="AC41" i="135"/>
  <c r="AB41" i="135"/>
  <c r="AA41" i="135"/>
  <c r="Z41" i="135"/>
  <c r="Y41" i="135"/>
  <c r="X41" i="135"/>
  <c r="W41" i="135"/>
  <c r="V41" i="135"/>
  <c r="U41" i="135"/>
  <c r="T41" i="135"/>
  <c r="S41" i="135"/>
  <c r="R41" i="135"/>
  <c r="Q41" i="135"/>
  <c r="P41" i="135"/>
  <c r="O41" i="135"/>
  <c r="N41" i="135"/>
  <c r="M41" i="135"/>
  <c r="L41" i="135"/>
  <c r="K41" i="135"/>
  <c r="A41" i="135"/>
  <c r="A40" i="135"/>
  <c r="AS39" i="135"/>
  <c r="AR39" i="135"/>
  <c r="AQ39" i="135"/>
  <c r="AP39" i="135"/>
  <c r="AO39" i="135"/>
  <c r="AN39" i="135"/>
  <c r="AM39" i="135"/>
  <c r="AL39" i="135"/>
  <c r="AK39" i="135"/>
  <c r="AJ39" i="135"/>
  <c r="AI39" i="135"/>
  <c r="AH39" i="135"/>
  <c r="AG39" i="135"/>
  <c r="AF39" i="135"/>
  <c r="AE39" i="135"/>
  <c r="AD39" i="135"/>
  <c r="AC39" i="135"/>
  <c r="AB39" i="135"/>
  <c r="AA39" i="135"/>
  <c r="Z39" i="135"/>
  <c r="Y39" i="135"/>
  <c r="X39" i="135"/>
  <c r="W39" i="135"/>
  <c r="V39" i="135"/>
  <c r="U39" i="135"/>
  <c r="T39" i="135"/>
  <c r="S39" i="135"/>
  <c r="R39" i="135"/>
  <c r="Q39" i="135"/>
  <c r="P39" i="135"/>
  <c r="O39" i="135"/>
  <c r="N39" i="135"/>
  <c r="M39" i="135"/>
  <c r="L39" i="135"/>
  <c r="K39" i="135"/>
  <c r="A39" i="135"/>
  <c r="AS38" i="135"/>
  <c r="AR38" i="135"/>
  <c r="AQ38" i="135"/>
  <c r="AP38" i="135"/>
  <c r="AO38" i="135"/>
  <c r="AN38" i="135"/>
  <c r="AM38" i="135"/>
  <c r="AL38" i="135"/>
  <c r="AK38" i="135"/>
  <c r="AJ38" i="135"/>
  <c r="AI38" i="135"/>
  <c r="AH38" i="135"/>
  <c r="AG38" i="135"/>
  <c r="AF38" i="135"/>
  <c r="AE38" i="135"/>
  <c r="AD38" i="135"/>
  <c r="AC38" i="135"/>
  <c r="AB38" i="135"/>
  <c r="AA38" i="135"/>
  <c r="Z38" i="135"/>
  <c r="Y38" i="135"/>
  <c r="X38" i="135"/>
  <c r="W38" i="135"/>
  <c r="V38" i="135"/>
  <c r="U38" i="135"/>
  <c r="T38" i="135"/>
  <c r="S38" i="135"/>
  <c r="R38" i="135"/>
  <c r="Q38" i="135"/>
  <c r="P38" i="135"/>
  <c r="O38" i="135"/>
  <c r="N38" i="135"/>
  <c r="M38" i="135"/>
  <c r="L38" i="135"/>
  <c r="K38" i="135"/>
  <c r="A38" i="135"/>
  <c r="AS37" i="135"/>
  <c r="AR37" i="135"/>
  <c r="AQ37" i="135"/>
  <c r="AP37" i="135"/>
  <c r="AO37" i="135"/>
  <c r="AN37" i="135"/>
  <c r="AM37" i="135"/>
  <c r="AL37" i="135"/>
  <c r="AK37" i="135"/>
  <c r="AJ37" i="135"/>
  <c r="AI37" i="135"/>
  <c r="AH37" i="135"/>
  <c r="AG37" i="135"/>
  <c r="AF37" i="135"/>
  <c r="AE37" i="135"/>
  <c r="AD37" i="135"/>
  <c r="AC37" i="135"/>
  <c r="AB37" i="135"/>
  <c r="AA37" i="135"/>
  <c r="Z37" i="135"/>
  <c r="Y37" i="135"/>
  <c r="X37" i="135"/>
  <c r="W37" i="135"/>
  <c r="V37" i="135"/>
  <c r="U37" i="135"/>
  <c r="T37" i="135"/>
  <c r="S37" i="135"/>
  <c r="R37" i="135"/>
  <c r="Q37" i="135"/>
  <c r="P37" i="135"/>
  <c r="O37" i="135"/>
  <c r="N37" i="135"/>
  <c r="M37" i="135"/>
  <c r="L37" i="135"/>
  <c r="K37" i="135"/>
  <c r="A37" i="135"/>
  <c r="AS36" i="135"/>
  <c r="AR36" i="135"/>
  <c r="AQ36" i="135"/>
  <c r="AP36" i="135"/>
  <c r="AO36" i="135"/>
  <c r="AN36" i="135"/>
  <c r="AM36" i="135"/>
  <c r="AL36" i="135"/>
  <c r="AK36" i="135"/>
  <c r="AJ36" i="135"/>
  <c r="AI36" i="135"/>
  <c r="AH36" i="135"/>
  <c r="AG36" i="135"/>
  <c r="AF36" i="135"/>
  <c r="AE36" i="135"/>
  <c r="AD36" i="135"/>
  <c r="AC36" i="135"/>
  <c r="AB36" i="135"/>
  <c r="AA36" i="135"/>
  <c r="Z36" i="135"/>
  <c r="Y36" i="135"/>
  <c r="X36" i="135"/>
  <c r="W36" i="135"/>
  <c r="V36" i="135"/>
  <c r="U36" i="135"/>
  <c r="T36" i="135"/>
  <c r="S36" i="135"/>
  <c r="R36" i="135"/>
  <c r="Q36" i="135"/>
  <c r="P36" i="135"/>
  <c r="O36" i="135"/>
  <c r="N36" i="135"/>
  <c r="M36" i="135"/>
  <c r="L36" i="135"/>
  <c r="K36" i="135"/>
  <c r="A36" i="135"/>
  <c r="AS35" i="135"/>
  <c r="AR35" i="135"/>
  <c r="AR127" i="135" s="1"/>
  <c r="AQ35" i="135"/>
  <c r="AP35" i="135"/>
  <c r="AP127" i="135" s="1"/>
  <c r="AO35" i="135"/>
  <c r="AN35" i="135"/>
  <c r="AN127" i="135" s="1"/>
  <c r="AM35" i="135"/>
  <c r="AL35" i="135"/>
  <c r="AL127" i="135" s="1"/>
  <c r="AK35" i="135"/>
  <c r="AJ35" i="135"/>
  <c r="AJ127" i="135" s="1"/>
  <c r="AI35" i="135"/>
  <c r="AH35" i="135"/>
  <c r="AH127" i="135" s="1"/>
  <c r="AG35" i="135"/>
  <c r="AF35" i="135"/>
  <c r="AF127" i="135" s="1"/>
  <c r="AE35" i="135"/>
  <c r="AD35" i="135"/>
  <c r="AD127" i="135"/>
  <c r="AC35" i="135"/>
  <c r="AB35" i="135"/>
  <c r="AB127" i="135" s="1"/>
  <c r="AA35" i="135"/>
  <c r="Z35" i="135"/>
  <c r="Z127" i="135" s="1"/>
  <c r="Y35" i="135"/>
  <c r="X35" i="135"/>
  <c r="W35" i="135"/>
  <c r="V35" i="135"/>
  <c r="U35" i="135"/>
  <c r="T35" i="135"/>
  <c r="T127" i="135" s="1"/>
  <c r="S35" i="135"/>
  <c r="R35" i="135"/>
  <c r="Q35" i="135"/>
  <c r="P35" i="135"/>
  <c r="O35" i="135"/>
  <c r="N35" i="135"/>
  <c r="N127" i="135"/>
  <c r="M35" i="135"/>
  <c r="L35" i="135"/>
  <c r="L127" i="135" s="1"/>
  <c r="K35" i="135"/>
  <c r="A35" i="135"/>
  <c r="A34" i="135"/>
  <c r="CL33" i="135"/>
  <c r="CK33" i="135"/>
  <c r="AQ33" i="135" s="1"/>
  <c r="CJ33" i="135"/>
  <c r="AN33" i="135" s="1"/>
  <c r="CI33" i="135"/>
  <c r="AR33" i="135"/>
  <c r="CH33" i="135"/>
  <c r="AM33" i="135" s="1"/>
  <c r="CG33" i="135"/>
  <c r="CF33" i="135"/>
  <c r="CE33" i="135"/>
  <c r="AL33" i="135"/>
  <c r="CD33" i="135"/>
  <c r="AP33" i="135"/>
  <c r="CC33" i="135"/>
  <c r="CB33" i="135"/>
  <c r="AK33" i="135" s="1"/>
  <c r="CA33" i="135"/>
  <c r="AF33" i="135" s="1"/>
  <c r="BZ33" i="135"/>
  <c r="AH33" i="135" s="1"/>
  <c r="BY33" i="135"/>
  <c r="AJ33" i="135" s="1"/>
  <c r="BX33" i="135"/>
  <c r="AC33" i="135" s="1"/>
  <c r="BW33" i="135"/>
  <c r="BV33" i="135"/>
  <c r="AG33" i="135" s="1"/>
  <c r="BU33" i="135"/>
  <c r="AD33" i="135"/>
  <c r="BT33" i="135"/>
  <c r="BS33" i="135"/>
  <c r="BR33" i="135"/>
  <c r="W33" i="135" s="1"/>
  <c r="BQ33" i="135"/>
  <c r="BP33" i="135"/>
  <c r="AB33" i="135" s="1"/>
  <c r="BO33" i="135"/>
  <c r="BN33" i="135"/>
  <c r="BM33" i="135"/>
  <c r="Z33" i="135" s="1"/>
  <c r="BL33" i="135"/>
  <c r="BK33" i="135"/>
  <c r="BJ33" i="135"/>
  <c r="BI33" i="135"/>
  <c r="BH33" i="135"/>
  <c r="BG33" i="135"/>
  <c r="BF33" i="135"/>
  <c r="K33" i="135"/>
  <c r="BE33" i="135"/>
  <c r="O33" i="135" s="1"/>
  <c r="BD33" i="135"/>
  <c r="M33" i="135" s="1"/>
  <c r="BC33" i="135"/>
  <c r="BB33" i="135"/>
  <c r="BA33" i="135"/>
  <c r="AZ33" i="135"/>
  <c r="AY33" i="135"/>
  <c r="L33" i="135" s="1"/>
  <c r="AX33" i="135"/>
  <c r="AW33" i="135"/>
  <c r="N33" i="135" s="1"/>
  <c r="AV33" i="135"/>
  <c r="S33" i="135" s="1"/>
  <c r="AU33" i="135"/>
  <c r="Q33" i="135" s="1"/>
  <c r="AT33" i="135"/>
  <c r="AO33" i="135"/>
  <c r="AI33" i="135"/>
  <c r="U33" i="135"/>
  <c r="T33" i="135"/>
  <c r="I33" i="135"/>
  <c r="H33" i="135"/>
  <c r="G33" i="135"/>
  <c r="F33" i="135"/>
  <c r="A33" i="135"/>
  <c r="AR32" i="135"/>
  <c r="AQ32" i="135"/>
  <c r="AP32" i="135"/>
  <c r="AO32" i="135"/>
  <c r="AN32" i="135"/>
  <c r="AM32" i="135"/>
  <c r="AL32" i="135"/>
  <c r="AK32" i="135"/>
  <c r="AJ32" i="135"/>
  <c r="AI32" i="135"/>
  <c r="AH32" i="135"/>
  <c r="AG32" i="135"/>
  <c r="AF32" i="135"/>
  <c r="AD32" i="135"/>
  <c r="AC32" i="135"/>
  <c r="AB32" i="135"/>
  <c r="Z32" i="135"/>
  <c r="W32" i="135"/>
  <c r="U32" i="135"/>
  <c r="T32" i="135"/>
  <c r="S32" i="135"/>
  <c r="Q32" i="135"/>
  <c r="O32" i="135"/>
  <c r="N32" i="135"/>
  <c r="M32" i="135"/>
  <c r="L32" i="135"/>
  <c r="K32" i="135"/>
  <c r="A32" i="135"/>
  <c r="CF31" i="135"/>
  <c r="BO31" i="135"/>
  <c r="BL31" i="135"/>
  <c r="BK31" i="135"/>
  <c r="BH31" i="135"/>
  <c r="BG31" i="135"/>
  <c r="BE31" i="135"/>
  <c r="O31" i="135" s="1"/>
  <c r="B31" i="135"/>
  <c r="A31" i="135"/>
  <c r="CL30" i="135"/>
  <c r="CK30" i="135"/>
  <c r="AQ30" i="135" s="1"/>
  <c r="CJ30" i="135"/>
  <c r="CI30" i="135"/>
  <c r="AR30" i="135" s="1"/>
  <c r="CH30" i="135"/>
  <c r="CG30" i="135"/>
  <c r="CF30" i="135"/>
  <c r="CE30" i="135"/>
  <c r="AL30" i="135" s="1"/>
  <c r="CD30" i="135"/>
  <c r="AP30" i="135" s="1"/>
  <c r="CC30" i="135"/>
  <c r="CB30" i="135"/>
  <c r="AK30" i="135" s="1"/>
  <c r="CA30" i="135"/>
  <c r="AF30" i="135" s="1"/>
  <c r="BZ30" i="135"/>
  <c r="BY30" i="135"/>
  <c r="AJ30" i="135"/>
  <c r="BX30" i="135"/>
  <c r="BW30" i="135"/>
  <c r="BV30" i="135"/>
  <c r="AG30" i="135"/>
  <c r="BU30" i="135"/>
  <c r="AD30" i="135" s="1"/>
  <c r="BT30" i="135"/>
  <c r="BS30" i="135"/>
  <c r="BR30" i="135"/>
  <c r="W30" i="135" s="1"/>
  <c r="BQ30" i="135"/>
  <c r="BP30" i="135"/>
  <c r="AB30" i="135" s="1"/>
  <c r="BO30" i="135"/>
  <c r="BN30" i="135"/>
  <c r="BM30" i="135"/>
  <c r="Z30" i="135" s="1"/>
  <c r="BL30" i="135"/>
  <c r="BK30" i="135"/>
  <c r="BJ30" i="135"/>
  <c r="BI30" i="135"/>
  <c r="BH30" i="135"/>
  <c r="BG30" i="135"/>
  <c r="BF30" i="135"/>
  <c r="BE30" i="135"/>
  <c r="BD30" i="135"/>
  <c r="BC30" i="135"/>
  <c r="U30" i="135" s="1"/>
  <c r="BB30" i="135"/>
  <c r="T30" i="135" s="1"/>
  <c r="BA30" i="135"/>
  <c r="AZ30" i="135"/>
  <c r="AY30" i="135"/>
  <c r="L30" i="135" s="1"/>
  <c r="AX30" i="135"/>
  <c r="AW30" i="135"/>
  <c r="N30" i="135"/>
  <c r="AV30" i="135"/>
  <c r="S30" i="135"/>
  <c r="AU30" i="135"/>
  <c r="AT30" i="135"/>
  <c r="AO30" i="135"/>
  <c r="AN30" i="135"/>
  <c r="AM30" i="135"/>
  <c r="AI30" i="135"/>
  <c r="AH30" i="135"/>
  <c r="AC30" i="135"/>
  <c r="Q30" i="135"/>
  <c r="O30" i="135"/>
  <c r="M30" i="135"/>
  <c r="K30" i="135"/>
  <c r="I30" i="135"/>
  <c r="H30" i="135"/>
  <c r="G30" i="135"/>
  <c r="F30" i="135"/>
  <c r="A30" i="135"/>
  <c r="AS29" i="135"/>
  <c r="AR29" i="135"/>
  <c r="AQ29" i="135"/>
  <c r="AP29" i="135"/>
  <c r="AO29" i="135"/>
  <c r="AN29" i="135"/>
  <c r="AM29" i="135"/>
  <c r="AL29" i="135"/>
  <c r="AK29" i="135"/>
  <c r="AJ29" i="135"/>
  <c r="AI29" i="135"/>
  <c r="AH29" i="135"/>
  <c r="AG29" i="135"/>
  <c r="AF29" i="135"/>
  <c r="AE29" i="135"/>
  <c r="AD29" i="135"/>
  <c r="AC29" i="135"/>
  <c r="AB29" i="135"/>
  <c r="AA29" i="135"/>
  <c r="Z29" i="135"/>
  <c r="Y29" i="135"/>
  <c r="X29" i="135"/>
  <c r="W29" i="135"/>
  <c r="V29" i="135"/>
  <c r="U29" i="135"/>
  <c r="T29" i="135"/>
  <c r="S29" i="135"/>
  <c r="R29" i="135"/>
  <c r="Q29" i="135"/>
  <c r="P29" i="135"/>
  <c r="O29" i="135"/>
  <c r="N29" i="135"/>
  <c r="M29" i="135"/>
  <c r="L29" i="135"/>
  <c r="K29" i="135"/>
  <c r="A29" i="135"/>
  <c r="AS28" i="135"/>
  <c r="AR28" i="135"/>
  <c r="AQ28" i="135"/>
  <c r="AP28" i="135"/>
  <c r="AO28" i="135"/>
  <c r="AN28" i="135"/>
  <c r="AM28" i="135"/>
  <c r="AL28" i="135"/>
  <c r="AK28" i="135"/>
  <c r="AJ28" i="135"/>
  <c r="AI28" i="135"/>
  <c r="AH28" i="135"/>
  <c r="AG28" i="135"/>
  <c r="AF28" i="135"/>
  <c r="AE28" i="135"/>
  <c r="AD28" i="135"/>
  <c r="AC28" i="135"/>
  <c r="AB28" i="135"/>
  <c r="AA28" i="135"/>
  <c r="Z28" i="135"/>
  <c r="Y28" i="135"/>
  <c r="X28" i="135"/>
  <c r="W28" i="135"/>
  <c r="V28" i="135"/>
  <c r="U28" i="135"/>
  <c r="T28" i="135"/>
  <c r="S28" i="135"/>
  <c r="R28" i="135"/>
  <c r="Q28" i="135"/>
  <c r="P28" i="135"/>
  <c r="O28" i="135"/>
  <c r="N28" i="135"/>
  <c r="M28" i="135"/>
  <c r="L28" i="135"/>
  <c r="K28" i="135"/>
  <c r="A28" i="135"/>
  <c r="AS27" i="135"/>
  <c r="AR27" i="135"/>
  <c r="AQ27" i="135"/>
  <c r="AP27" i="135"/>
  <c r="AO27" i="135"/>
  <c r="AN27" i="135"/>
  <c r="AM27" i="135"/>
  <c r="AL27" i="135"/>
  <c r="AK27" i="135"/>
  <c r="AJ27" i="135"/>
  <c r="AI27" i="135"/>
  <c r="AH27" i="135"/>
  <c r="AG27" i="135"/>
  <c r="AF27" i="135"/>
  <c r="AE27" i="135"/>
  <c r="AD27" i="135"/>
  <c r="AC27" i="135"/>
  <c r="AB27" i="135"/>
  <c r="AA27" i="135"/>
  <c r="Z27" i="135"/>
  <c r="Y27" i="135"/>
  <c r="X27" i="135"/>
  <c r="W27" i="135"/>
  <c r="V27" i="135"/>
  <c r="U27" i="135"/>
  <c r="T27" i="135"/>
  <c r="S27" i="135"/>
  <c r="R27" i="135"/>
  <c r="Q27" i="135"/>
  <c r="P27" i="135"/>
  <c r="O27" i="135"/>
  <c r="N27" i="135"/>
  <c r="M27" i="135"/>
  <c r="L27" i="135"/>
  <c r="K27" i="135"/>
  <c r="A27" i="135"/>
  <c r="AS26" i="135"/>
  <c r="AR26" i="135"/>
  <c r="AQ26" i="135"/>
  <c r="AP26" i="135"/>
  <c r="AO26" i="135"/>
  <c r="AN26" i="135"/>
  <c r="AM26" i="135"/>
  <c r="AL26" i="135"/>
  <c r="AK26" i="135"/>
  <c r="AJ26" i="135"/>
  <c r="AI26" i="135"/>
  <c r="AH26" i="135"/>
  <c r="AG26" i="135"/>
  <c r="AF26" i="135"/>
  <c r="AE26" i="135"/>
  <c r="AD26" i="135"/>
  <c r="AC26" i="135"/>
  <c r="AB26" i="135"/>
  <c r="AA26" i="135"/>
  <c r="Z26" i="135"/>
  <c r="Y26" i="135"/>
  <c r="X26" i="135"/>
  <c r="W26" i="135"/>
  <c r="V26" i="135"/>
  <c r="U26" i="135"/>
  <c r="T26" i="135"/>
  <c r="S26" i="135"/>
  <c r="R26" i="135"/>
  <c r="Q26" i="135"/>
  <c r="P26" i="135"/>
  <c r="O26" i="135"/>
  <c r="N26" i="135"/>
  <c r="M26" i="135"/>
  <c r="L26" i="135"/>
  <c r="K26" i="135"/>
  <c r="A26" i="135"/>
  <c r="AS25" i="135"/>
  <c r="AR25" i="135"/>
  <c r="AQ25" i="135"/>
  <c r="AP25" i="135"/>
  <c r="AO25" i="135"/>
  <c r="AN25" i="135"/>
  <c r="AM25" i="135"/>
  <c r="AL25" i="135"/>
  <c r="AK25" i="135"/>
  <c r="AJ25" i="135"/>
  <c r="AI25" i="135"/>
  <c r="AH25" i="135"/>
  <c r="AG25" i="135"/>
  <c r="AF25" i="135"/>
  <c r="AE25" i="135"/>
  <c r="AD25" i="135"/>
  <c r="AC25" i="135"/>
  <c r="AB25" i="135"/>
  <c r="AA25" i="135"/>
  <c r="Z25" i="135"/>
  <c r="Y25" i="135"/>
  <c r="X25" i="135"/>
  <c r="W25" i="135"/>
  <c r="V25" i="135"/>
  <c r="U25" i="135"/>
  <c r="T25" i="135"/>
  <c r="S25" i="135"/>
  <c r="R25" i="135"/>
  <c r="Q25" i="135"/>
  <c r="P25" i="135"/>
  <c r="O25" i="135"/>
  <c r="N25" i="135"/>
  <c r="M25" i="135"/>
  <c r="L25" i="135"/>
  <c r="K25" i="135"/>
  <c r="A25" i="135"/>
  <c r="AS24" i="135"/>
  <c r="AR24" i="135"/>
  <c r="AQ24" i="135"/>
  <c r="AP24" i="135"/>
  <c r="AO24" i="135"/>
  <c r="AN24" i="135"/>
  <c r="AM24" i="135"/>
  <c r="AL24" i="135"/>
  <c r="AK24" i="135"/>
  <c r="AJ24" i="135"/>
  <c r="AI24" i="135"/>
  <c r="AH24" i="135"/>
  <c r="AG24" i="135"/>
  <c r="AF24" i="135"/>
  <c r="AE24" i="135"/>
  <c r="AD24" i="135"/>
  <c r="AC24" i="135"/>
  <c r="AB24" i="135"/>
  <c r="AA24" i="135"/>
  <c r="Z24" i="135"/>
  <c r="Y24" i="135"/>
  <c r="X24" i="135"/>
  <c r="W24" i="135"/>
  <c r="V24" i="135"/>
  <c r="U24" i="135"/>
  <c r="T24" i="135"/>
  <c r="S24" i="135"/>
  <c r="R24" i="135"/>
  <c r="Q24" i="135"/>
  <c r="P24" i="135"/>
  <c r="O24" i="135"/>
  <c r="N24" i="135"/>
  <c r="M24" i="135"/>
  <c r="L24" i="135"/>
  <c r="K24" i="135"/>
  <c r="A24" i="135"/>
  <c r="AS23" i="135"/>
  <c r="AR23" i="135"/>
  <c r="AQ23" i="135"/>
  <c r="AP23" i="135"/>
  <c r="AO23" i="135"/>
  <c r="AN23" i="135"/>
  <c r="AM23" i="135"/>
  <c r="AL23" i="135"/>
  <c r="AK23" i="135"/>
  <c r="AJ23" i="135"/>
  <c r="AI23" i="135"/>
  <c r="AH23" i="135"/>
  <c r="AG23" i="135"/>
  <c r="AF23" i="135"/>
  <c r="AE23" i="135"/>
  <c r="AD23" i="135"/>
  <c r="AC23" i="135"/>
  <c r="AB23" i="135"/>
  <c r="AA23" i="135"/>
  <c r="Z23" i="135"/>
  <c r="Y23" i="135"/>
  <c r="X23" i="135"/>
  <c r="X32" i="135" s="1"/>
  <c r="X33" i="135" s="1"/>
  <c r="W23" i="135"/>
  <c r="V23" i="135"/>
  <c r="V32" i="135" s="1"/>
  <c r="V33" i="135" s="1"/>
  <c r="U23" i="135"/>
  <c r="T23" i="135"/>
  <c r="S23" i="135"/>
  <c r="R23" i="135"/>
  <c r="R32" i="135" s="1"/>
  <c r="R33" i="135" s="1"/>
  <c r="Q23" i="135"/>
  <c r="P23" i="135"/>
  <c r="P32" i="135"/>
  <c r="P33" i="135" s="1"/>
  <c r="O23" i="135"/>
  <c r="N23" i="135"/>
  <c r="M23" i="135"/>
  <c r="L23" i="135"/>
  <c r="K23" i="135"/>
  <c r="A23" i="135"/>
  <c r="Q22" i="135"/>
  <c r="A22" i="135"/>
  <c r="CL21" i="135"/>
  <c r="CK21" i="135"/>
  <c r="CJ21" i="135"/>
  <c r="CI21" i="135"/>
  <c r="CH21" i="135"/>
  <c r="CG21" i="135"/>
  <c r="CF21" i="135"/>
  <c r="CE21" i="135"/>
  <c r="CD21" i="135"/>
  <c r="CC21" i="135"/>
  <c r="CB21" i="135"/>
  <c r="CA21" i="135"/>
  <c r="BZ21" i="135"/>
  <c r="BY21" i="135"/>
  <c r="BX21" i="135"/>
  <c r="BW21" i="135"/>
  <c r="BV21" i="135"/>
  <c r="BU21" i="135"/>
  <c r="BT21" i="135"/>
  <c r="BS21" i="135"/>
  <c r="BR21" i="135"/>
  <c r="BQ21" i="135"/>
  <c r="BP21" i="135"/>
  <c r="BO21" i="135"/>
  <c r="BN21" i="135"/>
  <c r="BM21" i="135"/>
  <c r="BL21" i="135"/>
  <c r="BK21" i="135"/>
  <c r="BJ21" i="135"/>
  <c r="BI21" i="135"/>
  <c r="BH21" i="135"/>
  <c r="BG21" i="135"/>
  <c r="BF21" i="135"/>
  <c r="BE21" i="135"/>
  <c r="BD21" i="135"/>
  <c r="BC21" i="135"/>
  <c r="BB21" i="135"/>
  <c r="BA21" i="135"/>
  <c r="AZ21" i="135"/>
  <c r="AY21" i="135"/>
  <c r="AX21" i="135"/>
  <c r="AW21" i="135"/>
  <c r="AV21" i="135"/>
  <c r="AU21" i="135"/>
  <c r="AT21" i="135"/>
  <c r="I21" i="135"/>
  <c r="H21" i="135"/>
  <c r="G21" i="135"/>
  <c r="F21" i="135"/>
  <c r="A21" i="135"/>
  <c r="AS20" i="135"/>
  <c r="AS21" i="135" s="1"/>
  <c r="AR20" i="135"/>
  <c r="AR21" i="135" s="1"/>
  <c r="AQ20" i="135"/>
  <c r="AQ21" i="135" s="1"/>
  <c r="AP20" i="135"/>
  <c r="AP21" i="135" s="1"/>
  <c r="AO20" i="135"/>
  <c r="AO21" i="135" s="1"/>
  <c r="AN20" i="135"/>
  <c r="AN21" i="135" s="1"/>
  <c r="AM20" i="135"/>
  <c r="AM21" i="135" s="1"/>
  <c r="AL20" i="135"/>
  <c r="AL21" i="135"/>
  <c r="AK20" i="135"/>
  <c r="AK21" i="135"/>
  <c r="AJ20" i="135"/>
  <c r="AI20" i="135"/>
  <c r="AI21" i="135"/>
  <c r="AH20" i="135"/>
  <c r="AH21" i="135"/>
  <c r="AG20" i="135"/>
  <c r="AG21" i="135"/>
  <c r="AF20" i="135"/>
  <c r="AF21" i="135" s="1"/>
  <c r="AE20" i="135"/>
  <c r="AE21" i="135"/>
  <c r="AD20" i="135"/>
  <c r="AD21" i="135"/>
  <c r="AC20" i="135"/>
  <c r="AC21" i="135"/>
  <c r="AB20" i="135"/>
  <c r="AA20" i="135"/>
  <c r="AA21" i="135"/>
  <c r="Z20" i="135"/>
  <c r="Z21" i="135"/>
  <c r="Y20" i="135"/>
  <c r="Y21" i="135"/>
  <c r="X20" i="135"/>
  <c r="X21" i="135" s="1"/>
  <c r="W20" i="135"/>
  <c r="W21" i="135"/>
  <c r="V20" i="135"/>
  <c r="V21" i="135"/>
  <c r="U20" i="135"/>
  <c r="U21" i="135"/>
  <c r="T20" i="135"/>
  <c r="S20" i="135"/>
  <c r="S21" i="135"/>
  <c r="R20" i="135"/>
  <c r="R21" i="135"/>
  <c r="Q20" i="135"/>
  <c r="Q21" i="135"/>
  <c r="P20" i="135"/>
  <c r="P21" i="135" s="1"/>
  <c r="O20" i="135"/>
  <c r="O21" i="135"/>
  <c r="N20" i="135"/>
  <c r="N21" i="135"/>
  <c r="M20" i="135"/>
  <c r="M21" i="135"/>
  <c r="L20" i="135"/>
  <c r="L21" i="135" s="1"/>
  <c r="K20" i="135"/>
  <c r="K21" i="135"/>
  <c r="A20" i="135"/>
  <c r="AS19" i="135"/>
  <c r="AR19" i="135"/>
  <c r="AQ19" i="135"/>
  <c r="AP19" i="135"/>
  <c r="AO19" i="135"/>
  <c r="AN19" i="135"/>
  <c r="AM19" i="135"/>
  <c r="AL19" i="135"/>
  <c r="AK19" i="135"/>
  <c r="AJ19" i="135"/>
  <c r="AI19" i="135"/>
  <c r="AH19" i="135"/>
  <c r="AG19" i="135"/>
  <c r="AF19" i="135"/>
  <c r="AE19" i="135"/>
  <c r="AD19" i="135"/>
  <c r="AC19" i="135"/>
  <c r="AB19" i="135"/>
  <c r="AA19" i="135"/>
  <c r="Z19" i="135"/>
  <c r="Y19" i="135"/>
  <c r="X19" i="135"/>
  <c r="W19" i="135"/>
  <c r="V19" i="135"/>
  <c r="U19" i="135"/>
  <c r="T19" i="135"/>
  <c r="S19" i="135"/>
  <c r="R19" i="135"/>
  <c r="Q19" i="135"/>
  <c r="P19" i="135"/>
  <c r="O19" i="135"/>
  <c r="N19" i="135"/>
  <c r="M19" i="135"/>
  <c r="L19" i="135"/>
  <c r="K19" i="135"/>
  <c r="A19" i="135"/>
  <c r="AS18" i="135"/>
  <c r="AR18" i="135"/>
  <c r="AQ18" i="135"/>
  <c r="AP18" i="135"/>
  <c r="AO18" i="135"/>
  <c r="AN18" i="135"/>
  <c r="AM18" i="135"/>
  <c r="AL18" i="135"/>
  <c r="AK18" i="135"/>
  <c r="AJ18" i="135"/>
  <c r="AI18" i="135"/>
  <c r="AH18" i="135"/>
  <c r="AG18" i="135"/>
  <c r="AF18" i="135"/>
  <c r="AE18" i="135"/>
  <c r="AD18" i="135"/>
  <c r="AC18" i="135"/>
  <c r="AB18" i="135"/>
  <c r="AA18" i="135"/>
  <c r="Z18" i="135"/>
  <c r="Y18" i="135"/>
  <c r="X18" i="135"/>
  <c r="W18" i="135"/>
  <c r="V18" i="135"/>
  <c r="U18" i="135"/>
  <c r="T18" i="135"/>
  <c r="S18" i="135"/>
  <c r="R18" i="135"/>
  <c r="Q18" i="135"/>
  <c r="P18" i="135"/>
  <c r="O18" i="135"/>
  <c r="N18" i="135"/>
  <c r="M18" i="135"/>
  <c r="L18" i="135"/>
  <c r="K18" i="135"/>
  <c r="A18" i="135"/>
  <c r="AR17" i="135"/>
  <c r="AQ17" i="135"/>
  <c r="AP17" i="135"/>
  <c r="AO17" i="135"/>
  <c r="AN17" i="135"/>
  <c r="AM17" i="135"/>
  <c r="AL17" i="135"/>
  <c r="AK17" i="135"/>
  <c r="AJ17" i="135"/>
  <c r="AI17" i="135"/>
  <c r="AH17" i="135"/>
  <c r="AG17" i="135"/>
  <c r="AF17" i="135"/>
  <c r="AD17" i="135"/>
  <c r="AC17" i="135"/>
  <c r="AB17" i="135"/>
  <c r="Z17" i="135"/>
  <c r="W17" i="135"/>
  <c r="U17" i="135"/>
  <c r="T17" i="135"/>
  <c r="S17" i="135"/>
  <c r="Q17" i="135"/>
  <c r="O17" i="135"/>
  <c r="N17" i="135"/>
  <c r="M17" i="135"/>
  <c r="L17" i="135"/>
  <c r="K17" i="135"/>
  <c r="I17" i="135"/>
  <c r="H17" i="135"/>
  <c r="G17" i="135"/>
  <c r="F17" i="135"/>
  <c r="A17" i="135"/>
  <c r="AS16" i="135"/>
  <c r="AS17" i="135" s="1"/>
  <c r="AR16" i="135"/>
  <c r="AQ16" i="135"/>
  <c r="AP16" i="135"/>
  <c r="AO16" i="135"/>
  <c r="AN16" i="135"/>
  <c r="AM16" i="135"/>
  <c r="AL16" i="135"/>
  <c r="AK16" i="135"/>
  <c r="AJ16" i="135"/>
  <c r="AI16" i="135"/>
  <c r="AH16" i="135"/>
  <c r="AG16" i="135"/>
  <c r="AF16" i="135"/>
  <c r="AE16" i="135"/>
  <c r="AE17" i="135" s="1"/>
  <c r="AD16" i="135"/>
  <c r="AC16" i="135"/>
  <c r="AB16" i="135"/>
  <c r="AA16" i="135"/>
  <c r="AA17" i="135" s="1"/>
  <c r="Z16" i="135"/>
  <c r="Y16" i="135"/>
  <c r="Y17" i="135"/>
  <c r="X16" i="135"/>
  <c r="X17" i="135"/>
  <c r="W16" i="135"/>
  <c r="V16" i="135"/>
  <c r="V17" i="135" s="1"/>
  <c r="U16" i="135"/>
  <c r="T16" i="135"/>
  <c r="S16" i="135"/>
  <c r="R16" i="135"/>
  <c r="R17" i="135" s="1"/>
  <c r="Q16" i="135"/>
  <c r="P16" i="135"/>
  <c r="P17" i="135" s="1"/>
  <c r="O16" i="135"/>
  <c r="N16" i="135"/>
  <c r="M16" i="135"/>
  <c r="L16" i="135"/>
  <c r="K16" i="135"/>
  <c r="A16" i="135"/>
  <c r="A15" i="135"/>
  <c r="CL14" i="135"/>
  <c r="CK14" i="135"/>
  <c r="AQ14" i="135" s="1"/>
  <c r="CJ14" i="135"/>
  <c r="AN14" i="135" s="1"/>
  <c r="CI14" i="135"/>
  <c r="CH14" i="135"/>
  <c r="AM14" i="135"/>
  <c r="CG14" i="135"/>
  <c r="CF14" i="135"/>
  <c r="CE14" i="135"/>
  <c r="CD14" i="135"/>
  <c r="AP14" i="135" s="1"/>
  <c r="CC14" i="135"/>
  <c r="CB14" i="135"/>
  <c r="AK14" i="135"/>
  <c r="CA14" i="135"/>
  <c r="AF14" i="135" s="1"/>
  <c r="BZ14" i="135"/>
  <c r="BY14" i="135"/>
  <c r="AJ14" i="135" s="1"/>
  <c r="BX14" i="135"/>
  <c r="BW14" i="135"/>
  <c r="BV14" i="135"/>
  <c r="BU14" i="135"/>
  <c r="BT14" i="135"/>
  <c r="BS14" i="135"/>
  <c r="BR14" i="135"/>
  <c r="BQ14" i="135"/>
  <c r="BP14" i="135"/>
  <c r="AB14" i="135" s="1"/>
  <c r="BO14" i="135"/>
  <c r="BN14" i="135"/>
  <c r="BM14" i="135"/>
  <c r="BL14" i="135"/>
  <c r="BK14" i="135"/>
  <c r="BJ14" i="135"/>
  <c r="BI14" i="135"/>
  <c r="BH14" i="135"/>
  <c r="BG14" i="135"/>
  <c r="BF14" i="135"/>
  <c r="BE14" i="135"/>
  <c r="BD14" i="135"/>
  <c r="BC14" i="135"/>
  <c r="BB14" i="135"/>
  <c r="BA14" i="135"/>
  <c r="AZ14" i="135"/>
  <c r="AY14" i="135"/>
  <c r="AX14" i="135"/>
  <c r="AW14" i="135"/>
  <c r="AV14" i="135"/>
  <c r="AU14" i="135"/>
  <c r="AT14" i="135"/>
  <c r="AD14" i="135"/>
  <c r="I14" i="135"/>
  <c r="H14" i="135"/>
  <c r="G14" i="135"/>
  <c r="F14" i="135"/>
  <c r="A14" i="135"/>
  <c r="AS13" i="135"/>
  <c r="AR13" i="135"/>
  <c r="AQ13" i="135"/>
  <c r="AP13" i="135"/>
  <c r="AO13" i="135"/>
  <c r="AN13" i="135"/>
  <c r="AM13" i="135"/>
  <c r="AL13" i="135"/>
  <c r="AK13" i="135"/>
  <c r="AJ13" i="135"/>
  <c r="AI13" i="135"/>
  <c r="AH13" i="135"/>
  <c r="AG13" i="135"/>
  <c r="AF13" i="135"/>
  <c r="AE13" i="135"/>
  <c r="AD13" i="135"/>
  <c r="AC13" i="135"/>
  <c r="AB13" i="135"/>
  <c r="AA13" i="135"/>
  <c r="AA14" i="135" s="1"/>
  <c r="Z13" i="135"/>
  <c r="Y13" i="135"/>
  <c r="X13" i="135"/>
  <c r="W13" i="135"/>
  <c r="V13" i="135"/>
  <c r="U13" i="135"/>
  <c r="T13" i="135"/>
  <c r="S13" i="135"/>
  <c r="R13" i="135"/>
  <c r="Q13" i="135"/>
  <c r="P13" i="135"/>
  <c r="O13" i="135"/>
  <c r="N13" i="135"/>
  <c r="M13" i="135"/>
  <c r="L13" i="135"/>
  <c r="K13" i="135"/>
  <c r="A13" i="135"/>
  <c r="AS12" i="135"/>
  <c r="AR12" i="135"/>
  <c r="AQ12" i="135"/>
  <c r="AP12" i="135"/>
  <c r="AO12" i="135"/>
  <c r="AN12" i="135"/>
  <c r="AM12" i="135"/>
  <c r="AL12" i="135"/>
  <c r="AK12" i="135"/>
  <c r="AJ12" i="135"/>
  <c r="AI12" i="135"/>
  <c r="AH12" i="135"/>
  <c r="AG12" i="135"/>
  <c r="AF12" i="135"/>
  <c r="AE12" i="135"/>
  <c r="AD12" i="135"/>
  <c r="AC12" i="135"/>
  <c r="AB12" i="135"/>
  <c r="AA12" i="135"/>
  <c r="Z12" i="135"/>
  <c r="Y12" i="135"/>
  <c r="X12" i="135"/>
  <c r="W12" i="135"/>
  <c r="V12" i="135"/>
  <c r="U12" i="135"/>
  <c r="T12" i="135"/>
  <c r="S12" i="135"/>
  <c r="R12" i="135"/>
  <c r="Q12" i="135"/>
  <c r="P12" i="135"/>
  <c r="O12" i="135"/>
  <c r="M12" i="135"/>
  <c r="L12" i="135"/>
  <c r="K12" i="135"/>
  <c r="A12" i="135"/>
  <c r="AS11" i="135"/>
  <c r="AR11" i="135"/>
  <c r="AQ11" i="135"/>
  <c r="AP11" i="135"/>
  <c r="AO11" i="135"/>
  <c r="AN11" i="135"/>
  <c r="AM11" i="135"/>
  <c r="AL11" i="135"/>
  <c r="AK11" i="135"/>
  <c r="AJ11" i="135"/>
  <c r="AI11" i="135"/>
  <c r="AH11" i="135"/>
  <c r="AG11" i="135"/>
  <c r="AF11" i="135"/>
  <c r="AE11" i="135"/>
  <c r="AD11" i="135"/>
  <c r="AC11" i="135"/>
  <c r="AB11" i="135"/>
  <c r="AA11" i="135"/>
  <c r="Z11" i="135"/>
  <c r="Y11" i="135"/>
  <c r="X11" i="135"/>
  <c r="W11" i="135"/>
  <c r="V11" i="135"/>
  <c r="U11" i="135"/>
  <c r="T11" i="135"/>
  <c r="S11" i="135"/>
  <c r="R11" i="135"/>
  <c r="Q11" i="135"/>
  <c r="P11" i="135"/>
  <c r="O11" i="135"/>
  <c r="N11" i="135"/>
  <c r="M11" i="135"/>
  <c r="L11" i="135"/>
  <c r="K11" i="135"/>
  <c r="A11" i="135"/>
  <c r="AS10" i="135"/>
  <c r="AR10" i="135"/>
  <c r="AQ10" i="135"/>
  <c r="AP10" i="135"/>
  <c r="AO10" i="135"/>
  <c r="AN10" i="135"/>
  <c r="AM10" i="135"/>
  <c r="AL10" i="135"/>
  <c r="AK10" i="135"/>
  <c r="AJ10" i="135"/>
  <c r="AI10" i="135"/>
  <c r="AH10" i="135"/>
  <c r="AG10" i="135"/>
  <c r="AF10" i="135"/>
  <c r="AE10" i="135"/>
  <c r="AD10" i="135"/>
  <c r="AC10" i="135"/>
  <c r="AB10" i="135"/>
  <c r="AA10" i="135"/>
  <c r="Z10" i="135"/>
  <c r="Y10" i="135"/>
  <c r="X10" i="135"/>
  <c r="W10" i="135"/>
  <c r="V10" i="135"/>
  <c r="U10" i="135"/>
  <c r="T10" i="135"/>
  <c r="S10" i="135"/>
  <c r="R10" i="135"/>
  <c r="Q10" i="135"/>
  <c r="P10" i="135"/>
  <c r="O10" i="135"/>
  <c r="N10" i="135"/>
  <c r="M10" i="135"/>
  <c r="L10" i="135"/>
  <c r="K10" i="135"/>
  <c r="A10" i="135"/>
  <c r="AS9" i="135"/>
  <c r="AR9" i="135"/>
  <c r="AQ9" i="135"/>
  <c r="AP9" i="135"/>
  <c r="AO9" i="135"/>
  <c r="AN9" i="135"/>
  <c r="AM9" i="135"/>
  <c r="AL9" i="135"/>
  <c r="AK9" i="135"/>
  <c r="AJ9" i="135"/>
  <c r="AI9" i="135"/>
  <c r="AH9" i="135"/>
  <c r="AG9" i="135"/>
  <c r="AF9" i="135"/>
  <c r="AE9" i="135"/>
  <c r="AD9" i="135"/>
  <c r="AC9" i="135"/>
  <c r="AB9" i="135"/>
  <c r="AA9" i="135"/>
  <c r="Z9" i="135"/>
  <c r="Y9" i="135"/>
  <c r="X9" i="135"/>
  <c r="W9" i="135"/>
  <c r="V9" i="135"/>
  <c r="U9" i="135"/>
  <c r="T9" i="135"/>
  <c r="S9" i="135"/>
  <c r="R9" i="135"/>
  <c r="Q9" i="135"/>
  <c r="P9" i="135"/>
  <c r="O9" i="135"/>
  <c r="N9" i="135"/>
  <c r="M9" i="135"/>
  <c r="L9" i="135"/>
  <c r="K9" i="135"/>
  <c r="A9" i="135"/>
  <c r="AS8" i="135"/>
  <c r="AR8" i="135"/>
  <c r="AQ8" i="135"/>
  <c r="AP8" i="135"/>
  <c r="AO8" i="135"/>
  <c r="AN8" i="135"/>
  <c r="AM8" i="135"/>
  <c r="AL8" i="135"/>
  <c r="AK8" i="135"/>
  <c r="AJ8" i="135"/>
  <c r="AI8" i="135"/>
  <c r="AH8" i="135"/>
  <c r="AG8" i="135"/>
  <c r="AF8" i="135"/>
  <c r="AE8" i="135"/>
  <c r="AD8" i="135"/>
  <c r="AC8" i="135"/>
  <c r="AB8" i="135"/>
  <c r="AA8" i="135"/>
  <c r="Z8" i="135"/>
  <c r="Y8" i="135"/>
  <c r="X8" i="135"/>
  <c r="W8" i="135"/>
  <c r="V8" i="135"/>
  <c r="U8" i="135"/>
  <c r="T8" i="135"/>
  <c r="S8" i="135"/>
  <c r="R8" i="135"/>
  <c r="Q8" i="135"/>
  <c r="P8" i="135"/>
  <c r="O8" i="135"/>
  <c r="N8" i="135"/>
  <c r="M8" i="135"/>
  <c r="L8" i="135"/>
  <c r="K8" i="135"/>
  <c r="A8" i="135"/>
  <c r="AS7" i="135"/>
  <c r="AR7" i="135"/>
  <c r="AQ7" i="135"/>
  <c r="AP7" i="135"/>
  <c r="AO7" i="135"/>
  <c r="AN7" i="135"/>
  <c r="AM7" i="135"/>
  <c r="AL7" i="135"/>
  <c r="AK7" i="135"/>
  <c r="AJ7" i="135"/>
  <c r="AI7" i="135"/>
  <c r="AH7" i="135"/>
  <c r="AG7" i="135"/>
  <c r="AF7" i="135"/>
  <c r="AE7" i="135"/>
  <c r="AE14" i="135" s="1"/>
  <c r="AD7" i="135"/>
  <c r="AC7" i="135"/>
  <c r="AB7" i="135"/>
  <c r="AA7" i="135"/>
  <c r="Z7" i="135"/>
  <c r="Y7" i="135"/>
  <c r="Y14" i="135" s="1"/>
  <c r="X7" i="135"/>
  <c r="W7" i="135"/>
  <c r="V7" i="135"/>
  <c r="U7" i="135"/>
  <c r="T7" i="135"/>
  <c r="S7" i="135"/>
  <c r="R7" i="135"/>
  <c r="R14" i="135"/>
  <c r="Q7" i="135"/>
  <c r="P7" i="135"/>
  <c r="O7" i="135"/>
  <c r="N7" i="135"/>
  <c r="M7" i="135"/>
  <c r="L7" i="135"/>
  <c r="K7" i="135"/>
  <c r="A7" i="135"/>
  <c r="A6" i="135"/>
  <c r="CL5" i="135"/>
  <c r="CK5" i="135"/>
  <c r="CJ5" i="135"/>
  <c r="CI5" i="135"/>
  <c r="CH5" i="135"/>
  <c r="CG5" i="135"/>
  <c r="CF5" i="135"/>
  <c r="CE5" i="135"/>
  <c r="CD5" i="135"/>
  <c r="CC5" i="135"/>
  <c r="CB5" i="135"/>
  <c r="CA5" i="135"/>
  <c r="BZ5" i="135"/>
  <c r="BY5" i="135"/>
  <c r="BX5" i="135"/>
  <c r="BW5" i="135"/>
  <c r="BV5" i="135"/>
  <c r="BU5" i="135"/>
  <c r="BT5" i="135"/>
  <c r="BS5" i="135"/>
  <c r="BR5" i="135"/>
  <c r="BQ5" i="135"/>
  <c r="BP5" i="135"/>
  <c r="BO5" i="135"/>
  <c r="BN5" i="135"/>
  <c r="BM5" i="135"/>
  <c r="BL5" i="135"/>
  <c r="BK5" i="135"/>
  <c r="BJ5" i="135"/>
  <c r="BI5" i="135"/>
  <c r="BH5" i="135"/>
  <c r="BG5" i="135"/>
  <c r="BF5" i="135"/>
  <c r="BE5" i="135"/>
  <c r="BD5" i="135"/>
  <c r="BC5" i="135"/>
  <c r="BB5" i="135"/>
  <c r="BA5" i="135"/>
  <c r="AZ5" i="135"/>
  <c r="AY5" i="135"/>
  <c r="AX5" i="135"/>
  <c r="AW5" i="135"/>
  <c r="AV5" i="135"/>
  <c r="AU5" i="135"/>
  <c r="AT5" i="135"/>
  <c r="AS5" i="135"/>
  <c r="AR5" i="135"/>
  <c r="AQ5" i="135"/>
  <c r="AP5" i="135"/>
  <c r="AO5" i="135"/>
  <c r="AN5" i="135"/>
  <c r="AM5" i="135"/>
  <c r="AL5" i="135"/>
  <c r="AK5" i="135"/>
  <c r="AJ5" i="135"/>
  <c r="AI5" i="135"/>
  <c r="AH5" i="135"/>
  <c r="AG5" i="135"/>
  <c r="AF5" i="135"/>
  <c r="AE5" i="135"/>
  <c r="AD5" i="135"/>
  <c r="AC5" i="135"/>
  <c r="AB5" i="135"/>
  <c r="AA5" i="135"/>
  <c r="Z5" i="135"/>
  <c r="Y5" i="135"/>
  <c r="X5" i="135"/>
  <c r="W5" i="135"/>
  <c r="V5" i="135"/>
  <c r="U5" i="135"/>
  <c r="T5" i="135"/>
  <c r="S5" i="135"/>
  <c r="R5" i="135"/>
  <c r="Q5" i="135"/>
  <c r="P5" i="135"/>
  <c r="O5" i="135"/>
  <c r="N5" i="135"/>
  <c r="M5" i="135"/>
  <c r="L5" i="135"/>
  <c r="K5" i="135"/>
  <c r="J5" i="135"/>
  <c r="I5" i="135"/>
  <c r="H5" i="135"/>
  <c r="G5" i="135"/>
  <c r="F5" i="135"/>
  <c r="A5" i="135"/>
  <c r="Q119" i="132"/>
  <c r="Q119" i="131"/>
  <c r="Q119" i="130"/>
  <c r="CD21" i="120"/>
  <c r="AS123" i="134"/>
  <c r="AS44" i="134" s="1"/>
  <c r="AR123" i="134"/>
  <c r="AQ123" i="134"/>
  <c r="AP123" i="134"/>
  <c r="AO123" i="134"/>
  <c r="AO44" i="134" s="1"/>
  <c r="AN123" i="134"/>
  <c r="AM123" i="134"/>
  <c r="AL123" i="134"/>
  <c r="AK123" i="134"/>
  <c r="AK44" i="134"/>
  <c r="AJ123" i="134"/>
  <c r="AI123" i="134"/>
  <c r="AH123" i="134"/>
  <c r="AG123" i="134"/>
  <c r="AG44" i="134" s="1"/>
  <c r="AF123" i="134"/>
  <c r="AE123" i="134"/>
  <c r="AD123" i="134"/>
  <c r="AC123" i="134"/>
  <c r="AC44" i="134"/>
  <c r="AB123" i="134"/>
  <c r="AA123" i="134"/>
  <c r="Z123" i="134"/>
  <c r="Y123" i="134"/>
  <c r="Y44" i="134" s="1"/>
  <c r="X123" i="134"/>
  <c r="W123" i="134"/>
  <c r="V123" i="134"/>
  <c r="U123" i="134"/>
  <c r="U44" i="134" s="1"/>
  <c r="T123" i="134"/>
  <c r="S123" i="134"/>
  <c r="R123" i="134"/>
  <c r="Q123" i="134"/>
  <c r="Q44" i="134" s="1"/>
  <c r="P123" i="134"/>
  <c r="O123" i="134"/>
  <c r="N123" i="134"/>
  <c r="M123" i="134"/>
  <c r="M44" i="134"/>
  <c r="L123" i="134"/>
  <c r="K123" i="134"/>
  <c r="B89" i="132"/>
  <c r="CL89" i="131"/>
  <c r="CK89" i="131"/>
  <c r="CJ89" i="131"/>
  <c r="CI89" i="131"/>
  <c r="CH89" i="131"/>
  <c r="CG89" i="131"/>
  <c r="CE89" i="131"/>
  <c r="CD89" i="131"/>
  <c r="CC89" i="131"/>
  <c r="CB89" i="131"/>
  <c r="CA89" i="131"/>
  <c r="BZ89" i="131"/>
  <c r="BY89" i="131"/>
  <c r="BX89" i="131"/>
  <c r="BW89" i="131"/>
  <c r="BV89" i="131"/>
  <c r="BU89" i="131"/>
  <c r="BT89" i="131"/>
  <c r="BR89" i="131"/>
  <c r="BQ89" i="131"/>
  <c r="BP89" i="131"/>
  <c r="BN89" i="131"/>
  <c r="BM89" i="131"/>
  <c r="BJ89" i="131"/>
  <c r="BI89" i="131"/>
  <c r="BF89" i="131"/>
  <c r="BE89" i="131"/>
  <c r="BD89" i="131"/>
  <c r="BC89" i="131"/>
  <c r="BB89" i="131"/>
  <c r="BA89" i="131"/>
  <c r="AY89" i="131"/>
  <c r="AX89" i="131"/>
  <c r="AW89" i="131"/>
  <c r="AV89" i="131"/>
  <c r="AU89" i="131"/>
  <c r="I89" i="131"/>
  <c r="H89" i="131"/>
  <c r="G89" i="131"/>
  <c r="F89" i="131"/>
  <c r="B89" i="131"/>
  <c r="B89" i="130"/>
  <c r="B89" i="127"/>
  <c r="B89" i="125"/>
  <c r="B89" i="120"/>
  <c r="E100" i="134"/>
  <c r="E100" i="120"/>
  <c r="AE87" i="120"/>
  <c r="CL127" i="134"/>
  <c r="CK127" i="134"/>
  <c r="CJ127" i="134"/>
  <c r="CI127" i="134"/>
  <c r="CH127" i="134"/>
  <c r="CG127" i="134"/>
  <c r="CF127" i="134"/>
  <c r="CE127" i="134"/>
  <c r="CD127" i="134"/>
  <c r="CC127" i="134"/>
  <c r="CB127" i="134"/>
  <c r="CA127" i="134"/>
  <c r="BZ127" i="134"/>
  <c r="BY127" i="134"/>
  <c r="BX127" i="134"/>
  <c r="BW127" i="134"/>
  <c r="BV127" i="134"/>
  <c r="BU127" i="134"/>
  <c r="BT127" i="134"/>
  <c r="BS127" i="134"/>
  <c r="BR127" i="134"/>
  <c r="BQ127" i="134"/>
  <c r="BP127" i="134"/>
  <c r="BO127" i="134"/>
  <c r="BN127" i="134"/>
  <c r="BM127" i="134"/>
  <c r="BL127" i="134"/>
  <c r="BK127" i="134"/>
  <c r="BJ127" i="134"/>
  <c r="BI127" i="134"/>
  <c r="BH127" i="134"/>
  <c r="BG127" i="134"/>
  <c r="BF127" i="134"/>
  <c r="BE127" i="134"/>
  <c r="BD127" i="134"/>
  <c r="BC127" i="134"/>
  <c r="BB127" i="134"/>
  <c r="BA127" i="134"/>
  <c r="AZ127" i="134"/>
  <c r="AY127" i="134"/>
  <c r="AX127" i="134"/>
  <c r="AW127" i="134"/>
  <c r="AV127" i="134"/>
  <c r="AU127" i="134"/>
  <c r="AT127" i="134"/>
  <c r="AS126" i="134"/>
  <c r="AR126" i="134"/>
  <c r="AQ126" i="134"/>
  <c r="AP126" i="134"/>
  <c r="AO126" i="134"/>
  <c r="AN126" i="134"/>
  <c r="AN127" i="134" s="1"/>
  <c r="AM126" i="134"/>
  <c r="AL126" i="134"/>
  <c r="AK126" i="134"/>
  <c r="AJ126" i="134"/>
  <c r="AI126" i="134"/>
  <c r="AH126" i="134"/>
  <c r="AG126" i="134"/>
  <c r="AF126" i="134"/>
  <c r="AE126" i="134"/>
  <c r="AD126" i="134"/>
  <c r="AC126" i="134"/>
  <c r="AB126" i="134"/>
  <c r="AA126" i="134"/>
  <c r="Z126" i="134"/>
  <c r="Y126" i="134"/>
  <c r="X126" i="134"/>
  <c r="W126" i="134"/>
  <c r="V126" i="134"/>
  <c r="U126" i="134"/>
  <c r="T126" i="134"/>
  <c r="S126" i="134"/>
  <c r="R126" i="134"/>
  <c r="Q126" i="134"/>
  <c r="P126" i="134"/>
  <c r="O126" i="134"/>
  <c r="N126" i="134"/>
  <c r="M126" i="134"/>
  <c r="L126" i="134"/>
  <c r="K126" i="134"/>
  <c r="I126" i="134"/>
  <c r="I127" i="134" s="1"/>
  <c r="H126" i="134"/>
  <c r="H127" i="134" s="1"/>
  <c r="G126" i="134"/>
  <c r="G127" i="134" s="1"/>
  <c r="F126" i="134"/>
  <c r="F127" i="134" s="1"/>
  <c r="AS118" i="134"/>
  <c r="AR118" i="134"/>
  <c r="AQ118" i="134"/>
  <c r="AP118" i="134"/>
  <c r="AO118" i="134"/>
  <c r="AN118" i="134"/>
  <c r="AM118" i="134"/>
  <c r="AL118" i="134"/>
  <c r="AK118" i="134"/>
  <c r="AJ118" i="134"/>
  <c r="AI118" i="134"/>
  <c r="AH118" i="134"/>
  <c r="AG118" i="134"/>
  <c r="AF118" i="134"/>
  <c r="AE118" i="134"/>
  <c r="AD118" i="134"/>
  <c r="AC118" i="134"/>
  <c r="AB118" i="134"/>
  <c r="AA118" i="134"/>
  <c r="Z118" i="134"/>
  <c r="Y118" i="134"/>
  <c r="X118" i="134"/>
  <c r="W118" i="134"/>
  <c r="V118" i="134"/>
  <c r="U118" i="134"/>
  <c r="T118" i="134"/>
  <c r="S118" i="134"/>
  <c r="R118" i="134"/>
  <c r="Q118" i="134"/>
  <c r="P118" i="134"/>
  <c r="O118" i="134"/>
  <c r="N118" i="134"/>
  <c r="M118" i="134"/>
  <c r="L118" i="134"/>
  <c r="K118" i="134"/>
  <c r="AS117" i="134"/>
  <c r="AR117" i="134"/>
  <c r="AQ117" i="134"/>
  <c r="AP117" i="134"/>
  <c r="AO117" i="134"/>
  <c r="AN117" i="134"/>
  <c r="AM117" i="134"/>
  <c r="AL117" i="134"/>
  <c r="AK117" i="134"/>
  <c r="AJ117" i="134"/>
  <c r="AI117" i="134"/>
  <c r="AH117" i="134"/>
  <c r="AG117" i="134"/>
  <c r="AF117" i="134"/>
  <c r="AE117" i="134"/>
  <c r="AD117" i="134"/>
  <c r="AC117" i="134"/>
  <c r="AB117" i="134"/>
  <c r="AA117" i="134"/>
  <c r="Z117" i="134"/>
  <c r="Y117" i="134"/>
  <c r="X117" i="134"/>
  <c r="W117" i="134"/>
  <c r="V117" i="134"/>
  <c r="U117" i="134"/>
  <c r="T117" i="134"/>
  <c r="S117" i="134"/>
  <c r="R117" i="134"/>
  <c r="Q117" i="134"/>
  <c r="P117" i="134"/>
  <c r="O117" i="134"/>
  <c r="N117" i="134"/>
  <c r="M117" i="134"/>
  <c r="L117" i="134"/>
  <c r="K117" i="134"/>
  <c r="J107" i="134"/>
  <c r="AS106" i="134"/>
  <c r="AR106" i="134"/>
  <c r="AQ106" i="134"/>
  <c r="AP106" i="134"/>
  <c r="AO106" i="134"/>
  <c r="AN106" i="134"/>
  <c r="AM106" i="134"/>
  <c r="AL106" i="134"/>
  <c r="AK106" i="134"/>
  <c r="AJ106" i="134"/>
  <c r="AI106" i="134"/>
  <c r="AH106" i="134"/>
  <c r="AG106" i="134"/>
  <c r="AF106" i="134"/>
  <c r="AE106" i="134"/>
  <c r="AD106" i="134"/>
  <c r="AC106" i="134"/>
  <c r="AB106" i="134"/>
  <c r="AA106" i="134"/>
  <c r="Z106" i="134"/>
  <c r="Y106" i="134"/>
  <c r="X106" i="134"/>
  <c r="W106" i="134"/>
  <c r="V106" i="134"/>
  <c r="U106" i="134"/>
  <c r="T106" i="134"/>
  <c r="S106" i="134"/>
  <c r="R106" i="134"/>
  <c r="Q106" i="134"/>
  <c r="P106" i="134"/>
  <c r="O106" i="134"/>
  <c r="N106" i="134"/>
  <c r="M106" i="134"/>
  <c r="L106" i="134"/>
  <c r="K106" i="134"/>
  <c r="A106" i="134"/>
  <c r="AS105" i="134"/>
  <c r="AR105" i="134"/>
  <c r="AQ105" i="134"/>
  <c r="AP105" i="134"/>
  <c r="AO105" i="134"/>
  <c r="AN105" i="134"/>
  <c r="AM105" i="134"/>
  <c r="AL105" i="134"/>
  <c r="AK105" i="134"/>
  <c r="AJ105" i="134"/>
  <c r="AI105" i="134"/>
  <c r="AH105" i="134"/>
  <c r="AG105" i="134"/>
  <c r="AF105" i="134"/>
  <c r="AE105" i="134"/>
  <c r="AD105" i="134"/>
  <c r="AC105" i="134"/>
  <c r="AB105" i="134"/>
  <c r="AA105" i="134"/>
  <c r="Z105" i="134"/>
  <c r="Y105" i="134"/>
  <c r="X105" i="134"/>
  <c r="W105" i="134"/>
  <c r="V105" i="134"/>
  <c r="U105" i="134"/>
  <c r="T105" i="134"/>
  <c r="S105" i="134"/>
  <c r="R105" i="134"/>
  <c r="Q105" i="134"/>
  <c r="P105" i="134"/>
  <c r="O105" i="134"/>
  <c r="N105" i="134"/>
  <c r="M105" i="134"/>
  <c r="L105" i="134"/>
  <c r="K105" i="134"/>
  <c r="A105" i="134"/>
  <c r="AS104" i="134"/>
  <c r="AR104" i="134"/>
  <c r="AQ104" i="134"/>
  <c r="AP104" i="134"/>
  <c r="AO104" i="134"/>
  <c r="AN104" i="134"/>
  <c r="AM104" i="134"/>
  <c r="AL104" i="134"/>
  <c r="AK104" i="134"/>
  <c r="AJ104" i="134"/>
  <c r="AI104" i="134"/>
  <c r="AH104" i="134"/>
  <c r="AG104" i="134"/>
  <c r="AF104" i="134"/>
  <c r="AE104" i="134"/>
  <c r="AD104" i="134"/>
  <c r="AC104" i="134"/>
  <c r="AB104" i="134"/>
  <c r="AA104" i="134"/>
  <c r="Z104" i="134"/>
  <c r="Y104" i="134"/>
  <c r="X104" i="134"/>
  <c r="W104" i="134"/>
  <c r="V104" i="134"/>
  <c r="U104" i="134"/>
  <c r="T104" i="134"/>
  <c r="S104" i="134"/>
  <c r="R104" i="134"/>
  <c r="Q104" i="134"/>
  <c r="P104" i="134"/>
  <c r="O104" i="134"/>
  <c r="N104" i="134"/>
  <c r="M104" i="134"/>
  <c r="L104" i="134"/>
  <c r="K104" i="134"/>
  <c r="A104" i="134"/>
  <c r="AS103" i="134"/>
  <c r="AR103" i="134"/>
  <c r="AQ103" i="134"/>
  <c r="AP103" i="134"/>
  <c r="AO103" i="134"/>
  <c r="AN103" i="134"/>
  <c r="AM103" i="134"/>
  <c r="AL103" i="134"/>
  <c r="AK103" i="134"/>
  <c r="AJ103" i="134"/>
  <c r="AI103" i="134"/>
  <c r="AH103" i="134"/>
  <c r="AG103" i="134"/>
  <c r="AF103" i="134"/>
  <c r="AE103" i="134"/>
  <c r="AD103" i="134"/>
  <c r="AC103" i="134"/>
  <c r="AB103" i="134"/>
  <c r="AA103" i="134"/>
  <c r="Z103" i="134"/>
  <c r="Y103" i="134"/>
  <c r="X103" i="134"/>
  <c r="W103" i="134"/>
  <c r="V103" i="134"/>
  <c r="U103" i="134"/>
  <c r="T103" i="134"/>
  <c r="S103" i="134"/>
  <c r="R103" i="134"/>
  <c r="Q103" i="134"/>
  <c r="P103" i="134"/>
  <c r="O103" i="134"/>
  <c r="N103" i="134"/>
  <c r="M103" i="134"/>
  <c r="L103" i="134"/>
  <c r="K103" i="134"/>
  <c r="A103" i="134"/>
  <c r="A102" i="134"/>
  <c r="A101" i="134"/>
  <c r="AS100" i="134"/>
  <c r="AR100" i="134"/>
  <c r="AQ100" i="134"/>
  <c r="AP100" i="134"/>
  <c r="AO100" i="134"/>
  <c r="AN100" i="134"/>
  <c r="AM100" i="134"/>
  <c r="AL100" i="134"/>
  <c r="AK100" i="134"/>
  <c r="AJ100" i="134"/>
  <c r="AI100" i="134"/>
  <c r="AH100" i="134"/>
  <c r="AG100" i="134"/>
  <c r="AF100" i="134"/>
  <c r="AE100" i="134"/>
  <c r="AD100" i="134"/>
  <c r="AC100" i="134"/>
  <c r="AB100" i="134"/>
  <c r="AA100" i="134"/>
  <c r="Z100" i="134"/>
  <c r="Y100" i="134"/>
  <c r="X100" i="134"/>
  <c r="W100" i="134"/>
  <c r="V100" i="134"/>
  <c r="U100" i="134"/>
  <c r="T100" i="134"/>
  <c r="S100" i="134"/>
  <c r="R100" i="134"/>
  <c r="Q100" i="134"/>
  <c r="P100" i="134"/>
  <c r="O100" i="134"/>
  <c r="N100" i="134"/>
  <c r="M100" i="134"/>
  <c r="L100" i="134"/>
  <c r="K100" i="134"/>
  <c r="C100" i="134"/>
  <c r="A100" i="134"/>
  <c r="A99" i="134"/>
  <c r="AS98" i="134"/>
  <c r="AR98" i="134"/>
  <c r="AQ98" i="134"/>
  <c r="AP98" i="134"/>
  <c r="AO98" i="134"/>
  <c r="AN98" i="134"/>
  <c r="AM98" i="134"/>
  <c r="AL98" i="134"/>
  <c r="AK98" i="134"/>
  <c r="AJ98" i="134"/>
  <c r="AI98" i="134"/>
  <c r="AH98" i="134"/>
  <c r="AG98" i="134"/>
  <c r="AF98" i="134"/>
  <c r="AE98" i="134"/>
  <c r="AD98" i="134"/>
  <c r="AC98" i="134"/>
  <c r="AB98" i="134"/>
  <c r="AA98" i="134"/>
  <c r="Z98" i="134"/>
  <c r="Y98" i="134"/>
  <c r="X98" i="134"/>
  <c r="W98" i="134"/>
  <c r="V98" i="134"/>
  <c r="U98" i="134"/>
  <c r="T98" i="134"/>
  <c r="S98" i="134"/>
  <c r="R98" i="134"/>
  <c r="Q98" i="134"/>
  <c r="P98" i="134"/>
  <c r="O98" i="134"/>
  <c r="N98" i="134"/>
  <c r="M98" i="134"/>
  <c r="L98" i="134"/>
  <c r="K98" i="134"/>
  <c r="C98" i="134"/>
  <c r="A98" i="134"/>
  <c r="AS97" i="134"/>
  <c r="AR97" i="134"/>
  <c r="AQ97" i="134"/>
  <c r="AP97" i="134"/>
  <c r="AO97" i="134"/>
  <c r="AN97" i="134"/>
  <c r="AM97" i="134"/>
  <c r="AL97" i="134"/>
  <c r="AK97" i="134"/>
  <c r="AJ97" i="134"/>
  <c r="AI97" i="134"/>
  <c r="AH97" i="134"/>
  <c r="AG97" i="134"/>
  <c r="AF97" i="134"/>
  <c r="AE97" i="134"/>
  <c r="AD97" i="134"/>
  <c r="AC97" i="134"/>
  <c r="AB97" i="134"/>
  <c r="AA97" i="134"/>
  <c r="Z97" i="134"/>
  <c r="Y97" i="134"/>
  <c r="X97" i="134"/>
  <c r="W97" i="134"/>
  <c r="V97" i="134"/>
  <c r="U97" i="134"/>
  <c r="T97" i="134"/>
  <c r="S97" i="134"/>
  <c r="R97" i="134"/>
  <c r="Q97" i="134"/>
  <c r="P97" i="134"/>
  <c r="O97" i="134"/>
  <c r="N97" i="134"/>
  <c r="M97" i="134"/>
  <c r="L97" i="134"/>
  <c r="K97" i="134"/>
  <c r="A97" i="134"/>
  <c r="AS96" i="134"/>
  <c r="AR96" i="134"/>
  <c r="AQ96" i="134"/>
  <c r="AP96" i="134"/>
  <c r="AO96" i="134"/>
  <c r="AN96" i="134"/>
  <c r="AM96" i="134"/>
  <c r="AL96" i="134"/>
  <c r="AK96" i="134"/>
  <c r="AJ96" i="134"/>
  <c r="AI96" i="134"/>
  <c r="AH96" i="134"/>
  <c r="AG96" i="134"/>
  <c r="AF96" i="134"/>
  <c r="AE96" i="134"/>
  <c r="AD96" i="134"/>
  <c r="AC96" i="134"/>
  <c r="AB96" i="134"/>
  <c r="AA96" i="134"/>
  <c r="Z96" i="134"/>
  <c r="Y96" i="134"/>
  <c r="X96" i="134"/>
  <c r="W96" i="134"/>
  <c r="V96" i="134"/>
  <c r="U96" i="134"/>
  <c r="T96" i="134"/>
  <c r="S96" i="134"/>
  <c r="R96" i="134"/>
  <c r="Q96" i="134"/>
  <c r="P96" i="134"/>
  <c r="O96" i="134"/>
  <c r="N96" i="134"/>
  <c r="M96" i="134"/>
  <c r="L96" i="134"/>
  <c r="K96" i="134"/>
  <c r="I96" i="134"/>
  <c r="H96" i="134"/>
  <c r="G96" i="134"/>
  <c r="F96" i="134"/>
  <c r="A96" i="134"/>
  <c r="AS95" i="134"/>
  <c r="AR95" i="134"/>
  <c r="AQ95" i="134"/>
  <c r="AP95" i="134"/>
  <c r="AO95" i="134"/>
  <c r="AN95" i="134"/>
  <c r="AM95" i="134"/>
  <c r="AL95" i="134"/>
  <c r="AK95" i="134"/>
  <c r="AJ95" i="134"/>
  <c r="AI95" i="134"/>
  <c r="AH95" i="134"/>
  <c r="AG95" i="134"/>
  <c r="AF95" i="134"/>
  <c r="AE95" i="134"/>
  <c r="AD95" i="134"/>
  <c r="AC95" i="134"/>
  <c r="AB95" i="134"/>
  <c r="AA95" i="134"/>
  <c r="Z95" i="134"/>
  <c r="Y95" i="134"/>
  <c r="X95" i="134"/>
  <c r="W95" i="134"/>
  <c r="V95" i="134"/>
  <c r="U95" i="134"/>
  <c r="T95" i="134"/>
  <c r="S95" i="134"/>
  <c r="R95" i="134"/>
  <c r="Q95" i="134"/>
  <c r="P95" i="134"/>
  <c r="O95" i="134"/>
  <c r="N95" i="134"/>
  <c r="M95" i="134"/>
  <c r="L95" i="134"/>
  <c r="K95" i="134"/>
  <c r="I95" i="134"/>
  <c r="H95" i="134"/>
  <c r="G95" i="134"/>
  <c r="F95" i="134"/>
  <c r="F51" i="134" s="1"/>
  <c r="A95" i="134"/>
  <c r="A94" i="134"/>
  <c r="AR93" i="134"/>
  <c r="AQ93" i="134"/>
  <c r="AP93" i="134"/>
  <c r="AO93" i="134"/>
  <c r="AN93" i="134"/>
  <c r="AM93" i="134"/>
  <c r="AL93" i="134"/>
  <c r="AK93" i="134"/>
  <c r="AJ93" i="134"/>
  <c r="AI93" i="134"/>
  <c r="AH93" i="134"/>
  <c r="AG93" i="134"/>
  <c r="AF93" i="134"/>
  <c r="AD93" i="134"/>
  <c r="AC93" i="134"/>
  <c r="AB93" i="134"/>
  <c r="Z93" i="134"/>
  <c r="W93" i="134"/>
  <c r="U93" i="134"/>
  <c r="T93" i="134"/>
  <c r="S93" i="134"/>
  <c r="Q93" i="134"/>
  <c r="O93" i="134"/>
  <c r="N93" i="134"/>
  <c r="M93" i="134"/>
  <c r="L93" i="134"/>
  <c r="K93" i="134"/>
  <c r="A93" i="134"/>
  <c r="AS92" i="134"/>
  <c r="AR92" i="134"/>
  <c r="AQ92" i="134"/>
  <c r="AP92" i="134"/>
  <c r="AO92" i="134"/>
  <c r="AN92" i="134"/>
  <c r="AM92" i="134"/>
  <c r="AL92" i="134"/>
  <c r="AK92" i="134"/>
  <c r="AJ92" i="134"/>
  <c r="AI92" i="134"/>
  <c r="AH92" i="134"/>
  <c r="AG92" i="134"/>
  <c r="AF92" i="134"/>
  <c r="AE92" i="134"/>
  <c r="AD92" i="134"/>
  <c r="AC92" i="134"/>
  <c r="AB92" i="134"/>
  <c r="AA92" i="134"/>
  <c r="Z92" i="134"/>
  <c r="Y92" i="134"/>
  <c r="X92" i="134"/>
  <c r="W92" i="134"/>
  <c r="V92" i="134"/>
  <c r="U92" i="134"/>
  <c r="T92" i="134"/>
  <c r="S92" i="134"/>
  <c r="R92" i="134"/>
  <c r="Q92" i="134"/>
  <c r="P92" i="134"/>
  <c r="O92" i="134"/>
  <c r="N92" i="134"/>
  <c r="M92" i="134"/>
  <c r="L92" i="134"/>
  <c r="K92" i="134"/>
  <c r="A92" i="134"/>
  <c r="AS91" i="134"/>
  <c r="AR91" i="134"/>
  <c r="AQ91" i="134"/>
  <c r="AP91" i="134"/>
  <c r="AO91" i="134"/>
  <c r="AN91" i="134"/>
  <c r="AM91" i="134"/>
  <c r="AL91" i="134"/>
  <c r="AK91" i="134"/>
  <c r="AJ91" i="134"/>
  <c r="AI91" i="134"/>
  <c r="AH91" i="134"/>
  <c r="AG91" i="134"/>
  <c r="AF91" i="134"/>
  <c r="AE91" i="134"/>
  <c r="AD91" i="134"/>
  <c r="AC91" i="134"/>
  <c r="AB91" i="134"/>
  <c r="AA91" i="134"/>
  <c r="Z91" i="134"/>
  <c r="Y91" i="134"/>
  <c r="X91" i="134"/>
  <c r="W91" i="134"/>
  <c r="V91" i="134"/>
  <c r="U91" i="134"/>
  <c r="T91" i="134"/>
  <c r="S91" i="134"/>
  <c r="R91" i="134"/>
  <c r="Q91" i="134"/>
  <c r="P91" i="134"/>
  <c r="O91" i="134"/>
  <c r="N91" i="134"/>
  <c r="M91" i="134"/>
  <c r="L91" i="134"/>
  <c r="K91" i="134"/>
  <c r="A91" i="134"/>
  <c r="AS90" i="134"/>
  <c r="AR90" i="134"/>
  <c r="AQ90" i="134"/>
  <c r="AP90" i="134"/>
  <c r="AO90" i="134"/>
  <c r="AN90" i="134"/>
  <c r="AM90" i="134"/>
  <c r="AL90" i="134"/>
  <c r="AK90" i="134"/>
  <c r="AJ90" i="134"/>
  <c r="AI90" i="134"/>
  <c r="AH90" i="134"/>
  <c r="AG90" i="134"/>
  <c r="AF90" i="134"/>
  <c r="AE90" i="134"/>
  <c r="AD90" i="134"/>
  <c r="AC90" i="134"/>
  <c r="AB90" i="134"/>
  <c r="AA90" i="134"/>
  <c r="Z90" i="134"/>
  <c r="Y90" i="134"/>
  <c r="X90" i="134"/>
  <c r="W90" i="134"/>
  <c r="V90" i="134"/>
  <c r="U90" i="134"/>
  <c r="T90" i="134"/>
  <c r="S90" i="134"/>
  <c r="R90" i="134"/>
  <c r="Q90" i="134"/>
  <c r="P90" i="134"/>
  <c r="O90" i="134"/>
  <c r="N90" i="134"/>
  <c r="M90" i="134"/>
  <c r="L90" i="134"/>
  <c r="K90" i="134"/>
  <c r="A90" i="134"/>
  <c r="AS89" i="134"/>
  <c r="AR89" i="134"/>
  <c r="AQ89" i="134"/>
  <c r="AP89" i="134"/>
  <c r="AO89" i="134"/>
  <c r="AN89" i="134"/>
  <c r="AM89" i="134"/>
  <c r="AL89" i="134"/>
  <c r="AK89" i="134"/>
  <c r="AJ89" i="134"/>
  <c r="AI89" i="134"/>
  <c r="AH89" i="134"/>
  <c r="AG89" i="134"/>
  <c r="AF89" i="134"/>
  <c r="AE89" i="134"/>
  <c r="AD89" i="134"/>
  <c r="AC89" i="134"/>
  <c r="AB89" i="134"/>
  <c r="AA89" i="134"/>
  <c r="Z89" i="134"/>
  <c r="Y89" i="134"/>
  <c r="X89" i="134"/>
  <c r="W89" i="134"/>
  <c r="V89" i="134"/>
  <c r="U89" i="134"/>
  <c r="T89" i="134"/>
  <c r="S89" i="134"/>
  <c r="R89" i="134"/>
  <c r="Q89" i="134"/>
  <c r="P89" i="134"/>
  <c r="O89" i="134"/>
  <c r="N89" i="134"/>
  <c r="M89" i="134"/>
  <c r="L89" i="134"/>
  <c r="K89" i="134"/>
  <c r="A89" i="134"/>
  <c r="A88" i="134"/>
  <c r="AS87" i="134"/>
  <c r="AR87" i="134"/>
  <c r="AQ87" i="134"/>
  <c r="AP87" i="134"/>
  <c r="AO87" i="134"/>
  <c r="AN87" i="134"/>
  <c r="AM87" i="134"/>
  <c r="AL87" i="134"/>
  <c r="AK87" i="134"/>
  <c r="AJ87" i="134"/>
  <c r="AI87" i="134"/>
  <c r="AH87" i="134"/>
  <c r="AG87" i="134"/>
  <c r="AF87" i="134"/>
  <c r="AE87" i="134"/>
  <c r="AD87" i="134"/>
  <c r="AC87" i="134"/>
  <c r="AB87" i="134"/>
  <c r="AA87" i="134"/>
  <c r="Z87" i="134"/>
  <c r="Y87" i="134"/>
  <c r="X87" i="134"/>
  <c r="W87" i="134"/>
  <c r="V87" i="134"/>
  <c r="U87" i="134"/>
  <c r="T87" i="134"/>
  <c r="S87" i="134"/>
  <c r="R87" i="134"/>
  <c r="Q87" i="134"/>
  <c r="P87" i="134"/>
  <c r="O87" i="134"/>
  <c r="N87" i="134"/>
  <c r="M87" i="134"/>
  <c r="L87" i="134"/>
  <c r="K87" i="134"/>
  <c r="A87" i="134"/>
  <c r="A86" i="134"/>
  <c r="A85" i="134"/>
  <c r="A84" i="134"/>
  <c r="A83" i="134"/>
  <c r="A82" i="134"/>
  <c r="A81" i="134"/>
  <c r="AS80" i="134"/>
  <c r="AR80" i="134"/>
  <c r="AQ80" i="134"/>
  <c r="AP80" i="134"/>
  <c r="AO80" i="134"/>
  <c r="AN80" i="134"/>
  <c r="AM80" i="134"/>
  <c r="AL80" i="134"/>
  <c r="AK80" i="134"/>
  <c r="AJ80" i="134"/>
  <c r="AI80" i="134"/>
  <c r="AH80" i="134"/>
  <c r="AG80" i="134"/>
  <c r="AF80" i="134"/>
  <c r="AE80" i="134"/>
  <c r="AD80" i="134"/>
  <c r="AC80" i="134"/>
  <c r="AB80" i="134"/>
  <c r="AA80" i="134"/>
  <c r="Z80" i="134"/>
  <c r="Y80" i="134"/>
  <c r="X80" i="134"/>
  <c r="W80" i="134"/>
  <c r="V80" i="134"/>
  <c r="U80" i="134"/>
  <c r="T80" i="134"/>
  <c r="S80" i="134"/>
  <c r="R80" i="134"/>
  <c r="Q80" i="134"/>
  <c r="P80" i="134"/>
  <c r="O80" i="134"/>
  <c r="N80" i="134"/>
  <c r="M80" i="134"/>
  <c r="L80" i="134"/>
  <c r="K80" i="134"/>
  <c r="I80" i="134"/>
  <c r="H80" i="134"/>
  <c r="G80" i="134"/>
  <c r="F80" i="134"/>
  <c r="A80" i="134"/>
  <c r="A79" i="134"/>
  <c r="AS78" i="134"/>
  <c r="AR78" i="134"/>
  <c r="AQ78" i="134"/>
  <c r="AP78" i="134"/>
  <c r="AO78" i="134"/>
  <c r="AN78" i="134"/>
  <c r="AM78" i="134"/>
  <c r="AL78" i="134"/>
  <c r="AK78" i="134"/>
  <c r="AJ78" i="134"/>
  <c r="AI78" i="134"/>
  <c r="AH78" i="134"/>
  <c r="AG78" i="134"/>
  <c r="AF78" i="134"/>
  <c r="AE78" i="134"/>
  <c r="AD78" i="134"/>
  <c r="AC78" i="134"/>
  <c r="AB78" i="134"/>
  <c r="AA78" i="134"/>
  <c r="Z78" i="134"/>
  <c r="Y78" i="134"/>
  <c r="X78" i="134"/>
  <c r="W78" i="134"/>
  <c r="V78" i="134"/>
  <c r="U78" i="134"/>
  <c r="T78" i="134"/>
  <c r="S78" i="134"/>
  <c r="R78" i="134"/>
  <c r="Q78" i="134"/>
  <c r="P78" i="134"/>
  <c r="O78" i="134"/>
  <c r="N78" i="134"/>
  <c r="M78" i="134"/>
  <c r="L78" i="134"/>
  <c r="K78" i="134"/>
  <c r="A78" i="134"/>
  <c r="AS77" i="134"/>
  <c r="AR77" i="134"/>
  <c r="AQ77" i="134"/>
  <c r="AP77" i="134"/>
  <c r="AO77" i="134"/>
  <c r="AN77" i="134"/>
  <c r="AM77" i="134"/>
  <c r="AL77" i="134"/>
  <c r="AK77" i="134"/>
  <c r="AJ77" i="134"/>
  <c r="AI77" i="134"/>
  <c r="AH77" i="134"/>
  <c r="AG77" i="134"/>
  <c r="AF77" i="134"/>
  <c r="AE77" i="134"/>
  <c r="AD77" i="134"/>
  <c r="AC77" i="134"/>
  <c r="AB77" i="134"/>
  <c r="AA77" i="134"/>
  <c r="Z77" i="134"/>
  <c r="Y77" i="134"/>
  <c r="X77" i="134"/>
  <c r="W77" i="134"/>
  <c r="V77" i="134"/>
  <c r="U77" i="134"/>
  <c r="T77" i="134"/>
  <c r="S77" i="134"/>
  <c r="R77" i="134"/>
  <c r="Q77" i="134"/>
  <c r="P77" i="134"/>
  <c r="O77" i="134"/>
  <c r="N77" i="134"/>
  <c r="M77" i="134"/>
  <c r="L77" i="134"/>
  <c r="K77" i="134"/>
  <c r="A77" i="134"/>
  <c r="AS76" i="134"/>
  <c r="AR76" i="134"/>
  <c r="AQ76" i="134"/>
  <c r="AP76" i="134"/>
  <c r="AO76" i="134"/>
  <c r="AN76" i="134"/>
  <c r="AM76" i="134"/>
  <c r="AL76" i="134"/>
  <c r="AK76" i="134"/>
  <c r="AJ76" i="134"/>
  <c r="AI76" i="134"/>
  <c r="AH76" i="134"/>
  <c r="AG76" i="134"/>
  <c r="AF76" i="134"/>
  <c r="AE76" i="134"/>
  <c r="AD76" i="134"/>
  <c r="AC76" i="134"/>
  <c r="AB76" i="134"/>
  <c r="AA76" i="134"/>
  <c r="Z76" i="134"/>
  <c r="Y76" i="134"/>
  <c r="X76" i="134"/>
  <c r="W76" i="134"/>
  <c r="V76" i="134"/>
  <c r="U76" i="134"/>
  <c r="T76" i="134"/>
  <c r="S76" i="134"/>
  <c r="R76" i="134"/>
  <c r="Q76" i="134"/>
  <c r="P76" i="134"/>
  <c r="O76" i="134"/>
  <c r="N76" i="134"/>
  <c r="M76" i="134"/>
  <c r="L76" i="134"/>
  <c r="K76" i="134"/>
  <c r="A76" i="134"/>
  <c r="AS75" i="134"/>
  <c r="AR75" i="134"/>
  <c r="AQ75" i="134"/>
  <c r="AP75" i="134"/>
  <c r="AO75" i="134"/>
  <c r="AN75" i="134"/>
  <c r="AM75" i="134"/>
  <c r="AL75" i="134"/>
  <c r="AK75" i="134"/>
  <c r="AJ75" i="134"/>
  <c r="AI75" i="134"/>
  <c r="AH75" i="134"/>
  <c r="AG75" i="134"/>
  <c r="AF75" i="134"/>
  <c r="AE75" i="134"/>
  <c r="AD75" i="134"/>
  <c r="AC75" i="134"/>
  <c r="AB75" i="134"/>
  <c r="AA75" i="134"/>
  <c r="Z75" i="134"/>
  <c r="Y75" i="134"/>
  <c r="X75" i="134"/>
  <c r="W75" i="134"/>
  <c r="V75" i="134"/>
  <c r="U75" i="134"/>
  <c r="T75" i="134"/>
  <c r="S75" i="134"/>
  <c r="R75" i="134"/>
  <c r="Q75" i="134"/>
  <c r="P75" i="134"/>
  <c r="O75" i="134"/>
  <c r="N75" i="134"/>
  <c r="M75" i="134"/>
  <c r="L75" i="134"/>
  <c r="K75" i="134"/>
  <c r="A75" i="134"/>
  <c r="AS74" i="134"/>
  <c r="AR74" i="134"/>
  <c r="AQ74" i="134"/>
  <c r="AP74" i="134"/>
  <c r="AO74" i="134"/>
  <c r="AN74" i="134"/>
  <c r="AM74" i="134"/>
  <c r="AL74" i="134"/>
  <c r="AK74" i="134"/>
  <c r="AJ74" i="134"/>
  <c r="AI74" i="134"/>
  <c r="AH74" i="134"/>
  <c r="AG74" i="134"/>
  <c r="AF74" i="134"/>
  <c r="AE74" i="134"/>
  <c r="AD74" i="134"/>
  <c r="AC74" i="134"/>
  <c r="AB74" i="134"/>
  <c r="AA74" i="134"/>
  <c r="Z74" i="134"/>
  <c r="Y74" i="134"/>
  <c r="X74" i="134"/>
  <c r="W74" i="134"/>
  <c r="V74" i="134"/>
  <c r="U74" i="134"/>
  <c r="T74" i="134"/>
  <c r="S74" i="134"/>
  <c r="R74" i="134"/>
  <c r="Q74" i="134"/>
  <c r="P74" i="134"/>
  <c r="O74" i="134"/>
  <c r="N74" i="134"/>
  <c r="M74" i="134"/>
  <c r="L74" i="134"/>
  <c r="K74" i="134"/>
  <c r="A74" i="134"/>
  <c r="AS73" i="134"/>
  <c r="AR73" i="134"/>
  <c r="AQ73" i="134"/>
  <c r="AP73" i="134"/>
  <c r="AO73" i="134"/>
  <c r="AN73" i="134"/>
  <c r="AM73" i="134"/>
  <c r="AL73" i="134"/>
  <c r="AK73" i="134"/>
  <c r="AJ73" i="134"/>
  <c r="AI73" i="134"/>
  <c r="AH73" i="134"/>
  <c r="AG73" i="134"/>
  <c r="AF73" i="134"/>
  <c r="AE73" i="134"/>
  <c r="AD73" i="134"/>
  <c r="AC73" i="134"/>
  <c r="AB73" i="134"/>
  <c r="AA73" i="134"/>
  <c r="Z73" i="134"/>
  <c r="Y73" i="134"/>
  <c r="X73" i="134"/>
  <c r="W73" i="134"/>
  <c r="V73" i="134"/>
  <c r="U73" i="134"/>
  <c r="T73" i="134"/>
  <c r="S73" i="134"/>
  <c r="R73" i="134"/>
  <c r="Q73" i="134"/>
  <c r="P73" i="134"/>
  <c r="O73" i="134"/>
  <c r="N73" i="134"/>
  <c r="M73" i="134"/>
  <c r="L73" i="134"/>
  <c r="K73" i="134"/>
  <c r="A73" i="134"/>
  <c r="A72" i="134"/>
  <c r="CL71" i="134"/>
  <c r="CK71" i="134"/>
  <c r="CJ71" i="134"/>
  <c r="CI71" i="134"/>
  <c r="CH71" i="134"/>
  <c r="CG71" i="134"/>
  <c r="CF71" i="134"/>
  <c r="CE71" i="134"/>
  <c r="CD71" i="134"/>
  <c r="CC71" i="134"/>
  <c r="CB71" i="134"/>
  <c r="CA71" i="134"/>
  <c r="BZ71" i="134"/>
  <c r="BY71" i="134"/>
  <c r="BX71" i="134"/>
  <c r="BW71" i="134"/>
  <c r="BV71" i="134"/>
  <c r="BU71" i="134"/>
  <c r="BT71" i="134"/>
  <c r="BS71" i="134"/>
  <c r="BR71" i="134"/>
  <c r="BQ71" i="134"/>
  <c r="BP71" i="134"/>
  <c r="BO71" i="134"/>
  <c r="BN71" i="134"/>
  <c r="BM71" i="134"/>
  <c r="BL71" i="134"/>
  <c r="BK71" i="134"/>
  <c r="BJ71" i="134"/>
  <c r="BI71" i="134"/>
  <c r="BH71" i="134"/>
  <c r="BG71" i="134"/>
  <c r="BF71" i="134"/>
  <c r="BE71" i="134"/>
  <c r="BD71" i="134"/>
  <c r="BC71" i="134"/>
  <c r="BB71" i="134"/>
  <c r="BA71" i="134"/>
  <c r="AZ71" i="134"/>
  <c r="AY71" i="134"/>
  <c r="AX71" i="134"/>
  <c r="AW71" i="134"/>
  <c r="AV71" i="134"/>
  <c r="AU71" i="134"/>
  <c r="AT71" i="134"/>
  <c r="I71" i="134"/>
  <c r="H71" i="134"/>
  <c r="G71" i="134"/>
  <c r="F71" i="134"/>
  <c r="A71" i="134"/>
  <c r="AS70" i="134"/>
  <c r="AR70" i="134"/>
  <c r="AQ70" i="134"/>
  <c r="AQ71" i="134" s="1"/>
  <c r="AP70" i="134"/>
  <c r="AP71" i="134" s="1"/>
  <c r="AO70" i="134"/>
  <c r="AO71" i="134" s="1"/>
  <c r="AN70" i="134"/>
  <c r="AM70" i="134"/>
  <c r="AL70" i="134"/>
  <c r="AK70" i="134"/>
  <c r="AJ70" i="134"/>
  <c r="AI70" i="134"/>
  <c r="AI71" i="134" s="1"/>
  <c r="AH70" i="134"/>
  <c r="AH71" i="134" s="1"/>
  <c r="AG70" i="134"/>
  <c r="AG71" i="134" s="1"/>
  <c r="AF70" i="134"/>
  <c r="AE70" i="134"/>
  <c r="AE71" i="134" s="1"/>
  <c r="AD70" i="134"/>
  <c r="AC70" i="134"/>
  <c r="AB70" i="134"/>
  <c r="AA70" i="134"/>
  <c r="Z70" i="134"/>
  <c r="Y70" i="134"/>
  <c r="X70" i="134"/>
  <c r="W70" i="134"/>
  <c r="V70" i="134"/>
  <c r="U70" i="134"/>
  <c r="T70" i="134"/>
  <c r="S70" i="134"/>
  <c r="R70" i="134"/>
  <c r="Q70" i="134"/>
  <c r="Q71" i="134" s="1"/>
  <c r="P70" i="134"/>
  <c r="O70" i="134"/>
  <c r="N70" i="134"/>
  <c r="M70" i="134"/>
  <c r="L70" i="134"/>
  <c r="K70" i="134"/>
  <c r="A70" i="134"/>
  <c r="AS69" i="134"/>
  <c r="AS71" i="134" s="1"/>
  <c r="AR69" i="134"/>
  <c r="AQ69" i="134"/>
  <c r="AP69" i="134"/>
  <c r="AO69" i="134"/>
  <c r="AN69" i="134"/>
  <c r="AM69" i="134"/>
  <c r="AL69" i="134"/>
  <c r="AK69" i="134"/>
  <c r="AJ69" i="134"/>
  <c r="AI69" i="134"/>
  <c r="AH69" i="134"/>
  <c r="AG69" i="134"/>
  <c r="AF69" i="134"/>
  <c r="AF71" i="134" s="1"/>
  <c r="AE69" i="134"/>
  <c r="AD69" i="134"/>
  <c r="AD71" i="134"/>
  <c r="AC69" i="134"/>
  <c r="AC71" i="134" s="1"/>
  <c r="AB69" i="134"/>
  <c r="AA69" i="134"/>
  <c r="Z69" i="134"/>
  <c r="Z71" i="134" s="1"/>
  <c r="Y69" i="134"/>
  <c r="X69" i="134"/>
  <c r="W69" i="134"/>
  <c r="V69" i="134"/>
  <c r="V71" i="134" s="1"/>
  <c r="U69" i="134"/>
  <c r="U71" i="134" s="1"/>
  <c r="T69" i="134"/>
  <c r="S69" i="134"/>
  <c r="R69" i="134"/>
  <c r="R71" i="134" s="1"/>
  <c r="Q69" i="134"/>
  <c r="P69" i="134"/>
  <c r="O69" i="134"/>
  <c r="O71" i="134" s="1"/>
  <c r="N69" i="134"/>
  <c r="N71" i="134" s="1"/>
  <c r="M69" i="134"/>
  <c r="M71" i="134" s="1"/>
  <c r="L69" i="134"/>
  <c r="K69" i="134"/>
  <c r="A69" i="134"/>
  <c r="A68" i="134"/>
  <c r="A67" i="134"/>
  <c r="A66" i="134"/>
  <c r="A65" i="134"/>
  <c r="A64" i="134"/>
  <c r="AS63" i="134"/>
  <c r="AR63" i="134"/>
  <c r="AQ63" i="134"/>
  <c r="AP63" i="134"/>
  <c r="AO63" i="134"/>
  <c r="AN63" i="134"/>
  <c r="AM63" i="134"/>
  <c r="AL63" i="134"/>
  <c r="AK63" i="134"/>
  <c r="AJ63" i="134"/>
  <c r="AI63" i="134"/>
  <c r="AH63" i="134"/>
  <c r="AG63" i="134"/>
  <c r="AF63" i="134"/>
  <c r="AE63" i="134"/>
  <c r="AD63" i="134"/>
  <c r="AC63" i="134"/>
  <c r="AB63" i="134"/>
  <c r="AA63" i="134"/>
  <c r="Z63" i="134"/>
  <c r="Y63" i="134"/>
  <c r="X63" i="134"/>
  <c r="W63" i="134"/>
  <c r="V63" i="134"/>
  <c r="U63" i="134"/>
  <c r="T63" i="134"/>
  <c r="S63" i="134"/>
  <c r="R63" i="134"/>
  <c r="Q63" i="134"/>
  <c r="P63" i="134"/>
  <c r="O63" i="134"/>
  <c r="N63" i="134"/>
  <c r="M63" i="134"/>
  <c r="L63" i="134"/>
  <c r="K63" i="134"/>
  <c r="A63" i="134"/>
  <c r="AS62" i="134"/>
  <c r="AR62" i="134"/>
  <c r="AQ62" i="134"/>
  <c r="AP62" i="134"/>
  <c r="AO62" i="134"/>
  <c r="AN62" i="134"/>
  <c r="AM62" i="134"/>
  <c r="AL62" i="134"/>
  <c r="AK62" i="134"/>
  <c r="AJ62" i="134"/>
  <c r="AI62" i="134"/>
  <c r="AH62" i="134"/>
  <c r="AG62" i="134"/>
  <c r="AF62" i="134"/>
  <c r="AE62" i="134"/>
  <c r="AD62" i="134"/>
  <c r="AC62" i="134"/>
  <c r="AB62" i="134"/>
  <c r="AA62" i="134"/>
  <c r="Z62" i="134"/>
  <c r="Y62" i="134"/>
  <c r="X62" i="134"/>
  <c r="W62" i="134"/>
  <c r="V62" i="134"/>
  <c r="U62" i="134"/>
  <c r="T62" i="134"/>
  <c r="S62" i="134"/>
  <c r="R62" i="134"/>
  <c r="Q62" i="134"/>
  <c r="P62" i="134"/>
  <c r="O62" i="134"/>
  <c r="N62" i="134"/>
  <c r="M62" i="134"/>
  <c r="L62" i="134"/>
  <c r="K62" i="134"/>
  <c r="A62" i="134"/>
  <c r="AS61" i="134"/>
  <c r="AR61" i="134"/>
  <c r="AQ61" i="134"/>
  <c r="AP61" i="134"/>
  <c r="AO61" i="134"/>
  <c r="AN61" i="134"/>
  <c r="AM61" i="134"/>
  <c r="AL61" i="134"/>
  <c r="AK61" i="134"/>
  <c r="AJ61" i="134"/>
  <c r="AI61" i="134"/>
  <c r="AH61" i="134"/>
  <c r="AG61" i="134"/>
  <c r="AF61" i="134"/>
  <c r="AE61" i="134"/>
  <c r="AD61" i="134"/>
  <c r="AC61" i="134"/>
  <c r="AB61" i="134"/>
  <c r="AA61" i="134"/>
  <c r="Z61" i="134"/>
  <c r="Y61" i="134"/>
  <c r="X61" i="134"/>
  <c r="W61" i="134"/>
  <c r="V61" i="134"/>
  <c r="U61" i="134"/>
  <c r="T61" i="134"/>
  <c r="S61" i="134"/>
  <c r="R61" i="134"/>
  <c r="Q61" i="134"/>
  <c r="P61" i="134"/>
  <c r="O61" i="134"/>
  <c r="N61" i="134"/>
  <c r="M61" i="134"/>
  <c r="L61" i="134"/>
  <c r="K61" i="134"/>
  <c r="A61" i="134"/>
  <c r="AS60" i="134"/>
  <c r="AR60" i="134"/>
  <c r="AQ60" i="134"/>
  <c r="AP60" i="134"/>
  <c r="AO60" i="134"/>
  <c r="AN60" i="134"/>
  <c r="AM60" i="134"/>
  <c r="AL60" i="134"/>
  <c r="AK60" i="134"/>
  <c r="AJ60" i="134"/>
  <c r="AI60" i="134"/>
  <c r="AH60" i="134"/>
  <c r="AG60" i="134"/>
  <c r="AF60" i="134"/>
  <c r="AE60" i="134"/>
  <c r="AD60" i="134"/>
  <c r="AC60" i="134"/>
  <c r="AB60" i="134"/>
  <c r="AA60" i="134"/>
  <c r="Z60" i="134"/>
  <c r="Y60" i="134"/>
  <c r="X60" i="134"/>
  <c r="W60" i="134"/>
  <c r="V60" i="134"/>
  <c r="U60" i="134"/>
  <c r="T60" i="134"/>
  <c r="S60" i="134"/>
  <c r="R60" i="134"/>
  <c r="Q60" i="134"/>
  <c r="P60" i="134"/>
  <c r="O60" i="134"/>
  <c r="N60" i="134"/>
  <c r="M60" i="134"/>
  <c r="L60" i="134"/>
  <c r="K60" i="134"/>
  <c r="A60" i="134"/>
  <c r="AS59" i="134"/>
  <c r="AR59" i="134"/>
  <c r="AQ59" i="134"/>
  <c r="AP59" i="134"/>
  <c r="AO59" i="134"/>
  <c r="AN59" i="134"/>
  <c r="AM59" i="134"/>
  <c r="AL59" i="134"/>
  <c r="AK59" i="134"/>
  <c r="AJ59" i="134"/>
  <c r="AI59" i="134"/>
  <c r="AH59" i="134"/>
  <c r="AG59" i="134"/>
  <c r="AF59" i="134"/>
  <c r="AE59" i="134"/>
  <c r="AD59" i="134"/>
  <c r="AC59" i="134"/>
  <c r="AB59" i="134"/>
  <c r="AA59" i="134"/>
  <c r="Z59" i="134"/>
  <c r="Y59" i="134"/>
  <c r="X59" i="134"/>
  <c r="W59" i="134"/>
  <c r="V59" i="134"/>
  <c r="U59" i="134"/>
  <c r="T59" i="134"/>
  <c r="S59" i="134"/>
  <c r="R59" i="134"/>
  <c r="Q59" i="134"/>
  <c r="P59" i="134"/>
  <c r="O59" i="134"/>
  <c r="N59" i="134"/>
  <c r="M59" i="134"/>
  <c r="L59" i="134"/>
  <c r="K59" i="134"/>
  <c r="A59" i="134"/>
  <c r="AS58" i="134"/>
  <c r="AR58" i="134"/>
  <c r="AQ58" i="134"/>
  <c r="AP58" i="134"/>
  <c r="AO58" i="134"/>
  <c r="AN58" i="134"/>
  <c r="AM58" i="134"/>
  <c r="AL58" i="134"/>
  <c r="AK58" i="134"/>
  <c r="AJ58" i="134"/>
  <c r="AI58" i="134"/>
  <c r="AH58" i="134"/>
  <c r="AG58" i="134"/>
  <c r="AF58" i="134"/>
  <c r="AE58" i="134"/>
  <c r="AD58" i="134"/>
  <c r="AC58" i="134"/>
  <c r="AB58" i="134"/>
  <c r="AA58" i="134"/>
  <c r="Z58" i="134"/>
  <c r="Y58" i="134"/>
  <c r="X58" i="134"/>
  <c r="W58" i="134"/>
  <c r="V58" i="134"/>
  <c r="U58" i="134"/>
  <c r="T58" i="134"/>
  <c r="S58" i="134"/>
  <c r="R58" i="134"/>
  <c r="Q58" i="134"/>
  <c r="P58" i="134"/>
  <c r="O58" i="134"/>
  <c r="N58" i="134"/>
  <c r="M58" i="134"/>
  <c r="L58" i="134"/>
  <c r="K58" i="134"/>
  <c r="A58" i="134"/>
  <c r="AS57" i="134"/>
  <c r="AR57" i="134"/>
  <c r="AQ57" i="134"/>
  <c r="AP57" i="134"/>
  <c r="AO57" i="134"/>
  <c r="AN57" i="134"/>
  <c r="AM57" i="134"/>
  <c r="AL57" i="134"/>
  <c r="AK57" i="134"/>
  <c r="AJ57" i="134"/>
  <c r="AI57" i="134"/>
  <c r="AH57" i="134"/>
  <c r="AG57" i="134"/>
  <c r="AF57" i="134"/>
  <c r="AE57" i="134"/>
  <c r="AD57" i="134"/>
  <c r="AC57" i="134"/>
  <c r="AB57" i="134"/>
  <c r="AA57" i="134"/>
  <c r="Z57" i="134"/>
  <c r="Y57" i="134"/>
  <c r="X57" i="134"/>
  <c r="W57" i="134"/>
  <c r="V57" i="134"/>
  <c r="U57" i="134"/>
  <c r="T57" i="134"/>
  <c r="S57" i="134"/>
  <c r="R57" i="134"/>
  <c r="Q57" i="134"/>
  <c r="P57" i="134"/>
  <c r="O57" i="134"/>
  <c r="N57" i="134"/>
  <c r="M57" i="134"/>
  <c r="L57" i="134"/>
  <c r="K57" i="134"/>
  <c r="A57" i="134"/>
  <c r="AS56" i="134"/>
  <c r="AR56" i="134"/>
  <c r="AQ56" i="134"/>
  <c r="AP56" i="134"/>
  <c r="AO56" i="134"/>
  <c r="AN56" i="134"/>
  <c r="AM56" i="134"/>
  <c r="AL56" i="134"/>
  <c r="AK56" i="134"/>
  <c r="AJ56" i="134"/>
  <c r="AI56" i="134"/>
  <c r="AH56" i="134"/>
  <c r="AG56" i="134"/>
  <c r="AF56" i="134"/>
  <c r="AE56" i="134"/>
  <c r="AD56" i="134"/>
  <c r="AC56" i="134"/>
  <c r="AB56" i="134"/>
  <c r="AA56" i="134"/>
  <c r="Z56" i="134"/>
  <c r="Y56" i="134"/>
  <c r="X56" i="134"/>
  <c r="W56" i="134"/>
  <c r="V56" i="134"/>
  <c r="U56" i="134"/>
  <c r="T56" i="134"/>
  <c r="S56" i="134"/>
  <c r="R56" i="134"/>
  <c r="Q56" i="134"/>
  <c r="P56" i="134"/>
  <c r="O56" i="134"/>
  <c r="N56" i="134"/>
  <c r="M56" i="134"/>
  <c r="L56" i="134"/>
  <c r="K56" i="134"/>
  <c r="A56" i="134"/>
  <c r="A55" i="134"/>
  <c r="CL54" i="134"/>
  <c r="CK54" i="134"/>
  <c r="CJ54" i="134"/>
  <c r="AN54" i="134" s="1"/>
  <c r="CI54" i="134"/>
  <c r="AR54" i="134" s="1"/>
  <c r="CH54" i="134"/>
  <c r="AM54" i="134" s="1"/>
  <c r="CG54" i="134"/>
  <c r="CF54" i="134"/>
  <c r="CE54" i="134"/>
  <c r="AL54" i="134" s="1"/>
  <c r="CD54" i="134"/>
  <c r="AP54" i="134" s="1"/>
  <c r="CC54" i="134"/>
  <c r="AO54" i="134" s="1"/>
  <c r="CB54" i="134"/>
  <c r="AK54" i="134" s="1"/>
  <c r="CA54" i="134"/>
  <c r="AF54" i="134" s="1"/>
  <c r="BZ54" i="134"/>
  <c r="AH54" i="134" s="1"/>
  <c r="BY54" i="134"/>
  <c r="AJ54" i="134" s="1"/>
  <c r="BX54" i="134"/>
  <c r="AC54" i="134" s="1"/>
  <c r="BW54" i="134"/>
  <c r="AI54" i="134" s="1"/>
  <c r="BV54" i="134"/>
  <c r="AG54" i="134" s="1"/>
  <c r="BU54" i="134"/>
  <c r="AD54" i="134"/>
  <c r="BT54" i="134"/>
  <c r="BS54" i="134"/>
  <c r="BR54" i="134"/>
  <c r="W54" i="134"/>
  <c r="BQ54" i="134"/>
  <c r="BP54" i="134"/>
  <c r="BO54" i="134"/>
  <c r="BN54" i="134"/>
  <c r="BM54" i="134"/>
  <c r="Z54" i="134"/>
  <c r="BL54" i="134"/>
  <c r="BK54" i="134"/>
  <c r="BJ54" i="134"/>
  <c r="BI54" i="134"/>
  <c r="BH54" i="134"/>
  <c r="BG54" i="134"/>
  <c r="BF54" i="134"/>
  <c r="K54" i="134"/>
  <c r="BE54" i="134"/>
  <c r="O54" i="134"/>
  <c r="BD54" i="134"/>
  <c r="M54" i="134" s="1"/>
  <c r="BC54" i="134"/>
  <c r="U54" i="134"/>
  <c r="BB54" i="134"/>
  <c r="T54" i="134"/>
  <c r="BA54" i="134"/>
  <c r="AZ54" i="134"/>
  <c r="AY54" i="134"/>
  <c r="L54" i="134" s="1"/>
  <c r="AX54" i="134"/>
  <c r="AW54" i="134"/>
  <c r="N54" i="134" s="1"/>
  <c r="AV54" i="134"/>
  <c r="S54" i="134" s="1"/>
  <c r="AU54" i="134"/>
  <c r="AT54" i="134"/>
  <c r="AQ54" i="134"/>
  <c r="AB54" i="134"/>
  <c r="I54" i="134"/>
  <c r="H54" i="134"/>
  <c r="G54" i="134"/>
  <c r="F54" i="134"/>
  <c r="A54" i="134"/>
  <c r="A53" i="134"/>
  <c r="A52" i="134"/>
  <c r="CL51" i="134"/>
  <c r="CK51" i="134"/>
  <c r="AQ51" i="134" s="1"/>
  <c r="CJ51" i="134"/>
  <c r="AN51" i="134" s="1"/>
  <c r="CI51" i="134"/>
  <c r="AR51" i="134" s="1"/>
  <c r="CH51" i="134"/>
  <c r="AM51" i="134" s="1"/>
  <c r="CG51" i="134"/>
  <c r="CF51" i="134"/>
  <c r="CE51" i="134"/>
  <c r="AL51" i="134" s="1"/>
  <c r="CD51" i="134"/>
  <c r="AP51" i="134" s="1"/>
  <c r="CC51" i="134"/>
  <c r="AO51" i="134" s="1"/>
  <c r="CB51" i="134"/>
  <c r="CA51" i="134"/>
  <c r="AF51" i="134" s="1"/>
  <c r="BZ51" i="134"/>
  <c r="BY51" i="134"/>
  <c r="AJ51" i="134" s="1"/>
  <c r="BX51" i="134"/>
  <c r="AC51" i="134"/>
  <c r="BW51" i="134"/>
  <c r="AI51" i="134" s="1"/>
  <c r="BV51" i="134"/>
  <c r="AG51" i="134" s="1"/>
  <c r="BU51" i="134"/>
  <c r="AD51" i="134" s="1"/>
  <c r="BT51" i="134"/>
  <c r="BS51" i="134"/>
  <c r="BR51" i="134"/>
  <c r="W51" i="134" s="1"/>
  <c r="BQ51" i="134"/>
  <c r="BP51" i="134"/>
  <c r="AB51" i="134"/>
  <c r="BO51" i="134"/>
  <c r="BN51" i="134"/>
  <c r="BM51" i="134"/>
  <c r="BL51" i="134"/>
  <c r="BK51" i="134"/>
  <c r="BJ51" i="134"/>
  <c r="BI51" i="134"/>
  <c r="BH51" i="134"/>
  <c r="BG51" i="134"/>
  <c r="BF51" i="134"/>
  <c r="K51" i="134" s="1"/>
  <c r="BE51" i="134"/>
  <c r="O51" i="134" s="1"/>
  <c r="BD51" i="134"/>
  <c r="M51" i="134" s="1"/>
  <c r="BC51" i="134"/>
  <c r="U51" i="134"/>
  <c r="BB51" i="134"/>
  <c r="T51" i="134" s="1"/>
  <c r="BA51" i="134"/>
  <c r="AZ51" i="134"/>
  <c r="AY51" i="134"/>
  <c r="L51" i="134" s="1"/>
  <c r="AX51" i="134"/>
  <c r="AW51" i="134"/>
  <c r="AV51" i="134"/>
  <c r="S51" i="134" s="1"/>
  <c r="AU51" i="134"/>
  <c r="AT51" i="134"/>
  <c r="AK51" i="134"/>
  <c r="I51" i="134"/>
  <c r="H51" i="134"/>
  <c r="G51" i="134"/>
  <c r="A51" i="134"/>
  <c r="AR50" i="134"/>
  <c r="AQ50" i="134"/>
  <c r="AP50" i="134"/>
  <c r="AO50" i="134"/>
  <c r="AN50" i="134"/>
  <c r="AM50" i="134"/>
  <c r="AL50" i="134"/>
  <c r="AK50" i="134"/>
  <c r="AJ50" i="134"/>
  <c r="AI50" i="134"/>
  <c r="AH50" i="134"/>
  <c r="AG50" i="134"/>
  <c r="AF50" i="134"/>
  <c r="AD50" i="134"/>
  <c r="AC50" i="134"/>
  <c r="AB50" i="134"/>
  <c r="Z50" i="134"/>
  <c r="W50" i="134"/>
  <c r="U50" i="134"/>
  <c r="T50" i="134"/>
  <c r="S50" i="134"/>
  <c r="Q50" i="134"/>
  <c r="O50" i="134"/>
  <c r="N50" i="134"/>
  <c r="M50" i="134"/>
  <c r="L50" i="134"/>
  <c r="K50" i="134"/>
  <c r="A50" i="134"/>
  <c r="AS49" i="134"/>
  <c r="AR49" i="134"/>
  <c r="AQ49" i="134"/>
  <c r="AP49" i="134"/>
  <c r="AO49" i="134"/>
  <c r="AN49" i="134"/>
  <c r="AM49" i="134"/>
  <c r="AL49" i="134"/>
  <c r="AK49" i="134"/>
  <c r="AJ49" i="134"/>
  <c r="AI49" i="134"/>
  <c r="AH49" i="134"/>
  <c r="AG49" i="134"/>
  <c r="AF49" i="134"/>
  <c r="AE49" i="134"/>
  <c r="AD49" i="134"/>
  <c r="AC49" i="134"/>
  <c r="AB49" i="134"/>
  <c r="AA49" i="134"/>
  <c r="Z49" i="134"/>
  <c r="Y49" i="134"/>
  <c r="X49" i="134"/>
  <c r="W49" i="134"/>
  <c r="V49" i="134"/>
  <c r="U49" i="134"/>
  <c r="T49" i="134"/>
  <c r="S49" i="134"/>
  <c r="R49" i="134"/>
  <c r="Q49" i="134"/>
  <c r="P49" i="134"/>
  <c r="O49" i="134"/>
  <c r="N49" i="134"/>
  <c r="M49" i="134"/>
  <c r="L49" i="134"/>
  <c r="K49" i="134"/>
  <c r="A49" i="134"/>
  <c r="AS48" i="134"/>
  <c r="AR48" i="134"/>
  <c r="AQ48" i="134"/>
  <c r="AP48" i="134"/>
  <c r="AO48" i="134"/>
  <c r="AN48" i="134"/>
  <c r="AM48" i="134"/>
  <c r="AL48" i="134"/>
  <c r="AK48" i="134"/>
  <c r="AJ48" i="134"/>
  <c r="AI48" i="134"/>
  <c r="AH48" i="134"/>
  <c r="AG48" i="134"/>
  <c r="AF48" i="134"/>
  <c r="AE48" i="134"/>
  <c r="AD48" i="134"/>
  <c r="AC48" i="134"/>
  <c r="AB48" i="134"/>
  <c r="AA48" i="134"/>
  <c r="Z48" i="134"/>
  <c r="Y48" i="134"/>
  <c r="X48" i="134"/>
  <c r="W48" i="134"/>
  <c r="V48" i="134"/>
  <c r="U48" i="134"/>
  <c r="T48" i="134"/>
  <c r="S48" i="134"/>
  <c r="R48" i="134"/>
  <c r="Q48" i="134"/>
  <c r="P48" i="134"/>
  <c r="O48" i="134"/>
  <c r="N48" i="134"/>
  <c r="M48" i="134"/>
  <c r="L48" i="134"/>
  <c r="K48" i="134"/>
  <c r="A48" i="134"/>
  <c r="CL47" i="134"/>
  <c r="CK47" i="134"/>
  <c r="AQ47" i="134" s="1"/>
  <c r="CJ47" i="134"/>
  <c r="AN47" i="134" s="1"/>
  <c r="CI47" i="134"/>
  <c r="AR47" i="134" s="1"/>
  <c r="CH47" i="134"/>
  <c r="AM47" i="134" s="1"/>
  <c r="CG47" i="134"/>
  <c r="CF47" i="134"/>
  <c r="CE47" i="134"/>
  <c r="CD47" i="134"/>
  <c r="AP47" i="134"/>
  <c r="CC47" i="134"/>
  <c r="AO47" i="134" s="1"/>
  <c r="CB47" i="134"/>
  <c r="AK47" i="134" s="1"/>
  <c r="CA47" i="134"/>
  <c r="AF47" i="134" s="1"/>
  <c r="BZ47" i="134"/>
  <c r="AH47" i="134"/>
  <c r="BY47" i="134"/>
  <c r="AJ47" i="134" s="1"/>
  <c r="BX47" i="134"/>
  <c r="AC47" i="134" s="1"/>
  <c r="BW47" i="134"/>
  <c r="AI47" i="134" s="1"/>
  <c r="BV47" i="134"/>
  <c r="BU47" i="134"/>
  <c r="AD47" i="134" s="1"/>
  <c r="BT47" i="134"/>
  <c r="BS47" i="134"/>
  <c r="BR47" i="134"/>
  <c r="W47" i="134" s="1"/>
  <c r="BQ47" i="134"/>
  <c r="BP47" i="134"/>
  <c r="AB47" i="134" s="1"/>
  <c r="BN47" i="134"/>
  <c r="BM47" i="134"/>
  <c r="BK47" i="134"/>
  <c r="BJ47" i="134"/>
  <c r="BI47" i="134"/>
  <c r="BH47" i="134"/>
  <c r="BF47" i="134"/>
  <c r="K47" i="134" s="1"/>
  <c r="BE47" i="134"/>
  <c r="O47" i="134" s="1"/>
  <c r="BD47" i="134"/>
  <c r="M47" i="134" s="1"/>
  <c r="BC47" i="134"/>
  <c r="U47" i="134" s="1"/>
  <c r="BB47" i="134"/>
  <c r="T47" i="134" s="1"/>
  <c r="BA47" i="134"/>
  <c r="AY47" i="134"/>
  <c r="L47" i="134" s="1"/>
  <c r="AX47" i="134"/>
  <c r="AW47" i="134"/>
  <c r="AV47" i="134"/>
  <c r="S47" i="134" s="1"/>
  <c r="AU47" i="134"/>
  <c r="Q47" i="134" s="1"/>
  <c r="AL47" i="134"/>
  <c r="AG47" i="134"/>
  <c r="Z47" i="134"/>
  <c r="N47" i="134"/>
  <c r="I47" i="134"/>
  <c r="H47" i="134"/>
  <c r="G47" i="134"/>
  <c r="F47" i="134"/>
  <c r="A47" i="134"/>
  <c r="AS46" i="134"/>
  <c r="AR46" i="134"/>
  <c r="AQ46" i="134"/>
  <c r="AP46" i="134"/>
  <c r="AO46" i="134"/>
  <c r="AN46" i="134"/>
  <c r="AM46" i="134"/>
  <c r="AL46" i="134"/>
  <c r="AK46" i="134"/>
  <c r="AJ46" i="134"/>
  <c r="AI46" i="134"/>
  <c r="AH46" i="134"/>
  <c r="AG46" i="134"/>
  <c r="AF46" i="134"/>
  <c r="AD46" i="134"/>
  <c r="AC46" i="134"/>
  <c r="AB46" i="134"/>
  <c r="Z46" i="134"/>
  <c r="W46" i="134"/>
  <c r="U46" i="134"/>
  <c r="T46" i="134"/>
  <c r="S46" i="134"/>
  <c r="Q46" i="134"/>
  <c r="O46" i="134"/>
  <c r="N46" i="134"/>
  <c r="M46" i="134"/>
  <c r="L46" i="134"/>
  <c r="K46" i="134"/>
  <c r="A46" i="134"/>
  <c r="AS45" i="134"/>
  <c r="AS47" i="134"/>
  <c r="AR45" i="134"/>
  <c r="AQ45" i="134"/>
  <c r="AP45" i="134"/>
  <c r="AO45" i="134"/>
  <c r="AN45" i="134"/>
  <c r="AM45" i="134"/>
  <c r="AL45" i="134"/>
  <c r="AK45" i="134"/>
  <c r="AJ45" i="134"/>
  <c r="AI45" i="134"/>
  <c r="AH45" i="134"/>
  <c r="AG45" i="134"/>
  <c r="AF45" i="134"/>
  <c r="AD45" i="134"/>
  <c r="AC45" i="134"/>
  <c r="AB45" i="134"/>
  <c r="Z45" i="134"/>
  <c r="W45" i="134"/>
  <c r="U45" i="134"/>
  <c r="T45" i="134"/>
  <c r="S45" i="134"/>
  <c r="Q45" i="134"/>
  <c r="O45" i="134"/>
  <c r="N45" i="134"/>
  <c r="M45" i="134"/>
  <c r="L45" i="134"/>
  <c r="K45" i="134"/>
  <c r="A45" i="134"/>
  <c r="A44" i="134"/>
  <c r="A43" i="134"/>
  <c r="AS42" i="134"/>
  <c r="AR42" i="134"/>
  <c r="AQ42" i="134"/>
  <c r="AP42" i="134"/>
  <c r="AO42" i="134"/>
  <c r="AN42" i="134"/>
  <c r="AM42" i="134"/>
  <c r="AL42" i="134"/>
  <c r="AK42" i="134"/>
  <c r="AJ42" i="134"/>
  <c r="AI42" i="134"/>
  <c r="AH42" i="134"/>
  <c r="AG42" i="134"/>
  <c r="AF42" i="134"/>
  <c r="AE42" i="134"/>
  <c r="AD42" i="134"/>
  <c r="AC42" i="134"/>
  <c r="AB42" i="134"/>
  <c r="AA42" i="134"/>
  <c r="Z42" i="134"/>
  <c r="Y42" i="134"/>
  <c r="X42" i="134"/>
  <c r="W42" i="134"/>
  <c r="V42" i="134"/>
  <c r="V54" i="134"/>
  <c r="U42" i="134"/>
  <c r="T42" i="134"/>
  <c r="S42" i="134"/>
  <c r="R42" i="134"/>
  <c r="Q42" i="134"/>
  <c r="P42" i="134"/>
  <c r="O42" i="134"/>
  <c r="N42" i="134"/>
  <c r="M42" i="134"/>
  <c r="L42" i="134"/>
  <c r="K42" i="134"/>
  <c r="A42" i="134"/>
  <c r="AS41" i="134"/>
  <c r="AR41" i="134"/>
  <c r="AQ41" i="134"/>
  <c r="AP41" i="134"/>
  <c r="AO41" i="134"/>
  <c r="AN41" i="134"/>
  <c r="AM41" i="134"/>
  <c r="AL41" i="134"/>
  <c r="AK41" i="134"/>
  <c r="AJ41" i="134"/>
  <c r="AI41" i="134"/>
  <c r="AH41" i="134"/>
  <c r="AG41" i="134"/>
  <c r="AF41" i="134"/>
  <c r="AE41" i="134"/>
  <c r="AD41" i="134"/>
  <c r="AC41" i="134"/>
  <c r="AB41" i="134"/>
  <c r="AA41" i="134"/>
  <c r="Z41" i="134"/>
  <c r="Y41" i="134"/>
  <c r="X41" i="134"/>
  <c r="W41" i="134"/>
  <c r="V41" i="134"/>
  <c r="U41" i="134"/>
  <c r="T41" i="134"/>
  <c r="S41" i="134"/>
  <c r="R41" i="134"/>
  <c r="Q41" i="134"/>
  <c r="P41" i="134"/>
  <c r="O41" i="134"/>
  <c r="N41" i="134"/>
  <c r="M41" i="134"/>
  <c r="L41" i="134"/>
  <c r="K41" i="134"/>
  <c r="A41" i="134"/>
  <c r="A40" i="134"/>
  <c r="AS39" i="134"/>
  <c r="AR39" i="134"/>
  <c r="AQ39" i="134"/>
  <c r="AP39" i="134"/>
  <c r="AO39" i="134"/>
  <c r="AN39" i="134"/>
  <c r="AM39" i="134"/>
  <c r="AL39" i="134"/>
  <c r="AK39" i="134"/>
  <c r="AJ39" i="134"/>
  <c r="AI39" i="134"/>
  <c r="AH39" i="134"/>
  <c r="AG39" i="134"/>
  <c r="AF39" i="134"/>
  <c r="AE39" i="134"/>
  <c r="AD39" i="134"/>
  <c r="AC39" i="134"/>
  <c r="AB39" i="134"/>
  <c r="AA39" i="134"/>
  <c r="Z39" i="134"/>
  <c r="Y39" i="134"/>
  <c r="X39" i="134"/>
  <c r="W39" i="134"/>
  <c r="V39" i="134"/>
  <c r="U39" i="134"/>
  <c r="T39" i="134"/>
  <c r="S39" i="134"/>
  <c r="R39" i="134"/>
  <c r="Q39" i="134"/>
  <c r="P39" i="134"/>
  <c r="O39" i="134"/>
  <c r="N39" i="134"/>
  <c r="M39" i="134"/>
  <c r="L39" i="134"/>
  <c r="K39" i="134"/>
  <c r="A39" i="134"/>
  <c r="AS38" i="134"/>
  <c r="AR38" i="134"/>
  <c r="AQ38" i="134"/>
  <c r="AP38" i="134"/>
  <c r="AO38" i="134"/>
  <c r="AN38" i="134"/>
  <c r="AM38" i="134"/>
  <c r="AL38" i="134"/>
  <c r="AK38" i="134"/>
  <c r="AJ38" i="134"/>
  <c r="AI38" i="134"/>
  <c r="AH38" i="134"/>
  <c r="AG38" i="134"/>
  <c r="AF38" i="134"/>
  <c r="AE38" i="134"/>
  <c r="AD38" i="134"/>
  <c r="AC38" i="134"/>
  <c r="AB38" i="134"/>
  <c r="AA38" i="134"/>
  <c r="Z38" i="134"/>
  <c r="Y38" i="134"/>
  <c r="X38" i="134"/>
  <c r="W38" i="134"/>
  <c r="V38" i="134"/>
  <c r="U38" i="134"/>
  <c r="T38" i="134"/>
  <c r="S38" i="134"/>
  <c r="R38" i="134"/>
  <c r="Q38" i="134"/>
  <c r="P38" i="134"/>
  <c r="O38" i="134"/>
  <c r="N38" i="134"/>
  <c r="M38" i="134"/>
  <c r="L38" i="134"/>
  <c r="K38" i="134"/>
  <c r="A38" i="134"/>
  <c r="AS37" i="134"/>
  <c r="AR37" i="134"/>
  <c r="AQ37" i="134"/>
  <c r="AP37" i="134"/>
  <c r="AO37" i="134"/>
  <c r="AN37" i="134"/>
  <c r="AM37" i="134"/>
  <c r="AL37" i="134"/>
  <c r="AK37" i="134"/>
  <c r="AJ37" i="134"/>
  <c r="AI37" i="134"/>
  <c r="AH37" i="134"/>
  <c r="AG37" i="134"/>
  <c r="AF37" i="134"/>
  <c r="AE37" i="134"/>
  <c r="AD37" i="134"/>
  <c r="AC37" i="134"/>
  <c r="AB37" i="134"/>
  <c r="AA37" i="134"/>
  <c r="Z37" i="134"/>
  <c r="Y37" i="134"/>
  <c r="X37" i="134"/>
  <c r="W37" i="134"/>
  <c r="V37" i="134"/>
  <c r="U37" i="134"/>
  <c r="T37" i="134"/>
  <c r="S37" i="134"/>
  <c r="R37" i="134"/>
  <c r="Q37" i="134"/>
  <c r="P37" i="134"/>
  <c r="O37" i="134"/>
  <c r="N37" i="134"/>
  <c r="M37" i="134"/>
  <c r="L37" i="134"/>
  <c r="K37" i="134"/>
  <c r="A37" i="134"/>
  <c r="AS36" i="134"/>
  <c r="AR36" i="134"/>
  <c r="AQ36" i="134"/>
  <c r="AP36" i="134"/>
  <c r="AO36" i="134"/>
  <c r="AN36" i="134"/>
  <c r="AM36" i="134"/>
  <c r="AL36" i="134"/>
  <c r="AK36" i="134"/>
  <c r="AJ36" i="134"/>
  <c r="AI36" i="134"/>
  <c r="AH36" i="134"/>
  <c r="AG36" i="134"/>
  <c r="AF36" i="134"/>
  <c r="AE36" i="134"/>
  <c r="AD36" i="134"/>
  <c r="AC36" i="134"/>
  <c r="AB36" i="134"/>
  <c r="AA36" i="134"/>
  <c r="Z36" i="134"/>
  <c r="Y36" i="134"/>
  <c r="X36" i="134"/>
  <c r="W36" i="134"/>
  <c r="V36" i="134"/>
  <c r="U36" i="134"/>
  <c r="T36" i="134"/>
  <c r="S36" i="134"/>
  <c r="R36" i="134"/>
  <c r="Q36" i="134"/>
  <c r="P36" i="134"/>
  <c r="O36" i="134"/>
  <c r="N36" i="134"/>
  <c r="M36" i="134"/>
  <c r="L36" i="134"/>
  <c r="K36" i="134"/>
  <c r="A36" i="134"/>
  <c r="AS35" i="134"/>
  <c r="AS93" i="134" s="1"/>
  <c r="AR35" i="134"/>
  <c r="AR127" i="134" s="1"/>
  <c r="AQ35" i="134"/>
  <c r="AP35" i="134"/>
  <c r="AO35" i="134"/>
  <c r="AN35" i="134"/>
  <c r="AM35" i="134"/>
  <c r="AL35" i="134"/>
  <c r="AL127" i="134" s="1"/>
  <c r="AK35" i="134"/>
  <c r="AJ35" i="134"/>
  <c r="AJ127" i="134" s="1"/>
  <c r="AI35" i="134"/>
  <c r="AH35" i="134"/>
  <c r="AG35" i="134"/>
  <c r="AF35" i="134"/>
  <c r="AE35" i="134"/>
  <c r="AE93" i="134" s="1"/>
  <c r="AD35" i="134"/>
  <c r="AD127" i="134" s="1"/>
  <c r="AC35" i="134"/>
  <c r="AB35" i="134"/>
  <c r="AB127" i="134"/>
  <c r="AA35" i="134"/>
  <c r="AA93" i="134"/>
  <c r="Z35" i="134"/>
  <c r="Y35" i="134"/>
  <c r="Y93" i="134" s="1"/>
  <c r="X35" i="134"/>
  <c r="W35" i="134"/>
  <c r="V35" i="134"/>
  <c r="U35" i="134"/>
  <c r="T35" i="134"/>
  <c r="T127" i="134" s="1"/>
  <c r="S35" i="134"/>
  <c r="R35" i="134"/>
  <c r="Q35" i="134"/>
  <c r="P35" i="134"/>
  <c r="O35" i="134"/>
  <c r="N35" i="134"/>
  <c r="M35" i="134"/>
  <c r="L35" i="134"/>
  <c r="L127" i="134"/>
  <c r="K35" i="134"/>
  <c r="A35" i="134"/>
  <c r="A34" i="134"/>
  <c r="CL33" i="134"/>
  <c r="CK33" i="134"/>
  <c r="CJ33" i="134"/>
  <c r="AN33" i="134" s="1"/>
  <c r="CI33" i="134"/>
  <c r="AR33" i="134" s="1"/>
  <c r="CH33" i="134"/>
  <c r="AM33" i="134" s="1"/>
  <c r="CG33" i="134"/>
  <c r="CF33" i="134"/>
  <c r="CE33" i="134"/>
  <c r="AL33" i="134" s="1"/>
  <c r="CD33" i="134"/>
  <c r="AP33" i="134" s="1"/>
  <c r="CC33" i="134"/>
  <c r="AO33" i="134" s="1"/>
  <c r="CB33" i="134"/>
  <c r="AK33" i="134" s="1"/>
  <c r="CA33" i="134"/>
  <c r="AF33" i="134" s="1"/>
  <c r="BZ33" i="134"/>
  <c r="AH33" i="134" s="1"/>
  <c r="BY33" i="134"/>
  <c r="AJ33" i="134" s="1"/>
  <c r="BX33" i="134"/>
  <c r="AC33" i="134" s="1"/>
  <c r="BW33" i="134"/>
  <c r="AI33" i="134" s="1"/>
  <c r="BV33" i="134"/>
  <c r="AG33" i="134" s="1"/>
  <c r="BU33" i="134"/>
  <c r="AD33" i="134" s="1"/>
  <c r="BT33" i="134"/>
  <c r="BS33" i="134"/>
  <c r="BR33" i="134"/>
  <c r="BQ33" i="134"/>
  <c r="BP33" i="134"/>
  <c r="AB33" i="134" s="1"/>
  <c r="BO33" i="134"/>
  <c r="BN33" i="134"/>
  <c r="BM33" i="134"/>
  <c r="Z33" i="134" s="1"/>
  <c r="BL33" i="134"/>
  <c r="BK33" i="134"/>
  <c r="BJ33" i="134"/>
  <c r="BI33" i="134"/>
  <c r="BH33" i="134"/>
  <c r="BG33" i="134"/>
  <c r="BF33" i="134"/>
  <c r="K33" i="134" s="1"/>
  <c r="BE33" i="134"/>
  <c r="O33" i="134"/>
  <c r="BD33" i="134"/>
  <c r="M33" i="134" s="1"/>
  <c r="BC33" i="134"/>
  <c r="U33" i="134" s="1"/>
  <c r="BB33" i="134"/>
  <c r="T33" i="134" s="1"/>
  <c r="BA33" i="134"/>
  <c r="AZ33" i="134"/>
  <c r="AY33" i="134"/>
  <c r="L33" i="134" s="1"/>
  <c r="AX33" i="134"/>
  <c r="AW33" i="134"/>
  <c r="N33" i="134" s="1"/>
  <c r="AV33" i="134"/>
  <c r="S33" i="134" s="1"/>
  <c r="AU33" i="134"/>
  <c r="Q33" i="134"/>
  <c r="AT33" i="134"/>
  <c r="AQ33" i="134"/>
  <c r="W33" i="134"/>
  <c r="I33" i="134"/>
  <c r="H33" i="134"/>
  <c r="G33" i="134"/>
  <c r="F33" i="134"/>
  <c r="A33" i="134"/>
  <c r="AR32" i="134"/>
  <c r="AQ32" i="134"/>
  <c r="AP32" i="134"/>
  <c r="AO32" i="134"/>
  <c r="AN32" i="134"/>
  <c r="AM32" i="134"/>
  <c r="AL32" i="134"/>
  <c r="AK32" i="134"/>
  <c r="AJ32" i="134"/>
  <c r="AI32" i="134"/>
  <c r="AH32" i="134"/>
  <c r="AG32" i="134"/>
  <c r="AF32" i="134"/>
  <c r="AD32" i="134"/>
  <c r="AC32" i="134"/>
  <c r="AB32" i="134"/>
  <c r="Z32" i="134"/>
  <c r="W32" i="134"/>
  <c r="U32" i="134"/>
  <c r="T32" i="134"/>
  <c r="S32" i="134"/>
  <c r="Q32" i="134"/>
  <c r="O32" i="134"/>
  <c r="N32" i="134"/>
  <c r="M32" i="134"/>
  <c r="L32" i="134"/>
  <c r="K32" i="134"/>
  <c r="A32" i="134"/>
  <c r="CF31" i="134"/>
  <c r="BO31" i="134"/>
  <c r="BL31" i="134"/>
  <c r="BK31" i="134"/>
  <c r="BH31" i="134"/>
  <c r="BG31" i="134"/>
  <c r="BG107" i="134" s="1"/>
  <c r="BE31" i="134"/>
  <c r="O31" i="134" s="1"/>
  <c r="B31" i="134"/>
  <c r="A31" i="134"/>
  <c r="CL30" i="134"/>
  <c r="CK30" i="134"/>
  <c r="CJ30" i="134"/>
  <c r="AN30" i="134" s="1"/>
  <c r="CI30" i="134"/>
  <c r="CH30" i="134"/>
  <c r="AM30" i="134" s="1"/>
  <c r="CG30" i="134"/>
  <c r="CF30" i="134"/>
  <c r="CE30" i="134"/>
  <c r="CD30" i="134"/>
  <c r="AP30" i="134" s="1"/>
  <c r="CC30" i="134"/>
  <c r="AO30" i="134" s="1"/>
  <c r="CB30" i="134"/>
  <c r="AK30" i="134" s="1"/>
  <c r="CA30" i="134"/>
  <c r="AF30" i="134" s="1"/>
  <c r="BZ30" i="134"/>
  <c r="AH30" i="134" s="1"/>
  <c r="BY30" i="134"/>
  <c r="AJ30" i="134" s="1"/>
  <c r="BX30" i="134"/>
  <c r="AC30" i="134"/>
  <c r="BW30" i="134"/>
  <c r="BV30" i="134"/>
  <c r="AG30" i="134" s="1"/>
  <c r="BU30" i="134"/>
  <c r="AD30" i="134" s="1"/>
  <c r="BT30" i="134"/>
  <c r="BS30" i="134"/>
  <c r="BR30" i="134"/>
  <c r="W30" i="134" s="1"/>
  <c r="BQ30" i="134"/>
  <c r="BP30" i="134"/>
  <c r="AB30" i="134" s="1"/>
  <c r="BO30" i="134"/>
  <c r="BN30" i="134"/>
  <c r="BM30" i="134"/>
  <c r="Z30" i="134" s="1"/>
  <c r="BL30" i="134"/>
  <c r="BK30" i="134"/>
  <c r="BJ30" i="134"/>
  <c r="BI30" i="134"/>
  <c r="BH30" i="134"/>
  <c r="BG30" i="134"/>
  <c r="BF30" i="134"/>
  <c r="K30" i="134" s="1"/>
  <c r="BE30" i="134"/>
  <c r="O30" i="134" s="1"/>
  <c r="BD30" i="134"/>
  <c r="M30" i="134"/>
  <c r="BC30" i="134"/>
  <c r="U30" i="134" s="1"/>
  <c r="BB30" i="134"/>
  <c r="T30" i="134" s="1"/>
  <c r="BA30" i="134"/>
  <c r="AZ30" i="134"/>
  <c r="AY30" i="134"/>
  <c r="L30" i="134"/>
  <c r="AX30" i="134"/>
  <c r="AW30" i="134"/>
  <c r="N30" i="134" s="1"/>
  <c r="AV30" i="134"/>
  <c r="S30" i="134" s="1"/>
  <c r="AU30" i="134"/>
  <c r="Q30" i="134" s="1"/>
  <c r="AT30" i="134"/>
  <c r="AR30" i="134"/>
  <c r="AQ30" i="134"/>
  <c r="AL30" i="134"/>
  <c r="AI30" i="134"/>
  <c r="I30" i="134"/>
  <c r="H30" i="134"/>
  <c r="G30" i="134"/>
  <c r="F30" i="134"/>
  <c r="A30" i="134"/>
  <c r="AS29" i="134"/>
  <c r="AR29" i="134"/>
  <c r="AQ29" i="134"/>
  <c r="AP29" i="134"/>
  <c r="AO29" i="134"/>
  <c r="AN29" i="134"/>
  <c r="AM29" i="134"/>
  <c r="AL29" i="134"/>
  <c r="AK29" i="134"/>
  <c r="AJ29" i="134"/>
  <c r="AI29" i="134"/>
  <c r="AH29" i="134"/>
  <c r="AG29" i="134"/>
  <c r="AF29" i="134"/>
  <c r="AE29" i="134"/>
  <c r="AD29" i="134"/>
  <c r="AC29" i="134"/>
  <c r="AB29" i="134"/>
  <c r="AA29" i="134"/>
  <c r="Z29" i="134"/>
  <c r="Y29" i="134"/>
  <c r="X29" i="134"/>
  <c r="W29" i="134"/>
  <c r="V29" i="134"/>
  <c r="U29" i="134"/>
  <c r="T29" i="134"/>
  <c r="S29" i="134"/>
  <c r="R29" i="134"/>
  <c r="Q29" i="134"/>
  <c r="P29" i="134"/>
  <c r="O29" i="134"/>
  <c r="N29" i="134"/>
  <c r="M29" i="134"/>
  <c r="L29" i="134"/>
  <c r="K29" i="134"/>
  <c r="A29" i="134"/>
  <c r="AS28" i="134"/>
  <c r="AR28" i="134"/>
  <c r="AQ28" i="134"/>
  <c r="AP28" i="134"/>
  <c r="AO28" i="134"/>
  <c r="AN28" i="134"/>
  <c r="AM28" i="134"/>
  <c r="AL28" i="134"/>
  <c r="AK28" i="134"/>
  <c r="AJ28" i="134"/>
  <c r="AI28" i="134"/>
  <c r="AH28" i="134"/>
  <c r="AG28" i="134"/>
  <c r="AF28" i="134"/>
  <c r="AE28" i="134"/>
  <c r="AD28" i="134"/>
  <c r="AC28" i="134"/>
  <c r="AB28" i="134"/>
  <c r="AA28" i="134"/>
  <c r="Z28" i="134"/>
  <c r="Y28" i="134"/>
  <c r="X28" i="134"/>
  <c r="W28" i="134"/>
  <c r="V28" i="134"/>
  <c r="U28" i="134"/>
  <c r="T28" i="134"/>
  <c r="S28" i="134"/>
  <c r="R28" i="134"/>
  <c r="Q28" i="134"/>
  <c r="P28" i="134"/>
  <c r="O28" i="134"/>
  <c r="N28" i="134"/>
  <c r="M28" i="134"/>
  <c r="L28" i="134"/>
  <c r="K28" i="134"/>
  <c r="A28" i="134"/>
  <c r="AS27" i="134"/>
  <c r="AR27" i="134"/>
  <c r="AQ27" i="134"/>
  <c r="AP27" i="134"/>
  <c r="AO27" i="134"/>
  <c r="AN27" i="134"/>
  <c r="AM27" i="134"/>
  <c r="AL27" i="134"/>
  <c r="AK27" i="134"/>
  <c r="AJ27" i="134"/>
  <c r="AI27" i="134"/>
  <c r="AH27" i="134"/>
  <c r="AG27" i="134"/>
  <c r="AF27" i="134"/>
  <c r="AE27" i="134"/>
  <c r="AD27" i="134"/>
  <c r="AC27" i="134"/>
  <c r="AB27" i="134"/>
  <c r="AA27" i="134"/>
  <c r="Z27" i="134"/>
  <c r="Y27" i="134"/>
  <c r="X27" i="134"/>
  <c r="W27" i="134"/>
  <c r="V27" i="134"/>
  <c r="U27" i="134"/>
  <c r="T27" i="134"/>
  <c r="S27" i="134"/>
  <c r="R27" i="134"/>
  <c r="Q27" i="134"/>
  <c r="P27" i="134"/>
  <c r="O27" i="134"/>
  <c r="N27" i="134"/>
  <c r="M27" i="134"/>
  <c r="L27" i="134"/>
  <c r="K27" i="134"/>
  <c r="A27" i="134"/>
  <c r="AS26" i="134"/>
  <c r="AR26" i="134"/>
  <c r="AQ26" i="134"/>
  <c r="AP26" i="134"/>
  <c r="AO26" i="134"/>
  <c r="AN26" i="134"/>
  <c r="AM26" i="134"/>
  <c r="AL26" i="134"/>
  <c r="AK26" i="134"/>
  <c r="AJ26" i="134"/>
  <c r="AI26" i="134"/>
  <c r="AH26" i="134"/>
  <c r="AG26" i="134"/>
  <c r="AF26" i="134"/>
  <c r="AE26" i="134"/>
  <c r="AD26" i="134"/>
  <c r="AC26" i="134"/>
  <c r="AB26" i="134"/>
  <c r="AA26" i="134"/>
  <c r="Z26" i="134"/>
  <c r="Y26" i="134"/>
  <c r="X26" i="134"/>
  <c r="W26" i="134"/>
  <c r="V26" i="134"/>
  <c r="U26" i="134"/>
  <c r="T26" i="134"/>
  <c r="S26" i="134"/>
  <c r="R26" i="134"/>
  <c r="Q26" i="134"/>
  <c r="P26" i="134"/>
  <c r="O26" i="134"/>
  <c r="N26" i="134"/>
  <c r="M26" i="134"/>
  <c r="L26" i="134"/>
  <c r="K26" i="134"/>
  <c r="A26" i="134"/>
  <c r="AS25" i="134"/>
  <c r="AR25" i="134"/>
  <c r="AQ25" i="134"/>
  <c r="AP25" i="134"/>
  <c r="AO25" i="134"/>
  <c r="AN25" i="134"/>
  <c r="AM25" i="134"/>
  <c r="AL25" i="134"/>
  <c r="AK25" i="134"/>
  <c r="AJ25" i="134"/>
  <c r="AI25" i="134"/>
  <c r="AH25" i="134"/>
  <c r="AG25" i="134"/>
  <c r="AF25" i="134"/>
  <c r="AE25" i="134"/>
  <c r="AD25" i="134"/>
  <c r="AC25" i="134"/>
  <c r="AB25" i="134"/>
  <c r="AA25" i="134"/>
  <c r="Z25" i="134"/>
  <c r="Y25" i="134"/>
  <c r="X25" i="134"/>
  <c r="W25" i="134"/>
  <c r="V25" i="134"/>
  <c r="U25" i="134"/>
  <c r="T25" i="134"/>
  <c r="S25" i="134"/>
  <c r="R25" i="134"/>
  <c r="Q25" i="134"/>
  <c r="P25" i="134"/>
  <c r="O25" i="134"/>
  <c r="N25" i="134"/>
  <c r="M25" i="134"/>
  <c r="L25" i="134"/>
  <c r="K25" i="134"/>
  <c r="A25" i="134"/>
  <c r="AS24" i="134"/>
  <c r="AR24" i="134"/>
  <c r="AQ24" i="134"/>
  <c r="AP24" i="134"/>
  <c r="AO24" i="134"/>
  <c r="AN24" i="134"/>
  <c r="AM24" i="134"/>
  <c r="AL24" i="134"/>
  <c r="AK24" i="134"/>
  <c r="AJ24" i="134"/>
  <c r="AI24" i="134"/>
  <c r="AH24" i="134"/>
  <c r="AG24" i="134"/>
  <c r="AF24" i="134"/>
  <c r="AE24" i="134"/>
  <c r="AD24" i="134"/>
  <c r="AC24" i="134"/>
  <c r="AB24" i="134"/>
  <c r="AA24" i="134"/>
  <c r="Z24" i="134"/>
  <c r="Y24" i="134"/>
  <c r="X24" i="134"/>
  <c r="W24" i="134"/>
  <c r="V24" i="134"/>
  <c r="U24" i="134"/>
  <c r="T24" i="134"/>
  <c r="S24" i="134"/>
  <c r="R24" i="134"/>
  <c r="Q24" i="134"/>
  <c r="P24" i="134"/>
  <c r="O24" i="134"/>
  <c r="N24" i="134"/>
  <c r="M24" i="134"/>
  <c r="L24" i="134"/>
  <c r="K24" i="134"/>
  <c r="A24" i="134"/>
  <c r="AS23" i="134"/>
  <c r="AS32" i="134"/>
  <c r="AS33" i="134" s="1"/>
  <c r="AR23" i="134"/>
  <c r="AQ23" i="134"/>
  <c r="AP23" i="134"/>
  <c r="AO23" i="134"/>
  <c r="AN23" i="134"/>
  <c r="AM23" i="134"/>
  <c r="AL23" i="134"/>
  <c r="AK23" i="134"/>
  <c r="AJ23" i="134"/>
  <c r="AI23" i="134"/>
  <c r="AH23" i="134"/>
  <c r="AG23" i="134"/>
  <c r="AF23" i="134"/>
  <c r="AE23" i="134"/>
  <c r="AE32" i="134" s="1"/>
  <c r="AE33" i="134" s="1"/>
  <c r="AD23" i="134"/>
  <c r="AC23" i="134"/>
  <c r="AB23" i="134"/>
  <c r="AA23" i="134"/>
  <c r="AA32" i="134"/>
  <c r="AA33" i="134" s="1"/>
  <c r="Z23" i="134"/>
  <c r="Y23" i="134"/>
  <c r="Y32" i="134" s="1"/>
  <c r="Y33" i="134" s="1"/>
  <c r="X23" i="134"/>
  <c r="X32" i="134" s="1"/>
  <c r="W23" i="134"/>
  <c r="V23" i="134"/>
  <c r="V32" i="134" s="1"/>
  <c r="U23" i="134"/>
  <c r="T23" i="134"/>
  <c r="S23" i="134"/>
  <c r="R23" i="134"/>
  <c r="R32" i="134" s="1"/>
  <c r="Q23" i="134"/>
  <c r="P23" i="134"/>
  <c r="P32" i="134"/>
  <c r="O23" i="134"/>
  <c r="N23" i="134"/>
  <c r="M23" i="134"/>
  <c r="L23" i="134"/>
  <c r="K23" i="134"/>
  <c r="A23" i="134"/>
  <c r="Q22" i="134"/>
  <c r="A22" i="134"/>
  <c r="CL21" i="134"/>
  <c r="CK21" i="134"/>
  <c r="CJ21" i="134"/>
  <c r="CI21" i="134"/>
  <c r="CH21" i="134"/>
  <c r="CG21" i="134"/>
  <c r="CF21" i="134"/>
  <c r="CE21" i="134"/>
  <c r="CD21" i="134"/>
  <c r="CC21" i="134"/>
  <c r="CB21" i="134"/>
  <c r="CA21" i="134"/>
  <c r="BZ21" i="134"/>
  <c r="BY21" i="134"/>
  <c r="BX21" i="134"/>
  <c r="BW21" i="134"/>
  <c r="BV21" i="134"/>
  <c r="BU21" i="134"/>
  <c r="BT21" i="134"/>
  <c r="BS21" i="134"/>
  <c r="BR21" i="134"/>
  <c r="BQ21" i="134"/>
  <c r="BP21" i="134"/>
  <c r="BO21" i="134"/>
  <c r="BN21" i="134"/>
  <c r="BM21" i="134"/>
  <c r="BL21" i="134"/>
  <c r="BK21" i="134"/>
  <c r="BJ21" i="134"/>
  <c r="BI21" i="134"/>
  <c r="BH21" i="134"/>
  <c r="BG21" i="134"/>
  <c r="BF21" i="134"/>
  <c r="BE21" i="134"/>
  <c r="BD21" i="134"/>
  <c r="BC21" i="134"/>
  <c r="BB21" i="134"/>
  <c r="BA21" i="134"/>
  <c r="AZ21" i="134"/>
  <c r="AY21" i="134"/>
  <c r="AX21" i="134"/>
  <c r="AW21" i="134"/>
  <c r="AV21" i="134"/>
  <c r="AU21" i="134"/>
  <c r="AT21" i="134"/>
  <c r="I21" i="134"/>
  <c r="H21" i="134"/>
  <c r="G21" i="134"/>
  <c r="F21" i="134"/>
  <c r="A21" i="134"/>
  <c r="AS20" i="134"/>
  <c r="AS21" i="134" s="1"/>
  <c r="AR20" i="134"/>
  <c r="AR21" i="134" s="1"/>
  <c r="AQ20" i="134"/>
  <c r="AP20" i="134"/>
  <c r="AP21" i="134" s="1"/>
  <c r="AO20" i="134"/>
  <c r="AN20" i="134"/>
  <c r="AN21" i="134" s="1"/>
  <c r="AM20" i="134"/>
  <c r="AL20" i="134"/>
  <c r="AL21" i="134" s="1"/>
  <c r="AK20" i="134"/>
  <c r="AK21" i="134" s="1"/>
  <c r="AJ20" i="134"/>
  <c r="AJ21" i="134" s="1"/>
  <c r="AI20" i="134"/>
  <c r="AI21" i="134" s="1"/>
  <c r="AH20" i="134"/>
  <c r="AH21" i="134" s="1"/>
  <c r="AG20" i="134"/>
  <c r="AG21" i="134" s="1"/>
  <c r="AF20" i="134"/>
  <c r="AF21" i="134" s="1"/>
  <c r="AE20" i="134"/>
  <c r="AD20" i="134"/>
  <c r="AD21" i="134" s="1"/>
  <c r="AC20" i="134"/>
  <c r="AC21" i="134" s="1"/>
  <c r="AB20" i="134"/>
  <c r="AB21" i="134" s="1"/>
  <c r="AA20" i="134"/>
  <c r="AA21" i="134" s="1"/>
  <c r="Z20" i="134"/>
  <c r="Z21" i="134" s="1"/>
  <c r="Y20" i="134"/>
  <c r="Y21" i="134" s="1"/>
  <c r="X20" i="134"/>
  <c r="W20" i="134"/>
  <c r="W21" i="134"/>
  <c r="V20" i="134"/>
  <c r="V21" i="134" s="1"/>
  <c r="U20" i="134"/>
  <c r="U21" i="134" s="1"/>
  <c r="T20" i="134"/>
  <c r="T21" i="134" s="1"/>
  <c r="S20" i="134"/>
  <c r="S21" i="134"/>
  <c r="R20" i="134"/>
  <c r="R21" i="134" s="1"/>
  <c r="Q20" i="134"/>
  <c r="Q21" i="134" s="1"/>
  <c r="P20" i="134"/>
  <c r="P21" i="134" s="1"/>
  <c r="O20" i="134"/>
  <c r="O21" i="134"/>
  <c r="N20" i="134"/>
  <c r="N21" i="134" s="1"/>
  <c r="M20" i="134"/>
  <c r="M21" i="134" s="1"/>
  <c r="L20" i="134"/>
  <c r="L21" i="134" s="1"/>
  <c r="K20" i="134"/>
  <c r="K21" i="134"/>
  <c r="A20" i="134"/>
  <c r="AS19" i="134"/>
  <c r="AR19" i="134"/>
  <c r="AQ19" i="134"/>
  <c r="AP19" i="134"/>
  <c r="AO19" i="134"/>
  <c r="AN19" i="134"/>
  <c r="AM19" i="134"/>
  <c r="AL19" i="134"/>
  <c r="AK19" i="134"/>
  <c r="AJ19" i="134"/>
  <c r="AI19" i="134"/>
  <c r="AH19" i="134"/>
  <c r="AG19" i="134"/>
  <c r="AF19" i="134"/>
  <c r="AE19" i="134"/>
  <c r="AD19" i="134"/>
  <c r="AC19" i="134"/>
  <c r="AB19" i="134"/>
  <c r="AA19" i="134"/>
  <c r="Z19" i="134"/>
  <c r="Y19" i="134"/>
  <c r="X19" i="134"/>
  <c r="W19" i="134"/>
  <c r="V19" i="134"/>
  <c r="U19" i="134"/>
  <c r="T19" i="134"/>
  <c r="S19" i="134"/>
  <c r="R19" i="134"/>
  <c r="Q19" i="134"/>
  <c r="P19" i="134"/>
  <c r="O19" i="134"/>
  <c r="N19" i="134"/>
  <c r="M19" i="134"/>
  <c r="L19" i="134"/>
  <c r="K19" i="134"/>
  <c r="A19" i="134"/>
  <c r="AS18" i="134"/>
  <c r="AR18" i="134"/>
  <c r="AQ18" i="134"/>
  <c r="AP18" i="134"/>
  <c r="AO18" i="134"/>
  <c r="AN18" i="134"/>
  <c r="AM18" i="134"/>
  <c r="AL18" i="134"/>
  <c r="AK18" i="134"/>
  <c r="AJ18" i="134"/>
  <c r="AI18" i="134"/>
  <c r="AH18" i="134"/>
  <c r="AG18" i="134"/>
  <c r="AF18" i="134"/>
  <c r="AE18" i="134"/>
  <c r="AD18" i="134"/>
  <c r="AC18" i="134"/>
  <c r="AB18" i="134"/>
  <c r="AA18" i="134"/>
  <c r="Z18" i="134"/>
  <c r="Y18" i="134"/>
  <c r="X18" i="134"/>
  <c r="W18" i="134"/>
  <c r="V18" i="134"/>
  <c r="U18" i="134"/>
  <c r="T18" i="134"/>
  <c r="S18" i="134"/>
  <c r="R18" i="134"/>
  <c r="Q18" i="134"/>
  <c r="P18" i="134"/>
  <c r="O18" i="134"/>
  <c r="N18" i="134"/>
  <c r="M18" i="134"/>
  <c r="L18" i="134"/>
  <c r="K18" i="134"/>
  <c r="A18" i="134"/>
  <c r="AR17" i="134"/>
  <c r="AQ17" i="134"/>
  <c r="AP17" i="134"/>
  <c r="AO17" i="134"/>
  <c r="AN17" i="134"/>
  <c r="AM17" i="134"/>
  <c r="AL17" i="134"/>
  <c r="AK17" i="134"/>
  <c r="AJ17" i="134"/>
  <c r="AI17" i="134"/>
  <c r="AH17" i="134"/>
  <c r="AG17" i="134"/>
  <c r="AF17" i="134"/>
  <c r="AD17" i="134"/>
  <c r="AC17" i="134"/>
  <c r="AB17" i="134"/>
  <c r="Z17" i="134"/>
  <c r="W17" i="134"/>
  <c r="U17" i="134"/>
  <c r="T17" i="134"/>
  <c r="S17" i="134"/>
  <c r="Q17" i="134"/>
  <c r="O17" i="134"/>
  <c r="N17" i="134"/>
  <c r="M17" i="134"/>
  <c r="L17" i="134"/>
  <c r="K17" i="134"/>
  <c r="I17" i="134"/>
  <c r="H17" i="134"/>
  <c r="G17" i="134"/>
  <c r="F17" i="134"/>
  <c r="A17" i="134"/>
  <c r="AS16" i="134"/>
  <c r="AS17" i="134" s="1"/>
  <c r="AR16" i="134"/>
  <c r="AQ16" i="134"/>
  <c r="AP16" i="134"/>
  <c r="AO16" i="134"/>
  <c r="AN16" i="134"/>
  <c r="AM16" i="134"/>
  <c r="AL16" i="134"/>
  <c r="AK16" i="134"/>
  <c r="AJ16" i="134"/>
  <c r="AI16" i="134"/>
  <c r="AH16" i="134"/>
  <c r="AG16" i="134"/>
  <c r="AF16" i="134"/>
  <c r="AE16" i="134"/>
  <c r="AE17" i="134"/>
  <c r="AD16" i="134"/>
  <c r="AC16" i="134"/>
  <c r="AB16" i="134"/>
  <c r="AA16" i="134"/>
  <c r="AA17" i="134" s="1"/>
  <c r="Z16" i="134"/>
  <c r="Y16" i="134"/>
  <c r="Y17" i="134"/>
  <c r="X16" i="134"/>
  <c r="X17" i="134" s="1"/>
  <c r="W16" i="134"/>
  <c r="V16" i="134"/>
  <c r="V17" i="134" s="1"/>
  <c r="U16" i="134"/>
  <c r="T16" i="134"/>
  <c r="S16" i="134"/>
  <c r="R16" i="134"/>
  <c r="R17" i="134"/>
  <c r="Q16" i="134"/>
  <c r="P16" i="134"/>
  <c r="P17" i="134" s="1"/>
  <c r="O16" i="134"/>
  <c r="N16" i="134"/>
  <c r="M16" i="134"/>
  <c r="L16" i="134"/>
  <c r="K16" i="134"/>
  <c r="A16" i="134"/>
  <c r="A15" i="134"/>
  <c r="CL14" i="134"/>
  <c r="CK14" i="134"/>
  <c r="AQ14" i="134" s="1"/>
  <c r="CJ14" i="134"/>
  <c r="AN14" i="134" s="1"/>
  <c r="CI14" i="134"/>
  <c r="AR14" i="134"/>
  <c r="CH14" i="134"/>
  <c r="AM14" i="134" s="1"/>
  <c r="CG14" i="134"/>
  <c r="CF14" i="134"/>
  <c r="CE14" i="134"/>
  <c r="CD14" i="134"/>
  <c r="AP14" i="134" s="1"/>
  <c r="CC14" i="134"/>
  <c r="AO14" i="134" s="1"/>
  <c r="CB14" i="134"/>
  <c r="CA14" i="134"/>
  <c r="AF14" i="134"/>
  <c r="BZ14" i="134"/>
  <c r="BY14" i="134"/>
  <c r="AJ14" i="134" s="1"/>
  <c r="BX14" i="134"/>
  <c r="AC14" i="134" s="1"/>
  <c r="BW14" i="134"/>
  <c r="BV14" i="134"/>
  <c r="BU14" i="134"/>
  <c r="BT14" i="134"/>
  <c r="BS14" i="134"/>
  <c r="BR14" i="134"/>
  <c r="W14" i="134"/>
  <c r="BQ14" i="134"/>
  <c r="BP14" i="134"/>
  <c r="BO14" i="134"/>
  <c r="BN14" i="134"/>
  <c r="BM14" i="134"/>
  <c r="Z14" i="134"/>
  <c r="BL14" i="134"/>
  <c r="BK14" i="134"/>
  <c r="BJ14" i="134"/>
  <c r="BI14" i="134"/>
  <c r="BH14" i="134"/>
  <c r="BG14" i="134"/>
  <c r="BF14" i="134"/>
  <c r="BE14" i="134"/>
  <c r="BE107" i="134" s="1"/>
  <c r="BD14" i="134"/>
  <c r="M14" i="134" s="1"/>
  <c r="BC14" i="134"/>
  <c r="BB14" i="134"/>
  <c r="T14" i="134" s="1"/>
  <c r="BA14" i="134"/>
  <c r="AZ14" i="134"/>
  <c r="AY14" i="134"/>
  <c r="AX14" i="134"/>
  <c r="AW14" i="134"/>
  <c r="AV14" i="134"/>
  <c r="S14" i="134" s="1"/>
  <c r="AU14" i="134"/>
  <c r="AT14" i="134"/>
  <c r="AL14" i="134"/>
  <c r="AK14" i="134"/>
  <c r="AH14" i="134"/>
  <c r="AG14" i="134"/>
  <c r="A14" i="134"/>
  <c r="AS13" i="134"/>
  <c r="AR13" i="134"/>
  <c r="AQ13" i="134"/>
  <c r="AP13" i="134"/>
  <c r="AO13" i="134"/>
  <c r="AN13" i="134"/>
  <c r="AM13" i="134"/>
  <c r="AL13" i="134"/>
  <c r="AK13" i="134"/>
  <c r="AJ13" i="134"/>
  <c r="AI13" i="134"/>
  <c r="AH13" i="134"/>
  <c r="AG13" i="134"/>
  <c r="AF13" i="134"/>
  <c r="AE13" i="134"/>
  <c r="AD13" i="134"/>
  <c r="AC13" i="134"/>
  <c r="AB13" i="134"/>
  <c r="AA13" i="134"/>
  <c r="Z13" i="134"/>
  <c r="Y13" i="134"/>
  <c r="X13" i="134"/>
  <c r="W13" i="134"/>
  <c r="V13" i="134"/>
  <c r="U13" i="134"/>
  <c r="T13" i="134"/>
  <c r="S13" i="134"/>
  <c r="R13" i="134"/>
  <c r="R14" i="134" s="1"/>
  <c r="Q13" i="134"/>
  <c r="P13" i="134"/>
  <c r="O13" i="134"/>
  <c r="N13" i="134"/>
  <c r="M13" i="134"/>
  <c r="L13" i="134"/>
  <c r="K13" i="134"/>
  <c r="A13" i="134"/>
  <c r="AS12" i="134"/>
  <c r="AR12" i="134"/>
  <c r="AQ12" i="134"/>
  <c r="AP12" i="134"/>
  <c r="AO12" i="134"/>
  <c r="AN12" i="134"/>
  <c r="AM12" i="134"/>
  <c r="AL12" i="134"/>
  <c r="AK12" i="134"/>
  <c r="AJ12" i="134"/>
  <c r="AI12" i="134"/>
  <c r="AH12" i="134"/>
  <c r="AG12" i="134"/>
  <c r="AF12" i="134"/>
  <c r="AE12" i="134"/>
  <c r="AD12" i="134"/>
  <c r="AC12" i="134"/>
  <c r="AB12" i="134"/>
  <c r="AA12" i="134"/>
  <c r="Z12" i="134"/>
  <c r="Y12" i="134"/>
  <c r="X12" i="134"/>
  <c r="W12" i="134"/>
  <c r="V12" i="134"/>
  <c r="U12" i="134"/>
  <c r="T12" i="134"/>
  <c r="S12" i="134"/>
  <c r="R12" i="134"/>
  <c r="Q12" i="134"/>
  <c r="P12" i="134"/>
  <c r="O12" i="134"/>
  <c r="N12" i="134"/>
  <c r="M12" i="134"/>
  <c r="L12" i="134"/>
  <c r="K12" i="134"/>
  <c r="A12" i="134"/>
  <c r="AS11" i="134"/>
  <c r="AR11" i="134"/>
  <c r="AQ11" i="134"/>
  <c r="AP11" i="134"/>
  <c r="AO11" i="134"/>
  <c r="AN11" i="134"/>
  <c r="AM11" i="134"/>
  <c r="AL11" i="134"/>
  <c r="AK11" i="134"/>
  <c r="AJ11" i="134"/>
  <c r="AI11" i="134"/>
  <c r="AH11" i="134"/>
  <c r="AG11" i="134"/>
  <c r="AF11" i="134"/>
  <c r="AE11" i="134"/>
  <c r="AD11" i="134"/>
  <c r="AC11" i="134"/>
  <c r="AB11" i="134"/>
  <c r="AA11" i="134"/>
  <c r="Z11" i="134"/>
  <c r="Y11" i="134"/>
  <c r="X11" i="134"/>
  <c r="W11" i="134"/>
  <c r="V11" i="134"/>
  <c r="U11" i="134"/>
  <c r="T11" i="134"/>
  <c r="S11" i="134"/>
  <c r="R11" i="134"/>
  <c r="Q11" i="134"/>
  <c r="P11" i="134"/>
  <c r="O11" i="134"/>
  <c r="N11" i="134"/>
  <c r="M11" i="134"/>
  <c r="L11" i="134"/>
  <c r="K11" i="134"/>
  <c r="A11" i="134"/>
  <c r="AS10" i="134"/>
  <c r="AR10" i="134"/>
  <c r="AQ10" i="134"/>
  <c r="AP10" i="134"/>
  <c r="AO10" i="134"/>
  <c r="AN10" i="134"/>
  <c r="AM10" i="134"/>
  <c r="AL10" i="134"/>
  <c r="AK10" i="134"/>
  <c r="AJ10" i="134"/>
  <c r="AI10" i="134"/>
  <c r="AH10" i="134"/>
  <c r="AG10" i="134"/>
  <c r="AF10" i="134"/>
  <c r="AE10" i="134"/>
  <c r="AD10" i="134"/>
  <c r="AC10" i="134"/>
  <c r="AB10" i="134"/>
  <c r="AA10" i="134"/>
  <c r="Z10" i="134"/>
  <c r="Y10" i="134"/>
  <c r="X10" i="134"/>
  <c r="W10" i="134"/>
  <c r="V10" i="134"/>
  <c r="U10" i="134"/>
  <c r="T10" i="134"/>
  <c r="S10" i="134"/>
  <c r="R10" i="134"/>
  <c r="Q10" i="134"/>
  <c r="P10" i="134"/>
  <c r="O10" i="134"/>
  <c r="N10" i="134"/>
  <c r="M10" i="134"/>
  <c r="L10" i="134"/>
  <c r="K10" i="134"/>
  <c r="A10" i="134"/>
  <c r="AS9" i="134"/>
  <c r="AR9" i="134"/>
  <c r="AQ9" i="134"/>
  <c r="AP9" i="134"/>
  <c r="AO9" i="134"/>
  <c r="AN9" i="134"/>
  <c r="AM9" i="134"/>
  <c r="AL9" i="134"/>
  <c r="AK9" i="134"/>
  <c r="AJ9" i="134"/>
  <c r="AI9" i="134"/>
  <c r="AH9" i="134"/>
  <c r="AG9" i="134"/>
  <c r="AF9" i="134"/>
  <c r="AE9" i="134"/>
  <c r="AD9" i="134"/>
  <c r="AC9" i="134"/>
  <c r="AB9" i="134"/>
  <c r="AA9" i="134"/>
  <c r="Z9" i="134"/>
  <c r="Y9" i="134"/>
  <c r="X9" i="134"/>
  <c r="W9" i="134"/>
  <c r="V9" i="134"/>
  <c r="U9" i="134"/>
  <c r="T9" i="134"/>
  <c r="S9" i="134"/>
  <c r="R9" i="134"/>
  <c r="Q9" i="134"/>
  <c r="P9" i="134"/>
  <c r="O9" i="134"/>
  <c r="N9" i="134"/>
  <c r="M9" i="134"/>
  <c r="L9" i="134"/>
  <c r="K9" i="134"/>
  <c r="A9" i="134"/>
  <c r="AS8" i="134"/>
  <c r="AR8" i="134"/>
  <c r="AQ8" i="134"/>
  <c r="AP8" i="134"/>
  <c r="AO8" i="134"/>
  <c r="AN8" i="134"/>
  <c r="AM8" i="134"/>
  <c r="AL8" i="134"/>
  <c r="AK8" i="134"/>
  <c r="AJ8" i="134"/>
  <c r="AI8" i="134"/>
  <c r="AH8" i="134"/>
  <c r="AG8" i="134"/>
  <c r="AF8" i="134"/>
  <c r="AE8" i="134"/>
  <c r="AD8" i="134"/>
  <c r="AC8" i="134"/>
  <c r="AB8" i="134"/>
  <c r="AA8" i="134"/>
  <c r="Z8" i="134"/>
  <c r="Y8" i="134"/>
  <c r="X8" i="134"/>
  <c r="W8" i="134"/>
  <c r="V8" i="134"/>
  <c r="U8" i="134"/>
  <c r="T8" i="134"/>
  <c r="S8" i="134"/>
  <c r="R8" i="134"/>
  <c r="Q8" i="134"/>
  <c r="P8" i="134"/>
  <c r="O8" i="134"/>
  <c r="N8" i="134"/>
  <c r="M8" i="134"/>
  <c r="L8" i="134"/>
  <c r="K8" i="134"/>
  <c r="A8" i="134"/>
  <c r="AS7" i="134"/>
  <c r="AS14" i="134"/>
  <c r="AR7" i="134"/>
  <c r="AQ7" i="134"/>
  <c r="AP7" i="134"/>
  <c r="AO7" i="134"/>
  <c r="AN7" i="134"/>
  <c r="AM7" i="134"/>
  <c r="AL7" i="134"/>
  <c r="AK7" i="134"/>
  <c r="AJ7" i="134"/>
  <c r="AI7" i="134"/>
  <c r="AH7" i="134"/>
  <c r="AG7" i="134"/>
  <c r="AF7" i="134"/>
  <c r="AE7" i="134"/>
  <c r="AD7" i="134"/>
  <c r="AC7" i="134"/>
  <c r="AB7" i="134"/>
  <c r="AA7" i="134"/>
  <c r="Z7" i="134"/>
  <c r="Y7" i="134"/>
  <c r="X7" i="134"/>
  <c r="W7" i="134"/>
  <c r="V7" i="134"/>
  <c r="U7" i="134"/>
  <c r="T7" i="134"/>
  <c r="S7" i="134"/>
  <c r="R7" i="134"/>
  <c r="Q7" i="134"/>
  <c r="P7" i="134"/>
  <c r="O7" i="134"/>
  <c r="N7" i="134"/>
  <c r="M7" i="134"/>
  <c r="L7" i="134"/>
  <c r="K7" i="134"/>
  <c r="A7" i="134"/>
  <c r="A6" i="134"/>
  <c r="CL5" i="134"/>
  <c r="CK5" i="134"/>
  <c r="CJ5" i="134"/>
  <c r="CI5" i="134"/>
  <c r="CH5" i="134"/>
  <c r="CG5" i="134"/>
  <c r="CF5" i="134"/>
  <c r="CE5" i="134"/>
  <c r="CD5" i="134"/>
  <c r="CC5" i="134"/>
  <c r="CB5" i="134"/>
  <c r="CA5" i="134"/>
  <c r="BZ5" i="134"/>
  <c r="BY5" i="134"/>
  <c r="BX5" i="134"/>
  <c r="BW5" i="134"/>
  <c r="BV5" i="134"/>
  <c r="BU5" i="134"/>
  <c r="BT5" i="134"/>
  <c r="BS5" i="134"/>
  <c r="BR5" i="134"/>
  <c r="BQ5" i="134"/>
  <c r="BP5" i="134"/>
  <c r="BO5" i="134"/>
  <c r="BN5" i="134"/>
  <c r="BM5" i="134"/>
  <c r="BL5" i="134"/>
  <c r="BK5" i="134"/>
  <c r="BJ5" i="134"/>
  <c r="BI5" i="134"/>
  <c r="BH5" i="134"/>
  <c r="BG5" i="134"/>
  <c r="BF5" i="134"/>
  <c r="BE5" i="134"/>
  <c r="BD5" i="134"/>
  <c r="BC5" i="134"/>
  <c r="BB5" i="134"/>
  <c r="BA5" i="134"/>
  <c r="AZ5" i="134"/>
  <c r="AY5" i="134"/>
  <c r="AX5" i="134"/>
  <c r="AW5" i="134"/>
  <c r="AV5" i="134"/>
  <c r="AU5" i="134"/>
  <c r="AT5" i="134"/>
  <c r="AS5" i="134"/>
  <c r="AR5" i="134"/>
  <c r="AQ5" i="134"/>
  <c r="AP5" i="134"/>
  <c r="AO5" i="134"/>
  <c r="AN5" i="134"/>
  <c r="AM5" i="134"/>
  <c r="AL5" i="134"/>
  <c r="AK5" i="134"/>
  <c r="AJ5" i="134"/>
  <c r="AI5" i="134"/>
  <c r="AH5" i="134"/>
  <c r="AG5" i="134"/>
  <c r="AF5" i="134"/>
  <c r="AE5" i="134"/>
  <c r="AD5" i="134"/>
  <c r="AC5" i="134"/>
  <c r="AB5" i="134"/>
  <c r="AA5" i="134"/>
  <c r="Z5" i="134"/>
  <c r="Y5" i="134"/>
  <c r="X5" i="134"/>
  <c r="W5" i="134"/>
  <c r="V5" i="134"/>
  <c r="U5" i="134"/>
  <c r="T5" i="134"/>
  <c r="S5" i="134"/>
  <c r="R5" i="134"/>
  <c r="Q5" i="134"/>
  <c r="P5" i="134"/>
  <c r="O5" i="134"/>
  <c r="N5" i="134"/>
  <c r="M5" i="134"/>
  <c r="L5" i="134"/>
  <c r="K5" i="134"/>
  <c r="J5" i="134"/>
  <c r="I5" i="134"/>
  <c r="H5" i="134"/>
  <c r="G5" i="134"/>
  <c r="F5" i="134"/>
  <c r="A5" i="134"/>
  <c r="A5" i="132"/>
  <c r="F5" i="132"/>
  <c r="G5" i="132"/>
  <c r="H5" i="132"/>
  <c r="I5" i="132"/>
  <c r="J5" i="132"/>
  <c r="K5" i="132"/>
  <c r="L5" i="132"/>
  <c r="M5" i="132"/>
  <c r="N5" i="132"/>
  <c r="O5" i="132"/>
  <c r="P5" i="132"/>
  <c r="Q5" i="132"/>
  <c r="R5" i="132"/>
  <c r="S5" i="132"/>
  <c r="T5" i="132"/>
  <c r="U5" i="132"/>
  <c r="V5" i="132"/>
  <c r="W5" i="132"/>
  <c r="X5" i="132"/>
  <c r="Y5" i="132"/>
  <c r="Z5" i="132"/>
  <c r="AA5" i="132"/>
  <c r="AB5" i="132"/>
  <c r="AC5" i="132"/>
  <c r="AD5" i="132"/>
  <c r="AE5" i="132"/>
  <c r="AF5" i="132"/>
  <c r="AG5" i="132"/>
  <c r="AH5" i="132"/>
  <c r="AI5" i="132"/>
  <c r="AJ5" i="132"/>
  <c r="AK5" i="132"/>
  <c r="AL5" i="132"/>
  <c r="AM5" i="132"/>
  <c r="AN5" i="132"/>
  <c r="AO5" i="132"/>
  <c r="AP5" i="132"/>
  <c r="AQ5" i="132"/>
  <c r="AR5" i="132"/>
  <c r="AS5" i="132"/>
  <c r="AT5" i="132"/>
  <c r="AU5" i="132"/>
  <c r="AV5" i="132"/>
  <c r="AW5" i="132"/>
  <c r="AX5" i="132"/>
  <c r="AY5" i="132"/>
  <c r="AZ5" i="132"/>
  <c r="BA5" i="132"/>
  <c r="BB5" i="132"/>
  <c r="BC5" i="132"/>
  <c r="BD5" i="132"/>
  <c r="BE5" i="132"/>
  <c r="BF5" i="132"/>
  <c r="BG5" i="132"/>
  <c r="BH5" i="132"/>
  <c r="BI5" i="132"/>
  <c r="BJ5" i="132"/>
  <c r="BK5" i="132"/>
  <c r="BL5" i="132"/>
  <c r="BM5" i="132"/>
  <c r="BN5" i="132"/>
  <c r="BO5" i="132"/>
  <c r="BP5" i="132"/>
  <c r="BQ5" i="132"/>
  <c r="BR5" i="132"/>
  <c r="BS5" i="132"/>
  <c r="BT5" i="132"/>
  <c r="BU5" i="132"/>
  <c r="BV5" i="132"/>
  <c r="BW5" i="132"/>
  <c r="BX5" i="132"/>
  <c r="BY5" i="132"/>
  <c r="BZ5" i="132"/>
  <c r="CA5" i="132"/>
  <c r="CB5" i="132"/>
  <c r="CC5" i="132"/>
  <c r="CD5" i="132"/>
  <c r="CE5" i="132"/>
  <c r="CF5" i="132"/>
  <c r="CG5" i="132"/>
  <c r="CH5" i="132"/>
  <c r="CI5" i="132"/>
  <c r="CJ5" i="132"/>
  <c r="CK5" i="132"/>
  <c r="CL5" i="132"/>
  <c r="A6" i="132"/>
  <c r="A7" i="132"/>
  <c r="O7" i="132"/>
  <c r="Q7" i="132"/>
  <c r="R7" i="132"/>
  <c r="S7" i="132"/>
  <c r="T7" i="132"/>
  <c r="V7" i="132"/>
  <c r="X7" i="132"/>
  <c r="Y7" i="132"/>
  <c r="AD7" i="132"/>
  <c r="AG7" i="132"/>
  <c r="AH7" i="132"/>
  <c r="AJ7" i="132"/>
  <c r="AN7" i="132"/>
  <c r="AO7" i="132"/>
  <c r="AQ7" i="132"/>
  <c r="AW7" i="132"/>
  <c r="N7" i="132" s="1"/>
  <c r="AY7" i="132"/>
  <c r="L7" i="132" s="1"/>
  <c r="BA7" i="132"/>
  <c r="P7" i="132" s="1"/>
  <c r="BC7" i="132"/>
  <c r="U7" i="132"/>
  <c r="BD7" i="132"/>
  <c r="BF7" i="132"/>
  <c r="K7" i="132" s="1"/>
  <c r="BM7" i="132"/>
  <c r="BM14" i="132" s="1"/>
  <c r="Z14" i="132" s="1"/>
  <c r="BP7" i="132"/>
  <c r="AB7" i="132" s="1"/>
  <c r="BQ7" i="132"/>
  <c r="BQ14" i="132" s="1"/>
  <c r="AA7" i="132"/>
  <c r="BR7" i="132"/>
  <c r="W7" i="132" s="1"/>
  <c r="BT7" i="132"/>
  <c r="BT14" i="132" s="1"/>
  <c r="BW7" i="132"/>
  <c r="AI7" i="132"/>
  <c r="BX7" i="132"/>
  <c r="AC7" i="132" s="1"/>
  <c r="CA7" i="132"/>
  <c r="AF7" i="132" s="1"/>
  <c r="CB7" i="132"/>
  <c r="CD7" i="132"/>
  <c r="AP7" i="132" s="1"/>
  <c r="CE7" i="132"/>
  <c r="AL7" i="132"/>
  <c r="CG7" i="132"/>
  <c r="AS7" i="132" s="1"/>
  <c r="CH7" i="132"/>
  <c r="AM7" i="132" s="1"/>
  <c r="CI7" i="132"/>
  <c r="A8" i="132"/>
  <c r="K8" i="132"/>
  <c r="L8" i="132"/>
  <c r="N8" i="132"/>
  <c r="O8" i="132"/>
  <c r="Q8" i="132"/>
  <c r="R8" i="132"/>
  <c r="S8" i="132"/>
  <c r="W8" i="132"/>
  <c r="X8" i="132"/>
  <c r="Y8" i="132"/>
  <c r="Z8" i="132"/>
  <c r="AA8" i="132"/>
  <c r="AB8" i="132"/>
  <c r="AC8" i="132"/>
  <c r="AD8" i="132"/>
  <c r="AF8" i="132"/>
  <c r="AG8" i="132"/>
  <c r="AJ8" i="132"/>
  <c r="AK8" i="132"/>
  <c r="AN8" i="132"/>
  <c r="AO8" i="132"/>
  <c r="AQ8" i="132"/>
  <c r="BA8" i="132"/>
  <c r="P8" i="132"/>
  <c r="BB8" i="132"/>
  <c r="T8" i="132" s="1"/>
  <c r="BC8" i="132"/>
  <c r="U8" i="132"/>
  <c r="BD8" i="132"/>
  <c r="M8" i="132"/>
  <c r="BJ8" i="132"/>
  <c r="V8" i="132"/>
  <c r="BP8" i="132"/>
  <c r="BT8" i="132"/>
  <c r="AE8" i="132" s="1"/>
  <c r="BW8" i="132"/>
  <c r="AI8" i="132" s="1"/>
  <c r="BZ8" i="132"/>
  <c r="AH8" i="132" s="1"/>
  <c r="CD8" i="132"/>
  <c r="AP8" i="132" s="1"/>
  <c r="CE8" i="132"/>
  <c r="AL8" i="132" s="1"/>
  <c r="CG8" i="132"/>
  <c r="AS8" i="132" s="1"/>
  <c r="CH8" i="132"/>
  <c r="AM8" i="132"/>
  <c r="CI8" i="132"/>
  <c r="AR8" i="132" s="1"/>
  <c r="A9" i="132"/>
  <c r="L9" i="132"/>
  <c r="N9" i="132"/>
  <c r="O9" i="132"/>
  <c r="R9" i="132"/>
  <c r="S9" i="132"/>
  <c r="Y9" i="132"/>
  <c r="Z9" i="132"/>
  <c r="AE9" i="132"/>
  <c r="AG9" i="132"/>
  <c r="AI9" i="132"/>
  <c r="AJ9" i="132"/>
  <c r="AL9" i="132"/>
  <c r="AN9" i="132"/>
  <c r="AO9" i="132"/>
  <c r="AP9" i="132"/>
  <c r="AQ9" i="132"/>
  <c r="AU9" i="132"/>
  <c r="Q9" i="132" s="1"/>
  <c r="BA9" i="132"/>
  <c r="P9" i="132" s="1"/>
  <c r="BB9" i="132"/>
  <c r="T9" i="132"/>
  <c r="BC9" i="132"/>
  <c r="U9" i="132" s="1"/>
  <c r="BD9" i="132"/>
  <c r="M9" i="132" s="1"/>
  <c r="BF9" i="132"/>
  <c r="K9" i="132" s="1"/>
  <c r="BI9" i="132"/>
  <c r="X9" i="132"/>
  <c r="BJ9" i="132"/>
  <c r="V9" i="132" s="1"/>
  <c r="BP9" i="132"/>
  <c r="AB9" i="132" s="1"/>
  <c r="BQ9" i="132"/>
  <c r="AA9" i="132" s="1"/>
  <c r="BR9" i="132"/>
  <c r="W9" i="132"/>
  <c r="BU9" i="132"/>
  <c r="AD9" i="132" s="1"/>
  <c r="BX9" i="132"/>
  <c r="AC9" i="132" s="1"/>
  <c r="BZ9" i="132"/>
  <c r="AH9" i="132" s="1"/>
  <c r="CA9" i="132"/>
  <c r="AF9" i="132" s="1"/>
  <c r="CB9" i="132"/>
  <c r="AK9" i="132" s="1"/>
  <c r="CG9" i="132"/>
  <c r="AS9" i="132" s="1"/>
  <c r="CH9" i="132"/>
  <c r="AM9" i="132" s="1"/>
  <c r="CI9" i="132"/>
  <c r="AR9" i="132" s="1"/>
  <c r="A10" i="132"/>
  <c r="K10" i="132"/>
  <c r="O10" i="132"/>
  <c r="R10" i="132"/>
  <c r="S10" i="132"/>
  <c r="W10" i="132"/>
  <c r="X10" i="132"/>
  <c r="Y10" i="132"/>
  <c r="AC10" i="132"/>
  <c r="AE10" i="132"/>
  <c r="AF10" i="132"/>
  <c r="AG10" i="132"/>
  <c r="AJ10" i="132"/>
  <c r="AN10" i="132"/>
  <c r="AO10" i="132"/>
  <c r="AQ10" i="132"/>
  <c r="AS10" i="132"/>
  <c r="AU10" i="132"/>
  <c r="Q10" i="132" s="1"/>
  <c r="AW10" i="132"/>
  <c r="N10" i="132"/>
  <c r="AY10" i="132"/>
  <c r="L10" i="132" s="1"/>
  <c r="BA10" i="132"/>
  <c r="P10" i="132" s="1"/>
  <c r="BB10" i="132"/>
  <c r="T10" i="132" s="1"/>
  <c r="BC10" i="132"/>
  <c r="U10" i="132"/>
  <c r="BD10" i="132"/>
  <c r="M10" i="132" s="1"/>
  <c r="BJ10" i="132"/>
  <c r="V10" i="132" s="1"/>
  <c r="BM10" i="132"/>
  <c r="Z10" i="132" s="1"/>
  <c r="BP10" i="132"/>
  <c r="AB10" i="132" s="1"/>
  <c r="BQ10" i="132"/>
  <c r="AA10" i="132" s="1"/>
  <c r="BU10" i="132"/>
  <c r="AD10" i="132" s="1"/>
  <c r="BW10" i="132"/>
  <c r="AI10" i="132"/>
  <c r="BZ10" i="132"/>
  <c r="AH10" i="132"/>
  <c r="CB10" i="132"/>
  <c r="AK10" i="132"/>
  <c r="CD10" i="132"/>
  <c r="AP10" i="132" s="1"/>
  <c r="CE10" i="132"/>
  <c r="AL10" i="132"/>
  <c r="CH10" i="132"/>
  <c r="AM10" i="132"/>
  <c r="CI10" i="132"/>
  <c r="AR10" i="132"/>
  <c r="A11" i="132"/>
  <c r="O11" i="132"/>
  <c r="AJ11" i="132"/>
  <c r="AU11" i="132"/>
  <c r="Q11" i="132" s="1"/>
  <c r="AV11" i="132"/>
  <c r="S11" i="132" s="1"/>
  <c r="AW11" i="132"/>
  <c r="N11" i="132" s="1"/>
  <c r="AX11" i="132"/>
  <c r="R11" i="132" s="1"/>
  <c r="AY11" i="132"/>
  <c r="L11" i="132" s="1"/>
  <c r="BA11" i="132"/>
  <c r="P11" i="132" s="1"/>
  <c r="BB11" i="132"/>
  <c r="T11" i="132" s="1"/>
  <c r="BC11" i="132"/>
  <c r="U11" i="132" s="1"/>
  <c r="BD11" i="132"/>
  <c r="M11" i="132" s="1"/>
  <c r="BF11" i="132"/>
  <c r="K11" i="132" s="1"/>
  <c r="BI11" i="132"/>
  <c r="X11" i="132" s="1"/>
  <c r="BJ11" i="132"/>
  <c r="V11" i="132"/>
  <c r="BM11" i="132"/>
  <c r="Z11" i="132" s="1"/>
  <c r="BN11" i="132"/>
  <c r="Y11" i="132"/>
  <c r="BP11" i="132"/>
  <c r="AB11" i="132"/>
  <c r="BQ11" i="132"/>
  <c r="AA11" i="132"/>
  <c r="BR11" i="132"/>
  <c r="W11" i="132" s="1"/>
  <c r="BT11" i="132"/>
  <c r="AE11" i="132"/>
  <c r="BU11" i="132"/>
  <c r="AD11" i="132"/>
  <c r="BV11" i="132"/>
  <c r="AG11" i="132"/>
  <c r="BW11" i="132"/>
  <c r="AI11" i="132" s="1"/>
  <c r="BX11" i="132"/>
  <c r="AC11" i="132"/>
  <c r="BZ11" i="132"/>
  <c r="AH11" i="132"/>
  <c r="CA11" i="132"/>
  <c r="AF11" i="132"/>
  <c r="CB11" i="132"/>
  <c r="AK11" i="132" s="1"/>
  <c r="CC11" i="132"/>
  <c r="AO11" i="132"/>
  <c r="CD11" i="132"/>
  <c r="AP11" i="132"/>
  <c r="CE11" i="132"/>
  <c r="AL11" i="132" s="1"/>
  <c r="CG11" i="132"/>
  <c r="AS11" i="132" s="1"/>
  <c r="CH11" i="132"/>
  <c r="AM11" i="132" s="1"/>
  <c r="CI11" i="132"/>
  <c r="AR11" i="132" s="1"/>
  <c r="CJ11" i="132"/>
  <c r="AN11" i="132" s="1"/>
  <c r="CK11" i="132"/>
  <c r="AQ11" i="132" s="1"/>
  <c r="A12" i="132"/>
  <c r="O12" i="132"/>
  <c r="AJ12" i="132"/>
  <c r="AU12" i="132"/>
  <c r="Q12" i="132" s="1"/>
  <c r="AV12" i="132"/>
  <c r="S12" i="132"/>
  <c r="AW12" i="132"/>
  <c r="N12" i="132"/>
  <c r="AX12" i="132"/>
  <c r="R12" i="132"/>
  <c r="AY12" i="132"/>
  <c r="L12" i="132" s="1"/>
  <c r="BA12" i="132"/>
  <c r="P12" i="132"/>
  <c r="BB12" i="132"/>
  <c r="T12" i="132"/>
  <c r="BC12" i="132"/>
  <c r="U12" i="132"/>
  <c r="BD12" i="132"/>
  <c r="M12" i="132" s="1"/>
  <c r="BF12" i="132"/>
  <c r="K12" i="132" s="1"/>
  <c r="BI12" i="132"/>
  <c r="X12" i="132" s="1"/>
  <c r="BJ12" i="132"/>
  <c r="V12" i="132" s="1"/>
  <c r="BM12" i="132"/>
  <c r="Z12" i="132" s="1"/>
  <c r="BN12" i="132"/>
  <c r="Y12" i="132" s="1"/>
  <c r="BP12" i="132"/>
  <c r="AB12" i="132" s="1"/>
  <c r="BQ12" i="132"/>
  <c r="AA12" i="132" s="1"/>
  <c r="BR12" i="132"/>
  <c r="W12" i="132" s="1"/>
  <c r="BT12" i="132"/>
  <c r="AE12" i="132"/>
  <c r="BU12" i="132"/>
  <c r="AD12" i="132" s="1"/>
  <c r="BV12" i="132"/>
  <c r="AG12" i="132" s="1"/>
  <c r="BW12" i="132"/>
  <c r="AI12" i="132" s="1"/>
  <c r="BX12" i="132"/>
  <c r="AC12" i="132" s="1"/>
  <c r="BZ12" i="132"/>
  <c r="AH12" i="132" s="1"/>
  <c r="CA12" i="132"/>
  <c r="AF12" i="132" s="1"/>
  <c r="CB12" i="132"/>
  <c r="AK12" i="132" s="1"/>
  <c r="CC12" i="132"/>
  <c r="AO12" i="132" s="1"/>
  <c r="CD12" i="132"/>
  <c r="AP12" i="132" s="1"/>
  <c r="CE12" i="132"/>
  <c r="AL12" i="132" s="1"/>
  <c r="CG12" i="132"/>
  <c r="AS12" i="132" s="1"/>
  <c r="CH12" i="132"/>
  <c r="AM12" i="132" s="1"/>
  <c r="CI12" i="132"/>
  <c r="AR12" i="132" s="1"/>
  <c r="CJ12" i="132"/>
  <c r="AN12" i="132" s="1"/>
  <c r="CK12" i="132"/>
  <c r="AQ12" i="132" s="1"/>
  <c r="A13" i="132"/>
  <c r="K13" i="132"/>
  <c r="L13" i="132"/>
  <c r="M13" i="132"/>
  <c r="N13" i="132"/>
  <c r="O13" i="132"/>
  <c r="P13" i="132"/>
  <c r="Q13" i="132"/>
  <c r="R13" i="132"/>
  <c r="R14" i="132"/>
  <c r="S13" i="132"/>
  <c r="T13" i="132"/>
  <c r="U13" i="132"/>
  <c r="V13" i="132"/>
  <c r="V14" i="132" s="1"/>
  <c r="W13" i="132"/>
  <c r="X13" i="132"/>
  <c r="X14" i="132" s="1"/>
  <c r="Y13" i="132"/>
  <c r="Z13" i="132"/>
  <c r="AA13" i="132"/>
  <c r="AB13" i="132"/>
  <c r="AC13" i="132"/>
  <c r="AD13" i="132"/>
  <c r="AE13" i="132"/>
  <c r="AF13" i="132"/>
  <c r="AG13" i="132"/>
  <c r="AH13" i="132"/>
  <c r="AI13" i="132"/>
  <c r="AJ13" i="132"/>
  <c r="AK13" i="132"/>
  <c r="AL13" i="132"/>
  <c r="AM13" i="132"/>
  <c r="AN13" i="132"/>
  <c r="AO13" i="132"/>
  <c r="AP13" i="132"/>
  <c r="AQ13" i="132"/>
  <c r="AR13" i="132"/>
  <c r="AS13" i="132"/>
  <c r="A14" i="132"/>
  <c r="F14" i="132"/>
  <c r="G14" i="132"/>
  <c r="H14" i="132"/>
  <c r="I14" i="132"/>
  <c r="AT14" i="132"/>
  <c r="AU14" i="132"/>
  <c r="Q14" i="132" s="1"/>
  <c r="AV14" i="132"/>
  <c r="S14" i="132"/>
  <c r="AX14" i="132"/>
  <c r="BA14" i="132"/>
  <c r="BB14" i="132"/>
  <c r="T14" i="132" s="1"/>
  <c r="BC14" i="132"/>
  <c r="U14" i="132" s="1"/>
  <c r="BE14" i="132"/>
  <c r="O14" i="132" s="1"/>
  <c r="BF14" i="132"/>
  <c r="K14" i="132" s="1"/>
  <c r="BG14" i="132"/>
  <c r="BH14" i="132"/>
  <c r="BI14" i="132"/>
  <c r="BJ14" i="132"/>
  <c r="BK14" i="132"/>
  <c r="BL14" i="132"/>
  <c r="BN14" i="132"/>
  <c r="BO14" i="132"/>
  <c r="BR14" i="132"/>
  <c r="W14" i="132" s="1"/>
  <c r="BS14" i="132"/>
  <c r="BU14" i="132"/>
  <c r="AD14" i="132" s="1"/>
  <c r="BV14" i="132"/>
  <c r="AG14" i="132" s="1"/>
  <c r="BW14" i="132"/>
  <c r="AI14" i="132" s="1"/>
  <c r="BY14" i="132"/>
  <c r="AJ14" i="132" s="1"/>
  <c r="BZ14" i="132"/>
  <c r="AH14" i="132" s="1"/>
  <c r="CC14" i="132"/>
  <c r="AO14" i="132" s="1"/>
  <c r="CD14" i="132"/>
  <c r="AP14" i="132" s="1"/>
  <c r="CE14" i="132"/>
  <c r="AL14" i="132" s="1"/>
  <c r="CF14" i="132"/>
  <c r="CJ14" i="132"/>
  <c r="AN14" i="132" s="1"/>
  <c r="CK14" i="132"/>
  <c r="AQ14" i="132"/>
  <c r="CL14" i="132"/>
  <c r="A15" i="132"/>
  <c r="A16" i="132"/>
  <c r="K16" i="132"/>
  <c r="L16" i="132"/>
  <c r="M16" i="132"/>
  <c r="N16" i="132"/>
  <c r="O16" i="132"/>
  <c r="P16" i="132"/>
  <c r="Q16" i="132"/>
  <c r="R16" i="132"/>
  <c r="S16" i="132"/>
  <c r="T16" i="132"/>
  <c r="U16" i="132"/>
  <c r="V16" i="132"/>
  <c r="W16" i="132"/>
  <c r="X16" i="132"/>
  <c r="Y16" i="132"/>
  <c r="Z16" i="132"/>
  <c r="AA16" i="132"/>
  <c r="AB16" i="132"/>
  <c r="AC16" i="132"/>
  <c r="AD16" i="132"/>
  <c r="AE16" i="132"/>
  <c r="AF16" i="132"/>
  <c r="AG16" i="132"/>
  <c r="AH16" i="132"/>
  <c r="AI16" i="132"/>
  <c r="AJ16" i="132"/>
  <c r="AK16" i="132"/>
  <c r="AL16" i="132"/>
  <c r="AM16" i="132"/>
  <c r="AN16" i="132"/>
  <c r="AO16" i="132"/>
  <c r="AP16" i="132"/>
  <c r="AQ16" i="132"/>
  <c r="AR16" i="132"/>
  <c r="AS16" i="132"/>
  <c r="A17" i="132"/>
  <c r="F17" i="132"/>
  <c r="G17" i="132"/>
  <c r="H17" i="132"/>
  <c r="I17" i="132"/>
  <c r="K17" i="132"/>
  <c r="L17" i="132"/>
  <c r="M17" i="132"/>
  <c r="N17" i="132"/>
  <c r="O17" i="132"/>
  <c r="P17" i="132"/>
  <c r="Q17" i="132"/>
  <c r="R17" i="132"/>
  <c r="S17" i="132"/>
  <c r="T17" i="132"/>
  <c r="U17" i="132"/>
  <c r="V17" i="132"/>
  <c r="W17" i="132"/>
  <c r="X17" i="132"/>
  <c r="Y17" i="132"/>
  <c r="Z17" i="132"/>
  <c r="AA17" i="132"/>
  <c r="AB17" i="132"/>
  <c r="AC17" i="132"/>
  <c r="AD17" i="132"/>
  <c r="AE17" i="132"/>
  <c r="AF17" i="132"/>
  <c r="AG17" i="132"/>
  <c r="AH17" i="132"/>
  <c r="AI17" i="132"/>
  <c r="AJ17" i="132"/>
  <c r="AK17" i="132"/>
  <c r="AL17" i="132"/>
  <c r="AM17" i="132"/>
  <c r="AN17" i="132"/>
  <c r="AO17" i="132"/>
  <c r="AP17" i="132"/>
  <c r="AQ17" i="132"/>
  <c r="AR17" i="132"/>
  <c r="AS17" i="132"/>
  <c r="A18" i="132"/>
  <c r="K18" i="132"/>
  <c r="L18" i="132"/>
  <c r="M18" i="132"/>
  <c r="N18" i="132"/>
  <c r="O18" i="132"/>
  <c r="P18" i="132"/>
  <c r="Q18" i="132"/>
  <c r="R18" i="132"/>
  <c r="S18" i="132"/>
  <c r="T18" i="132"/>
  <c r="U18" i="132"/>
  <c r="V18" i="132"/>
  <c r="W18" i="132"/>
  <c r="X18" i="132"/>
  <c r="Y18" i="132"/>
  <c r="Z18" i="132"/>
  <c r="AA18" i="132"/>
  <c r="AB18" i="132"/>
  <c r="AC18" i="132"/>
  <c r="AD18" i="132"/>
  <c r="AE18" i="132"/>
  <c r="AF18" i="132"/>
  <c r="AG18" i="132"/>
  <c r="AH18" i="132"/>
  <c r="AI18" i="132"/>
  <c r="AJ18" i="132"/>
  <c r="AK18" i="132"/>
  <c r="AL18" i="132"/>
  <c r="AM18" i="132"/>
  <c r="AN18" i="132"/>
  <c r="AO18" i="132"/>
  <c r="AP18" i="132"/>
  <c r="AQ18" i="132"/>
  <c r="AR18" i="132"/>
  <c r="AS18" i="132"/>
  <c r="A19" i="132"/>
  <c r="K19" i="132"/>
  <c r="L19" i="132"/>
  <c r="M19" i="132"/>
  <c r="N19" i="132"/>
  <c r="O19" i="132"/>
  <c r="P19" i="132"/>
  <c r="Q19" i="132"/>
  <c r="R19" i="132"/>
  <c r="S19" i="132"/>
  <c r="T19" i="132"/>
  <c r="U19" i="132"/>
  <c r="V19" i="132"/>
  <c r="W19" i="132"/>
  <c r="X19" i="132"/>
  <c r="Y19" i="132"/>
  <c r="Z19" i="132"/>
  <c r="AA19" i="132"/>
  <c r="AB19" i="132"/>
  <c r="AC19" i="132"/>
  <c r="AD19" i="132"/>
  <c r="AE19" i="132"/>
  <c r="AF19" i="132"/>
  <c r="AG19" i="132"/>
  <c r="AH19" i="132"/>
  <c r="AI19" i="132"/>
  <c r="AJ19" i="132"/>
  <c r="AK19" i="132"/>
  <c r="AL19" i="132"/>
  <c r="AM19" i="132"/>
  <c r="AN19" i="132"/>
  <c r="AO19" i="132"/>
  <c r="AP19" i="132"/>
  <c r="AQ19" i="132"/>
  <c r="AR19" i="132"/>
  <c r="AS19" i="132"/>
  <c r="A20" i="132"/>
  <c r="K20" i="132"/>
  <c r="L20" i="132"/>
  <c r="M20" i="132"/>
  <c r="N20" i="132"/>
  <c r="O20" i="132"/>
  <c r="P20" i="132"/>
  <c r="Q20" i="132"/>
  <c r="Q21" i="132" s="1"/>
  <c r="R20" i="132"/>
  <c r="S20" i="132"/>
  <c r="T20" i="132"/>
  <c r="U20" i="132"/>
  <c r="V20" i="132"/>
  <c r="W20" i="132"/>
  <c r="X20" i="132"/>
  <c r="Y20" i="132"/>
  <c r="Z20" i="132"/>
  <c r="AA20" i="132"/>
  <c r="AB20" i="132"/>
  <c r="AC20" i="132"/>
  <c r="AD20" i="132"/>
  <c r="AE20" i="132"/>
  <c r="AF20" i="132"/>
  <c r="AG20" i="132"/>
  <c r="AH20" i="132"/>
  <c r="AI20" i="132"/>
  <c r="AJ20" i="132"/>
  <c r="AK20" i="132"/>
  <c r="AL20" i="132"/>
  <c r="AM20" i="132"/>
  <c r="AN20" i="132"/>
  <c r="AO20" i="132"/>
  <c r="AP20" i="132"/>
  <c r="AQ20" i="132"/>
  <c r="AR20" i="132"/>
  <c r="AS20" i="132"/>
  <c r="A21" i="132"/>
  <c r="F21" i="132"/>
  <c r="G21" i="132"/>
  <c r="H21" i="132"/>
  <c r="I21" i="132"/>
  <c r="AT21" i="132"/>
  <c r="AU21" i="132"/>
  <c r="AV21" i="132"/>
  <c r="AW21" i="132"/>
  <c r="AX21" i="132"/>
  <c r="AY21" i="132"/>
  <c r="AZ21" i="132"/>
  <c r="BA21" i="132"/>
  <c r="BB21" i="132"/>
  <c r="BC21" i="132"/>
  <c r="BD21" i="132"/>
  <c r="BE21" i="132"/>
  <c r="BF21" i="132"/>
  <c r="BG21" i="132"/>
  <c r="BH21" i="132"/>
  <c r="BI21" i="132"/>
  <c r="BJ21" i="132"/>
  <c r="BK21" i="132"/>
  <c r="BL21" i="132"/>
  <c r="BM21" i="132"/>
  <c r="BN21" i="132"/>
  <c r="BO21" i="132"/>
  <c r="BP21" i="132"/>
  <c r="BQ21" i="132"/>
  <c r="BR21" i="132"/>
  <c r="BS21" i="132"/>
  <c r="BT21" i="132"/>
  <c r="BU21" i="132"/>
  <c r="BV21" i="132"/>
  <c r="BW21" i="132"/>
  <c r="BX21" i="132"/>
  <c r="BY21" i="132"/>
  <c r="BZ21" i="132"/>
  <c r="CA21" i="132"/>
  <c r="CB21" i="132"/>
  <c r="CC21" i="132"/>
  <c r="CD21" i="132"/>
  <c r="CE21" i="132"/>
  <c r="CF21" i="132"/>
  <c r="CG21" i="132"/>
  <c r="CH21" i="132"/>
  <c r="CI21" i="132"/>
  <c r="CJ21" i="132"/>
  <c r="CK21" i="132"/>
  <c r="CL21" i="132"/>
  <c r="A22" i="132"/>
  <c r="Q22" i="132"/>
  <c r="A23" i="132"/>
  <c r="K23" i="132"/>
  <c r="L23" i="132"/>
  <c r="M23" i="132"/>
  <c r="N23" i="132"/>
  <c r="O23" i="132"/>
  <c r="P23" i="132"/>
  <c r="P32" i="132" s="1"/>
  <c r="P33" i="132" s="1"/>
  <c r="Q23" i="132"/>
  <c r="R23" i="132"/>
  <c r="R32" i="132" s="1"/>
  <c r="R33" i="132" s="1"/>
  <c r="S23" i="132"/>
  <c r="T23" i="132"/>
  <c r="U23" i="132"/>
  <c r="V23" i="132"/>
  <c r="W23" i="132"/>
  <c r="X23" i="132"/>
  <c r="X32" i="132" s="1"/>
  <c r="X33" i="132" s="1"/>
  <c r="Y23" i="132"/>
  <c r="Z23" i="132"/>
  <c r="AA23" i="132"/>
  <c r="AA32" i="132" s="1"/>
  <c r="AA33" i="132" s="1"/>
  <c r="AB23" i="132"/>
  <c r="AC23" i="132"/>
  <c r="AD23" i="132"/>
  <c r="AE23" i="132"/>
  <c r="AF23" i="132"/>
  <c r="AG23" i="132"/>
  <c r="AH23" i="132"/>
  <c r="AI23" i="132"/>
  <c r="AJ23" i="132"/>
  <c r="AK23" i="132"/>
  <c r="AL23" i="132"/>
  <c r="AM23" i="132"/>
  <c r="AN23" i="132"/>
  <c r="AO23" i="132"/>
  <c r="AP23" i="132"/>
  <c r="AQ23" i="132"/>
  <c r="AR23" i="132"/>
  <c r="AS23" i="132"/>
  <c r="A24" i="132"/>
  <c r="F24" i="132"/>
  <c r="G24" i="132"/>
  <c r="H24" i="132"/>
  <c r="I24" i="132"/>
  <c r="O24" i="132"/>
  <c r="AG24" i="132"/>
  <c r="AT24" i="132"/>
  <c r="AT31" i="135" s="1"/>
  <c r="AU24" i="132"/>
  <c r="Q24" i="132"/>
  <c r="AV24" i="132"/>
  <c r="AW24" i="132"/>
  <c r="N24" i="132" s="1"/>
  <c r="AX24" i="132"/>
  <c r="AX31" i="140" s="1"/>
  <c r="AY24" i="132"/>
  <c r="AY31" i="140" s="1"/>
  <c r="L31" i="140" s="1"/>
  <c r="AZ24" i="132"/>
  <c r="BA24" i="132"/>
  <c r="BA31" i="140" s="1"/>
  <c r="BB24" i="132"/>
  <c r="T24" i="132" s="1"/>
  <c r="BC24" i="132"/>
  <c r="BC31" i="140" s="1"/>
  <c r="U31" i="140" s="1"/>
  <c r="BD24" i="132"/>
  <c r="BD31" i="132" s="1"/>
  <c r="BF24" i="132"/>
  <c r="K24" i="132"/>
  <c r="BI24" i="132"/>
  <c r="BI31" i="140" s="1"/>
  <c r="BJ24" i="132"/>
  <c r="BM24" i="132"/>
  <c r="BN24" i="132"/>
  <c r="Y24" i="132" s="1"/>
  <c r="BP24" i="132"/>
  <c r="BQ24" i="132"/>
  <c r="BR24" i="132"/>
  <c r="W24" i="132" s="1"/>
  <c r="BS24" i="132"/>
  <c r="BT24" i="132"/>
  <c r="BU24" i="132"/>
  <c r="BU31" i="140" s="1"/>
  <c r="AD31" i="140" s="1"/>
  <c r="BV24" i="132"/>
  <c r="BV31" i="140" s="1"/>
  <c r="AG31" i="140" s="1"/>
  <c r="BW24" i="132"/>
  <c r="AI24" i="132" s="1"/>
  <c r="BX24" i="132"/>
  <c r="BX31" i="140" s="1"/>
  <c r="AC31" i="140" s="1"/>
  <c r="BY24" i="132"/>
  <c r="BY31" i="140" s="1"/>
  <c r="AJ31" i="140" s="1"/>
  <c r="BY31" i="136"/>
  <c r="AJ31" i="136" s="1"/>
  <c r="BZ24" i="132"/>
  <c r="BZ31" i="140" s="1"/>
  <c r="AH31" i="140" s="1"/>
  <c r="CA24" i="132"/>
  <c r="CA31" i="140" s="1"/>
  <c r="AF31" i="140" s="1"/>
  <c r="CB24" i="132"/>
  <c r="CC24" i="132"/>
  <c r="AO24" i="132" s="1"/>
  <c r="CD24" i="132"/>
  <c r="CD31" i="140" s="1"/>
  <c r="AP31" i="140" s="1"/>
  <c r="CE24" i="132"/>
  <c r="AL24" i="132" s="1"/>
  <c r="CG24" i="132"/>
  <c r="CH24" i="132"/>
  <c r="CH31" i="140" s="1"/>
  <c r="AM31" i="140" s="1"/>
  <c r="CI24" i="132"/>
  <c r="CI31" i="140" s="1"/>
  <c r="AR31" i="140" s="1"/>
  <c r="CJ24" i="132"/>
  <c r="CJ31" i="140" s="1"/>
  <c r="AN31" i="140" s="1"/>
  <c r="CJ31" i="134"/>
  <c r="AN31" i="134" s="1"/>
  <c r="CK24" i="132"/>
  <c r="CK31" i="140" s="1"/>
  <c r="AQ31" i="140" s="1"/>
  <c r="CL24" i="132"/>
  <c r="A25" i="132"/>
  <c r="K25" i="132"/>
  <c r="L25" i="132"/>
  <c r="M25" i="132"/>
  <c r="N25" i="132"/>
  <c r="O25" i="132"/>
  <c r="Q25" i="132"/>
  <c r="R25" i="132"/>
  <c r="S25" i="132"/>
  <c r="T25" i="132"/>
  <c r="U25" i="132"/>
  <c r="W25" i="132"/>
  <c r="X25" i="132"/>
  <c r="Y25" i="132"/>
  <c r="Z25" i="132"/>
  <c r="AA25" i="132"/>
  <c r="AB25" i="132"/>
  <c r="AC25" i="132"/>
  <c r="AD25" i="132"/>
  <c r="AF25" i="132"/>
  <c r="AG25" i="132"/>
  <c r="AH25" i="132"/>
  <c r="AI25" i="132"/>
  <c r="AK25" i="132"/>
  <c r="AL25" i="132"/>
  <c r="AM25" i="132"/>
  <c r="AN25" i="132"/>
  <c r="AO25" i="132"/>
  <c r="AP25" i="132"/>
  <c r="AQ25" i="132"/>
  <c r="AR25" i="132"/>
  <c r="AS25" i="132"/>
  <c r="BA25" i="132"/>
  <c r="P25" i="132" s="1"/>
  <c r="BJ25" i="132"/>
  <c r="V25" i="132" s="1"/>
  <c r="BT25" i="132"/>
  <c r="AE25" i="132" s="1"/>
  <c r="BY25" i="132"/>
  <c r="AJ25" i="132" s="1"/>
  <c r="A26" i="132"/>
  <c r="F26" i="132"/>
  <c r="G26" i="132"/>
  <c r="H26" i="132"/>
  <c r="I26" i="132"/>
  <c r="O26" i="132"/>
  <c r="AA26" i="132"/>
  <c r="AU26" i="132"/>
  <c r="Q26" i="132" s="1"/>
  <c r="AV26" i="132"/>
  <c r="S26" i="132" s="1"/>
  <c r="AW26" i="132"/>
  <c r="N26" i="132" s="1"/>
  <c r="AX26" i="132"/>
  <c r="R26" i="132" s="1"/>
  <c r="AY26" i="132"/>
  <c r="L26" i="132" s="1"/>
  <c r="BA26" i="132"/>
  <c r="P26" i="132" s="1"/>
  <c r="BB26" i="132"/>
  <c r="T26" i="132" s="1"/>
  <c r="BC26" i="132"/>
  <c r="U26" i="132" s="1"/>
  <c r="BD26" i="132"/>
  <c r="M26" i="132" s="1"/>
  <c r="BF26" i="132"/>
  <c r="K26" i="132" s="1"/>
  <c r="BI26" i="132"/>
  <c r="X26" i="132" s="1"/>
  <c r="BJ26" i="132"/>
  <c r="V26" i="132" s="1"/>
  <c r="BM26" i="132"/>
  <c r="Z26" i="132" s="1"/>
  <c r="BN26" i="132"/>
  <c r="Y26" i="132" s="1"/>
  <c r="BP26" i="132"/>
  <c r="AB26" i="132" s="1"/>
  <c r="BR26" i="132"/>
  <c r="W26" i="132" s="1"/>
  <c r="BS26" i="132"/>
  <c r="BT26" i="132"/>
  <c r="BU26" i="132"/>
  <c r="AD26" i="132"/>
  <c r="BV26" i="132"/>
  <c r="AG26" i="132"/>
  <c r="BW26" i="132"/>
  <c r="AI26" i="132" s="1"/>
  <c r="BX26" i="132"/>
  <c r="AC26" i="132"/>
  <c r="BY26" i="132"/>
  <c r="AJ26" i="132"/>
  <c r="BZ26" i="132"/>
  <c r="AH26" i="132"/>
  <c r="CA26" i="132"/>
  <c r="AF26" i="132" s="1"/>
  <c r="CB26" i="132"/>
  <c r="AK26" i="132"/>
  <c r="CC26" i="132"/>
  <c r="AO26" i="132"/>
  <c r="CD26" i="132"/>
  <c r="AP26" i="132"/>
  <c r="CE26" i="132"/>
  <c r="AL26" i="132" s="1"/>
  <c r="CG26" i="132"/>
  <c r="AS26" i="132"/>
  <c r="CH26" i="132"/>
  <c r="AM26" i="132" s="1"/>
  <c r="CI26" i="132"/>
  <c r="AR26" i="132" s="1"/>
  <c r="CJ26" i="132"/>
  <c r="AN26" i="132" s="1"/>
  <c r="CK26" i="132"/>
  <c r="AQ26" i="132" s="1"/>
  <c r="CL26" i="132"/>
  <c r="A27" i="132"/>
  <c r="F27" i="132"/>
  <c r="G27" i="132"/>
  <c r="H27" i="132"/>
  <c r="I27" i="132"/>
  <c r="AU27" i="132"/>
  <c r="Q27" i="132" s="1"/>
  <c r="AV27" i="132"/>
  <c r="S27" i="132" s="1"/>
  <c r="AW27" i="132"/>
  <c r="N27" i="132" s="1"/>
  <c r="AX27" i="132"/>
  <c r="R27" i="132"/>
  <c r="AY27" i="132"/>
  <c r="L27" i="132" s="1"/>
  <c r="BA27" i="132"/>
  <c r="P27" i="132" s="1"/>
  <c r="BB27" i="132"/>
  <c r="T27" i="132" s="1"/>
  <c r="BC27" i="132"/>
  <c r="U27" i="132"/>
  <c r="BD27" i="132"/>
  <c r="M27" i="132" s="1"/>
  <c r="BE27" i="132"/>
  <c r="O27" i="132" s="1"/>
  <c r="BF27" i="132"/>
  <c r="K27" i="132" s="1"/>
  <c r="BI27" i="132"/>
  <c r="X27" i="132"/>
  <c r="BJ27" i="132"/>
  <c r="V27" i="132" s="1"/>
  <c r="BM27" i="132"/>
  <c r="Z27" i="132" s="1"/>
  <c r="BN27" i="132"/>
  <c r="Y27" i="132" s="1"/>
  <c r="BP27" i="132"/>
  <c r="AB27" i="132"/>
  <c r="BQ27" i="132"/>
  <c r="AA27" i="132" s="1"/>
  <c r="BR27" i="132"/>
  <c r="W27" i="132" s="1"/>
  <c r="BS27" i="132"/>
  <c r="BT27" i="132"/>
  <c r="BU27" i="132"/>
  <c r="AD27" i="132"/>
  <c r="BV27" i="132"/>
  <c r="AG27" i="132" s="1"/>
  <c r="BW27" i="132"/>
  <c r="AI27" i="132" s="1"/>
  <c r="BX27" i="132"/>
  <c r="AC27" i="132" s="1"/>
  <c r="BY27" i="132"/>
  <c r="AJ27" i="132" s="1"/>
  <c r="BZ27" i="132"/>
  <c r="AH27" i="132" s="1"/>
  <c r="CA27" i="132"/>
  <c r="AF27" i="132" s="1"/>
  <c r="CB27" i="132"/>
  <c r="AK27" i="132" s="1"/>
  <c r="CC27" i="132"/>
  <c r="AO27" i="132" s="1"/>
  <c r="CD27" i="132"/>
  <c r="AP27" i="132" s="1"/>
  <c r="CE27" i="132"/>
  <c r="AL27" i="132" s="1"/>
  <c r="CG27" i="132"/>
  <c r="AS27" i="132" s="1"/>
  <c r="CH27" i="132"/>
  <c r="AM27" i="132" s="1"/>
  <c r="CI27" i="132"/>
  <c r="AR27" i="132" s="1"/>
  <c r="CJ27" i="132"/>
  <c r="AN27" i="132" s="1"/>
  <c r="CK27" i="132"/>
  <c r="AQ27" i="132" s="1"/>
  <c r="CL27" i="132"/>
  <c r="A28" i="132"/>
  <c r="F28" i="132"/>
  <c r="G28" i="132"/>
  <c r="H28" i="132"/>
  <c r="I28" i="132"/>
  <c r="K28" i="132"/>
  <c r="L28" i="132"/>
  <c r="M28" i="132"/>
  <c r="N28" i="132"/>
  <c r="O28" i="132"/>
  <c r="P28" i="132"/>
  <c r="Q28" i="132"/>
  <c r="R28" i="132"/>
  <c r="S28" i="132"/>
  <c r="T28" i="132"/>
  <c r="U28" i="132"/>
  <c r="V28" i="132"/>
  <c r="W28" i="132"/>
  <c r="X28" i="132"/>
  <c r="Y28" i="132"/>
  <c r="Z28" i="132"/>
  <c r="AA28" i="132"/>
  <c r="AB28" i="132"/>
  <c r="AC28" i="132"/>
  <c r="AD28" i="132"/>
  <c r="AE28" i="132"/>
  <c r="AF28" i="132"/>
  <c r="AG28" i="132"/>
  <c r="AH28" i="132"/>
  <c r="AI28" i="132"/>
  <c r="AJ28" i="132"/>
  <c r="AK28" i="132"/>
  <c r="AL28" i="132"/>
  <c r="AM28" i="132"/>
  <c r="AN28" i="132"/>
  <c r="AO28" i="132"/>
  <c r="AP28" i="132"/>
  <c r="AQ28" i="132"/>
  <c r="AR28" i="132"/>
  <c r="AS28" i="132"/>
  <c r="A29" i="132"/>
  <c r="K29" i="132"/>
  <c r="L29" i="132"/>
  <c r="M29" i="132"/>
  <c r="N29" i="132"/>
  <c r="O29" i="132"/>
  <c r="P29" i="132"/>
  <c r="Q29" i="132"/>
  <c r="R29" i="132"/>
  <c r="S29" i="132"/>
  <c r="T29" i="132"/>
  <c r="U29" i="132"/>
  <c r="V29" i="132"/>
  <c r="W29" i="132"/>
  <c r="X29" i="132"/>
  <c r="Y29" i="132"/>
  <c r="Z29" i="132"/>
  <c r="AA29" i="132"/>
  <c r="AB29" i="132"/>
  <c r="AC29" i="132"/>
  <c r="AD29" i="132"/>
  <c r="AE29" i="132"/>
  <c r="AF29" i="132"/>
  <c r="AG29" i="132"/>
  <c r="AH29" i="132"/>
  <c r="AI29" i="132"/>
  <c r="AJ29" i="132"/>
  <c r="AK29" i="132"/>
  <c r="AL29" i="132"/>
  <c r="AM29" i="132"/>
  <c r="AN29" i="132"/>
  <c r="AO29" i="132"/>
  <c r="AP29" i="132"/>
  <c r="AQ29" i="132"/>
  <c r="AR29" i="132"/>
  <c r="AS29" i="132"/>
  <c r="A30" i="132"/>
  <c r="F30" i="132"/>
  <c r="G30" i="132"/>
  <c r="H30" i="132"/>
  <c r="I30" i="132"/>
  <c r="AT30" i="132"/>
  <c r="AU30" i="132"/>
  <c r="Q30" i="132" s="1"/>
  <c r="AV30" i="132"/>
  <c r="S30" i="132" s="1"/>
  <c r="AW30" i="132"/>
  <c r="N30" i="132" s="1"/>
  <c r="AX30" i="132"/>
  <c r="AY30" i="132"/>
  <c r="L30" i="132"/>
  <c r="AZ30" i="132"/>
  <c r="BA30" i="132"/>
  <c r="BB30" i="132"/>
  <c r="T30" i="132"/>
  <c r="BC30" i="132"/>
  <c r="U30" i="132" s="1"/>
  <c r="BD30" i="132"/>
  <c r="M30" i="132"/>
  <c r="BE30" i="132"/>
  <c r="O30" i="132"/>
  <c r="BF30" i="132"/>
  <c r="K30" i="132"/>
  <c r="BG30" i="132"/>
  <c r="BH30" i="132"/>
  <c r="BI30" i="132"/>
  <c r="BJ30" i="132"/>
  <c r="BK30" i="132"/>
  <c r="BL30" i="132"/>
  <c r="BM30" i="132"/>
  <c r="Z30" i="132"/>
  <c r="BN30" i="132"/>
  <c r="BO30" i="132"/>
  <c r="BP30" i="132"/>
  <c r="AB30" i="132"/>
  <c r="BQ30" i="132"/>
  <c r="BR30" i="132"/>
  <c r="W30" i="132" s="1"/>
  <c r="BS30" i="132"/>
  <c r="BT30" i="132"/>
  <c r="BU30" i="132"/>
  <c r="AD30" i="132" s="1"/>
  <c r="BV30" i="132"/>
  <c r="AG30" i="132"/>
  <c r="BW30" i="132"/>
  <c r="AI30" i="132" s="1"/>
  <c r="BX30" i="132"/>
  <c r="AC30" i="132" s="1"/>
  <c r="BY30" i="132"/>
  <c r="AJ30" i="132" s="1"/>
  <c r="BZ30" i="132"/>
  <c r="AH30" i="132" s="1"/>
  <c r="CA30" i="132"/>
  <c r="AF30" i="132" s="1"/>
  <c r="CB30" i="132"/>
  <c r="AK30" i="132" s="1"/>
  <c r="CC30" i="132"/>
  <c r="AO30" i="132" s="1"/>
  <c r="CD30" i="132"/>
  <c r="AP30" i="132" s="1"/>
  <c r="CE30" i="132"/>
  <c r="AL30" i="132" s="1"/>
  <c r="CF30" i="132"/>
  <c r="CG30" i="132"/>
  <c r="CH30" i="132"/>
  <c r="AM30" i="132" s="1"/>
  <c r="CI30" i="132"/>
  <c r="AR30" i="132" s="1"/>
  <c r="CJ30" i="132"/>
  <c r="AN30" i="132"/>
  <c r="CK30" i="132"/>
  <c r="AQ30" i="132"/>
  <c r="CL30" i="132"/>
  <c r="A31" i="132"/>
  <c r="B31" i="132"/>
  <c r="A32" i="132"/>
  <c r="K32" i="132"/>
  <c r="L32" i="132"/>
  <c r="M32" i="132"/>
  <c r="N32" i="132"/>
  <c r="O32" i="132"/>
  <c r="Q32" i="132"/>
  <c r="S32" i="132"/>
  <c r="T32" i="132"/>
  <c r="U32" i="132"/>
  <c r="V32" i="132"/>
  <c r="V33" i="132" s="1"/>
  <c r="W32" i="132"/>
  <c r="Y32" i="132"/>
  <c r="Z32" i="132"/>
  <c r="AB32" i="132"/>
  <c r="AC32" i="132"/>
  <c r="AD32" i="132"/>
  <c r="AE32" i="132"/>
  <c r="AE33" i="132" s="1"/>
  <c r="AF32" i="132"/>
  <c r="AG32" i="132"/>
  <c r="AH32" i="132"/>
  <c r="AI32" i="132"/>
  <c r="AJ32" i="132"/>
  <c r="AK32" i="132"/>
  <c r="AL32" i="132"/>
  <c r="AM32" i="132"/>
  <c r="AN32" i="132"/>
  <c r="AO32" i="132"/>
  <c r="AP32" i="132"/>
  <c r="AQ32" i="132"/>
  <c r="AR32" i="132"/>
  <c r="AS32" i="132"/>
  <c r="AS33" i="132" s="1"/>
  <c r="A33" i="132"/>
  <c r="F33" i="132"/>
  <c r="G33" i="132"/>
  <c r="H33" i="132"/>
  <c r="I33" i="132"/>
  <c r="Y33" i="132"/>
  <c r="AT33" i="132"/>
  <c r="AU33" i="132"/>
  <c r="Q33" i="132" s="1"/>
  <c r="AV33" i="132"/>
  <c r="S33" i="132" s="1"/>
  <c r="AW33" i="132"/>
  <c r="N33" i="132"/>
  <c r="AX33" i="132"/>
  <c r="AY33" i="132"/>
  <c r="L33" i="132" s="1"/>
  <c r="AZ33" i="132"/>
  <c r="BA33" i="132"/>
  <c r="BB33" i="132"/>
  <c r="T33" i="132" s="1"/>
  <c r="BC33" i="132"/>
  <c r="U33" i="132" s="1"/>
  <c r="BD33" i="132"/>
  <c r="M33" i="132" s="1"/>
  <c r="BE33" i="132"/>
  <c r="O33" i="132" s="1"/>
  <c r="BF33" i="132"/>
  <c r="K33" i="132" s="1"/>
  <c r="BG33" i="132"/>
  <c r="BH33" i="132"/>
  <c r="BI33" i="132"/>
  <c r="BJ33" i="132"/>
  <c r="BK33" i="132"/>
  <c r="BL33" i="132"/>
  <c r="BM33" i="132"/>
  <c r="Z33" i="132" s="1"/>
  <c r="BN33" i="132"/>
  <c r="BO33" i="132"/>
  <c r="BP33" i="132"/>
  <c r="AB33" i="132" s="1"/>
  <c r="BQ33" i="132"/>
  <c r="BR33" i="132"/>
  <c r="W33" i="132" s="1"/>
  <c r="BS33" i="132"/>
  <c r="BT33" i="132"/>
  <c r="BU33" i="132"/>
  <c r="AD33" i="132" s="1"/>
  <c r="BV33" i="132"/>
  <c r="AG33" i="132" s="1"/>
  <c r="BW33" i="132"/>
  <c r="AI33" i="132"/>
  <c r="BX33" i="132"/>
  <c r="AC33" i="132" s="1"/>
  <c r="BY33" i="132"/>
  <c r="AJ33" i="132" s="1"/>
  <c r="BZ33" i="132"/>
  <c r="AH33" i="132" s="1"/>
  <c r="CA33" i="132"/>
  <c r="AF33" i="132" s="1"/>
  <c r="CB33" i="132"/>
  <c r="AK33" i="132" s="1"/>
  <c r="CC33" i="132"/>
  <c r="AO33" i="132" s="1"/>
  <c r="CD33" i="132"/>
  <c r="AP33" i="132" s="1"/>
  <c r="CE33" i="132"/>
  <c r="AL33" i="132" s="1"/>
  <c r="CF33" i="132"/>
  <c r="CG33" i="132"/>
  <c r="CH33" i="132"/>
  <c r="AM33" i="132" s="1"/>
  <c r="CI33" i="132"/>
  <c r="AR33" i="132" s="1"/>
  <c r="CJ33" i="132"/>
  <c r="AN33" i="132" s="1"/>
  <c r="CK33" i="132"/>
  <c r="AQ33" i="132" s="1"/>
  <c r="CL33" i="132"/>
  <c r="A34" i="132"/>
  <c r="A35" i="132"/>
  <c r="K35" i="132"/>
  <c r="L35" i="132"/>
  <c r="M35" i="132"/>
  <c r="N35" i="132"/>
  <c r="O35" i="132"/>
  <c r="P35" i="132"/>
  <c r="P30" i="132" s="1"/>
  <c r="Q35" i="132"/>
  <c r="R35" i="132"/>
  <c r="R50" i="132" s="1"/>
  <c r="R30" i="132"/>
  <c r="S35" i="132"/>
  <c r="T35" i="132"/>
  <c r="U35" i="132"/>
  <c r="V35" i="132"/>
  <c r="W35" i="132"/>
  <c r="X35" i="132"/>
  <c r="X50" i="132" s="1"/>
  <c r="Y35" i="132"/>
  <c r="Z35" i="132"/>
  <c r="AA35" i="132"/>
  <c r="AB35" i="132"/>
  <c r="AC35" i="132"/>
  <c r="AD35" i="132"/>
  <c r="AE35" i="132"/>
  <c r="AF35" i="132"/>
  <c r="AG35" i="132"/>
  <c r="AH35" i="132"/>
  <c r="AI35" i="132"/>
  <c r="AJ35" i="132"/>
  <c r="AK35" i="132"/>
  <c r="AL35" i="132"/>
  <c r="AM35" i="132"/>
  <c r="AN35" i="132"/>
  <c r="AO35" i="132"/>
  <c r="AP35" i="132"/>
  <c r="AQ35" i="132"/>
  <c r="AR35" i="132"/>
  <c r="AS35" i="132"/>
  <c r="A36" i="132"/>
  <c r="K36" i="132"/>
  <c r="L36" i="132"/>
  <c r="M36" i="132"/>
  <c r="N36" i="132"/>
  <c r="O36" i="132"/>
  <c r="P36" i="132"/>
  <c r="Q36" i="132"/>
  <c r="R36" i="132"/>
  <c r="S36" i="132"/>
  <c r="T36" i="132"/>
  <c r="U36" i="132"/>
  <c r="V36" i="132"/>
  <c r="W36" i="132"/>
  <c r="X36" i="132"/>
  <c r="Y36" i="132"/>
  <c r="Z36" i="132"/>
  <c r="AA36" i="132"/>
  <c r="AB36" i="132"/>
  <c r="AC36" i="132"/>
  <c r="AD36" i="132"/>
  <c r="AE36" i="132"/>
  <c r="AF36" i="132"/>
  <c r="AG36" i="132"/>
  <c r="AH36" i="132"/>
  <c r="AI36" i="132"/>
  <c r="AJ36" i="132"/>
  <c r="AK36" i="132"/>
  <c r="AL36" i="132"/>
  <c r="AM36" i="132"/>
  <c r="AN36" i="132"/>
  <c r="AO36" i="132"/>
  <c r="AP36" i="132"/>
  <c r="AQ36" i="132"/>
  <c r="AR36" i="132"/>
  <c r="AS36" i="132"/>
  <c r="A37" i="132"/>
  <c r="K37" i="132"/>
  <c r="L37" i="132"/>
  <c r="M37" i="132"/>
  <c r="N37" i="132"/>
  <c r="O37" i="132"/>
  <c r="P37" i="132"/>
  <c r="Q37" i="132"/>
  <c r="R37" i="132"/>
  <c r="S37" i="132"/>
  <c r="T37" i="132"/>
  <c r="U37" i="132"/>
  <c r="V37" i="132"/>
  <c r="W37" i="132"/>
  <c r="X37" i="132"/>
  <c r="Y37" i="132"/>
  <c r="Z37" i="132"/>
  <c r="AA37" i="132"/>
  <c r="AB37" i="132"/>
  <c r="AC37" i="132"/>
  <c r="AD37" i="132"/>
  <c r="AE37" i="132"/>
  <c r="AF37" i="132"/>
  <c r="AG37" i="132"/>
  <c r="AH37" i="132"/>
  <c r="AI37" i="132"/>
  <c r="AJ37" i="132"/>
  <c r="AK37" i="132"/>
  <c r="AL37" i="132"/>
  <c r="AM37" i="132"/>
  <c r="AN37" i="132"/>
  <c r="AO37" i="132"/>
  <c r="AP37" i="132"/>
  <c r="AQ37" i="132"/>
  <c r="AR37" i="132"/>
  <c r="AS37" i="132"/>
  <c r="A38" i="132"/>
  <c r="K38" i="132"/>
  <c r="L38" i="132"/>
  <c r="M38" i="132"/>
  <c r="N38" i="132"/>
  <c r="O38" i="132"/>
  <c r="P38" i="132"/>
  <c r="Q38" i="132"/>
  <c r="R38" i="132"/>
  <c r="S38" i="132"/>
  <c r="T38" i="132"/>
  <c r="U38" i="132"/>
  <c r="V38" i="132"/>
  <c r="W38" i="132"/>
  <c r="X38" i="132"/>
  <c r="Y38" i="132"/>
  <c r="Z38" i="132"/>
  <c r="AA38" i="132"/>
  <c r="AB38" i="132"/>
  <c r="AC38" i="132"/>
  <c r="AD38" i="132"/>
  <c r="AE38" i="132"/>
  <c r="AF38" i="132"/>
  <c r="AG38" i="132"/>
  <c r="AH38" i="132"/>
  <c r="AI38" i="132"/>
  <c r="AJ38" i="132"/>
  <c r="AK38" i="132"/>
  <c r="AL38" i="132"/>
  <c r="AM38" i="132"/>
  <c r="AN38" i="132"/>
  <c r="AO38" i="132"/>
  <c r="AP38" i="132"/>
  <c r="AQ38" i="132"/>
  <c r="AR38" i="132"/>
  <c r="AS38" i="132"/>
  <c r="A39" i="132"/>
  <c r="K39" i="132"/>
  <c r="L39" i="132"/>
  <c r="M39" i="132"/>
  <c r="N39" i="132"/>
  <c r="O39" i="132"/>
  <c r="P39" i="132"/>
  <c r="Q39" i="132"/>
  <c r="R39" i="132"/>
  <c r="S39" i="132"/>
  <c r="T39" i="132"/>
  <c r="U39" i="132"/>
  <c r="V39" i="132"/>
  <c r="W39" i="132"/>
  <c r="X39" i="132"/>
  <c r="Y39" i="132"/>
  <c r="Z39" i="132"/>
  <c r="AA39" i="132"/>
  <c r="AB39" i="132"/>
  <c r="AC39" i="132"/>
  <c r="AD39" i="132"/>
  <c r="AE39" i="132"/>
  <c r="AF39" i="132"/>
  <c r="AG39" i="132"/>
  <c r="AH39" i="132"/>
  <c r="AI39" i="132"/>
  <c r="AJ39" i="132"/>
  <c r="AK39" i="132"/>
  <c r="AL39" i="132"/>
  <c r="AM39" i="132"/>
  <c r="AN39" i="132"/>
  <c r="AO39" i="132"/>
  <c r="AP39" i="132"/>
  <c r="AQ39" i="132"/>
  <c r="AR39" i="132"/>
  <c r="AS39" i="132"/>
  <c r="A40" i="132"/>
  <c r="A41" i="132"/>
  <c r="K41" i="132"/>
  <c r="L41" i="132"/>
  <c r="M41" i="132"/>
  <c r="N41" i="132"/>
  <c r="O41" i="132"/>
  <c r="P41" i="132"/>
  <c r="Q41" i="132"/>
  <c r="R41" i="132"/>
  <c r="S41" i="132"/>
  <c r="T41" i="132"/>
  <c r="U41" i="132"/>
  <c r="V41" i="132"/>
  <c r="W41" i="132"/>
  <c r="X41" i="132"/>
  <c r="Y41" i="132"/>
  <c r="Z41" i="132"/>
  <c r="AA41" i="132"/>
  <c r="AB41" i="132"/>
  <c r="AC41" i="132"/>
  <c r="AD41" i="132"/>
  <c r="AE41" i="132"/>
  <c r="AF41" i="132"/>
  <c r="AG41" i="132"/>
  <c r="AH41" i="132"/>
  <c r="AI41" i="132"/>
  <c r="AJ41" i="132"/>
  <c r="AK41" i="132"/>
  <c r="AL41" i="132"/>
  <c r="AM41" i="132"/>
  <c r="AN41" i="132"/>
  <c r="AO41" i="132"/>
  <c r="AP41" i="132"/>
  <c r="AQ41" i="132"/>
  <c r="AR41" i="132"/>
  <c r="AS41" i="132"/>
  <c r="A42" i="132"/>
  <c r="K42" i="132"/>
  <c r="L42" i="132"/>
  <c r="M42" i="132"/>
  <c r="N42" i="132"/>
  <c r="O42" i="132"/>
  <c r="P42" i="132"/>
  <c r="Q42" i="132"/>
  <c r="R42" i="132"/>
  <c r="R44" i="132" s="1"/>
  <c r="S42" i="132"/>
  <c r="T42" i="132"/>
  <c r="U42" i="132"/>
  <c r="V42" i="132"/>
  <c r="V44" i="132" s="1"/>
  <c r="W42" i="132"/>
  <c r="X42" i="132"/>
  <c r="Y42" i="132"/>
  <c r="Z42" i="132"/>
  <c r="AA42" i="132"/>
  <c r="AB42" i="132"/>
  <c r="AC42" i="132"/>
  <c r="AD42" i="132"/>
  <c r="AE42" i="132"/>
  <c r="AE44" i="132" s="1"/>
  <c r="AF42" i="132"/>
  <c r="AG42" i="132"/>
  <c r="AH42" i="132"/>
  <c r="AI42" i="132"/>
  <c r="AJ42" i="132"/>
  <c r="AK42" i="132"/>
  <c r="AL42" i="132"/>
  <c r="AM42" i="132"/>
  <c r="AN42" i="132"/>
  <c r="AO42" i="132"/>
  <c r="AP42" i="132"/>
  <c r="AQ42" i="132"/>
  <c r="AR42" i="132"/>
  <c r="AS42" i="132"/>
  <c r="AS44" i="132" s="1"/>
  <c r="A43" i="132"/>
  <c r="A44" i="132"/>
  <c r="K44" i="132"/>
  <c r="L44" i="132"/>
  <c r="M44" i="132"/>
  <c r="N44" i="132"/>
  <c r="O44" i="132"/>
  <c r="P44" i="132"/>
  <c r="Q44" i="132"/>
  <c r="S44" i="132"/>
  <c r="T44" i="132"/>
  <c r="U44" i="132"/>
  <c r="W44" i="132"/>
  <c r="X44" i="132"/>
  <c r="Y44" i="132"/>
  <c r="Z44" i="132"/>
  <c r="AA44" i="132"/>
  <c r="AB44" i="132"/>
  <c r="AC44" i="132"/>
  <c r="AD44" i="132"/>
  <c r="AF44" i="132"/>
  <c r="AG44" i="132"/>
  <c r="AH44" i="132"/>
  <c r="AI44" i="132"/>
  <c r="AJ44" i="132"/>
  <c r="AK44" i="132"/>
  <c r="AL44" i="132"/>
  <c r="AM44" i="132"/>
  <c r="AN44" i="132"/>
  <c r="AO44" i="132"/>
  <c r="AP44" i="132"/>
  <c r="AQ44" i="132"/>
  <c r="AR44" i="132"/>
  <c r="A45" i="132"/>
  <c r="K45" i="132"/>
  <c r="L45" i="132"/>
  <c r="M45" i="132"/>
  <c r="N45" i="132"/>
  <c r="O45" i="132"/>
  <c r="Q45" i="132"/>
  <c r="S45" i="132"/>
  <c r="T45" i="132"/>
  <c r="U45" i="132"/>
  <c r="W45" i="132"/>
  <c r="Z45" i="132"/>
  <c r="AB45" i="132"/>
  <c r="AC45" i="132"/>
  <c r="AD45" i="132"/>
  <c r="AF45" i="132"/>
  <c r="AG45" i="132"/>
  <c r="AH45" i="132"/>
  <c r="AI45" i="132"/>
  <c r="AJ45" i="132"/>
  <c r="AK45" i="132"/>
  <c r="AL45" i="132"/>
  <c r="AM45" i="132"/>
  <c r="AN45" i="132"/>
  <c r="AO45" i="132"/>
  <c r="AP45" i="132"/>
  <c r="AQ45" i="132"/>
  <c r="AR45" i="132"/>
  <c r="AS45" i="132"/>
  <c r="A46" i="132"/>
  <c r="K46" i="132"/>
  <c r="L46" i="132"/>
  <c r="M46" i="132"/>
  <c r="N46" i="132"/>
  <c r="O46" i="132"/>
  <c r="Q46" i="132"/>
  <c r="S46" i="132"/>
  <c r="T46" i="132"/>
  <c r="U46" i="132"/>
  <c r="W46" i="132"/>
  <c r="Z46" i="132"/>
  <c r="AB46" i="132"/>
  <c r="AC46" i="132"/>
  <c r="AD46" i="132"/>
  <c r="AF46" i="132"/>
  <c r="AG46" i="132"/>
  <c r="AH46" i="132"/>
  <c r="AI46" i="132"/>
  <c r="AJ46" i="132"/>
  <c r="AK46" i="132"/>
  <c r="AL46" i="132"/>
  <c r="AM46" i="132"/>
  <c r="AN46" i="132"/>
  <c r="AO46" i="132"/>
  <c r="AP46" i="132"/>
  <c r="AQ46" i="132"/>
  <c r="AR46" i="132"/>
  <c r="AS46" i="132"/>
  <c r="A47" i="132"/>
  <c r="AT47" i="132"/>
  <c r="AZ47" i="132"/>
  <c r="BA47" i="132"/>
  <c r="BH47" i="132"/>
  <c r="BJ47" i="132"/>
  <c r="BK47" i="132"/>
  <c r="BL47" i="132"/>
  <c r="BS47" i="132"/>
  <c r="A48" i="132"/>
  <c r="K48" i="132"/>
  <c r="L48" i="132"/>
  <c r="M48" i="132"/>
  <c r="N48" i="132"/>
  <c r="O48" i="132"/>
  <c r="P48" i="132"/>
  <c r="Q48" i="132"/>
  <c r="R48" i="132"/>
  <c r="S48" i="132"/>
  <c r="T48" i="132"/>
  <c r="U48" i="132"/>
  <c r="V48" i="132"/>
  <c r="W48" i="132"/>
  <c r="X48" i="132"/>
  <c r="Y48" i="132"/>
  <c r="Z48" i="132"/>
  <c r="AA48" i="132"/>
  <c r="AB48" i="132"/>
  <c r="AC48" i="132"/>
  <c r="AD48" i="132"/>
  <c r="AE48" i="132"/>
  <c r="AF48" i="132"/>
  <c r="AG48" i="132"/>
  <c r="AH48" i="132"/>
  <c r="AI48" i="132"/>
  <c r="AJ48" i="132"/>
  <c r="AK48" i="132"/>
  <c r="AL48" i="132"/>
  <c r="AM48" i="132"/>
  <c r="AN48" i="132"/>
  <c r="AO48" i="132"/>
  <c r="AP48" i="132"/>
  <c r="AQ48" i="132"/>
  <c r="AR48" i="132"/>
  <c r="AS48" i="132"/>
  <c r="A49" i="132"/>
  <c r="K49" i="132"/>
  <c r="L49" i="132"/>
  <c r="M49" i="132"/>
  <c r="N49" i="132"/>
  <c r="O49" i="132"/>
  <c r="P49" i="132"/>
  <c r="Q49" i="132"/>
  <c r="R49" i="132"/>
  <c r="S49" i="132"/>
  <c r="T49" i="132"/>
  <c r="U49" i="132"/>
  <c r="V49" i="132"/>
  <c r="W49" i="132"/>
  <c r="X49" i="132"/>
  <c r="Y49" i="132"/>
  <c r="Z49" i="132"/>
  <c r="AA49" i="132"/>
  <c r="AB49" i="132"/>
  <c r="AC49" i="132"/>
  <c r="AD49" i="132"/>
  <c r="AE49" i="132"/>
  <c r="AF49" i="132"/>
  <c r="AG49" i="132"/>
  <c r="AH49" i="132"/>
  <c r="AI49" i="132"/>
  <c r="AJ49" i="132"/>
  <c r="AK49" i="132"/>
  <c r="AL49" i="132"/>
  <c r="AM49" i="132"/>
  <c r="AN49" i="132"/>
  <c r="AO49" i="132"/>
  <c r="AP49" i="132"/>
  <c r="AQ49" i="132"/>
  <c r="AR49" i="132"/>
  <c r="AS49" i="132"/>
  <c r="A50" i="132"/>
  <c r="K50" i="132"/>
  <c r="L50" i="132"/>
  <c r="M50" i="132"/>
  <c r="N50" i="132"/>
  <c r="O50" i="132"/>
  <c r="P50" i="132"/>
  <c r="Q50" i="132"/>
  <c r="S50" i="132"/>
  <c r="T50" i="132"/>
  <c r="U50" i="132"/>
  <c r="W50" i="132"/>
  <c r="Z50" i="132"/>
  <c r="AA50" i="132"/>
  <c r="AB50" i="132"/>
  <c r="AC50" i="132"/>
  <c r="AD50" i="132"/>
  <c r="AE50" i="132"/>
  <c r="AF50" i="132"/>
  <c r="AG50" i="132"/>
  <c r="AH50" i="132"/>
  <c r="AI50" i="132"/>
  <c r="AJ50" i="132"/>
  <c r="AK50" i="132"/>
  <c r="AL50" i="132"/>
  <c r="AM50" i="132"/>
  <c r="AN50" i="132"/>
  <c r="AO50" i="132"/>
  <c r="AP50" i="132"/>
  <c r="AQ50" i="132"/>
  <c r="AR50" i="132"/>
  <c r="A51" i="132"/>
  <c r="C51" i="132"/>
  <c r="F51" i="132"/>
  <c r="G51" i="132"/>
  <c r="H51" i="132"/>
  <c r="I51" i="132"/>
  <c r="AT51" i="132"/>
  <c r="AU51" i="132"/>
  <c r="Q51" i="132" s="1"/>
  <c r="AV51" i="132"/>
  <c r="S51" i="132" s="1"/>
  <c r="AW51" i="132"/>
  <c r="N51" i="132" s="1"/>
  <c r="AX51" i="132"/>
  <c r="AY51" i="132"/>
  <c r="L51" i="132"/>
  <c r="AZ51" i="132"/>
  <c r="BA51" i="132"/>
  <c r="BB51" i="132"/>
  <c r="T51" i="132"/>
  <c r="BC51" i="132"/>
  <c r="U51" i="132"/>
  <c r="BD51" i="132"/>
  <c r="M51" i="132"/>
  <c r="BE51" i="132"/>
  <c r="O51" i="132" s="1"/>
  <c r="BF51" i="132"/>
  <c r="K51" i="132" s="1"/>
  <c r="BG51" i="132"/>
  <c r="BH51" i="132"/>
  <c r="BI51" i="132"/>
  <c r="BJ51" i="132"/>
  <c r="BK51" i="132"/>
  <c r="BL51" i="132"/>
  <c r="BM51" i="132"/>
  <c r="Z51" i="132" s="1"/>
  <c r="BN51" i="132"/>
  <c r="BO51" i="132"/>
  <c r="BP51" i="132"/>
  <c r="AB51" i="132" s="1"/>
  <c r="BQ51" i="132"/>
  <c r="BR51" i="132"/>
  <c r="W51" i="132" s="1"/>
  <c r="BS51" i="132"/>
  <c r="BT51" i="132"/>
  <c r="BU51" i="132"/>
  <c r="AD51" i="132"/>
  <c r="BV51" i="132"/>
  <c r="AG51" i="132" s="1"/>
  <c r="BW51" i="132"/>
  <c r="AI51" i="132" s="1"/>
  <c r="BX51" i="132"/>
  <c r="AC51" i="132" s="1"/>
  <c r="BY51" i="132"/>
  <c r="AJ51" i="132" s="1"/>
  <c r="BZ51" i="132"/>
  <c r="AH51" i="132" s="1"/>
  <c r="CA51" i="132"/>
  <c r="AF51" i="132" s="1"/>
  <c r="CB51" i="132"/>
  <c r="AK51" i="132" s="1"/>
  <c r="CC51" i="132"/>
  <c r="AO51" i="132"/>
  <c r="CD51" i="132"/>
  <c r="AP51" i="132"/>
  <c r="CE51" i="132"/>
  <c r="AL51" i="132" s="1"/>
  <c r="CG51" i="132"/>
  <c r="CH51" i="132"/>
  <c r="AM51" i="132" s="1"/>
  <c r="CI51" i="132"/>
  <c r="AR51" i="132" s="1"/>
  <c r="CJ51" i="132"/>
  <c r="AN51" i="132" s="1"/>
  <c r="CK51" i="132"/>
  <c r="AQ51" i="132" s="1"/>
  <c r="CL51" i="132"/>
  <c r="A52" i="132"/>
  <c r="G53" i="132"/>
  <c r="H53" i="132"/>
  <c r="AU53" i="132"/>
  <c r="Q53" i="132" s="1"/>
  <c r="AW53" i="132"/>
  <c r="N53" i="132" s="1"/>
  <c r="BA53" i="132"/>
  <c r="BH53" i="132"/>
  <c r="BI53" i="132"/>
  <c r="BQ53" i="132"/>
  <c r="CC53" i="132"/>
  <c r="AO53" i="132" s="1"/>
  <c r="A53" i="132"/>
  <c r="I53" i="132"/>
  <c r="AT53" i="132"/>
  <c r="AV53" i="132"/>
  <c r="S53" i="132" s="1"/>
  <c r="AX53" i="132"/>
  <c r="AY53" i="132"/>
  <c r="L53" i="132"/>
  <c r="AZ53" i="132"/>
  <c r="BB53" i="132"/>
  <c r="T53" i="132" s="1"/>
  <c r="BC53" i="132"/>
  <c r="U53" i="132" s="1"/>
  <c r="BD53" i="132"/>
  <c r="M53" i="132" s="1"/>
  <c r="BE53" i="132"/>
  <c r="O53" i="132" s="1"/>
  <c r="BG53" i="132"/>
  <c r="BJ53" i="132"/>
  <c r="BL53" i="132"/>
  <c r="BN53" i="132"/>
  <c r="BT53" i="132"/>
  <c r="BU53" i="132"/>
  <c r="AD53" i="132"/>
  <c r="BV53" i="132"/>
  <c r="AG53" i="132" s="1"/>
  <c r="AI53" i="132"/>
  <c r="BY53" i="132"/>
  <c r="AJ53" i="132" s="1"/>
  <c r="BZ53" i="132"/>
  <c r="AH53" i="132" s="1"/>
  <c r="CB53" i="132"/>
  <c r="AK53" i="132" s="1"/>
  <c r="CD53" i="132"/>
  <c r="AP53" i="132" s="1"/>
  <c r="CE53" i="132"/>
  <c r="AL53" i="132" s="1"/>
  <c r="CG53" i="132"/>
  <c r="CI53" i="132"/>
  <c r="AR53" i="132"/>
  <c r="CJ53" i="132"/>
  <c r="AN53" i="132" s="1"/>
  <c r="CK53" i="132"/>
  <c r="AQ53" i="132" s="1"/>
  <c r="A54" i="132"/>
  <c r="F54" i="132"/>
  <c r="G54" i="132"/>
  <c r="H54" i="132"/>
  <c r="I54" i="132"/>
  <c r="AT54" i="132"/>
  <c r="AU54" i="132"/>
  <c r="Q54" i="132" s="1"/>
  <c r="AV54" i="132"/>
  <c r="S54" i="132" s="1"/>
  <c r="AW54" i="132"/>
  <c r="N54" i="132" s="1"/>
  <c r="AX54" i="132"/>
  <c r="AY54" i="132"/>
  <c r="L54" i="132"/>
  <c r="AZ54" i="132"/>
  <c r="BA54" i="132"/>
  <c r="BB54" i="132"/>
  <c r="T54" i="132" s="1"/>
  <c r="BC54" i="132"/>
  <c r="U54" i="132" s="1"/>
  <c r="BD54" i="132"/>
  <c r="M54" i="132" s="1"/>
  <c r="BE54" i="132"/>
  <c r="O54" i="132" s="1"/>
  <c r="BF54" i="132"/>
  <c r="K54" i="132" s="1"/>
  <c r="BH54" i="132"/>
  <c r="BI54" i="132"/>
  <c r="BJ54" i="132"/>
  <c r="BK54" i="132"/>
  <c r="BL54" i="132"/>
  <c r="BM54" i="132"/>
  <c r="Z54" i="132" s="1"/>
  <c r="BN54" i="132"/>
  <c r="BO54" i="132"/>
  <c r="BP54" i="132"/>
  <c r="AB54" i="132"/>
  <c r="BQ54" i="132"/>
  <c r="BR54" i="132"/>
  <c r="W54" i="132" s="1"/>
  <c r="BT54" i="132"/>
  <c r="BU54" i="132"/>
  <c r="AD54" i="132"/>
  <c r="BV54" i="132"/>
  <c r="AG54" i="132" s="1"/>
  <c r="BW54" i="132"/>
  <c r="AI54" i="132" s="1"/>
  <c r="BX54" i="132"/>
  <c r="AC54" i="132" s="1"/>
  <c r="BY54" i="132"/>
  <c r="AJ54" i="132" s="1"/>
  <c r="BZ54" i="132"/>
  <c r="AH54" i="132" s="1"/>
  <c r="CA54" i="132"/>
  <c r="AF54" i="132" s="1"/>
  <c r="CB54" i="132"/>
  <c r="AK54" i="132" s="1"/>
  <c r="CC54" i="132"/>
  <c r="AO54" i="132" s="1"/>
  <c r="CD54" i="132"/>
  <c r="AP54" i="132" s="1"/>
  <c r="CE54" i="132"/>
  <c r="AL54" i="132" s="1"/>
  <c r="CF54" i="132"/>
  <c r="CG54" i="132"/>
  <c r="CH54" i="132"/>
  <c r="AM54" i="132" s="1"/>
  <c r="CI54" i="132"/>
  <c r="AR54" i="132" s="1"/>
  <c r="CJ54" i="132"/>
  <c r="AN54" i="132"/>
  <c r="CK54" i="132"/>
  <c r="AQ54" i="132"/>
  <c r="CL54" i="132"/>
  <c r="A55" i="132"/>
  <c r="A56" i="132"/>
  <c r="K56" i="132"/>
  <c r="L56" i="132"/>
  <c r="M56" i="132"/>
  <c r="N56" i="132"/>
  <c r="O56" i="132"/>
  <c r="P56" i="132"/>
  <c r="Q56" i="132"/>
  <c r="R56" i="132"/>
  <c r="S56" i="132"/>
  <c r="T56" i="132"/>
  <c r="U56" i="132"/>
  <c r="V56" i="132"/>
  <c r="W56" i="132"/>
  <c r="X56" i="132"/>
  <c r="Y56" i="132"/>
  <c r="Z56" i="132"/>
  <c r="AA56" i="132"/>
  <c r="AB56" i="132"/>
  <c r="AC56" i="132"/>
  <c r="AD56" i="132"/>
  <c r="AE56" i="132"/>
  <c r="AF56" i="132"/>
  <c r="AG56" i="132"/>
  <c r="AH56" i="132"/>
  <c r="AI56" i="132"/>
  <c r="AJ56" i="132"/>
  <c r="AK56" i="132"/>
  <c r="AL56" i="132"/>
  <c r="AM56" i="132"/>
  <c r="AN56" i="132"/>
  <c r="AO56" i="132"/>
  <c r="AP56" i="132"/>
  <c r="AQ56" i="132"/>
  <c r="AR56" i="132"/>
  <c r="AS56" i="132"/>
  <c r="A57" i="132"/>
  <c r="K57" i="132"/>
  <c r="L57" i="132"/>
  <c r="M57" i="132"/>
  <c r="N57" i="132"/>
  <c r="O57" i="132"/>
  <c r="P57" i="132"/>
  <c r="Q57" i="132"/>
  <c r="R57" i="132"/>
  <c r="S57" i="132"/>
  <c r="T57" i="132"/>
  <c r="U57" i="132"/>
  <c r="V57" i="132"/>
  <c r="W57" i="132"/>
  <c r="X57" i="132"/>
  <c r="Y57" i="132"/>
  <c r="Z57" i="132"/>
  <c r="AA57" i="132"/>
  <c r="AB57" i="132"/>
  <c r="AC57" i="132"/>
  <c r="AD57" i="132"/>
  <c r="AE57" i="132"/>
  <c r="AF57" i="132"/>
  <c r="AG57" i="132"/>
  <c r="AH57" i="132"/>
  <c r="AI57" i="132"/>
  <c r="AJ57" i="132"/>
  <c r="AK57" i="132"/>
  <c r="AL57" i="132"/>
  <c r="AM57" i="132"/>
  <c r="AN57" i="132"/>
  <c r="AO57" i="132"/>
  <c r="AP57" i="132"/>
  <c r="AQ57" i="132"/>
  <c r="AR57" i="132"/>
  <c r="AS57" i="132"/>
  <c r="A58" i="132"/>
  <c r="K58" i="132"/>
  <c r="L58" i="132"/>
  <c r="M58" i="132"/>
  <c r="N58" i="132"/>
  <c r="O58" i="132"/>
  <c r="P58" i="132"/>
  <c r="Q58" i="132"/>
  <c r="R58" i="132"/>
  <c r="S58" i="132"/>
  <c r="T58" i="132"/>
  <c r="U58" i="132"/>
  <c r="V58" i="132"/>
  <c r="W58" i="132"/>
  <c r="X58" i="132"/>
  <c r="Y58" i="132"/>
  <c r="Z58" i="132"/>
  <c r="AA58" i="132"/>
  <c r="AB58" i="132"/>
  <c r="AC58" i="132"/>
  <c r="AD58" i="132"/>
  <c r="AE58" i="132"/>
  <c r="AF58" i="132"/>
  <c r="AG58" i="132"/>
  <c r="AH58" i="132"/>
  <c r="AI58" i="132"/>
  <c r="AJ58" i="132"/>
  <c r="AK58" i="132"/>
  <c r="AL58" i="132"/>
  <c r="AM58" i="132"/>
  <c r="AN58" i="132"/>
  <c r="AO58" i="132"/>
  <c r="AP58" i="132"/>
  <c r="AQ58" i="132"/>
  <c r="AR58" i="132"/>
  <c r="AS58" i="132"/>
  <c r="A59" i="132"/>
  <c r="K59" i="132"/>
  <c r="L59" i="132"/>
  <c r="M59" i="132"/>
  <c r="N59" i="132"/>
  <c r="O59" i="132"/>
  <c r="P59" i="132"/>
  <c r="Q59" i="132"/>
  <c r="R59" i="132"/>
  <c r="S59" i="132"/>
  <c r="T59" i="132"/>
  <c r="U59" i="132"/>
  <c r="V59" i="132"/>
  <c r="W59" i="132"/>
  <c r="X59" i="132"/>
  <c r="Y59" i="132"/>
  <c r="Z59" i="132"/>
  <c r="AA59" i="132"/>
  <c r="AB59" i="132"/>
  <c r="AC59" i="132"/>
  <c r="AD59" i="132"/>
  <c r="AE59" i="132"/>
  <c r="AF59" i="132"/>
  <c r="AG59" i="132"/>
  <c r="AH59" i="132"/>
  <c r="AI59" i="132"/>
  <c r="AJ59" i="132"/>
  <c r="AK59" i="132"/>
  <c r="AL59" i="132"/>
  <c r="AM59" i="132"/>
  <c r="AN59" i="132"/>
  <c r="AO59" i="132"/>
  <c r="AP59" i="132"/>
  <c r="AQ59" i="132"/>
  <c r="AR59" i="132"/>
  <c r="AS59" i="132"/>
  <c r="A60" i="132"/>
  <c r="K60" i="132"/>
  <c r="L60" i="132"/>
  <c r="M60" i="132"/>
  <c r="N60" i="132"/>
  <c r="O60" i="132"/>
  <c r="P60" i="132"/>
  <c r="Q60" i="132"/>
  <c r="R60" i="132"/>
  <c r="S60" i="132"/>
  <c r="T60" i="132"/>
  <c r="U60" i="132"/>
  <c r="V60" i="132"/>
  <c r="W60" i="132"/>
  <c r="X60" i="132"/>
  <c r="Y60" i="132"/>
  <c r="Z60" i="132"/>
  <c r="AA60" i="132"/>
  <c r="AB60" i="132"/>
  <c r="AC60" i="132"/>
  <c r="AD60" i="132"/>
  <c r="AE60" i="132"/>
  <c r="AF60" i="132"/>
  <c r="AG60" i="132"/>
  <c r="AH60" i="132"/>
  <c r="AI60" i="132"/>
  <c r="AJ60" i="132"/>
  <c r="AK60" i="132"/>
  <c r="AL60" i="132"/>
  <c r="AM60" i="132"/>
  <c r="AN60" i="132"/>
  <c r="AO60" i="132"/>
  <c r="AP60" i="132"/>
  <c r="AQ60" i="132"/>
  <c r="AR60" i="132"/>
  <c r="AS60" i="132"/>
  <c r="A61" i="132"/>
  <c r="K61" i="132"/>
  <c r="L61" i="132"/>
  <c r="M61" i="132"/>
  <c r="N61" i="132"/>
  <c r="O61" i="132"/>
  <c r="P61" i="132"/>
  <c r="Q61" i="132"/>
  <c r="R61" i="132"/>
  <c r="S61" i="132"/>
  <c r="T61" i="132"/>
  <c r="U61" i="132"/>
  <c r="V61" i="132"/>
  <c r="W61" i="132"/>
  <c r="X61" i="132"/>
  <c r="Y61" i="132"/>
  <c r="Z61" i="132"/>
  <c r="AA61" i="132"/>
  <c r="AB61" i="132"/>
  <c r="AC61" i="132"/>
  <c r="AD61" i="132"/>
  <c r="AE61" i="132"/>
  <c r="AF61" i="132"/>
  <c r="AG61" i="132"/>
  <c r="AH61" i="132"/>
  <c r="AI61" i="132"/>
  <c r="AJ61" i="132"/>
  <c r="AK61" i="132"/>
  <c r="AL61" i="132"/>
  <c r="AM61" i="132"/>
  <c r="AN61" i="132"/>
  <c r="AO61" i="132"/>
  <c r="AP61" i="132"/>
  <c r="AQ61" i="132"/>
  <c r="AR61" i="132"/>
  <c r="AS61" i="132"/>
  <c r="A62" i="132"/>
  <c r="K62" i="132"/>
  <c r="L62" i="132"/>
  <c r="M62" i="132"/>
  <c r="N62" i="132"/>
  <c r="O62" i="132"/>
  <c r="P62" i="132"/>
  <c r="Q62" i="132"/>
  <c r="R62" i="132"/>
  <c r="S62" i="132"/>
  <c r="T62" i="132"/>
  <c r="U62" i="132"/>
  <c r="V62" i="132"/>
  <c r="W62" i="132"/>
  <c r="X62" i="132"/>
  <c r="Y62" i="132"/>
  <c r="Z62" i="132"/>
  <c r="AA62" i="132"/>
  <c r="AB62" i="132"/>
  <c r="AC62" i="132"/>
  <c r="AD62" i="132"/>
  <c r="AE62" i="132"/>
  <c r="AF62" i="132"/>
  <c r="AG62" i="132"/>
  <c r="AH62" i="132"/>
  <c r="AI62" i="132"/>
  <c r="AJ62" i="132"/>
  <c r="AK62" i="132"/>
  <c r="AL62" i="132"/>
  <c r="AM62" i="132"/>
  <c r="AN62" i="132"/>
  <c r="AO62" i="132"/>
  <c r="AP62" i="132"/>
  <c r="AQ62" i="132"/>
  <c r="AR62" i="132"/>
  <c r="AS62" i="132"/>
  <c r="A63" i="132"/>
  <c r="K63" i="132"/>
  <c r="L63" i="132"/>
  <c r="M63" i="132"/>
  <c r="N63" i="132"/>
  <c r="O63" i="132"/>
  <c r="P63" i="132"/>
  <c r="Q63" i="132"/>
  <c r="R63" i="132"/>
  <c r="S63" i="132"/>
  <c r="T63" i="132"/>
  <c r="U63" i="132"/>
  <c r="V63" i="132"/>
  <c r="W63" i="132"/>
  <c r="X63" i="132"/>
  <c r="Y63" i="132"/>
  <c r="Z63" i="132"/>
  <c r="AA63" i="132"/>
  <c r="AB63" i="132"/>
  <c r="AC63" i="132"/>
  <c r="AD63" i="132"/>
  <c r="AE63" i="132"/>
  <c r="AF63" i="132"/>
  <c r="AG63" i="132"/>
  <c r="AH63" i="132"/>
  <c r="AI63" i="132"/>
  <c r="AJ63" i="132"/>
  <c r="AK63" i="132"/>
  <c r="AL63" i="132"/>
  <c r="AM63" i="132"/>
  <c r="AN63" i="132"/>
  <c r="AO63" i="132"/>
  <c r="AP63" i="132"/>
  <c r="AQ63" i="132"/>
  <c r="AR63" i="132"/>
  <c r="AS63" i="132"/>
  <c r="A64" i="132"/>
  <c r="A65" i="132"/>
  <c r="A66" i="132"/>
  <c r="A67" i="132"/>
  <c r="A68" i="132"/>
  <c r="A69" i="132"/>
  <c r="F69" i="132"/>
  <c r="H69" i="132"/>
  <c r="K69" i="132"/>
  <c r="L69" i="132"/>
  <c r="M69" i="132"/>
  <c r="N69" i="132"/>
  <c r="O69" i="132"/>
  <c r="P69" i="132"/>
  <c r="Q69" i="132"/>
  <c r="R69" i="132"/>
  <c r="S69" i="132"/>
  <c r="T69" i="132"/>
  <c r="U69" i="132"/>
  <c r="V69" i="132"/>
  <c r="V71" i="132" s="1"/>
  <c r="W69" i="132"/>
  <c r="X69" i="132"/>
  <c r="Y69" i="132"/>
  <c r="Z69" i="132"/>
  <c r="AA69" i="132"/>
  <c r="AB69" i="132"/>
  <c r="AC69" i="132"/>
  <c r="AD69" i="132"/>
  <c r="AE69" i="132"/>
  <c r="AF69" i="132"/>
  <c r="AG69" i="132"/>
  <c r="AH69" i="132"/>
  <c r="AI69" i="132"/>
  <c r="AJ69" i="132"/>
  <c r="AK69" i="132"/>
  <c r="AL69" i="132"/>
  <c r="AM69" i="132"/>
  <c r="AN69" i="132"/>
  <c r="AO69" i="132"/>
  <c r="AP69" i="132"/>
  <c r="AQ69" i="132"/>
  <c r="AR69" i="132"/>
  <c r="AS69" i="132"/>
  <c r="CL69" i="132"/>
  <c r="CL71" i="132" s="1"/>
  <c r="A70" i="132"/>
  <c r="F70" i="132"/>
  <c r="F71" i="132" s="1"/>
  <c r="H70" i="132"/>
  <c r="I70" i="132"/>
  <c r="I71" i="132"/>
  <c r="K70" i="132"/>
  <c r="L70" i="132"/>
  <c r="M70" i="132"/>
  <c r="N70" i="132"/>
  <c r="O70" i="132"/>
  <c r="P70" i="132"/>
  <c r="Q70" i="132"/>
  <c r="R70" i="132"/>
  <c r="R71" i="132" s="1"/>
  <c r="S70" i="132"/>
  <c r="T70" i="132"/>
  <c r="U70" i="132"/>
  <c r="V70" i="132"/>
  <c r="W70" i="132"/>
  <c r="X70" i="132"/>
  <c r="Y70" i="132"/>
  <c r="Z70" i="132"/>
  <c r="AA70" i="132"/>
  <c r="AA71" i="132" s="1"/>
  <c r="AB70" i="132"/>
  <c r="AC70" i="132"/>
  <c r="AD70" i="132"/>
  <c r="AE70" i="132"/>
  <c r="AE71" i="132" s="1"/>
  <c r="AF70" i="132"/>
  <c r="AG70" i="132"/>
  <c r="AH70" i="132"/>
  <c r="AI70" i="132"/>
  <c r="AJ70" i="132"/>
  <c r="AK70" i="132"/>
  <c r="AL70" i="132"/>
  <c r="AM70" i="132"/>
  <c r="AN70" i="132"/>
  <c r="AO70" i="132"/>
  <c r="AP70" i="132"/>
  <c r="AQ70" i="132"/>
  <c r="AR70" i="132"/>
  <c r="AS70" i="132"/>
  <c r="CL70" i="132"/>
  <c r="A71" i="132"/>
  <c r="G71" i="132"/>
  <c r="AT71" i="132"/>
  <c r="AU71" i="132"/>
  <c r="Q71" i="132" s="1"/>
  <c r="AV71" i="132"/>
  <c r="S71" i="132" s="1"/>
  <c r="AW71" i="132"/>
  <c r="N71" i="132" s="1"/>
  <c r="AX71" i="132"/>
  <c r="AY71" i="132"/>
  <c r="L71" i="132" s="1"/>
  <c r="AZ71" i="132"/>
  <c r="BA71" i="132"/>
  <c r="BB71" i="132"/>
  <c r="T71" i="132" s="1"/>
  <c r="BC71" i="132"/>
  <c r="U71" i="132" s="1"/>
  <c r="BD71" i="132"/>
  <c r="M71" i="132" s="1"/>
  <c r="BE71" i="132"/>
  <c r="O71" i="132" s="1"/>
  <c r="BF71" i="132"/>
  <c r="K71" i="132" s="1"/>
  <c r="BG71" i="132"/>
  <c r="BH71" i="132"/>
  <c r="BI71" i="132"/>
  <c r="BJ71" i="132"/>
  <c r="BM71" i="132"/>
  <c r="Z71" i="132" s="1"/>
  <c r="BN71" i="132"/>
  <c r="BP71" i="132"/>
  <c r="AB71" i="132"/>
  <c r="BQ71" i="132"/>
  <c r="BR71" i="132"/>
  <c r="W71" i="132" s="1"/>
  <c r="BS71" i="132"/>
  <c r="BT71" i="132"/>
  <c r="BU71" i="132"/>
  <c r="AD71" i="132" s="1"/>
  <c r="BV71" i="132"/>
  <c r="AG71" i="132" s="1"/>
  <c r="BW71" i="132"/>
  <c r="AI71" i="132" s="1"/>
  <c r="BX71" i="132"/>
  <c r="AC71" i="132" s="1"/>
  <c r="BY71" i="132"/>
  <c r="AJ71" i="132"/>
  <c r="BZ71" i="132"/>
  <c r="AH71" i="132" s="1"/>
  <c r="CA71" i="132"/>
  <c r="AF71" i="132" s="1"/>
  <c r="CB71" i="132"/>
  <c r="AK71" i="132" s="1"/>
  <c r="CC71" i="132"/>
  <c r="AO71" i="132" s="1"/>
  <c r="CD71" i="132"/>
  <c r="AP71" i="132" s="1"/>
  <c r="CE71" i="132"/>
  <c r="AL71" i="132" s="1"/>
  <c r="CG71" i="132"/>
  <c r="CH71" i="132"/>
  <c r="AM71" i="132" s="1"/>
  <c r="CI71" i="132"/>
  <c r="AR71" i="132" s="1"/>
  <c r="CJ71" i="132"/>
  <c r="AN71" i="132"/>
  <c r="CK71" i="132"/>
  <c r="AQ71" i="132" s="1"/>
  <c r="A72" i="132"/>
  <c r="A73" i="132"/>
  <c r="K73" i="132"/>
  <c r="L73" i="132"/>
  <c r="M73" i="132"/>
  <c r="N73" i="132"/>
  <c r="O73" i="132"/>
  <c r="P73" i="132"/>
  <c r="Q73" i="132"/>
  <c r="R73" i="132"/>
  <c r="S73" i="132"/>
  <c r="T73" i="132"/>
  <c r="U73" i="132"/>
  <c r="V73" i="132"/>
  <c r="W73" i="132"/>
  <c r="X73" i="132"/>
  <c r="Y73" i="132"/>
  <c r="Z73" i="132"/>
  <c r="AA73" i="132"/>
  <c r="AB73" i="132"/>
  <c r="AC73" i="132"/>
  <c r="AD73" i="132"/>
  <c r="AE73" i="132"/>
  <c r="AF73" i="132"/>
  <c r="AG73" i="132"/>
  <c r="AH73" i="132"/>
  <c r="AI73" i="132"/>
  <c r="AJ73" i="132"/>
  <c r="AK73" i="132"/>
  <c r="AL73" i="132"/>
  <c r="AM73" i="132"/>
  <c r="AN73" i="132"/>
  <c r="AO73" i="132"/>
  <c r="AP73" i="132"/>
  <c r="AQ73" i="132"/>
  <c r="AR73" i="132"/>
  <c r="AS73" i="132"/>
  <c r="A74" i="132"/>
  <c r="K74" i="132"/>
  <c r="L74" i="132"/>
  <c r="M74" i="132"/>
  <c r="N74" i="132"/>
  <c r="O74" i="132"/>
  <c r="P74" i="132"/>
  <c r="Q74" i="132"/>
  <c r="R74" i="132"/>
  <c r="S74" i="132"/>
  <c r="T74" i="132"/>
  <c r="U74" i="132"/>
  <c r="V74" i="132"/>
  <c r="W74" i="132"/>
  <c r="X74" i="132"/>
  <c r="Y74" i="132"/>
  <c r="Z74" i="132"/>
  <c r="AA74" i="132"/>
  <c r="AB74" i="132"/>
  <c r="AC74" i="132"/>
  <c r="AD74" i="132"/>
  <c r="AE74" i="132"/>
  <c r="AF74" i="132"/>
  <c r="AG74" i="132"/>
  <c r="AH74" i="132"/>
  <c r="AI74" i="132"/>
  <c r="AJ74" i="132"/>
  <c r="AK74" i="132"/>
  <c r="AL74" i="132"/>
  <c r="AM74" i="132"/>
  <c r="AN74" i="132"/>
  <c r="AO74" i="132"/>
  <c r="AP74" i="132"/>
  <c r="AQ74" i="132"/>
  <c r="AR74" i="132"/>
  <c r="AS74" i="132"/>
  <c r="A75" i="132"/>
  <c r="K75" i="132"/>
  <c r="L75" i="132"/>
  <c r="M75" i="132"/>
  <c r="N75" i="132"/>
  <c r="O75" i="132"/>
  <c r="P75" i="132"/>
  <c r="Q75" i="132"/>
  <c r="R75" i="132"/>
  <c r="S75" i="132"/>
  <c r="T75" i="132"/>
  <c r="U75" i="132"/>
  <c r="V75" i="132"/>
  <c r="W75" i="132"/>
  <c r="X75" i="132"/>
  <c r="Y75" i="132"/>
  <c r="Z75" i="132"/>
  <c r="AA75" i="132"/>
  <c r="AB75" i="132"/>
  <c r="AC75" i="132"/>
  <c r="AD75" i="132"/>
  <c r="AE75" i="132"/>
  <c r="AF75" i="132"/>
  <c r="AG75" i="132"/>
  <c r="AH75" i="132"/>
  <c r="AI75" i="132"/>
  <c r="AJ75" i="132"/>
  <c r="AK75" i="132"/>
  <c r="AL75" i="132"/>
  <c r="AM75" i="132"/>
  <c r="AN75" i="132"/>
  <c r="AO75" i="132"/>
  <c r="AP75" i="132"/>
  <c r="AQ75" i="132"/>
  <c r="AR75" i="132"/>
  <c r="AS75" i="132"/>
  <c r="A76" i="132"/>
  <c r="K76" i="132"/>
  <c r="L76" i="132"/>
  <c r="M76" i="132"/>
  <c r="N76" i="132"/>
  <c r="O76" i="132"/>
  <c r="P76" i="132"/>
  <c r="Q76" i="132"/>
  <c r="R76" i="132"/>
  <c r="S76" i="132"/>
  <c r="T76" i="132"/>
  <c r="U76" i="132"/>
  <c r="V76" i="132"/>
  <c r="W76" i="132"/>
  <c r="X76" i="132"/>
  <c r="Y76" i="132"/>
  <c r="Z76" i="132"/>
  <c r="AA76" i="132"/>
  <c r="AB76" i="132"/>
  <c r="AC76" i="132"/>
  <c r="AD76" i="132"/>
  <c r="AE76" i="132"/>
  <c r="AF76" i="132"/>
  <c r="AG76" i="132"/>
  <c r="AH76" i="132"/>
  <c r="AI76" i="132"/>
  <c r="AJ76" i="132"/>
  <c r="AK76" i="132"/>
  <c r="AL76" i="132"/>
  <c r="AM76" i="132"/>
  <c r="AN76" i="132"/>
  <c r="AO76" i="132"/>
  <c r="AP76" i="132"/>
  <c r="AQ76" i="132"/>
  <c r="AR76" i="132"/>
  <c r="AS76" i="132"/>
  <c r="A77" i="132"/>
  <c r="K77" i="132"/>
  <c r="L77" i="132"/>
  <c r="M77" i="132"/>
  <c r="N77" i="132"/>
  <c r="O77" i="132"/>
  <c r="P77" i="132"/>
  <c r="Q77" i="132"/>
  <c r="R77" i="132"/>
  <c r="S77" i="132"/>
  <c r="T77" i="132"/>
  <c r="U77" i="132"/>
  <c r="V77" i="132"/>
  <c r="W77" i="132"/>
  <c r="X77" i="132"/>
  <c r="Y77" i="132"/>
  <c r="Z77" i="132"/>
  <c r="AA77" i="132"/>
  <c r="AB77" i="132"/>
  <c r="AC77" i="132"/>
  <c r="AD77" i="132"/>
  <c r="AE77" i="132"/>
  <c r="AF77" i="132"/>
  <c r="AG77" i="132"/>
  <c r="AH77" i="132"/>
  <c r="AI77" i="132"/>
  <c r="AJ77" i="132"/>
  <c r="AK77" i="132"/>
  <c r="AL77" i="132"/>
  <c r="AM77" i="132"/>
  <c r="AN77" i="132"/>
  <c r="AO77" i="132"/>
  <c r="AP77" i="132"/>
  <c r="AQ77" i="132"/>
  <c r="AR77" i="132"/>
  <c r="AS77" i="132"/>
  <c r="A78" i="132"/>
  <c r="H78" i="132"/>
  <c r="I78" i="132"/>
  <c r="K78" i="132"/>
  <c r="L78" i="132"/>
  <c r="M78" i="132"/>
  <c r="N78" i="132"/>
  <c r="O78" i="132"/>
  <c r="P78" i="132"/>
  <c r="Q78" i="132"/>
  <c r="R78" i="132"/>
  <c r="S78" i="132"/>
  <c r="T78" i="132"/>
  <c r="U78" i="132"/>
  <c r="V78" i="132"/>
  <c r="W78" i="132"/>
  <c r="X78" i="132"/>
  <c r="Y78" i="132"/>
  <c r="Z78" i="132"/>
  <c r="AA78" i="132"/>
  <c r="AB78" i="132"/>
  <c r="AC78" i="132"/>
  <c r="AD78" i="132"/>
  <c r="AE78" i="132"/>
  <c r="AH78" i="132"/>
  <c r="AJ78" i="132"/>
  <c r="AL78" i="132"/>
  <c r="AM78" i="132"/>
  <c r="AN78" i="132"/>
  <c r="AO78" i="132"/>
  <c r="AP78" i="132"/>
  <c r="AQ78" i="132"/>
  <c r="AR78" i="132"/>
  <c r="AS78" i="132"/>
  <c r="BV78" i="132"/>
  <c r="AG78" i="132" s="1"/>
  <c r="BW78" i="132"/>
  <c r="AI78" i="132" s="1"/>
  <c r="CA78" i="132"/>
  <c r="AF78" i="132" s="1"/>
  <c r="CB78" i="132"/>
  <c r="AK78" i="132" s="1"/>
  <c r="CL78" i="132"/>
  <c r="A79" i="132"/>
  <c r="A80" i="132"/>
  <c r="F80" i="132"/>
  <c r="F82" i="132" s="1"/>
  <c r="G80" i="132"/>
  <c r="G82" i="132" s="1"/>
  <c r="H80" i="132"/>
  <c r="H82" i="132" s="1"/>
  <c r="I80" i="132"/>
  <c r="I82" i="132" s="1"/>
  <c r="K80" i="132"/>
  <c r="L80" i="132"/>
  <c r="M80" i="132"/>
  <c r="N80" i="132"/>
  <c r="O80" i="132"/>
  <c r="P80" i="132"/>
  <c r="Q80" i="132"/>
  <c r="R80" i="132"/>
  <c r="S80" i="132"/>
  <c r="T80" i="132"/>
  <c r="U80" i="132"/>
  <c r="V80" i="132"/>
  <c r="W80" i="132"/>
  <c r="X80" i="132"/>
  <c r="Y80" i="132"/>
  <c r="Z80" i="132"/>
  <c r="AA80" i="132"/>
  <c r="AB80" i="132"/>
  <c r="AC80" i="132"/>
  <c r="AC84" i="132" s="1"/>
  <c r="AD80" i="132"/>
  <c r="AD84" i="132" s="1"/>
  <c r="AE80" i="132"/>
  <c r="AE84" i="132" s="1"/>
  <c r="AF80" i="132"/>
  <c r="AF84" i="132" s="1"/>
  <c r="AG80" i="132"/>
  <c r="AG84" i="132" s="1"/>
  <c r="AH80" i="132"/>
  <c r="AH84" i="132" s="1"/>
  <c r="AI80" i="132"/>
  <c r="AI84" i="132" s="1"/>
  <c r="AJ80" i="132"/>
  <c r="AJ84" i="132" s="1"/>
  <c r="AK80" i="132"/>
  <c r="AK84" i="132" s="1"/>
  <c r="AL80" i="132"/>
  <c r="AL84" i="132" s="1"/>
  <c r="AM80" i="132"/>
  <c r="AM84" i="132" s="1"/>
  <c r="AN80" i="132"/>
  <c r="AN84" i="132" s="1"/>
  <c r="AO80" i="132"/>
  <c r="AO84" i="132" s="1"/>
  <c r="AP80" i="132"/>
  <c r="AP84" i="132" s="1"/>
  <c r="AQ80" i="132"/>
  <c r="AQ84" i="132" s="1"/>
  <c r="AR80" i="132"/>
  <c r="AR84" i="132" s="1"/>
  <c r="AS80" i="132"/>
  <c r="AS84" i="132" s="1"/>
  <c r="A81" i="132"/>
  <c r="A82" i="132"/>
  <c r="A83" i="132"/>
  <c r="A84" i="132"/>
  <c r="A85" i="132"/>
  <c r="A86" i="132"/>
  <c r="A87" i="132"/>
  <c r="K87" i="132"/>
  <c r="L87" i="132"/>
  <c r="M87" i="132"/>
  <c r="N87" i="132"/>
  <c r="O87" i="132"/>
  <c r="P87" i="132"/>
  <c r="Q87" i="132"/>
  <c r="R87" i="132"/>
  <c r="S87" i="132"/>
  <c r="T87" i="132"/>
  <c r="U87" i="132"/>
  <c r="V87" i="132"/>
  <c r="W87" i="132"/>
  <c r="X87" i="132"/>
  <c r="Y87" i="132"/>
  <c r="Z87" i="132"/>
  <c r="AA87" i="132"/>
  <c r="AB87" i="132"/>
  <c r="AC87" i="132"/>
  <c r="AD87" i="132"/>
  <c r="AE87" i="132"/>
  <c r="AF87" i="132"/>
  <c r="AG87" i="132"/>
  <c r="AH87" i="132"/>
  <c r="AI87" i="132"/>
  <c r="AJ87" i="132"/>
  <c r="AK87" i="132"/>
  <c r="AL87" i="132"/>
  <c r="AM87" i="132"/>
  <c r="AN87" i="132"/>
  <c r="AO87" i="132"/>
  <c r="AP87" i="132"/>
  <c r="AQ87" i="132"/>
  <c r="AR87" i="132"/>
  <c r="AS87" i="132"/>
  <c r="A88" i="132"/>
  <c r="A89" i="132"/>
  <c r="K89" i="132"/>
  <c r="L89" i="132"/>
  <c r="M89" i="132"/>
  <c r="N89" i="132"/>
  <c r="O89" i="132"/>
  <c r="P89" i="132"/>
  <c r="Q89" i="132"/>
  <c r="R89" i="132"/>
  <c r="S89" i="132"/>
  <c r="T89" i="132"/>
  <c r="U89" i="132"/>
  <c r="V89" i="132"/>
  <c r="W89" i="132"/>
  <c r="X89" i="132"/>
  <c r="Y89" i="132"/>
  <c r="Z89" i="132"/>
  <c r="AA89" i="132"/>
  <c r="AB89" i="132"/>
  <c r="AC89" i="132"/>
  <c r="AD89" i="132"/>
  <c r="AE89" i="132"/>
  <c r="AF89" i="132"/>
  <c r="AG89" i="132"/>
  <c r="AH89" i="132"/>
  <c r="AI89" i="132"/>
  <c r="AJ89" i="132"/>
  <c r="AK89" i="132"/>
  <c r="AL89" i="132"/>
  <c r="AM89" i="132"/>
  <c r="AN89" i="132"/>
  <c r="AO89" i="132"/>
  <c r="AP89" i="132"/>
  <c r="AQ89" i="132"/>
  <c r="AR89" i="132"/>
  <c r="AS89" i="132"/>
  <c r="A90" i="132"/>
  <c r="K90" i="132"/>
  <c r="L90" i="132"/>
  <c r="M90" i="132"/>
  <c r="N90" i="132"/>
  <c r="O90" i="132"/>
  <c r="P90" i="132"/>
  <c r="Q90" i="132"/>
  <c r="R90" i="132"/>
  <c r="S90" i="132"/>
  <c r="T90" i="132"/>
  <c r="U90" i="132"/>
  <c r="V90" i="132"/>
  <c r="W90" i="132"/>
  <c r="X90" i="132"/>
  <c r="Y90" i="132"/>
  <c r="Z90" i="132"/>
  <c r="AA90" i="132"/>
  <c r="AB90" i="132"/>
  <c r="AC90" i="132"/>
  <c r="AD90" i="132"/>
  <c r="AE90" i="132"/>
  <c r="AF90" i="132"/>
  <c r="AG90" i="132"/>
  <c r="AH90" i="132"/>
  <c r="AI90" i="132"/>
  <c r="AJ90" i="132"/>
  <c r="AK90" i="132"/>
  <c r="AL90" i="132"/>
  <c r="AM90" i="132"/>
  <c r="AN90" i="132"/>
  <c r="AO90" i="132"/>
  <c r="AP90" i="132"/>
  <c r="AQ90" i="132"/>
  <c r="AR90" i="132"/>
  <c r="AS90" i="132"/>
  <c r="A91" i="132"/>
  <c r="K91" i="132"/>
  <c r="L91" i="132"/>
  <c r="M91" i="132"/>
  <c r="N91" i="132"/>
  <c r="O91" i="132"/>
  <c r="P91" i="132"/>
  <c r="Q91" i="132"/>
  <c r="R91" i="132"/>
  <c r="S91" i="132"/>
  <c r="T91" i="132"/>
  <c r="U91" i="132"/>
  <c r="V91" i="132"/>
  <c r="W91" i="132"/>
  <c r="X91" i="132"/>
  <c r="Y91" i="132"/>
  <c r="Z91" i="132"/>
  <c r="AA91" i="132"/>
  <c r="AB91" i="132"/>
  <c r="AC91" i="132"/>
  <c r="AD91" i="132"/>
  <c r="AE91" i="132"/>
  <c r="AF91" i="132"/>
  <c r="AG91" i="132"/>
  <c r="AH91" i="132"/>
  <c r="AI91" i="132"/>
  <c r="AJ91" i="132"/>
  <c r="AK91" i="132"/>
  <c r="AL91" i="132"/>
  <c r="AM91" i="132"/>
  <c r="AN91" i="132"/>
  <c r="AO91" i="132"/>
  <c r="AP91" i="132"/>
  <c r="AQ91" i="132"/>
  <c r="AR91" i="132"/>
  <c r="AS91" i="132"/>
  <c r="A92" i="132"/>
  <c r="K92" i="132"/>
  <c r="L92" i="132"/>
  <c r="M92" i="132"/>
  <c r="N92" i="132"/>
  <c r="O92" i="132"/>
  <c r="P92" i="132"/>
  <c r="Q92" i="132"/>
  <c r="R92" i="132"/>
  <c r="S92" i="132"/>
  <c r="T92" i="132"/>
  <c r="U92" i="132"/>
  <c r="V92" i="132"/>
  <c r="W92" i="132"/>
  <c r="X92" i="132"/>
  <c r="Y92" i="132"/>
  <c r="Z92" i="132"/>
  <c r="AA92" i="132"/>
  <c r="AB92" i="132"/>
  <c r="AC92" i="132"/>
  <c r="AD92" i="132"/>
  <c r="AE92" i="132"/>
  <c r="AF92" i="132"/>
  <c r="AG92" i="132"/>
  <c r="AH92" i="132"/>
  <c r="AI92" i="132"/>
  <c r="AJ92" i="132"/>
  <c r="AK92" i="132"/>
  <c r="AL92" i="132"/>
  <c r="AM92" i="132"/>
  <c r="AN92" i="132"/>
  <c r="AO92" i="132"/>
  <c r="AP92" i="132"/>
  <c r="AQ92" i="132"/>
  <c r="AR92" i="132"/>
  <c r="AS92" i="132"/>
  <c r="A93" i="132"/>
  <c r="K93" i="132"/>
  <c r="L93" i="132"/>
  <c r="M93" i="132"/>
  <c r="N93" i="132"/>
  <c r="O93" i="132"/>
  <c r="P93" i="132"/>
  <c r="Q93" i="132"/>
  <c r="R93" i="132"/>
  <c r="S93" i="132"/>
  <c r="T93" i="132"/>
  <c r="U93" i="132"/>
  <c r="W93" i="132"/>
  <c r="X93" i="132"/>
  <c r="Y93" i="132"/>
  <c r="Z93" i="132"/>
  <c r="AA93" i="132"/>
  <c r="AB93" i="132"/>
  <c r="AC93" i="132"/>
  <c r="AD93" i="132"/>
  <c r="AE93" i="132"/>
  <c r="AF93" i="132"/>
  <c r="AG93" i="132"/>
  <c r="AH93" i="132"/>
  <c r="AI93" i="132"/>
  <c r="AJ93" i="132"/>
  <c r="AK93" i="132"/>
  <c r="AL93" i="132"/>
  <c r="AM93" i="132"/>
  <c r="AN93" i="132"/>
  <c r="AO93" i="132"/>
  <c r="AP93" i="132"/>
  <c r="AQ93" i="132"/>
  <c r="AR93" i="132"/>
  <c r="A94" i="132"/>
  <c r="K94" i="132"/>
  <c r="L94" i="132"/>
  <c r="M94" i="132"/>
  <c r="N94" i="132"/>
  <c r="O94" i="132"/>
  <c r="P94" i="132"/>
  <c r="Q94" i="132"/>
  <c r="R94" i="132"/>
  <c r="S94" i="132"/>
  <c r="T94" i="132"/>
  <c r="U94" i="132"/>
  <c r="V94" i="132"/>
  <c r="W94" i="132"/>
  <c r="X94" i="132"/>
  <c r="Y94" i="132"/>
  <c r="Z94" i="132"/>
  <c r="AA94" i="132"/>
  <c r="AB94" i="132"/>
  <c r="AC94" i="132"/>
  <c r="AD94" i="132"/>
  <c r="AE94" i="132"/>
  <c r="AF94" i="132"/>
  <c r="AG94" i="132"/>
  <c r="AH94" i="132"/>
  <c r="AI94" i="132"/>
  <c r="AJ94" i="132"/>
  <c r="AK94" i="132"/>
  <c r="AL94" i="132"/>
  <c r="AM94" i="132"/>
  <c r="AN94" i="132"/>
  <c r="AO94" i="132"/>
  <c r="AP94" i="132"/>
  <c r="AQ94" i="132"/>
  <c r="AR94" i="132"/>
  <c r="AS94" i="132"/>
  <c r="A95" i="132"/>
  <c r="K95" i="132"/>
  <c r="L95" i="132"/>
  <c r="M95" i="132"/>
  <c r="N95" i="132"/>
  <c r="O95" i="132"/>
  <c r="P95" i="132"/>
  <c r="Q95" i="132"/>
  <c r="R95" i="132"/>
  <c r="S95" i="132"/>
  <c r="T95" i="132"/>
  <c r="U95" i="132"/>
  <c r="V95" i="132"/>
  <c r="W95" i="132"/>
  <c r="X95" i="132"/>
  <c r="X54" i="132" s="1"/>
  <c r="Y95" i="132"/>
  <c r="Z95" i="132"/>
  <c r="AA95" i="132"/>
  <c r="AA54" i="132" s="1"/>
  <c r="AB95" i="132"/>
  <c r="AC95" i="132"/>
  <c r="AD95" i="132"/>
  <c r="AE95" i="132"/>
  <c r="AF95" i="132"/>
  <c r="AG95" i="132"/>
  <c r="AH95" i="132"/>
  <c r="AI95" i="132"/>
  <c r="AJ95" i="132"/>
  <c r="AK95" i="132"/>
  <c r="AL95" i="132"/>
  <c r="AM95" i="132"/>
  <c r="AN95" i="132"/>
  <c r="AO95" i="132"/>
  <c r="AP95" i="132"/>
  <c r="AQ95" i="132"/>
  <c r="AR95" i="132"/>
  <c r="AS95" i="132"/>
  <c r="A96" i="132"/>
  <c r="C96" i="132"/>
  <c r="K96" i="132"/>
  <c r="L96" i="132"/>
  <c r="M96" i="132"/>
  <c r="N96" i="132"/>
  <c r="O96" i="132"/>
  <c r="P96" i="132"/>
  <c r="Q96" i="132"/>
  <c r="R96" i="132"/>
  <c r="S96" i="132"/>
  <c r="T96" i="132"/>
  <c r="U96" i="132"/>
  <c r="V96" i="132"/>
  <c r="W96" i="132"/>
  <c r="X96" i="132"/>
  <c r="Y96" i="132"/>
  <c r="Z96" i="132"/>
  <c r="AA96" i="132"/>
  <c r="AA51" i="132" s="1"/>
  <c r="AB96" i="132"/>
  <c r="AC96" i="132"/>
  <c r="AD96" i="132"/>
  <c r="AE96" i="132"/>
  <c r="AE51" i="132" s="1"/>
  <c r="AF96" i="132"/>
  <c r="AG96" i="132"/>
  <c r="AH96" i="132"/>
  <c r="AI96" i="132"/>
  <c r="AJ96" i="132"/>
  <c r="AK96" i="132"/>
  <c r="AL96" i="132"/>
  <c r="AM96" i="132"/>
  <c r="AN96" i="132"/>
  <c r="AO96" i="132"/>
  <c r="AP96" i="132"/>
  <c r="AQ96" i="132"/>
  <c r="AR96" i="132"/>
  <c r="AS96" i="132"/>
  <c r="A97" i="132"/>
  <c r="C97" i="132"/>
  <c r="K97" i="132"/>
  <c r="L97" i="132"/>
  <c r="M97" i="132"/>
  <c r="N97" i="132"/>
  <c r="O97" i="132"/>
  <c r="P97" i="132"/>
  <c r="Q97" i="132"/>
  <c r="R97" i="132"/>
  <c r="S97" i="132"/>
  <c r="T97" i="132"/>
  <c r="U97" i="132"/>
  <c r="V97" i="132"/>
  <c r="W97" i="132"/>
  <c r="X97" i="132"/>
  <c r="Y97" i="132"/>
  <c r="Z97" i="132"/>
  <c r="AA97" i="132"/>
  <c r="AB97" i="132"/>
  <c r="AC97" i="132"/>
  <c r="AD97" i="132"/>
  <c r="AE97" i="132"/>
  <c r="AF97" i="132"/>
  <c r="AG97" i="132"/>
  <c r="AH97" i="132"/>
  <c r="AI97" i="132"/>
  <c r="AJ97" i="132"/>
  <c r="AK97" i="132"/>
  <c r="AL97" i="132"/>
  <c r="AM97" i="132"/>
  <c r="AN97" i="132"/>
  <c r="AO97" i="132"/>
  <c r="AP97" i="132"/>
  <c r="AQ97" i="132"/>
  <c r="AR97" i="132"/>
  <c r="AS97" i="132"/>
  <c r="A98" i="132"/>
  <c r="K98" i="132"/>
  <c r="L98" i="132"/>
  <c r="M98" i="132"/>
  <c r="N98" i="132"/>
  <c r="O98" i="132"/>
  <c r="P98" i="132"/>
  <c r="Q98" i="132"/>
  <c r="R98" i="132"/>
  <c r="R54" i="132" s="1"/>
  <c r="S98" i="132"/>
  <c r="T98" i="132"/>
  <c r="U98" i="132"/>
  <c r="V98" i="132"/>
  <c r="W98" i="132"/>
  <c r="X98" i="132"/>
  <c r="Y98" i="132"/>
  <c r="Y54" i="132"/>
  <c r="Z98" i="132"/>
  <c r="AA98" i="132"/>
  <c r="AB98" i="132"/>
  <c r="AC98" i="132"/>
  <c r="AD98" i="132"/>
  <c r="AE98" i="132"/>
  <c r="AE54" i="132" s="1"/>
  <c r="AF98" i="132"/>
  <c r="AG98" i="132"/>
  <c r="AH98" i="132"/>
  <c r="AI98" i="132"/>
  <c r="AJ98" i="132"/>
  <c r="AK98" i="132"/>
  <c r="AL98" i="132"/>
  <c r="AM98" i="132"/>
  <c r="AN98" i="132"/>
  <c r="AO98" i="132"/>
  <c r="AP98" i="132"/>
  <c r="AQ98" i="132"/>
  <c r="AR98" i="132"/>
  <c r="AS98" i="132"/>
  <c r="A99" i="132"/>
  <c r="C99" i="132"/>
  <c r="K99" i="132"/>
  <c r="L99" i="132"/>
  <c r="M99" i="132"/>
  <c r="N99" i="132"/>
  <c r="O99" i="132"/>
  <c r="P99" i="132"/>
  <c r="Q99" i="132"/>
  <c r="R99" i="132"/>
  <c r="S99" i="132"/>
  <c r="T99" i="132"/>
  <c r="U99" i="132"/>
  <c r="V99" i="132"/>
  <c r="V53" i="132" s="1"/>
  <c r="W99" i="132"/>
  <c r="X99" i="132"/>
  <c r="Y99" i="132"/>
  <c r="Z99" i="132"/>
  <c r="AA99" i="132"/>
  <c r="AA53" i="132" s="1"/>
  <c r="AB99" i="132"/>
  <c r="AC99" i="132"/>
  <c r="AD99" i="132"/>
  <c r="AE99" i="132"/>
  <c r="AE53" i="132"/>
  <c r="AF99" i="132"/>
  <c r="AG99" i="132"/>
  <c r="AH99" i="132"/>
  <c r="AI99" i="132"/>
  <c r="AJ99" i="132"/>
  <c r="AK99" i="132"/>
  <c r="AL99" i="132"/>
  <c r="AM99" i="132"/>
  <c r="AN99" i="132"/>
  <c r="AO99" i="132"/>
  <c r="AP99" i="132"/>
  <c r="AQ99" i="132"/>
  <c r="AR99" i="132"/>
  <c r="AS99" i="132"/>
  <c r="A100" i="132"/>
  <c r="A101" i="132"/>
  <c r="C101" i="132"/>
  <c r="K101" i="132"/>
  <c r="L101" i="132"/>
  <c r="M101" i="132"/>
  <c r="N101" i="132"/>
  <c r="O101" i="132"/>
  <c r="P101" i="132"/>
  <c r="Q101" i="132"/>
  <c r="R101" i="132"/>
  <c r="S101" i="132"/>
  <c r="T101" i="132"/>
  <c r="U101" i="132"/>
  <c r="V101" i="132"/>
  <c r="W101" i="132"/>
  <c r="X101" i="132"/>
  <c r="Y101" i="132"/>
  <c r="Z101" i="132"/>
  <c r="AA101" i="132"/>
  <c r="AB101" i="132"/>
  <c r="AC101" i="132"/>
  <c r="AD101" i="132"/>
  <c r="AE101" i="132"/>
  <c r="AF101" i="132"/>
  <c r="AG101" i="132"/>
  <c r="AH101" i="132"/>
  <c r="AI101" i="132"/>
  <c r="AJ101" i="132"/>
  <c r="AK101" i="132"/>
  <c r="AL101" i="132"/>
  <c r="AM101" i="132"/>
  <c r="AN101" i="132"/>
  <c r="AO101" i="132"/>
  <c r="AP101" i="132"/>
  <c r="AQ101" i="132"/>
  <c r="AR101" i="132"/>
  <c r="AS101" i="132"/>
  <c r="A102" i="132"/>
  <c r="K102" i="132"/>
  <c r="L102" i="132"/>
  <c r="M102" i="132"/>
  <c r="N102" i="132"/>
  <c r="O102" i="132"/>
  <c r="P102" i="132"/>
  <c r="Q102" i="132"/>
  <c r="R102" i="132"/>
  <c r="S102" i="132"/>
  <c r="T102" i="132"/>
  <c r="U102" i="132"/>
  <c r="V102" i="132"/>
  <c r="W102" i="132"/>
  <c r="X102" i="132"/>
  <c r="Y102" i="132"/>
  <c r="Z102" i="132"/>
  <c r="AA102" i="132"/>
  <c r="AB102" i="132"/>
  <c r="AC102" i="132"/>
  <c r="AD102" i="132"/>
  <c r="AE102" i="132"/>
  <c r="AF102" i="132"/>
  <c r="AG102" i="132"/>
  <c r="AH102" i="132"/>
  <c r="AI102" i="132"/>
  <c r="AJ102" i="132"/>
  <c r="AK102" i="132"/>
  <c r="AL102" i="132"/>
  <c r="AM102" i="132"/>
  <c r="AN102" i="132"/>
  <c r="AO102" i="132"/>
  <c r="AP102" i="132"/>
  <c r="AQ102" i="132"/>
  <c r="AR102" i="132"/>
  <c r="AS102" i="132"/>
  <c r="A103" i="132"/>
  <c r="K103" i="132"/>
  <c r="L103" i="132"/>
  <c r="M103" i="132"/>
  <c r="N103" i="132"/>
  <c r="O103" i="132"/>
  <c r="P103" i="132"/>
  <c r="Q103" i="132"/>
  <c r="R103" i="132"/>
  <c r="S103" i="132"/>
  <c r="T103" i="132"/>
  <c r="U103" i="132"/>
  <c r="V103" i="132"/>
  <c r="W103" i="132"/>
  <c r="X103" i="132"/>
  <c r="Y103" i="132"/>
  <c r="Z103" i="132"/>
  <c r="AA103" i="132"/>
  <c r="AB103" i="132"/>
  <c r="AC103" i="132"/>
  <c r="AD103" i="132"/>
  <c r="AE103" i="132"/>
  <c r="AF103" i="132"/>
  <c r="AG103" i="132"/>
  <c r="AH103" i="132"/>
  <c r="AI103" i="132"/>
  <c r="AJ103" i="132"/>
  <c r="AK103" i="132"/>
  <c r="AL103" i="132"/>
  <c r="AM103" i="132"/>
  <c r="AN103" i="132"/>
  <c r="AO103" i="132"/>
  <c r="AP103" i="132"/>
  <c r="AQ103" i="132"/>
  <c r="AR103" i="132"/>
  <c r="AS103" i="132"/>
  <c r="A104" i="132"/>
  <c r="K104" i="132"/>
  <c r="L104" i="132"/>
  <c r="M104" i="132"/>
  <c r="N104" i="132"/>
  <c r="O104" i="132"/>
  <c r="P104" i="132"/>
  <c r="Q104" i="132"/>
  <c r="R104" i="132"/>
  <c r="S104" i="132"/>
  <c r="T104" i="132"/>
  <c r="U104" i="132"/>
  <c r="V104" i="132"/>
  <c r="W104" i="132"/>
  <c r="X104" i="132"/>
  <c r="Y104" i="132"/>
  <c r="Z104" i="132"/>
  <c r="AA104" i="132"/>
  <c r="AB104" i="132"/>
  <c r="AC104" i="132"/>
  <c r="AD104" i="132"/>
  <c r="AE104" i="132"/>
  <c r="AF104" i="132"/>
  <c r="AG104" i="132"/>
  <c r="AH104" i="132"/>
  <c r="AI104" i="132"/>
  <c r="AJ104" i="132"/>
  <c r="AK104" i="132"/>
  <c r="AL104" i="132"/>
  <c r="AM104" i="132"/>
  <c r="AN104" i="132"/>
  <c r="AO104" i="132"/>
  <c r="AP104" i="132"/>
  <c r="AQ104" i="132"/>
  <c r="AR104" i="132"/>
  <c r="AS104" i="132"/>
  <c r="A105" i="132"/>
  <c r="K105" i="132"/>
  <c r="L105" i="132"/>
  <c r="M105" i="132"/>
  <c r="N105" i="132"/>
  <c r="O105" i="132"/>
  <c r="P105" i="132"/>
  <c r="Q105" i="132"/>
  <c r="R105" i="132"/>
  <c r="S105" i="132"/>
  <c r="T105" i="132"/>
  <c r="U105" i="132"/>
  <c r="V105" i="132"/>
  <c r="W105" i="132"/>
  <c r="X105" i="132"/>
  <c r="Y105" i="132"/>
  <c r="Z105" i="132"/>
  <c r="AA105" i="132"/>
  <c r="AB105" i="132"/>
  <c r="AC105" i="132"/>
  <c r="AD105" i="132"/>
  <c r="AE105" i="132"/>
  <c r="AF105" i="132"/>
  <c r="AG105" i="132"/>
  <c r="AH105" i="132"/>
  <c r="AI105" i="132"/>
  <c r="AJ105" i="132"/>
  <c r="AK105" i="132"/>
  <c r="AL105" i="132"/>
  <c r="AM105" i="132"/>
  <c r="AN105" i="132"/>
  <c r="AO105" i="132"/>
  <c r="AP105" i="132"/>
  <c r="AQ105" i="132"/>
  <c r="AR105" i="132"/>
  <c r="AS105" i="132"/>
  <c r="A106" i="132"/>
  <c r="K106" i="132"/>
  <c r="L106" i="132"/>
  <c r="M106" i="132"/>
  <c r="N106" i="132"/>
  <c r="O106" i="132"/>
  <c r="P106" i="132"/>
  <c r="Q106" i="132"/>
  <c r="R106" i="132"/>
  <c r="S106" i="132"/>
  <c r="T106" i="132"/>
  <c r="U106" i="132"/>
  <c r="V106" i="132"/>
  <c r="W106" i="132"/>
  <c r="X106" i="132"/>
  <c r="Y106" i="132"/>
  <c r="Z106" i="132"/>
  <c r="AA106" i="132"/>
  <c r="AB106" i="132"/>
  <c r="AC106" i="132"/>
  <c r="AD106" i="132"/>
  <c r="AE106" i="132"/>
  <c r="AF106" i="132"/>
  <c r="AG106" i="132"/>
  <c r="AH106" i="132"/>
  <c r="AI106" i="132"/>
  <c r="AJ106" i="132"/>
  <c r="AK106" i="132"/>
  <c r="AL106" i="132"/>
  <c r="AM106" i="132"/>
  <c r="AN106" i="132"/>
  <c r="AO106" i="132"/>
  <c r="AP106" i="132"/>
  <c r="AQ106" i="132"/>
  <c r="AR106" i="132"/>
  <c r="AS106" i="132"/>
  <c r="A107" i="132"/>
  <c r="K107" i="132"/>
  <c r="L107" i="132"/>
  <c r="M107" i="132"/>
  <c r="N107" i="132"/>
  <c r="O107" i="132"/>
  <c r="P107" i="132"/>
  <c r="Q107" i="132"/>
  <c r="R107" i="132"/>
  <c r="S107" i="132"/>
  <c r="T107" i="132"/>
  <c r="U107" i="132"/>
  <c r="V107" i="132"/>
  <c r="W107" i="132"/>
  <c r="X107" i="132"/>
  <c r="Y107" i="132"/>
  <c r="Z107" i="132"/>
  <c r="AA107" i="132"/>
  <c r="AB107" i="132"/>
  <c r="AC107" i="132"/>
  <c r="AD107" i="132"/>
  <c r="AE107" i="132"/>
  <c r="AF107" i="132"/>
  <c r="AG107" i="132"/>
  <c r="AH107" i="132"/>
  <c r="AI107" i="132"/>
  <c r="AJ107" i="132"/>
  <c r="AK107" i="132"/>
  <c r="AL107" i="132"/>
  <c r="AM107" i="132"/>
  <c r="AN107" i="132"/>
  <c r="AO107" i="132"/>
  <c r="AP107" i="132"/>
  <c r="AQ107" i="132"/>
  <c r="AR107" i="132"/>
  <c r="AS107" i="132"/>
  <c r="K118" i="132"/>
  <c r="L118" i="132"/>
  <c r="M118" i="132"/>
  <c r="N118" i="132"/>
  <c r="O118" i="132"/>
  <c r="P118" i="132"/>
  <c r="Q118" i="132"/>
  <c r="R118" i="132"/>
  <c r="S118" i="132"/>
  <c r="T118" i="132"/>
  <c r="U118" i="132"/>
  <c r="V118" i="132"/>
  <c r="W118" i="132"/>
  <c r="X118" i="132"/>
  <c r="Y118" i="132"/>
  <c r="Z118" i="132"/>
  <c r="AA118" i="132"/>
  <c r="AB118" i="132"/>
  <c r="AC118" i="132"/>
  <c r="AD118" i="132"/>
  <c r="AE118" i="132"/>
  <c r="AF118" i="132"/>
  <c r="AG118" i="132"/>
  <c r="AH118" i="132"/>
  <c r="AI118" i="132"/>
  <c r="AJ118" i="132"/>
  <c r="AK118" i="132"/>
  <c r="AL118" i="132"/>
  <c r="AM118" i="132"/>
  <c r="AN118" i="132"/>
  <c r="AO118" i="132"/>
  <c r="AP118" i="132"/>
  <c r="AQ118" i="132"/>
  <c r="AR118" i="132"/>
  <c r="AS118" i="132"/>
  <c r="K119" i="132"/>
  <c r="L119" i="132"/>
  <c r="L21" i="132" s="1"/>
  <c r="M119" i="132"/>
  <c r="M21" i="132" s="1"/>
  <c r="N119" i="132"/>
  <c r="N21" i="132" s="1"/>
  <c r="O119" i="132"/>
  <c r="O21" i="132" s="1"/>
  <c r="P119" i="132"/>
  <c r="P21" i="132" s="1"/>
  <c r="R119" i="132"/>
  <c r="R21" i="132" s="1"/>
  <c r="S119" i="132"/>
  <c r="T119" i="132"/>
  <c r="T21" i="132" s="1"/>
  <c r="U119" i="132"/>
  <c r="U21" i="132" s="1"/>
  <c r="V119" i="132"/>
  <c r="V21" i="132" s="1"/>
  <c r="W119" i="132"/>
  <c r="W21" i="132" s="1"/>
  <c r="X119" i="132"/>
  <c r="X21" i="132" s="1"/>
  <c r="Y119" i="132"/>
  <c r="Y21" i="132" s="1"/>
  <c r="Z119" i="132"/>
  <c r="Z21" i="132" s="1"/>
  <c r="AA119" i="132"/>
  <c r="AB119" i="132"/>
  <c r="AB21" i="132" s="1"/>
  <c r="AC119" i="132"/>
  <c r="AC21" i="132" s="1"/>
  <c r="AD119" i="132"/>
  <c r="AD21" i="132" s="1"/>
  <c r="AE119" i="132"/>
  <c r="AE21" i="132" s="1"/>
  <c r="AF119" i="132"/>
  <c r="AF21" i="132" s="1"/>
  <c r="AG119" i="132"/>
  <c r="AG21" i="132" s="1"/>
  <c r="AH119" i="132"/>
  <c r="AH21" i="132" s="1"/>
  <c r="AI119" i="132"/>
  <c r="AJ119" i="132"/>
  <c r="AJ21" i="132" s="1"/>
  <c r="AK119" i="132"/>
  <c r="AK21" i="132" s="1"/>
  <c r="AL119" i="132"/>
  <c r="AL21" i="132" s="1"/>
  <c r="AM119" i="132"/>
  <c r="AM21" i="132" s="1"/>
  <c r="AN119" i="132"/>
  <c r="AN21" i="132" s="1"/>
  <c r="AO119" i="132"/>
  <c r="AO21" i="132" s="1"/>
  <c r="AP119" i="132"/>
  <c r="AP21" i="132" s="1"/>
  <c r="AQ119" i="132"/>
  <c r="AR119" i="132"/>
  <c r="AR21" i="132" s="1"/>
  <c r="AS119" i="132"/>
  <c r="AS21" i="132" s="1"/>
  <c r="F125" i="132"/>
  <c r="F47" i="132" s="1"/>
  <c r="G125" i="132"/>
  <c r="G47" i="132" s="1"/>
  <c r="H125" i="132"/>
  <c r="H47" i="132" s="1"/>
  <c r="I125" i="132"/>
  <c r="I47" i="132" s="1"/>
  <c r="AU125" i="132"/>
  <c r="AU47" i="132" s="1"/>
  <c r="Q47" i="132" s="1"/>
  <c r="AV125" i="132"/>
  <c r="AV47" i="132"/>
  <c r="S47" i="132" s="1"/>
  <c r="AW125" i="132"/>
  <c r="AW47" i="132" s="1"/>
  <c r="N47" i="132" s="1"/>
  <c r="AX125" i="132"/>
  <c r="AX47" i="132" s="1"/>
  <c r="AY125" i="132"/>
  <c r="AY47" i="132" s="1"/>
  <c r="L47" i="132" s="1"/>
  <c r="BB125" i="132"/>
  <c r="BB47" i="132" s="1"/>
  <c r="T47" i="132" s="1"/>
  <c r="BC125" i="132"/>
  <c r="BC47" i="132"/>
  <c r="U47" i="132" s="1"/>
  <c r="BD125" i="132"/>
  <c r="BD47" i="132" s="1"/>
  <c r="M47" i="132" s="1"/>
  <c r="BE125" i="132"/>
  <c r="BE47" i="132" s="1"/>
  <c r="O47" i="132" s="1"/>
  <c r="BF125" i="132"/>
  <c r="BF47" i="132" s="1"/>
  <c r="K47" i="132" s="1"/>
  <c r="BI125" i="132"/>
  <c r="BI47" i="132"/>
  <c r="BM125" i="132"/>
  <c r="BM47" i="132"/>
  <c r="Z47" i="132" s="1"/>
  <c r="BN125" i="132"/>
  <c r="BN47" i="132" s="1"/>
  <c r="BP125" i="132"/>
  <c r="BP47" i="132" s="1"/>
  <c r="AB47" i="132" s="1"/>
  <c r="BQ125" i="132"/>
  <c r="BQ47" i="132"/>
  <c r="BR125" i="132"/>
  <c r="BR47" i="132" s="1"/>
  <c r="W47" i="132" s="1"/>
  <c r="BT125" i="132"/>
  <c r="BT47" i="132" s="1"/>
  <c r="BU125" i="132"/>
  <c r="BU47" i="132"/>
  <c r="AD47" i="132" s="1"/>
  <c r="BV125" i="132"/>
  <c r="BV47" i="132" s="1"/>
  <c r="AG47" i="132" s="1"/>
  <c r="BW125" i="132"/>
  <c r="BW47" i="132"/>
  <c r="AI47" i="132" s="1"/>
  <c r="BX125" i="132"/>
  <c r="BX47" i="132" s="1"/>
  <c r="AC47" i="132" s="1"/>
  <c r="BY125" i="132"/>
  <c r="BY47" i="132" s="1"/>
  <c r="AJ47" i="132" s="1"/>
  <c r="BZ125" i="132"/>
  <c r="BZ47" i="132" s="1"/>
  <c r="AH47" i="132" s="1"/>
  <c r="CA125" i="132"/>
  <c r="CA47" i="132" s="1"/>
  <c r="AF47" i="132" s="1"/>
  <c r="CB125" i="132"/>
  <c r="CB47" i="132" s="1"/>
  <c r="AK47" i="132" s="1"/>
  <c r="CC125" i="132"/>
  <c r="CC47" i="132" s="1"/>
  <c r="AO47" i="132" s="1"/>
  <c r="CD125" i="132"/>
  <c r="CD47" i="132" s="1"/>
  <c r="AP47" i="132" s="1"/>
  <c r="CE125" i="132"/>
  <c r="CE47" i="132"/>
  <c r="AL47" i="132" s="1"/>
  <c r="CF125" i="132"/>
  <c r="CF47" i="132" s="1"/>
  <c r="CG125" i="132"/>
  <c r="CG47" i="132" s="1"/>
  <c r="CH125" i="132"/>
  <c r="CH47" i="132" s="1"/>
  <c r="AM47" i="132" s="1"/>
  <c r="CI125" i="132"/>
  <c r="CI47" i="132" s="1"/>
  <c r="AR47" i="132" s="1"/>
  <c r="CJ125" i="132"/>
  <c r="CJ47" i="132" s="1"/>
  <c r="AN47" i="132" s="1"/>
  <c r="CK125" i="132"/>
  <c r="CK47" i="132" s="1"/>
  <c r="AQ47" i="132" s="1"/>
  <c r="CL125" i="132"/>
  <c r="CL47" i="132" s="1"/>
  <c r="F127" i="132"/>
  <c r="F31" i="132" s="1"/>
  <c r="G127" i="132"/>
  <c r="G31" i="132"/>
  <c r="H127" i="132"/>
  <c r="H31" i="132"/>
  <c r="I127" i="132"/>
  <c r="I31" i="132" s="1"/>
  <c r="AT127" i="132"/>
  <c r="AT31" i="132" s="1"/>
  <c r="AU127" i="132"/>
  <c r="AU31" i="132" s="1"/>
  <c r="AV127" i="132"/>
  <c r="AW127" i="132"/>
  <c r="N127" i="132" s="1"/>
  <c r="AX127" i="132"/>
  <c r="AX31" i="132"/>
  <c r="AY127" i="132"/>
  <c r="L127" i="132" s="1"/>
  <c r="AZ127" i="132"/>
  <c r="AZ31" i="132"/>
  <c r="BA127" i="132"/>
  <c r="BA31" i="132"/>
  <c r="BB127" i="132"/>
  <c r="BB31" i="132"/>
  <c r="BC127" i="132"/>
  <c r="BC31" i="132" s="1"/>
  <c r="BD127" i="132"/>
  <c r="BE127" i="132"/>
  <c r="BE31" i="132"/>
  <c r="BF127" i="132"/>
  <c r="BF31" i="132" s="1"/>
  <c r="BG127" i="132"/>
  <c r="BG31" i="132"/>
  <c r="BH127" i="132"/>
  <c r="BH31" i="132"/>
  <c r="BI127" i="132"/>
  <c r="BI31" i="132"/>
  <c r="BJ127" i="132"/>
  <c r="BK127" i="132"/>
  <c r="BK31" i="132" s="1"/>
  <c r="BL127" i="132"/>
  <c r="BL31" i="132" s="1"/>
  <c r="BM127" i="132"/>
  <c r="BM31" i="132" s="1"/>
  <c r="BN127" i="132"/>
  <c r="BN31" i="132" s="1"/>
  <c r="BO127" i="132"/>
  <c r="BO31" i="132" s="1"/>
  <c r="BP127" i="132"/>
  <c r="BP31" i="132" s="1"/>
  <c r="BQ127" i="132"/>
  <c r="BR127" i="132"/>
  <c r="BS127" i="132"/>
  <c r="BS31" i="132"/>
  <c r="BT127" i="132"/>
  <c r="BT31" i="132" s="1"/>
  <c r="BU127" i="132"/>
  <c r="AD127" i="132" s="1"/>
  <c r="BV127" i="132"/>
  <c r="BV31" i="132" s="1"/>
  <c r="BW127" i="132"/>
  <c r="BW31" i="132" s="1"/>
  <c r="BX127" i="132"/>
  <c r="BX31" i="132" s="1"/>
  <c r="BY127" i="132"/>
  <c r="AJ127" i="132" s="1"/>
  <c r="BZ127" i="132"/>
  <c r="BZ31" i="132" s="1"/>
  <c r="CA127" i="132"/>
  <c r="AF127" i="132" s="1"/>
  <c r="CB127" i="132"/>
  <c r="CB31" i="132" s="1"/>
  <c r="CC127" i="132"/>
  <c r="CC31" i="132" s="1"/>
  <c r="CD127" i="132"/>
  <c r="CD31" i="132" s="1"/>
  <c r="CE127" i="132"/>
  <c r="CE31" i="132" s="1"/>
  <c r="CF127" i="132"/>
  <c r="CF31" i="132" s="1"/>
  <c r="CG127" i="132"/>
  <c r="CG31" i="132" s="1"/>
  <c r="CH127" i="132"/>
  <c r="CH31" i="132" s="1"/>
  <c r="CI127" i="132"/>
  <c r="AR127" i="132" s="1"/>
  <c r="CJ127" i="132"/>
  <c r="CJ31" i="132"/>
  <c r="CK127" i="132"/>
  <c r="CK31" i="132" s="1"/>
  <c r="CL127" i="132"/>
  <c r="CL31" i="132" s="1"/>
  <c r="A5" i="131"/>
  <c r="F5" i="131"/>
  <c r="G5" i="131"/>
  <c r="H5" i="131"/>
  <c r="I5" i="131"/>
  <c r="J5" i="131"/>
  <c r="K5" i="131"/>
  <c r="L5" i="131"/>
  <c r="M5" i="131"/>
  <c r="N5" i="131"/>
  <c r="O5" i="131"/>
  <c r="P5" i="131"/>
  <c r="Q5" i="131"/>
  <c r="R5" i="131"/>
  <c r="S5" i="131"/>
  <c r="T5" i="131"/>
  <c r="U5" i="131"/>
  <c r="V5" i="131"/>
  <c r="W5" i="131"/>
  <c r="X5" i="131"/>
  <c r="Y5" i="131"/>
  <c r="Z5" i="131"/>
  <c r="AA5" i="131"/>
  <c r="AB5" i="131"/>
  <c r="AC5" i="131"/>
  <c r="AD5" i="131"/>
  <c r="AE5" i="131"/>
  <c r="AF5" i="131"/>
  <c r="AG5" i="131"/>
  <c r="AH5" i="131"/>
  <c r="AI5" i="131"/>
  <c r="AJ5" i="131"/>
  <c r="AK5" i="131"/>
  <c r="AL5" i="131"/>
  <c r="AM5" i="131"/>
  <c r="AN5" i="131"/>
  <c r="AO5" i="131"/>
  <c r="AP5" i="131"/>
  <c r="AQ5" i="131"/>
  <c r="AR5" i="131"/>
  <c r="AS5" i="131"/>
  <c r="AT5" i="131"/>
  <c r="AU5" i="131"/>
  <c r="AV5" i="131"/>
  <c r="AW5" i="131"/>
  <c r="AX5" i="131"/>
  <c r="AY5" i="131"/>
  <c r="AZ5" i="131"/>
  <c r="BA5" i="131"/>
  <c r="BB5" i="131"/>
  <c r="BC5" i="131"/>
  <c r="BD5" i="131"/>
  <c r="BE5" i="131"/>
  <c r="BF5" i="131"/>
  <c r="BG5" i="131"/>
  <c r="BH5" i="131"/>
  <c r="BI5" i="131"/>
  <c r="BJ5" i="131"/>
  <c r="BK5" i="131"/>
  <c r="BL5" i="131"/>
  <c r="BM5" i="131"/>
  <c r="BN5" i="131"/>
  <c r="BO5" i="131"/>
  <c r="BP5" i="131"/>
  <c r="BQ5" i="131"/>
  <c r="BR5" i="131"/>
  <c r="BS5" i="131"/>
  <c r="BT5" i="131"/>
  <c r="BU5" i="131"/>
  <c r="BV5" i="131"/>
  <c r="BW5" i="131"/>
  <c r="BX5" i="131"/>
  <c r="BY5" i="131"/>
  <c r="BZ5" i="131"/>
  <c r="CA5" i="131"/>
  <c r="CB5" i="131"/>
  <c r="CC5" i="131"/>
  <c r="CD5" i="131"/>
  <c r="CE5" i="131"/>
  <c r="CF5" i="131"/>
  <c r="CG5" i="131"/>
  <c r="CH5" i="131"/>
  <c r="CI5" i="131"/>
  <c r="CJ5" i="131"/>
  <c r="CK5" i="131"/>
  <c r="CL5" i="131"/>
  <c r="A6" i="131"/>
  <c r="A7" i="131"/>
  <c r="K7" i="131"/>
  <c r="L7" i="131"/>
  <c r="M7" i="131"/>
  <c r="N7" i="131"/>
  <c r="O7" i="131"/>
  <c r="P7" i="131"/>
  <c r="Q7" i="131"/>
  <c r="R7" i="131"/>
  <c r="S7" i="131"/>
  <c r="T7" i="131"/>
  <c r="U7" i="131"/>
  <c r="V7" i="131"/>
  <c r="W7" i="131"/>
  <c r="X7" i="131"/>
  <c r="Y7" i="131"/>
  <c r="Z7" i="131"/>
  <c r="AA7" i="131"/>
  <c r="AB7" i="131"/>
  <c r="AC7" i="131"/>
  <c r="AD7" i="131"/>
  <c r="AE7" i="131"/>
  <c r="AF7" i="131"/>
  <c r="AG7" i="131"/>
  <c r="AH7" i="131"/>
  <c r="AI7" i="131"/>
  <c r="AJ7" i="131"/>
  <c r="AK7" i="131"/>
  <c r="AL7" i="131"/>
  <c r="AM7" i="131"/>
  <c r="AN7" i="131"/>
  <c r="AO7" i="131"/>
  <c r="AP7" i="131"/>
  <c r="AQ7" i="131"/>
  <c r="AR7" i="131"/>
  <c r="AS7" i="131"/>
  <c r="A8" i="131"/>
  <c r="K8" i="131"/>
  <c r="L8" i="131"/>
  <c r="M8" i="131"/>
  <c r="N8" i="131"/>
  <c r="O8" i="131"/>
  <c r="P8" i="131"/>
  <c r="Q8" i="131"/>
  <c r="R8" i="131"/>
  <c r="S8" i="131"/>
  <c r="T8" i="131"/>
  <c r="U8" i="131"/>
  <c r="V8" i="131"/>
  <c r="W8" i="131"/>
  <c r="X8" i="131"/>
  <c r="Y8" i="131"/>
  <c r="Z8" i="131"/>
  <c r="AA8" i="131"/>
  <c r="AB8" i="131"/>
  <c r="AC8" i="131"/>
  <c r="AD8" i="131"/>
  <c r="AE8" i="131"/>
  <c r="AF8" i="131"/>
  <c r="AG8" i="131"/>
  <c r="AH8" i="131"/>
  <c r="AI8" i="131"/>
  <c r="AJ8" i="131"/>
  <c r="AK8" i="131"/>
  <c r="AL8" i="131"/>
  <c r="AM8" i="131"/>
  <c r="AN8" i="131"/>
  <c r="AO8" i="131"/>
  <c r="AP8" i="131"/>
  <c r="AQ8" i="131"/>
  <c r="AR8" i="131"/>
  <c r="AS8" i="131"/>
  <c r="A9" i="131"/>
  <c r="K9" i="131"/>
  <c r="L9" i="131"/>
  <c r="M9" i="131"/>
  <c r="N9" i="131"/>
  <c r="O9" i="131"/>
  <c r="P9" i="131"/>
  <c r="Q9" i="131"/>
  <c r="R9" i="131"/>
  <c r="S9" i="131"/>
  <c r="T9" i="131"/>
  <c r="U9" i="131"/>
  <c r="V9" i="131"/>
  <c r="W9" i="131"/>
  <c r="X9" i="131"/>
  <c r="Y9" i="131"/>
  <c r="Z9" i="131"/>
  <c r="AA9" i="131"/>
  <c r="AB9" i="131"/>
  <c r="AC9" i="131"/>
  <c r="AD9" i="131"/>
  <c r="AE9" i="131"/>
  <c r="AF9" i="131"/>
  <c r="AG9" i="131"/>
  <c r="AH9" i="131"/>
  <c r="AI9" i="131"/>
  <c r="AJ9" i="131"/>
  <c r="AK9" i="131"/>
  <c r="AL9" i="131"/>
  <c r="AM9" i="131"/>
  <c r="AN9" i="131"/>
  <c r="AO9" i="131"/>
  <c r="AP9" i="131"/>
  <c r="AQ9" i="131"/>
  <c r="AR9" i="131"/>
  <c r="AS9" i="131"/>
  <c r="A10" i="131"/>
  <c r="K10" i="131"/>
  <c r="L10" i="131"/>
  <c r="M10" i="131"/>
  <c r="N10" i="131"/>
  <c r="O10" i="131"/>
  <c r="P10" i="131"/>
  <c r="Q10" i="131"/>
  <c r="R10" i="131"/>
  <c r="S10" i="131"/>
  <c r="T10" i="131"/>
  <c r="U10" i="131"/>
  <c r="V10" i="131"/>
  <c r="W10" i="131"/>
  <c r="X10" i="131"/>
  <c r="Y10" i="131"/>
  <c r="Z10" i="131"/>
  <c r="AA10" i="131"/>
  <c r="AB10" i="131"/>
  <c r="AC10" i="131"/>
  <c r="AD10" i="131"/>
  <c r="AE10" i="131"/>
  <c r="AF10" i="131"/>
  <c r="AG10" i="131"/>
  <c r="AH10" i="131"/>
  <c r="AI10" i="131"/>
  <c r="AJ10" i="131"/>
  <c r="AK10" i="131"/>
  <c r="AL10" i="131"/>
  <c r="AM10" i="131"/>
  <c r="AN10" i="131"/>
  <c r="AO10" i="131"/>
  <c r="AP10" i="131"/>
  <c r="AQ10" i="131"/>
  <c r="AR10" i="131"/>
  <c r="AS10" i="131"/>
  <c r="A11" i="131"/>
  <c r="K11" i="131"/>
  <c r="L11" i="131"/>
  <c r="M11" i="131"/>
  <c r="N11" i="131"/>
  <c r="O11" i="131"/>
  <c r="P11" i="131"/>
  <c r="Q11" i="131"/>
  <c r="R11" i="131"/>
  <c r="S11" i="131"/>
  <c r="T11" i="131"/>
  <c r="U11" i="131"/>
  <c r="V11" i="131"/>
  <c r="W11" i="131"/>
  <c r="X11" i="131"/>
  <c r="Y11" i="131"/>
  <c r="Z11" i="131"/>
  <c r="AA11" i="131"/>
  <c r="AB11" i="131"/>
  <c r="AC11" i="131"/>
  <c r="AD11" i="131"/>
  <c r="AE11" i="131"/>
  <c r="AF11" i="131"/>
  <c r="AG11" i="131"/>
  <c r="AH11" i="131"/>
  <c r="AI11" i="131"/>
  <c r="AJ11" i="131"/>
  <c r="AK11" i="131"/>
  <c r="AL11" i="131"/>
  <c r="AM11" i="131"/>
  <c r="AN11" i="131"/>
  <c r="AO11" i="131"/>
  <c r="AP11" i="131"/>
  <c r="AQ11" i="131"/>
  <c r="AR11" i="131"/>
  <c r="AS11" i="131"/>
  <c r="A12" i="131"/>
  <c r="K12" i="131"/>
  <c r="L12" i="131"/>
  <c r="M12" i="131"/>
  <c r="N12" i="131"/>
  <c r="O12" i="131"/>
  <c r="P12" i="131"/>
  <c r="Q12" i="131"/>
  <c r="R12" i="131"/>
  <c r="S12" i="131"/>
  <c r="T12" i="131"/>
  <c r="U12" i="131"/>
  <c r="V12" i="131"/>
  <c r="W12" i="131"/>
  <c r="X12" i="131"/>
  <c r="Y12" i="131"/>
  <c r="Z12" i="131"/>
  <c r="AA12" i="131"/>
  <c r="AB12" i="131"/>
  <c r="AC12" i="131"/>
  <c r="AD12" i="131"/>
  <c r="AE12" i="131"/>
  <c r="AF12" i="131"/>
  <c r="AG12" i="131"/>
  <c r="AH12" i="131"/>
  <c r="AI12" i="131"/>
  <c r="AJ12" i="131"/>
  <c r="AK12" i="131"/>
  <c r="AL12" i="131"/>
  <c r="AM12" i="131"/>
  <c r="AN12" i="131"/>
  <c r="AO12" i="131"/>
  <c r="AP12" i="131"/>
  <c r="AQ12" i="131"/>
  <c r="AR12" i="131"/>
  <c r="AS12" i="131"/>
  <c r="A13" i="131"/>
  <c r="K13" i="131"/>
  <c r="L13" i="131"/>
  <c r="M13" i="131"/>
  <c r="N13" i="131"/>
  <c r="O13" i="131"/>
  <c r="P13" i="131"/>
  <c r="P14" i="131" s="1"/>
  <c r="Q13" i="131"/>
  <c r="R13" i="131"/>
  <c r="R14" i="131"/>
  <c r="S13" i="131"/>
  <c r="T13" i="131"/>
  <c r="U13" i="131"/>
  <c r="V13" i="131"/>
  <c r="V14" i="131" s="1"/>
  <c r="W13" i="131"/>
  <c r="X13" i="131"/>
  <c r="X14" i="131" s="1"/>
  <c r="Y13" i="131"/>
  <c r="Y14" i="131" s="1"/>
  <c r="Z13" i="131"/>
  <c r="AA13" i="131"/>
  <c r="AA14" i="131"/>
  <c r="AB13" i="131"/>
  <c r="AC13" i="131"/>
  <c r="AD13" i="131"/>
  <c r="AE13" i="131"/>
  <c r="AF13" i="131"/>
  <c r="AG13" i="131"/>
  <c r="AH13" i="131"/>
  <c r="AI13" i="131"/>
  <c r="AJ13" i="131"/>
  <c r="AK13" i="131"/>
  <c r="AL13" i="131"/>
  <c r="AM13" i="131"/>
  <c r="AN13" i="131"/>
  <c r="AO13" i="131"/>
  <c r="AP13" i="131"/>
  <c r="AQ13" i="131"/>
  <c r="AR13" i="131"/>
  <c r="AS13" i="131"/>
  <c r="AS14" i="131" s="1"/>
  <c r="A14" i="131"/>
  <c r="F14" i="131"/>
  <c r="G14" i="131"/>
  <c r="H14" i="131"/>
  <c r="I14" i="131"/>
  <c r="AE14" i="131"/>
  <c r="AT14" i="131"/>
  <c r="AU14" i="131"/>
  <c r="Q14" i="131" s="1"/>
  <c r="AV14" i="131"/>
  <c r="S14" i="131" s="1"/>
  <c r="AW14" i="131"/>
  <c r="N14" i="131" s="1"/>
  <c r="AX14" i="131"/>
  <c r="AY14" i="131"/>
  <c r="L14" i="131"/>
  <c r="AZ14" i="131"/>
  <c r="BA14" i="131"/>
  <c r="BB14" i="131"/>
  <c r="T14" i="131" s="1"/>
  <c r="BC14" i="131"/>
  <c r="U14" i="131" s="1"/>
  <c r="BD14" i="131"/>
  <c r="M14" i="131"/>
  <c r="BE14" i="131"/>
  <c r="O14" i="131"/>
  <c r="BF14" i="131"/>
  <c r="K14" i="131" s="1"/>
  <c r="BG14" i="131"/>
  <c r="BH14" i="131"/>
  <c r="BI14" i="131"/>
  <c r="BJ14" i="131"/>
  <c r="BK14" i="131"/>
  <c r="BL14" i="131"/>
  <c r="BM14" i="131"/>
  <c r="Z14" i="131" s="1"/>
  <c r="BN14" i="131"/>
  <c r="BO14" i="131"/>
  <c r="BP14" i="131"/>
  <c r="AB14" i="131"/>
  <c r="BQ14" i="131"/>
  <c r="BR14" i="131"/>
  <c r="W14" i="131" s="1"/>
  <c r="BS14" i="131"/>
  <c r="BT14" i="131"/>
  <c r="BU14" i="131"/>
  <c r="AD14" i="131" s="1"/>
  <c r="BV14" i="131"/>
  <c r="AG14" i="131" s="1"/>
  <c r="BW14" i="131"/>
  <c r="AI14" i="131" s="1"/>
  <c r="BX14" i="131"/>
  <c r="AC14" i="131" s="1"/>
  <c r="BY14" i="131"/>
  <c r="AJ14" i="131" s="1"/>
  <c r="BZ14" i="131"/>
  <c r="AH14" i="131" s="1"/>
  <c r="CA14" i="131"/>
  <c r="AF14" i="131" s="1"/>
  <c r="CB14" i="131"/>
  <c r="AK14" i="131" s="1"/>
  <c r="CC14" i="131"/>
  <c r="AO14" i="131" s="1"/>
  <c r="CD14" i="131"/>
  <c r="AP14" i="131" s="1"/>
  <c r="CE14" i="131"/>
  <c r="AL14" i="131" s="1"/>
  <c r="CF14" i="131"/>
  <c r="CG14" i="131"/>
  <c r="CH14" i="131"/>
  <c r="AM14" i="131" s="1"/>
  <c r="CI14" i="131"/>
  <c r="AR14" i="131" s="1"/>
  <c r="CJ14" i="131"/>
  <c r="AN14" i="131" s="1"/>
  <c r="CK14" i="131"/>
  <c r="AQ14" i="131" s="1"/>
  <c r="CL14" i="131"/>
  <c r="A15" i="131"/>
  <c r="A16" i="131"/>
  <c r="K16" i="131"/>
  <c r="L16" i="131"/>
  <c r="M16" i="131"/>
  <c r="N16" i="131"/>
  <c r="O16" i="131"/>
  <c r="P16" i="131"/>
  <c r="Q16" i="131"/>
  <c r="R16" i="131"/>
  <c r="S16" i="131"/>
  <c r="T16" i="131"/>
  <c r="U16" i="131"/>
  <c r="V16" i="131"/>
  <c r="W16" i="131"/>
  <c r="X16" i="131"/>
  <c r="Y16" i="131"/>
  <c r="Z16" i="131"/>
  <c r="AA16" i="131"/>
  <c r="AB16" i="131"/>
  <c r="AC16" i="131"/>
  <c r="AD16" i="131"/>
  <c r="AE16" i="131"/>
  <c r="AF16" i="131"/>
  <c r="AG16" i="131"/>
  <c r="AH16" i="131"/>
  <c r="AI16" i="131"/>
  <c r="AJ16" i="131"/>
  <c r="AK16" i="131"/>
  <c r="AL16" i="131"/>
  <c r="AM16" i="131"/>
  <c r="AN16" i="131"/>
  <c r="AO16" i="131"/>
  <c r="AP16" i="131"/>
  <c r="AQ16" i="131"/>
  <c r="AR16" i="131"/>
  <c r="AS16" i="131"/>
  <c r="A17" i="131"/>
  <c r="F17" i="131"/>
  <c r="G17" i="131"/>
  <c r="H17" i="131"/>
  <c r="I17" i="131"/>
  <c r="K17" i="131"/>
  <c r="L17" i="131"/>
  <c r="M17" i="131"/>
  <c r="N17" i="131"/>
  <c r="O17" i="131"/>
  <c r="P17" i="131"/>
  <c r="Q17" i="131"/>
  <c r="R17" i="131"/>
  <c r="S17" i="131"/>
  <c r="T17" i="131"/>
  <c r="U17" i="131"/>
  <c r="V17" i="131"/>
  <c r="W17" i="131"/>
  <c r="X17" i="131"/>
  <c r="Y17" i="131"/>
  <c r="Z17" i="131"/>
  <c r="AA17" i="131"/>
  <c r="AB17" i="131"/>
  <c r="AC17" i="131"/>
  <c r="AD17" i="131"/>
  <c r="AE17" i="131"/>
  <c r="AF17" i="131"/>
  <c r="AG17" i="131"/>
  <c r="AH17" i="131"/>
  <c r="AI17" i="131"/>
  <c r="AJ17" i="131"/>
  <c r="AK17" i="131"/>
  <c r="AL17" i="131"/>
  <c r="AM17" i="131"/>
  <c r="AN17" i="131"/>
  <c r="AO17" i="131"/>
  <c r="AP17" i="131"/>
  <c r="AQ17" i="131"/>
  <c r="AR17" i="131"/>
  <c r="AS17" i="131"/>
  <c r="A18" i="131"/>
  <c r="K18" i="131"/>
  <c r="L18" i="131"/>
  <c r="M18" i="131"/>
  <c r="N18" i="131"/>
  <c r="O18" i="131"/>
  <c r="P18" i="131"/>
  <c r="Q18" i="131"/>
  <c r="R18" i="131"/>
  <c r="S18" i="131"/>
  <c r="T18" i="131"/>
  <c r="U18" i="131"/>
  <c r="V18" i="131"/>
  <c r="W18" i="131"/>
  <c r="X18" i="131"/>
  <c r="Y18" i="131"/>
  <c r="Z18" i="131"/>
  <c r="AA18" i="131"/>
  <c r="AB18" i="131"/>
  <c r="AC18" i="131"/>
  <c r="AD18" i="131"/>
  <c r="AE18" i="131"/>
  <c r="AF18" i="131"/>
  <c r="AG18" i="131"/>
  <c r="AH18" i="131"/>
  <c r="AI18" i="131"/>
  <c r="AJ18" i="131"/>
  <c r="AK18" i="131"/>
  <c r="AL18" i="131"/>
  <c r="AM18" i="131"/>
  <c r="AN18" i="131"/>
  <c r="AO18" i="131"/>
  <c r="AP18" i="131"/>
  <c r="AQ18" i="131"/>
  <c r="AR18" i="131"/>
  <c r="AS18" i="131"/>
  <c r="A19" i="131"/>
  <c r="K19" i="131"/>
  <c r="L19" i="131"/>
  <c r="M19" i="131"/>
  <c r="N19" i="131"/>
  <c r="O19" i="131"/>
  <c r="P19" i="131"/>
  <c r="Q19" i="131"/>
  <c r="R19" i="131"/>
  <c r="S19" i="131"/>
  <c r="T19" i="131"/>
  <c r="U19" i="131"/>
  <c r="V19" i="131"/>
  <c r="W19" i="131"/>
  <c r="X19" i="131"/>
  <c r="Y19" i="131"/>
  <c r="Z19" i="131"/>
  <c r="AA19" i="131"/>
  <c r="AB19" i="131"/>
  <c r="AC19" i="131"/>
  <c r="AD19" i="131"/>
  <c r="AE19" i="131"/>
  <c r="AF19" i="131"/>
  <c r="AG19" i="131"/>
  <c r="AH19" i="131"/>
  <c r="AI19" i="131"/>
  <c r="AJ19" i="131"/>
  <c r="AK19" i="131"/>
  <c r="AL19" i="131"/>
  <c r="AM19" i="131"/>
  <c r="AN19" i="131"/>
  <c r="AO19" i="131"/>
  <c r="AP19" i="131"/>
  <c r="AQ19" i="131"/>
  <c r="AR19" i="131"/>
  <c r="AS19" i="131"/>
  <c r="A20" i="131"/>
  <c r="K20" i="131"/>
  <c r="L20" i="131"/>
  <c r="M20" i="131"/>
  <c r="N20" i="131"/>
  <c r="O20" i="131"/>
  <c r="P20" i="131"/>
  <c r="Q20" i="131"/>
  <c r="Q21" i="131" s="1"/>
  <c r="R20" i="131"/>
  <c r="S20" i="131"/>
  <c r="T20" i="131"/>
  <c r="U20" i="131"/>
  <c r="V20" i="131"/>
  <c r="W20" i="131"/>
  <c r="X20" i="131"/>
  <c r="Y20" i="131"/>
  <c r="Z20" i="131"/>
  <c r="AA20" i="131"/>
  <c r="AB20" i="131"/>
  <c r="AC20" i="131"/>
  <c r="AD20" i="131"/>
  <c r="AE20" i="131"/>
  <c r="AF20" i="131"/>
  <c r="AG20" i="131"/>
  <c r="AH20" i="131"/>
  <c r="AI20" i="131"/>
  <c r="AJ20" i="131"/>
  <c r="AK20" i="131"/>
  <c r="AL20" i="131"/>
  <c r="AM20" i="131"/>
  <c r="AN20" i="131"/>
  <c r="AO20" i="131"/>
  <c r="AP20" i="131"/>
  <c r="AQ20" i="131"/>
  <c r="AR20" i="131"/>
  <c r="AS20" i="131"/>
  <c r="A21" i="131"/>
  <c r="F21" i="131"/>
  <c r="G21" i="131"/>
  <c r="H21" i="131"/>
  <c r="I21" i="131"/>
  <c r="AT21" i="131"/>
  <c r="AU21" i="131"/>
  <c r="AV21" i="131"/>
  <c r="AW21" i="131"/>
  <c r="AX21" i="131"/>
  <c r="AY21" i="131"/>
  <c r="AZ21" i="131"/>
  <c r="BA21" i="131"/>
  <c r="BB21" i="131"/>
  <c r="BC21" i="131"/>
  <c r="BD21" i="131"/>
  <c r="BE21" i="131"/>
  <c r="BF21" i="131"/>
  <c r="BG21" i="131"/>
  <c r="BH21" i="131"/>
  <c r="BI21" i="131"/>
  <c r="BJ21" i="131"/>
  <c r="BK21" i="131"/>
  <c r="BL21" i="131"/>
  <c r="BM21" i="131"/>
  <c r="BN21" i="131"/>
  <c r="BO21" i="131"/>
  <c r="BP21" i="131"/>
  <c r="BQ21" i="131"/>
  <c r="BR21" i="131"/>
  <c r="BS21" i="131"/>
  <c r="BT21" i="131"/>
  <c r="BU21" i="131"/>
  <c r="BV21" i="131"/>
  <c r="BW21" i="131"/>
  <c r="BX21" i="131"/>
  <c r="BY21" i="131"/>
  <c r="BZ21" i="131"/>
  <c r="CA21" i="131"/>
  <c r="CB21" i="131"/>
  <c r="CC21" i="131"/>
  <c r="CD21" i="131"/>
  <c r="CE21" i="131"/>
  <c r="CF21" i="131"/>
  <c r="CG21" i="131"/>
  <c r="CH21" i="131"/>
  <c r="CI21" i="131"/>
  <c r="CJ21" i="131"/>
  <c r="CK21" i="131"/>
  <c r="CL21" i="131"/>
  <c r="A22" i="131"/>
  <c r="Q22" i="131"/>
  <c r="A23" i="131"/>
  <c r="K23" i="131"/>
  <c r="L23" i="131"/>
  <c r="M23" i="131"/>
  <c r="N23" i="131"/>
  <c r="O23" i="131"/>
  <c r="P23" i="131"/>
  <c r="Q23" i="131"/>
  <c r="R23" i="131"/>
  <c r="S23" i="131"/>
  <c r="T23" i="131"/>
  <c r="U23" i="131"/>
  <c r="V23" i="131"/>
  <c r="W23" i="131"/>
  <c r="X23" i="131"/>
  <c r="Y23" i="131"/>
  <c r="Z23" i="131"/>
  <c r="AA23" i="131"/>
  <c r="AB23" i="131"/>
  <c r="AC23" i="131"/>
  <c r="AD23" i="131"/>
  <c r="AE23" i="131"/>
  <c r="AE32" i="131" s="1"/>
  <c r="AE33" i="131" s="1"/>
  <c r="AF23" i="131"/>
  <c r="AG23" i="131"/>
  <c r="AH23" i="131"/>
  <c r="AI23" i="131"/>
  <c r="AJ23" i="131"/>
  <c r="AK23" i="131"/>
  <c r="AL23" i="131"/>
  <c r="AM23" i="131"/>
  <c r="AN23" i="131"/>
  <c r="AO23" i="131"/>
  <c r="AP23" i="131"/>
  <c r="AQ23" i="131"/>
  <c r="AR23" i="131"/>
  <c r="AS23" i="131"/>
  <c r="AS32" i="131" s="1"/>
  <c r="AS33" i="131" s="1"/>
  <c r="A24" i="131"/>
  <c r="F24" i="131"/>
  <c r="F31" i="131" s="1"/>
  <c r="G24" i="131"/>
  <c r="G31" i="131" s="1"/>
  <c r="H24" i="131"/>
  <c r="H31" i="131"/>
  <c r="I24" i="131"/>
  <c r="AT24" i="131"/>
  <c r="AU24" i="131"/>
  <c r="Q24" i="131"/>
  <c r="AV24" i="131"/>
  <c r="S24" i="131" s="1"/>
  <c r="AW24" i="131"/>
  <c r="N24" i="131"/>
  <c r="AX24" i="131"/>
  <c r="R24" i="131"/>
  <c r="AY24" i="131"/>
  <c r="L24" i="131"/>
  <c r="AZ24" i="131"/>
  <c r="AZ31" i="131" s="1"/>
  <c r="BA24" i="131"/>
  <c r="BB24" i="131"/>
  <c r="BC24" i="131"/>
  <c r="U24" i="131"/>
  <c r="BD24" i="131"/>
  <c r="BD31" i="131" s="1"/>
  <c r="M31" i="131" s="1"/>
  <c r="M24" i="131"/>
  <c r="BE24" i="131"/>
  <c r="O24" i="131" s="1"/>
  <c r="BF24" i="131"/>
  <c r="K24" i="131"/>
  <c r="BG24" i="131"/>
  <c r="BI24" i="131"/>
  <c r="X24" i="131"/>
  <c r="BJ24" i="131"/>
  <c r="V24" i="131" s="1"/>
  <c r="BM24" i="131"/>
  <c r="Z24" i="131" s="1"/>
  <c r="BN24" i="131"/>
  <c r="Y24" i="131" s="1"/>
  <c r="BP24" i="131"/>
  <c r="AB24" i="131" s="1"/>
  <c r="BQ24" i="131"/>
  <c r="AA24" i="131" s="1"/>
  <c r="BR24" i="131"/>
  <c r="W24" i="131" s="1"/>
  <c r="BS24" i="131"/>
  <c r="BT24" i="131"/>
  <c r="BU24" i="131"/>
  <c r="AD24" i="131" s="1"/>
  <c r="BV24" i="131"/>
  <c r="BV31" i="131" s="1"/>
  <c r="AG31" i="131" s="1"/>
  <c r="AG24" i="131"/>
  <c r="BW24" i="131"/>
  <c r="AI24" i="131"/>
  <c r="BX24" i="131"/>
  <c r="AC24" i="131"/>
  <c r="BY24" i="131"/>
  <c r="AJ24" i="131" s="1"/>
  <c r="BZ24" i="131"/>
  <c r="CA24" i="131"/>
  <c r="AF24" i="131" s="1"/>
  <c r="CB24" i="131"/>
  <c r="AK24" i="131" s="1"/>
  <c r="CC24" i="131"/>
  <c r="AO24" i="131" s="1"/>
  <c r="CD24" i="131"/>
  <c r="AP24" i="131" s="1"/>
  <c r="CE24" i="131"/>
  <c r="AL24" i="131" s="1"/>
  <c r="CG24" i="131"/>
  <c r="AS24" i="131" s="1"/>
  <c r="CH24" i="131"/>
  <c r="AM24" i="131" s="1"/>
  <c r="CI24" i="131"/>
  <c r="AR24" i="131" s="1"/>
  <c r="CJ24" i="131"/>
  <c r="AN24" i="131"/>
  <c r="CK24" i="131"/>
  <c r="AQ24" i="131" s="1"/>
  <c r="CL24" i="131"/>
  <c r="CL31" i="131" s="1"/>
  <c r="A25" i="131"/>
  <c r="K25" i="131"/>
  <c r="L25" i="131"/>
  <c r="M25" i="131"/>
  <c r="N25" i="131"/>
  <c r="O25" i="131"/>
  <c r="P25" i="131"/>
  <c r="Q25" i="131"/>
  <c r="R25" i="131"/>
  <c r="S25" i="131"/>
  <c r="T25" i="131"/>
  <c r="U25" i="131"/>
  <c r="W25" i="131"/>
  <c r="X25" i="131"/>
  <c r="Y25" i="131"/>
  <c r="Z25" i="131"/>
  <c r="AA25" i="131"/>
  <c r="AB25" i="131"/>
  <c r="AC25" i="131"/>
  <c r="AD25" i="131"/>
  <c r="AE25" i="131"/>
  <c r="AF25" i="131"/>
  <c r="AG25" i="131"/>
  <c r="AH25" i="131"/>
  <c r="AI25" i="131"/>
  <c r="AJ25" i="131"/>
  <c r="AK25" i="131"/>
  <c r="AL25" i="131"/>
  <c r="AM25" i="131"/>
  <c r="AN25" i="131"/>
  <c r="AO25" i="131"/>
  <c r="AP25" i="131"/>
  <c r="AQ25" i="131"/>
  <c r="AR25" i="131"/>
  <c r="AS25" i="131"/>
  <c r="BJ25" i="131"/>
  <c r="V25" i="131" s="1"/>
  <c r="A26" i="131"/>
  <c r="F26" i="131"/>
  <c r="G26" i="131"/>
  <c r="H26" i="131"/>
  <c r="I26" i="131"/>
  <c r="AU26" i="131"/>
  <c r="Q26" i="131" s="1"/>
  <c r="AV26" i="131"/>
  <c r="S26" i="131" s="1"/>
  <c r="AW26" i="131"/>
  <c r="N26" i="131"/>
  <c r="AX26" i="131"/>
  <c r="R26" i="131"/>
  <c r="AY26" i="131"/>
  <c r="L26" i="131" s="1"/>
  <c r="BA26" i="131"/>
  <c r="P26" i="131" s="1"/>
  <c r="BB26" i="131"/>
  <c r="T26" i="131" s="1"/>
  <c r="BC26" i="131"/>
  <c r="U26" i="131" s="1"/>
  <c r="BD26" i="131"/>
  <c r="M26" i="131" s="1"/>
  <c r="BE26" i="131"/>
  <c r="O26" i="131" s="1"/>
  <c r="BF26" i="131"/>
  <c r="K26" i="131" s="1"/>
  <c r="BI26" i="131"/>
  <c r="X26" i="131" s="1"/>
  <c r="BJ26" i="131"/>
  <c r="V26" i="131" s="1"/>
  <c r="BM26" i="131"/>
  <c r="Z26" i="131" s="1"/>
  <c r="BN26" i="131"/>
  <c r="Y26" i="131" s="1"/>
  <c r="BP26" i="131"/>
  <c r="AB26" i="131" s="1"/>
  <c r="BQ26" i="131"/>
  <c r="AA26" i="131" s="1"/>
  <c r="BR26" i="131"/>
  <c r="W26" i="131" s="1"/>
  <c r="BS26" i="131"/>
  <c r="AE26" i="131" s="1"/>
  <c r="BT26" i="131"/>
  <c r="BU26" i="131"/>
  <c r="AD26" i="131" s="1"/>
  <c r="BV26" i="131"/>
  <c r="AG26" i="131" s="1"/>
  <c r="BW26" i="131"/>
  <c r="AI26" i="131"/>
  <c r="BX26" i="131"/>
  <c r="AC26" i="131"/>
  <c r="BY26" i="131"/>
  <c r="AJ26" i="131" s="1"/>
  <c r="BZ26" i="131"/>
  <c r="AH26" i="131" s="1"/>
  <c r="CA26" i="131"/>
  <c r="AF26" i="131" s="1"/>
  <c r="CB26" i="131"/>
  <c r="AK26" i="131" s="1"/>
  <c r="CC26" i="131"/>
  <c r="AO26" i="131" s="1"/>
  <c r="CD26" i="131"/>
  <c r="AP26" i="131" s="1"/>
  <c r="CE26" i="131"/>
  <c r="AL26" i="131" s="1"/>
  <c r="CG26" i="131"/>
  <c r="AS26" i="131" s="1"/>
  <c r="CH26" i="131"/>
  <c r="AM26" i="131" s="1"/>
  <c r="CI26" i="131"/>
  <c r="AR26" i="131" s="1"/>
  <c r="CJ26" i="131"/>
  <c r="AN26" i="131" s="1"/>
  <c r="CK26" i="131"/>
  <c r="AQ26" i="131" s="1"/>
  <c r="CL26" i="131"/>
  <c r="A27" i="131"/>
  <c r="F27" i="131"/>
  <c r="G27" i="131"/>
  <c r="H27" i="131"/>
  <c r="I27" i="131"/>
  <c r="AT27" i="131"/>
  <c r="AU27" i="131"/>
  <c r="Q27" i="131" s="1"/>
  <c r="AV27" i="131"/>
  <c r="S27" i="131"/>
  <c r="AW27" i="131"/>
  <c r="N27" i="131" s="1"/>
  <c r="AX27" i="131"/>
  <c r="R27" i="131" s="1"/>
  <c r="AY27" i="131"/>
  <c r="L27" i="131" s="1"/>
  <c r="AZ27" i="131"/>
  <c r="P27" i="131" s="1"/>
  <c r="BA27" i="131"/>
  <c r="BB27" i="131"/>
  <c r="T27" i="131"/>
  <c r="BC27" i="131"/>
  <c r="U27" i="131" s="1"/>
  <c r="BD27" i="131"/>
  <c r="M27" i="131" s="1"/>
  <c r="BE27" i="131"/>
  <c r="O27" i="131" s="1"/>
  <c r="BF27" i="131"/>
  <c r="K27" i="131" s="1"/>
  <c r="BI27" i="131"/>
  <c r="X27" i="131"/>
  <c r="BJ27" i="131"/>
  <c r="V27" i="131" s="1"/>
  <c r="BM27" i="131"/>
  <c r="Z27" i="131" s="1"/>
  <c r="BN27" i="131"/>
  <c r="Y27" i="131" s="1"/>
  <c r="BP27" i="131"/>
  <c r="AB27" i="131" s="1"/>
  <c r="BQ27" i="131"/>
  <c r="AA27" i="131" s="1"/>
  <c r="BR27" i="131"/>
  <c r="W27" i="131" s="1"/>
  <c r="BT27" i="131"/>
  <c r="AE27" i="131" s="1"/>
  <c r="BU27" i="131"/>
  <c r="AD27" i="131" s="1"/>
  <c r="BV27" i="131"/>
  <c r="AG27" i="131" s="1"/>
  <c r="BW27" i="131"/>
  <c r="AI27" i="131" s="1"/>
  <c r="BX27" i="131"/>
  <c r="AC27" i="131" s="1"/>
  <c r="BY27" i="131"/>
  <c r="AJ27" i="131" s="1"/>
  <c r="BZ27" i="131"/>
  <c r="AH27" i="131" s="1"/>
  <c r="CA27" i="131"/>
  <c r="AF27" i="131" s="1"/>
  <c r="CB27" i="131"/>
  <c r="AK27" i="131" s="1"/>
  <c r="CC27" i="131"/>
  <c r="AO27" i="131" s="1"/>
  <c r="CD27" i="131"/>
  <c r="AP27" i="131" s="1"/>
  <c r="CE27" i="131"/>
  <c r="AL27" i="131" s="1"/>
  <c r="CG27" i="131"/>
  <c r="AS27" i="131" s="1"/>
  <c r="CH27" i="131"/>
  <c r="AM27" i="131" s="1"/>
  <c r="CI27" i="131"/>
  <c r="AR27" i="131" s="1"/>
  <c r="CJ27" i="131"/>
  <c r="AN27" i="131" s="1"/>
  <c r="CK27" i="131"/>
  <c r="AQ27" i="131" s="1"/>
  <c r="CL27" i="131"/>
  <c r="A28" i="131"/>
  <c r="F28" i="131"/>
  <c r="K28" i="131"/>
  <c r="L28" i="131"/>
  <c r="M28" i="131"/>
  <c r="N28" i="131"/>
  <c r="P28" i="131"/>
  <c r="R28" i="131"/>
  <c r="S28" i="131"/>
  <c r="T28" i="131"/>
  <c r="U28" i="131"/>
  <c r="V28" i="131"/>
  <c r="W28" i="131"/>
  <c r="X28" i="131"/>
  <c r="Y28" i="131"/>
  <c r="Z28" i="131"/>
  <c r="AA28" i="131"/>
  <c r="AB28" i="131"/>
  <c r="AC28" i="131"/>
  <c r="AD28" i="131"/>
  <c r="AE28" i="131"/>
  <c r="AF28" i="131"/>
  <c r="AG28" i="131"/>
  <c r="AH28" i="131"/>
  <c r="AI28" i="131"/>
  <c r="AJ28" i="131"/>
  <c r="AK28" i="131"/>
  <c r="AL28" i="131"/>
  <c r="AM28" i="131"/>
  <c r="AN28" i="131"/>
  <c r="AO28" i="131"/>
  <c r="AP28" i="131"/>
  <c r="AQ28" i="131"/>
  <c r="AR28" i="131"/>
  <c r="AS28" i="131"/>
  <c r="AU28" i="131"/>
  <c r="Q28" i="131" s="1"/>
  <c r="BE28" i="131"/>
  <c r="O28" i="131" s="1"/>
  <c r="A29" i="131"/>
  <c r="K29" i="131"/>
  <c r="L29" i="131"/>
  <c r="M29" i="131"/>
  <c r="N29" i="131"/>
  <c r="O29" i="131"/>
  <c r="P29" i="131"/>
  <c r="Q29" i="131"/>
  <c r="R29" i="131"/>
  <c r="S29" i="131"/>
  <c r="T29" i="131"/>
  <c r="U29" i="131"/>
  <c r="V29" i="131"/>
  <c r="W29" i="131"/>
  <c r="X29" i="131"/>
  <c r="Y29" i="131"/>
  <c r="Z29" i="131"/>
  <c r="AA29" i="131"/>
  <c r="AB29" i="131"/>
  <c r="AC29" i="131"/>
  <c r="AD29" i="131"/>
  <c r="AE29" i="131"/>
  <c r="AF29" i="131"/>
  <c r="AG29" i="131"/>
  <c r="AH29" i="131"/>
  <c r="AI29" i="131"/>
  <c r="AJ29" i="131"/>
  <c r="AK29" i="131"/>
  <c r="AL29" i="131"/>
  <c r="AM29" i="131"/>
  <c r="AN29" i="131"/>
  <c r="AO29" i="131"/>
  <c r="AP29" i="131"/>
  <c r="AQ29" i="131"/>
  <c r="AR29" i="131"/>
  <c r="AS29" i="131"/>
  <c r="A30" i="131"/>
  <c r="F30" i="131"/>
  <c r="G30" i="131"/>
  <c r="H30" i="131"/>
  <c r="I30" i="131"/>
  <c r="AT30" i="131"/>
  <c r="AU30" i="131"/>
  <c r="Q30" i="131" s="1"/>
  <c r="AV30" i="131"/>
  <c r="S30" i="131" s="1"/>
  <c r="AW30" i="131"/>
  <c r="N30" i="131" s="1"/>
  <c r="AX30" i="131"/>
  <c r="AY30" i="131"/>
  <c r="L30" i="131" s="1"/>
  <c r="AZ30" i="131"/>
  <c r="BA30" i="131"/>
  <c r="BB30" i="131"/>
  <c r="T30" i="131" s="1"/>
  <c r="BC30" i="131"/>
  <c r="U30" i="131" s="1"/>
  <c r="BD30" i="131"/>
  <c r="M30" i="131" s="1"/>
  <c r="BE30" i="131"/>
  <c r="O30" i="131" s="1"/>
  <c r="BF30" i="131"/>
  <c r="K30" i="131" s="1"/>
  <c r="BG30" i="131"/>
  <c r="BH30" i="131"/>
  <c r="BI30" i="131"/>
  <c r="BJ30" i="131"/>
  <c r="BK30" i="131"/>
  <c r="BL30" i="131"/>
  <c r="BM30" i="131"/>
  <c r="Z30" i="131" s="1"/>
  <c r="BN30" i="131"/>
  <c r="BO30" i="131"/>
  <c r="BP30" i="131"/>
  <c r="AB30" i="131" s="1"/>
  <c r="BQ30" i="131"/>
  <c r="BR30" i="131"/>
  <c r="W30" i="131" s="1"/>
  <c r="BS30" i="131"/>
  <c r="BT30" i="131"/>
  <c r="BU30" i="131"/>
  <c r="AD30" i="131"/>
  <c r="BV30" i="131"/>
  <c r="AG30" i="131"/>
  <c r="BW30" i="131"/>
  <c r="AI30" i="131" s="1"/>
  <c r="BX30" i="131"/>
  <c r="AC30" i="131" s="1"/>
  <c r="BY30" i="131"/>
  <c r="AJ30" i="131"/>
  <c r="BZ30" i="131"/>
  <c r="AH30" i="131" s="1"/>
  <c r="CA30" i="131"/>
  <c r="AF30" i="131"/>
  <c r="CB30" i="131"/>
  <c r="AK30" i="131" s="1"/>
  <c r="CC30" i="131"/>
  <c r="AO30" i="131" s="1"/>
  <c r="CD30" i="131"/>
  <c r="AP30" i="131"/>
  <c r="CE30" i="131"/>
  <c r="AL30" i="131" s="1"/>
  <c r="CF30" i="131"/>
  <c r="CG30" i="131"/>
  <c r="CH30" i="131"/>
  <c r="AM30" i="131" s="1"/>
  <c r="CI30" i="131"/>
  <c r="AR30" i="131" s="1"/>
  <c r="CJ30" i="131"/>
  <c r="AN30" i="131" s="1"/>
  <c r="CK30" i="131"/>
  <c r="AQ30" i="131" s="1"/>
  <c r="CL30" i="131"/>
  <c r="A31" i="131"/>
  <c r="B31" i="131"/>
  <c r="AT31" i="131"/>
  <c r="AX31" i="131"/>
  <c r="BF31" i="131"/>
  <c r="K31" i="131"/>
  <c r="BH31" i="131"/>
  <c r="BI31" i="131"/>
  <c r="BK31" i="131"/>
  <c r="BL31" i="131"/>
  <c r="BN31" i="131"/>
  <c r="BO31" i="131"/>
  <c r="BP31" i="131"/>
  <c r="AB31" i="131" s="1"/>
  <c r="BR31" i="131"/>
  <c r="W31" i="131" s="1"/>
  <c r="BX31" i="131"/>
  <c r="AC31" i="131" s="1"/>
  <c r="CB31" i="131"/>
  <c r="AK31" i="131" s="1"/>
  <c r="CD31" i="131"/>
  <c r="AP31" i="131" s="1"/>
  <c r="CF31" i="131"/>
  <c r="A32" i="131"/>
  <c r="K32" i="131"/>
  <c r="L32" i="131"/>
  <c r="M32" i="131"/>
  <c r="N32" i="131"/>
  <c r="O32" i="131"/>
  <c r="P32" i="131"/>
  <c r="P33" i="131" s="1"/>
  <c r="Q32" i="131"/>
  <c r="R32" i="131"/>
  <c r="R33" i="131" s="1"/>
  <c r="S32" i="131"/>
  <c r="T32" i="131"/>
  <c r="U32" i="131"/>
  <c r="V32" i="131"/>
  <c r="V33" i="131" s="1"/>
  <c r="W32" i="131"/>
  <c r="Z32" i="131"/>
  <c r="AA32" i="131"/>
  <c r="AA33" i="131"/>
  <c r="AB32" i="131"/>
  <c r="AC32" i="131"/>
  <c r="AD32" i="131"/>
  <c r="AF32" i="131"/>
  <c r="AG32" i="131"/>
  <c r="AH32" i="131"/>
  <c r="AI32" i="131"/>
  <c r="AJ32" i="131"/>
  <c r="AK32" i="131"/>
  <c r="AL32" i="131"/>
  <c r="AM32" i="131"/>
  <c r="AN32" i="131"/>
  <c r="AO32" i="131"/>
  <c r="AP32" i="131"/>
  <c r="AQ32" i="131"/>
  <c r="AR32" i="131"/>
  <c r="A33" i="131"/>
  <c r="F33" i="131"/>
  <c r="G33" i="131"/>
  <c r="H33" i="131"/>
  <c r="I33" i="131"/>
  <c r="S33" i="131"/>
  <c r="AT33" i="131"/>
  <c r="AU33" i="131"/>
  <c r="Q33" i="131" s="1"/>
  <c r="AV33" i="131"/>
  <c r="AW33" i="131"/>
  <c r="N33" i="131" s="1"/>
  <c r="AX33" i="131"/>
  <c r="AY33" i="131"/>
  <c r="L33" i="131"/>
  <c r="AZ33" i="131"/>
  <c r="BA33" i="131"/>
  <c r="BB33" i="131"/>
  <c r="T33" i="131" s="1"/>
  <c r="BC33" i="131"/>
  <c r="U33" i="131" s="1"/>
  <c r="BD33" i="131"/>
  <c r="M33" i="131" s="1"/>
  <c r="BE33" i="131"/>
  <c r="O33" i="131" s="1"/>
  <c r="BF33" i="131"/>
  <c r="K33" i="131" s="1"/>
  <c r="BG33" i="131"/>
  <c r="BH33" i="131"/>
  <c r="BI33" i="131"/>
  <c r="BJ33" i="131"/>
  <c r="BK33" i="131"/>
  <c r="BL33" i="131"/>
  <c r="BM33" i="131"/>
  <c r="Z33" i="131" s="1"/>
  <c r="BN33" i="131"/>
  <c r="BO33" i="131"/>
  <c r="BP33" i="131"/>
  <c r="AB33" i="131" s="1"/>
  <c r="BQ33" i="131"/>
  <c r="BR33" i="131"/>
  <c r="W33" i="131" s="1"/>
  <c r="BS33" i="131"/>
  <c r="BT33" i="131"/>
  <c r="BU33" i="131"/>
  <c r="AD33" i="131"/>
  <c r="BV33" i="131"/>
  <c r="AG33" i="131" s="1"/>
  <c r="BW33" i="131"/>
  <c r="AI33" i="131"/>
  <c r="BX33" i="131"/>
  <c r="AC33" i="131" s="1"/>
  <c r="BY33" i="131"/>
  <c r="AJ33" i="131"/>
  <c r="BZ33" i="131"/>
  <c r="AH33" i="131" s="1"/>
  <c r="CA33" i="131"/>
  <c r="AF33" i="131"/>
  <c r="CB33" i="131"/>
  <c r="AK33" i="131" s="1"/>
  <c r="CC33" i="131"/>
  <c r="AO33" i="131" s="1"/>
  <c r="CD33" i="131"/>
  <c r="AP33" i="131" s="1"/>
  <c r="CE33" i="131"/>
  <c r="AL33" i="131" s="1"/>
  <c r="CF33" i="131"/>
  <c r="CG33" i="131"/>
  <c r="CH33" i="131"/>
  <c r="AM33" i="131" s="1"/>
  <c r="CI33" i="131"/>
  <c r="AR33" i="131" s="1"/>
  <c r="CJ33" i="131"/>
  <c r="AN33" i="131"/>
  <c r="CK33" i="131"/>
  <c r="AQ33" i="131"/>
  <c r="CL33" i="131"/>
  <c r="A34" i="131"/>
  <c r="A35" i="131"/>
  <c r="K35" i="131"/>
  <c r="K67" i="131" s="1"/>
  <c r="L35" i="131"/>
  <c r="L67" i="131" s="1"/>
  <c r="M35" i="131"/>
  <c r="M67" i="131" s="1"/>
  <c r="N35" i="131"/>
  <c r="N67" i="131" s="1"/>
  <c r="O35" i="131"/>
  <c r="O67" i="131" s="1"/>
  <c r="P35" i="131"/>
  <c r="P50" i="131" s="1"/>
  <c r="Q35" i="131"/>
  <c r="Q67" i="131" s="1"/>
  <c r="R35" i="131"/>
  <c r="R67" i="131"/>
  <c r="S35" i="131"/>
  <c r="S67" i="131"/>
  <c r="T35" i="131"/>
  <c r="T67" i="131"/>
  <c r="U35" i="131"/>
  <c r="U67" i="131" s="1"/>
  <c r="V35" i="131"/>
  <c r="V67" i="131"/>
  <c r="W35" i="131"/>
  <c r="W67" i="131"/>
  <c r="X35" i="131"/>
  <c r="X67" i="131"/>
  <c r="Y35" i="131"/>
  <c r="Y67" i="131" s="1"/>
  <c r="Z35" i="131"/>
  <c r="Z67" i="131" s="1"/>
  <c r="AA35" i="131"/>
  <c r="AA67" i="131"/>
  <c r="AB35" i="131"/>
  <c r="AB67" i="131"/>
  <c r="AC35" i="131"/>
  <c r="AC67" i="131" s="1"/>
  <c r="AD35" i="131"/>
  <c r="AD67" i="131" s="1"/>
  <c r="AE35" i="131"/>
  <c r="AE67" i="131"/>
  <c r="AE30" i="131"/>
  <c r="AF35" i="131"/>
  <c r="AF67" i="131" s="1"/>
  <c r="AG35" i="131"/>
  <c r="AG67" i="131" s="1"/>
  <c r="AH35" i="131"/>
  <c r="AH67" i="131" s="1"/>
  <c r="AI35" i="131"/>
  <c r="AI67" i="131" s="1"/>
  <c r="AJ35" i="131"/>
  <c r="AJ67" i="131" s="1"/>
  <c r="AK35" i="131"/>
  <c r="AK67" i="131" s="1"/>
  <c r="AL35" i="131"/>
  <c r="AL67" i="131" s="1"/>
  <c r="AM35" i="131"/>
  <c r="AM67" i="131" s="1"/>
  <c r="AN35" i="131"/>
  <c r="AN67" i="131" s="1"/>
  <c r="AO35" i="131"/>
  <c r="AO67" i="131" s="1"/>
  <c r="AP35" i="131"/>
  <c r="AP67" i="131" s="1"/>
  <c r="AQ35" i="131"/>
  <c r="AQ67" i="131" s="1"/>
  <c r="AR35" i="131"/>
  <c r="AR67" i="131" s="1"/>
  <c r="AS35" i="131"/>
  <c r="AS67" i="131" s="1"/>
  <c r="A36" i="131"/>
  <c r="K36" i="131"/>
  <c r="L36" i="131"/>
  <c r="M36" i="131"/>
  <c r="N36" i="131"/>
  <c r="O36" i="131"/>
  <c r="P36" i="131"/>
  <c r="Q36" i="131"/>
  <c r="R36" i="131"/>
  <c r="S36" i="131"/>
  <c r="T36" i="131"/>
  <c r="U36" i="131"/>
  <c r="V36" i="131"/>
  <c r="W36" i="131"/>
  <c r="X36" i="131"/>
  <c r="Y36" i="131"/>
  <c r="Z36" i="131"/>
  <c r="AA36" i="131"/>
  <c r="AB36" i="131"/>
  <c r="AC36" i="131"/>
  <c r="AD36" i="131"/>
  <c r="AE36" i="131"/>
  <c r="AF36" i="131"/>
  <c r="AG36" i="131"/>
  <c r="AH36" i="131"/>
  <c r="AI36" i="131"/>
  <c r="AJ36" i="131"/>
  <c r="AK36" i="131"/>
  <c r="AL36" i="131"/>
  <c r="AM36" i="131"/>
  <c r="AN36" i="131"/>
  <c r="AO36" i="131"/>
  <c r="AP36" i="131"/>
  <c r="AQ36" i="131"/>
  <c r="AR36" i="131"/>
  <c r="AS36" i="131"/>
  <c r="A37" i="131"/>
  <c r="K37" i="131"/>
  <c r="L37" i="131"/>
  <c r="M37" i="131"/>
  <c r="N37" i="131"/>
  <c r="O37" i="131"/>
  <c r="P37" i="131"/>
  <c r="Q37" i="131"/>
  <c r="R37" i="131"/>
  <c r="S37" i="131"/>
  <c r="T37" i="131"/>
  <c r="U37" i="131"/>
  <c r="V37" i="131"/>
  <c r="W37" i="131"/>
  <c r="X37" i="131"/>
  <c r="Y37" i="131"/>
  <c r="Z37" i="131"/>
  <c r="AA37" i="131"/>
  <c r="AB37" i="131"/>
  <c r="AC37" i="131"/>
  <c r="AD37" i="131"/>
  <c r="AE37" i="131"/>
  <c r="AF37" i="131"/>
  <c r="AG37" i="131"/>
  <c r="AH37" i="131"/>
  <c r="AI37" i="131"/>
  <c r="AJ37" i="131"/>
  <c r="AK37" i="131"/>
  <c r="AL37" i="131"/>
  <c r="AM37" i="131"/>
  <c r="AN37" i="131"/>
  <c r="AO37" i="131"/>
  <c r="AP37" i="131"/>
  <c r="AQ37" i="131"/>
  <c r="AR37" i="131"/>
  <c r="AS37" i="131"/>
  <c r="A38" i="131"/>
  <c r="K38" i="131"/>
  <c r="L38" i="131"/>
  <c r="M38" i="131"/>
  <c r="N38" i="131"/>
  <c r="O38" i="131"/>
  <c r="P38" i="131"/>
  <c r="Q38" i="131"/>
  <c r="R38" i="131"/>
  <c r="S38" i="131"/>
  <c r="T38" i="131"/>
  <c r="U38" i="131"/>
  <c r="V38" i="131"/>
  <c r="W38" i="131"/>
  <c r="X38" i="131"/>
  <c r="Y38" i="131"/>
  <c r="Z38" i="131"/>
  <c r="AA38" i="131"/>
  <c r="AB38" i="131"/>
  <c r="AC38" i="131"/>
  <c r="AD38" i="131"/>
  <c r="AE38" i="131"/>
  <c r="AF38" i="131"/>
  <c r="AG38" i="131"/>
  <c r="AH38" i="131"/>
  <c r="AI38" i="131"/>
  <c r="AJ38" i="131"/>
  <c r="AK38" i="131"/>
  <c r="AL38" i="131"/>
  <c r="AM38" i="131"/>
  <c r="AN38" i="131"/>
  <c r="AO38" i="131"/>
  <c r="AP38" i="131"/>
  <c r="AQ38" i="131"/>
  <c r="AR38" i="131"/>
  <c r="AS38" i="131"/>
  <c r="A39" i="131"/>
  <c r="K39" i="131"/>
  <c r="L39" i="131"/>
  <c r="M39" i="131"/>
  <c r="N39" i="131"/>
  <c r="O39" i="131"/>
  <c r="P39" i="131"/>
  <c r="Q39" i="131"/>
  <c r="R39" i="131"/>
  <c r="S39" i="131"/>
  <c r="T39" i="131"/>
  <c r="U39" i="131"/>
  <c r="V39" i="131"/>
  <c r="W39" i="131"/>
  <c r="X39" i="131"/>
  <c r="Y39" i="131"/>
  <c r="Z39" i="131"/>
  <c r="AA39" i="131"/>
  <c r="AB39" i="131"/>
  <c r="AC39" i="131"/>
  <c r="AD39" i="131"/>
  <c r="AE39" i="131"/>
  <c r="AF39" i="131"/>
  <c r="AG39" i="131"/>
  <c r="AH39" i="131"/>
  <c r="AI39" i="131"/>
  <c r="AJ39" i="131"/>
  <c r="AK39" i="131"/>
  <c r="AL39" i="131"/>
  <c r="AM39" i="131"/>
  <c r="AN39" i="131"/>
  <c r="AO39" i="131"/>
  <c r="AP39" i="131"/>
  <c r="AQ39" i="131"/>
  <c r="AR39" i="131"/>
  <c r="AS39" i="131"/>
  <c r="A40" i="131"/>
  <c r="A41" i="131"/>
  <c r="K41" i="131"/>
  <c r="L41" i="131"/>
  <c r="M41" i="131"/>
  <c r="N41" i="131"/>
  <c r="O41" i="131"/>
  <c r="P41" i="131"/>
  <c r="Q41" i="131"/>
  <c r="R41" i="131"/>
  <c r="S41" i="131"/>
  <c r="T41" i="131"/>
  <c r="U41" i="131"/>
  <c r="V41" i="131"/>
  <c r="W41" i="131"/>
  <c r="X41" i="131"/>
  <c r="Y41" i="131"/>
  <c r="Z41" i="131"/>
  <c r="AA41" i="131"/>
  <c r="AB41" i="131"/>
  <c r="AC41" i="131"/>
  <c r="AD41" i="131"/>
  <c r="AE41" i="131"/>
  <c r="AF41" i="131"/>
  <c r="AG41" i="131"/>
  <c r="AH41" i="131"/>
  <c r="AI41" i="131"/>
  <c r="AJ41" i="131"/>
  <c r="AK41" i="131"/>
  <c r="AL41" i="131"/>
  <c r="AM41" i="131"/>
  <c r="AN41" i="131"/>
  <c r="AO41" i="131"/>
  <c r="AP41" i="131"/>
  <c r="AQ41" i="131"/>
  <c r="AR41" i="131"/>
  <c r="AS41" i="131"/>
  <c r="A42" i="131"/>
  <c r="K42" i="131"/>
  <c r="L42" i="131"/>
  <c r="M42" i="131"/>
  <c r="N42" i="131"/>
  <c r="O42" i="131"/>
  <c r="P42" i="131"/>
  <c r="P44" i="131" s="1"/>
  <c r="Q42" i="131"/>
  <c r="R42" i="131"/>
  <c r="R44" i="131" s="1"/>
  <c r="S42" i="131"/>
  <c r="T42" i="131"/>
  <c r="U42" i="131"/>
  <c r="V42" i="131"/>
  <c r="V44" i="131" s="1"/>
  <c r="W42" i="131"/>
  <c r="X42" i="131"/>
  <c r="X44" i="131" s="1"/>
  <c r="Y42" i="131"/>
  <c r="Z42" i="131"/>
  <c r="AA42" i="131"/>
  <c r="AA44" i="131" s="1"/>
  <c r="AB42" i="131"/>
  <c r="AC42" i="131"/>
  <c r="AD42" i="131"/>
  <c r="AE42" i="131"/>
  <c r="AE44" i="131" s="1"/>
  <c r="AF42" i="131"/>
  <c r="AG42" i="131"/>
  <c r="AH42" i="131"/>
  <c r="AI42" i="131"/>
  <c r="AJ42" i="131"/>
  <c r="AK42" i="131"/>
  <c r="AL42" i="131"/>
  <c r="AM42" i="131"/>
  <c r="AN42" i="131"/>
  <c r="AO42" i="131"/>
  <c r="AP42" i="131"/>
  <c r="AQ42" i="131"/>
  <c r="AR42" i="131"/>
  <c r="AS42" i="131"/>
  <c r="A43" i="131"/>
  <c r="A44" i="131"/>
  <c r="K44" i="131"/>
  <c r="L44" i="131"/>
  <c r="M44" i="131"/>
  <c r="N44" i="131"/>
  <c r="O44" i="131"/>
  <c r="Q44" i="131"/>
  <c r="S44" i="131"/>
  <c r="T44" i="131"/>
  <c r="U44" i="131"/>
  <c r="W44" i="131"/>
  <c r="Y44" i="131"/>
  <c r="Z44" i="131"/>
  <c r="AB44" i="131"/>
  <c r="AC44" i="131"/>
  <c r="AD44" i="131"/>
  <c r="AF44" i="131"/>
  <c r="AG44" i="131"/>
  <c r="AH44" i="131"/>
  <c r="AI44" i="131"/>
  <c r="AJ44" i="131"/>
  <c r="AK44" i="131"/>
  <c r="AL44" i="131"/>
  <c r="AM44" i="131"/>
  <c r="AN44" i="131"/>
  <c r="AO44" i="131"/>
  <c r="AP44" i="131"/>
  <c r="AQ44" i="131"/>
  <c r="AR44" i="131"/>
  <c r="AS44" i="131"/>
  <c r="A45" i="131"/>
  <c r="K45" i="131"/>
  <c r="L45" i="131"/>
  <c r="M45" i="131"/>
  <c r="N45" i="131"/>
  <c r="O45" i="131"/>
  <c r="Q45" i="131"/>
  <c r="S45" i="131"/>
  <c r="T45" i="131"/>
  <c r="U45" i="131"/>
  <c r="W45" i="131"/>
  <c r="Z45" i="131"/>
  <c r="AB45" i="131"/>
  <c r="AC45" i="131"/>
  <c r="AD45" i="131"/>
  <c r="AF45" i="131"/>
  <c r="AG45" i="131"/>
  <c r="AH45" i="131"/>
  <c r="AI45" i="131"/>
  <c r="AJ45" i="131"/>
  <c r="AK45" i="131"/>
  <c r="AL45" i="131"/>
  <c r="AM45" i="131"/>
  <c r="AN45" i="131"/>
  <c r="AO45" i="131"/>
  <c r="AP45" i="131"/>
  <c r="AQ45" i="131"/>
  <c r="AR45" i="131"/>
  <c r="AS45" i="131"/>
  <c r="AS47" i="131" s="1"/>
  <c r="A46" i="131"/>
  <c r="K46" i="131"/>
  <c r="L46" i="131"/>
  <c r="M46" i="131"/>
  <c r="N46" i="131"/>
  <c r="O46" i="131"/>
  <c r="Q46" i="131"/>
  <c r="S46" i="131"/>
  <c r="T46" i="131"/>
  <c r="U46" i="131"/>
  <c r="W46" i="131"/>
  <c r="Z46" i="131"/>
  <c r="AB46" i="131"/>
  <c r="AC46" i="131"/>
  <c r="AD46" i="131"/>
  <c r="AF46" i="131"/>
  <c r="AG46" i="131"/>
  <c r="AH46" i="131"/>
  <c r="AI46" i="131"/>
  <c r="AJ46" i="131"/>
  <c r="AK46" i="131"/>
  <c r="AL46" i="131"/>
  <c r="AM46" i="131"/>
  <c r="AN46" i="131"/>
  <c r="AO46" i="131"/>
  <c r="AP46" i="131"/>
  <c r="AQ46" i="131"/>
  <c r="AR46" i="131"/>
  <c r="AS46" i="131"/>
  <c r="A47" i="131"/>
  <c r="K47" i="131"/>
  <c r="L47" i="131"/>
  <c r="M47" i="131"/>
  <c r="N47" i="131"/>
  <c r="O47" i="131"/>
  <c r="Q47" i="131"/>
  <c r="S47" i="131"/>
  <c r="T47" i="131"/>
  <c r="U47" i="131"/>
  <c r="W47" i="131"/>
  <c r="Z47" i="131"/>
  <c r="AB47" i="131"/>
  <c r="AC47" i="131"/>
  <c r="AD47" i="131"/>
  <c r="AF47" i="131"/>
  <c r="AG47" i="131"/>
  <c r="AH47" i="131"/>
  <c r="AI47" i="131"/>
  <c r="AJ47" i="131"/>
  <c r="AK47" i="131"/>
  <c r="AL47" i="131"/>
  <c r="AM47" i="131"/>
  <c r="AN47" i="131"/>
  <c r="AO47" i="131"/>
  <c r="AP47" i="131"/>
  <c r="AQ47" i="131"/>
  <c r="AR47" i="131"/>
  <c r="A48" i="131"/>
  <c r="K48" i="131"/>
  <c r="L48" i="131"/>
  <c r="M48" i="131"/>
  <c r="N48" i="131"/>
  <c r="O48" i="131"/>
  <c r="P48" i="131"/>
  <c r="Q48" i="131"/>
  <c r="R48" i="131"/>
  <c r="S48" i="131"/>
  <c r="T48" i="131"/>
  <c r="U48" i="131"/>
  <c r="V48" i="131"/>
  <c r="W48" i="131"/>
  <c r="X48" i="131"/>
  <c r="Y48" i="131"/>
  <c r="Z48" i="131"/>
  <c r="AA48" i="131"/>
  <c r="AB48" i="131"/>
  <c r="AC48" i="131"/>
  <c r="AD48" i="131"/>
  <c r="AE48" i="131"/>
  <c r="AF48" i="131"/>
  <c r="AG48" i="131"/>
  <c r="AH48" i="131"/>
  <c r="AI48" i="131"/>
  <c r="AJ48" i="131"/>
  <c r="AK48" i="131"/>
  <c r="AL48" i="131"/>
  <c r="AM48" i="131"/>
  <c r="AN48" i="131"/>
  <c r="AO48" i="131"/>
  <c r="AP48" i="131"/>
  <c r="AQ48" i="131"/>
  <c r="AR48" i="131"/>
  <c r="AS48" i="131"/>
  <c r="A49" i="131"/>
  <c r="K49" i="131"/>
  <c r="L49" i="131"/>
  <c r="M49" i="131"/>
  <c r="N49" i="131"/>
  <c r="O49" i="131"/>
  <c r="P49" i="131"/>
  <c r="Q49" i="131"/>
  <c r="R49" i="131"/>
  <c r="S49" i="131"/>
  <c r="T49" i="131"/>
  <c r="U49" i="131"/>
  <c r="V49" i="131"/>
  <c r="W49" i="131"/>
  <c r="X49" i="131"/>
  <c r="Y49" i="131"/>
  <c r="Z49" i="131"/>
  <c r="AA49" i="131"/>
  <c r="AB49" i="131"/>
  <c r="AC49" i="131"/>
  <c r="AD49" i="131"/>
  <c r="AE49" i="131"/>
  <c r="AF49" i="131"/>
  <c r="AG49" i="131"/>
  <c r="AH49" i="131"/>
  <c r="AI49" i="131"/>
  <c r="AJ49" i="131"/>
  <c r="AK49" i="131"/>
  <c r="AL49" i="131"/>
  <c r="AM49" i="131"/>
  <c r="AN49" i="131"/>
  <c r="AO49" i="131"/>
  <c r="AP49" i="131"/>
  <c r="AQ49" i="131"/>
  <c r="AR49" i="131"/>
  <c r="AS49" i="131"/>
  <c r="A50" i="131"/>
  <c r="K50" i="131"/>
  <c r="L50" i="131"/>
  <c r="M50" i="131"/>
  <c r="N50" i="131"/>
  <c r="O50" i="131"/>
  <c r="Q50" i="131"/>
  <c r="S50" i="131"/>
  <c r="T50" i="131"/>
  <c r="U50" i="131"/>
  <c r="W50" i="131"/>
  <c r="X50" i="131"/>
  <c r="Y50" i="131"/>
  <c r="Z50" i="131"/>
  <c r="AA50" i="131"/>
  <c r="AB50" i="131"/>
  <c r="AC50" i="131"/>
  <c r="AD50" i="131"/>
  <c r="AF50" i="131"/>
  <c r="AG50" i="131"/>
  <c r="AH50" i="131"/>
  <c r="AI50" i="131"/>
  <c r="AJ50" i="131"/>
  <c r="AK50" i="131"/>
  <c r="AL50" i="131"/>
  <c r="AM50" i="131"/>
  <c r="AN50" i="131"/>
  <c r="AO50" i="131"/>
  <c r="AP50" i="131"/>
  <c r="AQ50" i="131"/>
  <c r="AR50" i="131"/>
  <c r="A51" i="131"/>
  <c r="C51" i="131"/>
  <c r="F51" i="131"/>
  <c r="G51" i="131"/>
  <c r="H51" i="131"/>
  <c r="I51" i="131"/>
  <c r="AT51" i="131"/>
  <c r="AU51" i="131"/>
  <c r="Q51" i="131" s="1"/>
  <c r="AV51" i="131"/>
  <c r="S51" i="131" s="1"/>
  <c r="AW51" i="131"/>
  <c r="N51" i="131" s="1"/>
  <c r="AX51" i="131"/>
  <c r="AY51" i="131"/>
  <c r="L51" i="131"/>
  <c r="AZ51" i="131"/>
  <c r="BA51" i="131"/>
  <c r="BB51" i="131"/>
  <c r="T51" i="131" s="1"/>
  <c r="BC51" i="131"/>
  <c r="U51" i="131"/>
  <c r="BD51" i="131"/>
  <c r="M51" i="131"/>
  <c r="BE51" i="131"/>
  <c r="O51" i="131" s="1"/>
  <c r="BF51" i="131"/>
  <c r="K51" i="131" s="1"/>
  <c r="BG51" i="131"/>
  <c r="BH51" i="131"/>
  <c r="BI51" i="131"/>
  <c r="BJ51" i="131"/>
  <c r="BK51" i="131"/>
  <c r="BL51" i="131"/>
  <c r="BM51" i="131"/>
  <c r="Z51" i="131" s="1"/>
  <c r="BN51" i="131"/>
  <c r="BO51" i="131"/>
  <c r="BP51" i="131"/>
  <c r="AB51" i="131"/>
  <c r="BQ51" i="131"/>
  <c r="BR51" i="131"/>
  <c r="W51" i="131" s="1"/>
  <c r="BS51" i="131"/>
  <c r="BT51" i="131"/>
  <c r="BU51" i="131"/>
  <c r="AD51" i="131" s="1"/>
  <c r="BV51" i="131"/>
  <c r="AG51" i="131" s="1"/>
  <c r="BW51" i="131"/>
  <c r="AI51" i="131" s="1"/>
  <c r="BX51" i="131"/>
  <c r="AC51" i="131" s="1"/>
  <c r="BY51" i="131"/>
  <c r="AJ51" i="131" s="1"/>
  <c r="BZ51" i="131"/>
  <c r="AH51" i="131" s="1"/>
  <c r="CA51" i="131"/>
  <c r="AF51" i="131" s="1"/>
  <c r="CB51" i="131"/>
  <c r="AK51" i="131" s="1"/>
  <c r="CC51" i="131"/>
  <c r="AO51" i="131" s="1"/>
  <c r="CD51" i="131"/>
  <c r="AP51" i="131" s="1"/>
  <c r="CE51" i="131"/>
  <c r="AL51" i="131" s="1"/>
  <c r="CF51" i="131"/>
  <c r="CG51" i="131"/>
  <c r="CH51" i="131"/>
  <c r="AM51" i="131" s="1"/>
  <c r="CI51" i="131"/>
  <c r="AR51" i="131" s="1"/>
  <c r="CJ51" i="131"/>
  <c r="AN51" i="131" s="1"/>
  <c r="CK51" i="131"/>
  <c r="AQ51" i="131" s="1"/>
  <c r="CL51" i="131"/>
  <c r="A52" i="131"/>
  <c r="F53" i="131"/>
  <c r="H53" i="131"/>
  <c r="BA53" i="131"/>
  <c r="BJ53" i="131"/>
  <c r="BN53" i="131"/>
  <c r="BQ53" i="131"/>
  <c r="BT53" i="131"/>
  <c r="BU53" i="131"/>
  <c r="AD53" i="131"/>
  <c r="CD53" i="131"/>
  <c r="AP53" i="131" s="1"/>
  <c r="CF53" i="131"/>
  <c r="A53" i="131"/>
  <c r="G53" i="131"/>
  <c r="I53" i="131"/>
  <c r="AT53" i="131"/>
  <c r="AU53" i="131"/>
  <c r="Q53" i="131" s="1"/>
  <c r="AW53" i="131"/>
  <c r="N53" i="131" s="1"/>
  <c r="AZ53" i="131"/>
  <c r="BB53" i="131"/>
  <c r="T53" i="131" s="1"/>
  <c r="BC53" i="131"/>
  <c r="U53" i="131"/>
  <c r="BD53" i="131"/>
  <c r="M53" i="131"/>
  <c r="BE53" i="131"/>
  <c r="O53" i="131" s="1"/>
  <c r="BH53" i="131"/>
  <c r="BI53" i="131"/>
  <c r="BK53" i="131"/>
  <c r="BL53" i="131"/>
  <c r="BM53" i="131"/>
  <c r="Z53" i="131"/>
  <c r="BO53" i="131"/>
  <c r="BP53" i="131"/>
  <c r="AB53" i="131" s="1"/>
  <c r="BR53" i="131"/>
  <c r="W53" i="131" s="1"/>
  <c r="BV53" i="131"/>
  <c r="AG53" i="131" s="1"/>
  <c r="BX53" i="131"/>
  <c r="AC53" i="131" s="1"/>
  <c r="BY53" i="131"/>
  <c r="AJ53" i="131" s="1"/>
  <c r="CA53" i="131"/>
  <c r="AF53" i="131" s="1"/>
  <c r="CC53" i="131"/>
  <c r="AO53" i="131" s="1"/>
  <c r="CE53" i="131"/>
  <c r="AL53" i="131" s="1"/>
  <c r="CG53" i="131"/>
  <c r="CH53" i="131"/>
  <c r="AM53" i="131" s="1"/>
  <c r="CI53" i="131"/>
  <c r="AR53" i="131"/>
  <c r="CJ53" i="131"/>
  <c r="AN53" i="131"/>
  <c r="CK53" i="131"/>
  <c r="AQ53" i="131" s="1"/>
  <c r="CL53" i="131"/>
  <c r="A54" i="131"/>
  <c r="F54" i="131"/>
  <c r="G54" i="131"/>
  <c r="H54" i="131"/>
  <c r="I54" i="131"/>
  <c r="AT54" i="131"/>
  <c r="AU54" i="131"/>
  <c r="Q54" i="131" s="1"/>
  <c r="AV54" i="131"/>
  <c r="S54" i="131" s="1"/>
  <c r="AW54" i="131"/>
  <c r="N54" i="131" s="1"/>
  <c r="AX54" i="131"/>
  <c r="AY54" i="131"/>
  <c r="L54" i="131" s="1"/>
  <c r="AZ54" i="131"/>
  <c r="BA54" i="131"/>
  <c r="BB54" i="131"/>
  <c r="T54" i="131" s="1"/>
  <c r="BC54" i="131"/>
  <c r="U54" i="131"/>
  <c r="BD54" i="131"/>
  <c r="M54" i="131" s="1"/>
  <c r="BE54" i="131"/>
  <c r="O54" i="131"/>
  <c r="BF54" i="131"/>
  <c r="K54" i="131" s="1"/>
  <c r="BG54" i="131"/>
  <c r="BH54" i="131"/>
  <c r="BI54" i="131"/>
  <c r="BJ54" i="131"/>
  <c r="BK54" i="131"/>
  <c r="BL54" i="131"/>
  <c r="BM54" i="131"/>
  <c r="Z54" i="131" s="1"/>
  <c r="BN54" i="131"/>
  <c r="BO54" i="131"/>
  <c r="BP54" i="131"/>
  <c r="AB54" i="131" s="1"/>
  <c r="BQ54" i="131"/>
  <c r="BR54" i="131"/>
  <c r="W54" i="131" s="1"/>
  <c r="BS54" i="131"/>
  <c r="BT54" i="131"/>
  <c r="BU54" i="131"/>
  <c r="AD54" i="131" s="1"/>
  <c r="BV54" i="131"/>
  <c r="AG54" i="131" s="1"/>
  <c r="BW54" i="131"/>
  <c r="AI54" i="131" s="1"/>
  <c r="BX54" i="131"/>
  <c r="AC54" i="131" s="1"/>
  <c r="BY54" i="131"/>
  <c r="AJ54" i="131" s="1"/>
  <c r="BZ54" i="131"/>
  <c r="AH54" i="131" s="1"/>
  <c r="CA54" i="131"/>
  <c r="AF54" i="131" s="1"/>
  <c r="CB54" i="131"/>
  <c r="AK54" i="131" s="1"/>
  <c r="CC54" i="131"/>
  <c r="AO54" i="131" s="1"/>
  <c r="CD54" i="131"/>
  <c r="AP54" i="131" s="1"/>
  <c r="CE54" i="131"/>
  <c r="AL54" i="131" s="1"/>
  <c r="CF54" i="131"/>
  <c r="CG54" i="131"/>
  <c r="CH54" i="131"/>
  <c r="AM54" i="131" s="1"/>
  <c r="CI54" i="131"/>
  <c r="AR54" i="131" s="1"/>
  <c r="CJ54" i="131"/>
  <c r="AN54" i="131" s="1"/>
  <c r="CK54" i="131"/>
  <c r="AQ54" i="131" s="1"/>
  <c r="CL54" i="131"/>
  <c r="A55" i="131"/>
  <c r="A56" i="131"/>
  <c r="K56" i="131"/>
  <c r="L56" i="131"/>
  <c r="M56" i="131"/>
  <c r="N56" i="131"/>
  <c r="O56" i="131"/>
  <c r="P56" i="131"/>
  <c r="Q56" i="131"/>
  <c r="R56" i="131"/>
  <c r="S56" i="131"/>
  <c r="T56" i="131"/>
  <c r="U56" i="131"/>
  <c r="V56" i="131"/>
  <c r="W56" i="131"/>
  <c r="X56" i="131"/>
  <c r="Y56" i="131"/>
  <c r="Z56" i="131"/>
  <c r="AA56" i="131"/>
  <c r="AB56" i="131"/>
  <c r="AC56" i="131"/>
  <c r="AD56" i="131"/>
  <c r="AE56" i="131"/>
  <c r="AF56" i="131"/>
  <c r="AG56" i="131"/>
  <c r="AH56" i="131"/>
  <c r="AI56" i="131"/>
  <c r="AJ56" i="131"/>
  <c r="AK56" i="131"/>
  <c r="AL56" i="131"/>
  <c r="AM56" i="131"/>
  <c r="AN56" i="131"/>
  <c r="AO56" i="131"/>
  <c r="AP56" i="131"/>
  <c r="AQ56" i="131"/>
  <c r="AR56" i="131"/>
  <c r="AS56" i="131"/>
  <c r="A57" i="131"/>
  <c r="K57" i="131"/>
  <c r="L57" i="131"/>
  <c r="M57" i="131"/>
  <c r="N57" i="131"/>
  <c r="O57" i="131"/>
  <c r="P57" i="131"/>
  <c r="Q57" i="131"/>
  <c r="R57" i="131"/>
  <c r="S57" i="131"/>
  <c r="T57" i="131"/>
  <c r="U57" i="131"/>
  <c r="V57" i="131"/>
  <c r="W57" i="131"/>
  <c r="X57" i="131"/>
  <c r="Y57" i="131"/>
  <c r="Z57" i="131"/>
  <c r="AA57" i="131"/>
  <c r="AB57" i="131"/>
  <c r="AC57" i="131"/>
  <c r="AD57" i="131"/>
  <c r="AE57" i="131"/>
  <c r="AF57" i="131"/>
  <c r="AG57" i="131"/>
  <c r="AH57" i="131"/>
  <c r="AI57" i="131"/>
  <c r="AJ57" i="131"/>
  <c r="AK57" i="131"/>
  <c r="AL57" i="131"/>
  <c r="AM57" i="131"/>
  <c r="AN57" i="131"/>
  <c r="AO57" i="131"/>
  <c r="AP57" i="131"/>
  <c r="AQ57" i="131"/>
  <c r="AR57" i="131"/>
  <c r="AS57" i="131"/>
  <c r="A58" i="131"/>
  <c r="K58" i="131"/>
  <c r="L58" i="131"/>
  <c r="M58" i="131"/>
  <c r="N58" i="131"/>
  <c r="O58" i="131"/>
  <c r="P58" i="131"/>
  <c r="Q58" i="131"/>
  <c r="R58" i="131"/>
  <c r="S58" i="131"/>
  <c r="T58" i="131"/>
  <c r="U58" i="131"/>
  <c r="V58" i="131"/>
  <c r="W58" i="131"/>
  <c r="X58" i="131"/>
  <c r="Y58" i="131"/>
  <c r="Z58" i="131"/>
  <c r="AA58" i="131"/>
  <c r="AB58" i="131"/>
  <c r="AC58" i="131"/>
  <c r="AD58" i="131"/>
  <c r="AE58" i="131"/>
  <c r="AF58" i="131"/>
  <c r="AG58" i="131"/>
  <c r="AH58" i="131"/>
  <c r="AI58" i="131"/>
  <c r="AJ58" i="131"/>
  <c r="AK58" i="131"/>
  <c r="AL58" i="131"/>
  <c r="AM58" i="131"/>
  <c r="AN58" i="131"/>
  <c r="AO58" i="131"/>
  <c r="AP58" i="131"/>
  <c r="AQ58" i="131"/>
  <c r="AR58" i="131"/>
  <c r="AS58" i="131"/>
  <c r="A59" i="131"/>
  <c r="K59" i="131"/>
  <c r="L59" i="131"/>
  <c r="M59" i="131"/>
  <c r="N59" i="131"/>
  <c r="O59" i="131"/>
  <c r="P59" i="131"/>
  <c r="Q59" i="131"/>
  <c r="R59" i="131"/>
  <c r="S59" i="131"/>
  <c r="T59" i="131"/>
  <c r="U59" i="131"/>
  <c r="V59" i="131"/>
  <c r="W59" i="131"/>
  <c r="X59" i="131"/>
  <c r="Y59" i="131"/>
  <c r="Z59" i="131"/>
  <c r="AA59" i="131"/>
  <c r="AB59" i="131"/>
  <c r="AC59" i="131"/>
  <c r="AD59" i="131"/>
  <c r="AE59" i="131"/>
  <c r="AF59" i="131"/>
  <c r="AG59" i="131"/>
  <c r="AH59" i="131"/>
  <c r="AI59" i="131"/>
  <c r="AJ59" i="131"/>
  <c r="AK59" i="131"/>
  <c r="AL59" i="131"/>
  <c r="AM59" i="131"/>
  <c r="AN59" i="131"/>
  <c r="AO59" i="131"/>
  <c r="AP59" i="131"/>
  <c r="AQ59" i="131"/>
  <c r="AR59" i="131"/>
  <c r="AS59" i="131"/>
  <c r="A60" i="131"/>
  <c r="K60" i="131"/>
  <c r="L60" i="131"/>
  <c r="M60" i="131"/>
  <c r="N60" i="131"/>
  <c r="O60" i="131"/>
  <c r="P60" i="131"/>
  <c r="Q60" i="131"/>
  <c r="R60" i="131"/>
  <c r="S60" i="131"/>
  <c r="T60" i="131"/>
  <c r="U60" i="131"/>
  <c r="V60" i="131"/>
  <c r="W60" i="131"/>
  <c r="X60" i="131"/>
  <c r="Y60" i="131"/>
  <c r="Z60" i="131"/>
  <c r="AA60" i="131"/>
  <c r="AB60" i="131"/>
  <c r="AC60" i="131"/>
  <c r="AD60" i="131"/>
  <c r="AE60" i="131"/>
  <c r="AF60" i="131"/>
  <c r="AG60" i="131"/>
  <c r="AH60" i="131"/>
  <c r="AI60" i="131"/>
  <c r="AJ60" i="131"/>
  <c r="AK60" i="131"/>
  <c r="AL60" i="131"/>
  <c r="AM60" i="131"/>
  <c r="AN60" i="131"/>
  <c r="AO60" i="131"/>
  <c r="AP60" i="131"/>
  <c r="AQ60" i="131"/>
  <c r="AR60" i="131"/>
  <c r="AS60" i="131"/>
  <c r="A61" i="131"/>
  <c r="K61" i="131"/>
  <c r="L61" i="131"/>
  <c r="M61" i="131"/>
  <c r="N61" i="131"/>
  <c r="O61" i="131"/>
  <c r="P61" i="131"/>
  <c r="Q61" i="131"/>
  <c r="R61" i="131"/>
  <c r="S61" i="131"/>
  <c r="T61" i="131"/>
  <c r="U61" i="131"/>
  <c r="V61" i="131"/>
  <c r="W61" i="131"/>
  <c r="X61" i="131"/>
  <c r="Y61" i="131"/>
  <c r="Z61" i="131"/>
  <c r="AA61" i="131"/>
  <c r="AB61" i="131"/>
  <c r="AC61" i="131"/>
  <c r="AD61" i="131"/>
  <c r="AE61" i="131"/>
  <c r="AF61" i="131"/>
  <c r="AG61" i="131"/>
  <c r="AH61" i="131"/>
  <c r="AI61" i="131"/>
  <c r="AJ61" i="131"/>
  <c r="AK61" i="131"/>
  <c r="AL61" i="131"/>
  <c r="AM61" i="131"/>
  <c r="AN61" i="131"/>
  <c r="AO61" i="131"/>
  <c r="AP61" i="131"/>
  <c r="AQ61" i="131"/>
  <c r="AR61" i="131"/>
  <c r="AS61" i="131"/>
  <c r="A62" i="131"/>
  <c r="K62" i="131"/>
  <c r="L62" i="131"/>
  <c r="M62" i="131"/>
  <c r="N62" i="131"/>
  <c r="O62" i="131"/>
  <c r="P62" i="131"/>
  <c r="Q62" i="131"/>
  <c r="R62" i="131"/>
  <c r="S62" i="131"/>
  <c r="T62" i="131"/>
  <c r="U62" i="131"/>
  <c r="V62" i="131"/>
  <c r="W62" i="131"/>
  <c r="X62" i="131"/>
  <c r="Y62" i="131"/>
  <c r="Z62" i="131"/>
  <c r="AA62" i="131"/>
  <c r="AB62" i="131"/>
  <c r="AC62" i="131"/>
  <c r="AD62" i="131"/>
  <c r="AE62" i="131"/>
  <c r="AF62" i="131"/>
  <c r="AG62" i="131"/>
  <c r="AH62" i="131"/>
  <c r="AI62" i="131"/>
  <c r="AJ62" i="131"/>
  <c r="AK62" i="131"/>
  <c r="AL62" i="131"/>
  <c r="AM62" i="131"/>
  <c r="AN62" i="131"/>
  <c r="AO62" i="131"/>
  <c r="AP62" i="131"/>
  <c r="AQ62" i="131"/>
  <c r="AR62" i="131"/>
  <c r="AS62" i="131"/>
  <c r="A63" i="131"/>
  <c r="K63" i="131"/>
  <c r="L63" i="131"/>
  <c r="M63" i="131"/>
  <c r="N63" i="131"/>
  <c r="O63" i="131"/>
  <c r="P63" i="131"/>
  <c r="Q63" i="131"/>
  <c r="R63" i="131"/>
  <c r="S63" i="131"/>
  <c r="T63" i="131"/>
  <c r="U63" i="131"/>
  <c r="V63" i="131"/>
  <c r="W63" i="131"/>
  <c r="X63" i="131"/>
  <c r="Y63" i="131"/>
  <c r="Z63" i="131"/>
  <c r="AA63" i="131"/>
  <c r="AB63" i="131"/>
  <c r="AC63" i="131"/>
  <c r="AD63" i="131"/>
  <c r="AE63" i="131"/>
  <c r="AF63" i="131"/>
  <c r="AG63" i="131"/>
  <c r="AH63" i="131"/>
  <c r="AI63" i="131"/>
  <c r="AJ63" i="131"/>
  <c r="AK63" i="131"/>
  <c r="AL63" i="131"/>
  <c r="AM63" i="131"/>
  <c r="AN63" i="131"/>
  <c r="AO63" i="131"/>
  <c r="AP63" i="131"/>
  <c r="AQ63" i="131"/>
  <c r="AR63" i="131"/>
  <c r="AS63" i="131"/>
  <c r="A64" i="131"/>
  <c r="A65" i="131"/>
  <c r="A66" i="131"/>
  <c r="A67" i="131"/>
  <c r="A68" i="131"/>
  <c r="A69" i="131"/>
  <c r="K69" i="131"/>
  <c r="L69" i="131"/>
  <c r="M69" i="131"/>
  <c r="N69" i="131"/>
  <c r="O69" i="131"/>
  <c r="P69" i="131"/>
  <c r="Q69" i="131"/>
  <c r="R69" i="131"/>
  <c r="S69" i="131"/>
  <c r="T69" i="131"/>
  <c r="U69" i="131"/>
  <c r="V69" i="131"/>
  <c r="V71" i="131" s="1"/>
  <c r="W69" i="131"/>
  <c r="X69" i="131"/>
  <c r="X71" i="131" s="1"/>
  <c r="Y69" i="131"/>
  <c r="Z69" i="131"/>
  <c r="AA69" i="131"/>
  <c r="AB69" i="131"/>
  <c r="AC69" i="131"/>
  <c r="AD69" i="131"/>
  <c r="AE69" i="131"/>
  <c r="AE71" i="131" s="1"/>
  <c r="AF69" i="131"/>
  <c r="AG69" i="131"/>
  <c r="AH69" i="131"/>
  <c r="AI69" i="131"/>
  <c r="AJ69" i="131"/>
  <c r="AK69" i="131"/>
  <c r="AL69" i="131"/>
  <c r="AM69" i="131"/>
  <c r="AN69" i="131"/>
  <c r="AO69" i="131"/>
  <c r="AP69" i="131"/>
  <c r="AQ69" i="131"/>
  <c r="AR69" i="131"/>
  <c r="AS69" i="131"/>
  <c r="AS71" i="131" s="1"/>
  <c r="A70" i="131"/>
  <c r="K70" i="131"/>
  <c r="L70" i="131"/>
  <c r="M70" i="131"/>
  <c r="N70" i="131"/>
  <c r="O70" i="131"/>
  <c r="P70" i="131"/>
  <c r="Q70" i="131"/>
  <c r="R70" i="131"/>
  <c r="R71" i="131" s="1"/>
  <c r="S70" i="131"/>
  <c r="T70" i="131"/>
  <c r="U70" i="131"/>
  <c r="V70" i="131"/>
  <c r="W70" i="131"/>
  <c r="X70" i="131"/>
  <c r="Y70" i="131"/>
  <c r="Z70" i="131"/>
  <c r="AA70" i="131"/>
  <c r="AB70" i="131"/>
  <c r="AC70" i="131"/>
  <c r="AD70" i="131"/>
  <c r="AE70" i="131"/>
  <c r="AF70" i="131"/>
  <c r="AG70" i="131"/>
  <c r="AH70" i="131"/>
  <c r="AI70" i="131"/>
  <c r="AJ70" i="131"/>
  <c r="AK70" i="131"/>
  <c r="AL70" i="131"/>
  <c r="AM70" i="131"/>
  <c r="AN70" i="131"/>
  <c r="AO70" i="131"/>
  <c r="AP70" i="131"/>
  <c r="AQ70" i="131"/>
  <c r="AR70" i="131"/>
  <c r="AS70" i="131"/>
  <c r="A71" i="131"/>
  <c r="F71" i="131"/>
  <c r="G71" i="131"/>
  <c r="H71" i="131"/>
  <c r="I71" i="131"/>
  <c r="AT71" i="131"/>
  <c r="AU71" i="131"/>
  <c r="Q71" i="131" s="1"/>
  <c r="AV71" i="131"/>
  <c r="S71" i="131" s="1"/>
  <c r="AW71" i="131"/>
  <c r="N71" i="131" s="1"/>
  <c r="AX71" i="131"/>
  <c r="AY71" i="131"/>
  <c r="L71" i="131" s="1"/>
  <c r="AZ71" i="131"/>
  <c r="BA71" i="131"/>
  <c r="BB71" i="131"/>
  <c r="T71" i="131" s="1"/>
  <c r="BC71" i="131"/>
  <c r="U71" i="131" s="1"/>
  <c r="BD71" i="131"/>
  <c r="M71" i="131" s="1"/>
  <c r="BE71" i="131"/>
  <c r="O71" i="131" s="1"/>
  <c r="BF71" i="131"/>
  <c r="K71" i="131" s="1"/>
  <c r="BG71" i="131"/>
  <c r="BH71" i="131"/>
  <c r="BI71" i="131"/>
  <c r="BJ71" i="131"/>
  <c r="BL71" i="131"/>
  <c r="BM71" i="131"/>
  <c r="Z71" i="131" s="1"/>
  <c r="BN71" i="131"/>
  <c r="BP71" i="131"/>
  <c r="AB71" i="131" s="1"/>
  <c r="BQ71" i="131"/>
  <c r="BR71" i="131"/>
  <c r="W71" i="131"/>
  <c r="BS71" i="131"/>
  <c r="BT71" i="131"/>
  <c r="BU71" i="131"/>
  <c r="AD71" i="131" s="1"/>
  <c r="BV71" i="131"/>
  <c r="AG71" i="131"/>
  <c r="BW71" i="131"/>
  <c r="AI71" i="131"/>
  <c r="BX71" i="131"/>
  <c r="AC71" i="131" s="1"/>
  <c r="BY71" i="131"/>
  <c r="AJ71" i="131" s="1"/>
  <c r="BZ71" i="131"/>
  <c r="AH71" i="131"/>
  <c r="CA71" i="131"/>
  <c r="AF71" i="131"/>
  <c r="CB71" i="131"/>
  <c r="AK71" i="131" s="1"/>
  <c r="CC71" i="131"/>
  <c r="AO71" i="131" s="1"/>
  <c r="CD71" i="131"/>
  <c r="AP71" i="131"/>
  <c r="CE71" i="131"/>
  <c r="AL71" i="131"/>
  <c r="CG71" i="131"/>
  <c r="CH71" i="131"/>
  <c r="AM71" i="131" s="1"/>
  <c r="CI71" i="131"/>
  <c r="AR71" i="131" s="1"/>
  <c r="CJ71" i="131"/>
  <c r="AN71" i="131" s="1"/>
  <c r="CK71" i="131"/>
  <c r="AQ71" i="131" s="1"/>
  <c r="CL71" i="131"/>
  <c r="A72" i="131"/>
  <c r="A73" i="131"/>
  <c r="K73" i="131"/>
  <c r="L73" i="131"/>
  <c r="M73" i="131"/>
  <c r="N73" i="131"/>
  <c r="O73" i="131"/>
  <c r="P73" i="131"/>
  <c r="Q73" i="131"/>
  <c r="R73" i="131"/>
  <c r="S73" i="131"/>
  <c r="T73" i="131"/>
  <c r="U73" i="131"/>
  <c r="V73" i="131"/>
  <c r="W73" i="131"/>
  <c r="X73" i="131"/>
  <c r="Y73" i="131"/>
  <c r="Z73" i="131"/>
  <c r="AA73" i="131"/>
  <c r="AB73" i="131"/>
  <c r="AC73" i="131"/>
  <c r="AD73" i="131"/>
  <c r="AE73" i="131"/>
  <c r="AF73" i="131"/>
  <c r="AG73" i="131"/>
  <c r="AH73" i="131"/>
  <c r="AI73" i="131"/>
  <c r="AJ73" i="131"/>
  <c r="AK73" i="131"/>
  <c r="AL73" i="131"/>
  <c r="AM73" i="131"/>
  <c r="AN73" i="131"/>
  <c r="AO73" i="131"/>
  <c r="AP73" i="131"/>
  <c r="AQ73" i="131"/>
  <c r="AR73" i="131"/>
  <c r="AS73" i="131"/>
  <c r="A74" i="131"/>
  <c r="K74" i="131"/>
  <c r="L74" i="131"/>
  <c r="M74" i="131"/>
  <c r="N74" i="131"/>
  <c r="O74" i="131"/>
  <c r="P74" i="131"/>
  <c r="Q74" i="131"/>
  <c r="R74" i="131"/>
  <c r="S74" i="131"/>
  <c r="T74" i="131"/>
  <c r="U74" i="131"/>
  <c r="V74" i="131"/>
  <c r="W74" i="131"/>
  <c r="X74" i="131"/>
  <c r="Y74" i="131"/>
  <c r="Z74" i="131"/>
  <c r="AA74" i="131"/>
  <c r="AB74" i="131"/>
  <c r="AC74" i="131"/>
  <c r="AD74" i="131"/>
  <c r="AE74" i="131"/>
  <c r="AF74" i="131"/>
  <c r="AG74" i="131"/>
  <c r="AH74" i="131"/>
  <c r="AI74" i="131"/>
  <c r="AJ74" i="131"/>
  <c r="AK74" i="131"/>
  <c r="AL74" i="131"/>
  <c r="AM74" i="131"/>
  <c r="AN74" i="131"/>
  <c r="AO74" i="131"/>
  <c r="AP74" i="131"/>
  <c r="AQ74" i="131"/>
  <c r="AR74" i="131"/>
  <c r="AS74" i="131"/>
  <c r="A75" i="131"/>
  <c r="K75" i="131"/>
  <c r="L75" i="131"/>
  <c r="M75" i="131"/>
  <c r="N75" i="131"/>
  <c r="O75" i="131"/>
  <c r="P75" i="131"/>
  <c r="Q75" i="131"/>
  <c r="R75" i="131"/>
  <c r="S75" i="131"/>
  <c r="T75" i="131"/>
  <c r="U75" i="131"/>
  <c r="V75" i="131"/>
  <c r="W75" i="131"/>
  <c r="X75" i="131"/>
  <c r="Y75" i="131"/>
  <c r="Z75" i="131"/>
  <c r="AA75" i="131"/>
  <c r="AB75" i="131"/>
  <c r="AC75" i="131"/>
  <c r="AD75" i="131"/>
  <c r="AE75" i="131"/>
  <c r="AF75" i="131"/>
  <c r="AG75" i="131"/>
  <c r="AH75" i="131"/>
  <c r="AI75" i="131"/>
  <c r="AJ75" i="131"/>
  <c r="AK75" i="131"/>
  <c r="AL75" i="131"/>
  <c r="AM75" i="131"/>
  <c r="AN75" i="131"/>
  <c r="AO75" i="131"/>
  <c r="AP75" i="131"/>
  <c r="AQ75" i="131"/>
  <c r="AR75" i="131"/>
  <c r="AS75" i="131"/>
  <c r="A76" i="131"/>
  <c r="K76" i="131"/>
  <c r="L76" i="131"/>
  <c r="M76" i="131"/>
  <c r="N76" i="131"/>
  <c r="O76" i="131"/>
  <c r="P76" i="131"/>
  <c r="Q76" i="131"/>
  <c r="R76" i="131"/>
  <c r="S76" i="131"/>
  <c r="T76" i="131"/>
  <c r="U76" i="131"/>
  <c r="V76" i="131"/>
  <c r="W76" i="131"/>
  <c r="X76" i="131"/>
  <c r="Y76" i="131"/>
  <c r="Z76" i="131"/>
  <c r="AA76" i="131"/>
  <c r="AB76" i="131"/>
  <c r="AC76" i="131"/>
  <c r="AD76" i="131"/>
  <c r="AE76" i="131"/>
  <c r="AF76" i="131"/>
  <c r="AG76" i="131"/>
  <c r="AH76" i="131"/>
  <c r="AI76" i="131"/>
  <c r="AJ76" i="131"/>
  <c r="AK76" i="131"/>
  <c r="AL76" i="131"/>
  <c r="AM76" i="131"/>
  <c r="AN76" i="131"/>
  <c r="AO76" i="131"/>
  <c r="AP76" i="131"/>
  <c r="AQ76" i="131"/>
  <c r="AR76" i="131"/>
  <c r="AS76" i="131"/>
  <c r="A77" i="131"/>
  <c r="K77" i="131"/>
  <c r="L77" i="131"/>
  <c r="M77" i="131"/>
  <c r="N77" i="131"/>
  <c r="O77" i="131"/>
  <c r="P77" i="131"/>
  <c r="Q77" i="131"/>
  <c r="R77" i="131"/>
  <c r="S77" i="131"/>
  <c r="T77" i="131"/>
  <c r="U77" i="131"/>
  <c r="V77" i="131"/>
  <c r="W77" i="131"/>
  <c r="X77" i="131"/>
  <c r="Y77" i="131"/>
  <c r="Z77" i="131"/>
  <c r="AA77" i="131"/>
  <c r="AB77" i="131"/>
  <c r="AC77" i="131"/>
  <c r="AD77" i="131"/>
  <c r="AE77" i="131"/>
  <c r="AF77" i="131"/>
  <c r="AG77" i="131"/>
  <c r="AH77" i="131"/>
  <c r="AI77" i="131"/>
  <c r="AJ77" i="131"/>
  <c r="AK77" i="131"/>
  <c r="AL77" i="131"/>
  <c r="AM77" i="131"/>
  <c r="AN77" i="131"/>
  <c r="AO77" i="131"/>
  <c r="AP77" i="131"/>
  <c r="AQ77" i="131"/>
  <c r="AR77" i="131"/>
  <c r="AS77" i="131"/>
  <c r="A78" i="131"/>
  <c r="K78" i="131"/>
  <c r="L78" i="131"/>
  <c r="M78" i="131"/>
  <c r="N78" i="131"/>
  <c r="O78" i="131"/>
  <c r="P78" i="131"/>
  <c r="Q78" i="131"/>
  <c r="R78" i="131"/>
  <c r="S78" i="131"/>
  <c r="T78" i="131"/>
  <c r="U78" i="131"/>
  <c r="V78" i="131"/>
  <c r="W78" i="131"/>
  <c r="X78" i="131"/>
  <c r="Y78" i="131"/>
  <c r="Z78" i="131"/>
  <c r="AA78" i="131"/>
  <c r="AB78" i="131"/>
  <c r="AC78" i="131"/>
  <c r="AD78" i="131"/>
  <c r="AE78" i="131"/>
  <c r="AF78" i="131"/>
  <c r="AG78" i="131"/>
  <c r="AH78" i="131"/>
  <c r="AI78" i="131"/>
  <c r="AJ78" i="131"/>
  <c r="AK78" i="131"/>
  <c r="AL78" i="131"/>
  <c r="AM78" i="131"/>
  <c r="AN78" i="131"/>
  <c r="AO78" i="131"/>
  <c r="AP78" i="131"/>
  <c r="AQ78" i="131"/>
  <c r="AR78" i="131"/>
  <c r="AS78" i="131"/>
  <c r="A79" i="131"/>
  <c r="A80" i="131"/>
  <c r="K80" i="131"/>
  <c r="L80" i="131"/>
  <c r="M80" i="131"/>
  <c r="N80" i="131"/>
  <c r="O80" i="131"/>
  <c r="P80" i="131"/>
  <c r="Q80" i="131"/>
  <c r="R80" i="131"/>
  <c r="S80" i="131"/>
  <c r="T80" i="131"/>
  <c r="U80" i="131"/>
  <c r="V80" i="131"/>
  <c r="W80" i="131"/>
  <c r="X80" i="131"/>
  <c r="Y80" i="131"/>
  <c r="Z80" i="131"/>
  <c r="AA80" i="131"/>
  <c r="AB80" i="131"/>
  <c r="AC80" i="131"/>
  <c r="AD80" i="131"/>
  <c r="AE80" i="131"/>
  <c r="AF80" i="131"/>
  <c r="AG80" i="131"/>
  <c r="AH80" i="131"/>
  <c r="AI80" i="131"/>
  <c r="AJ80" i="131"/>
  <c r="AK80" i="131"/>
  <c r="AL80" i="131"/>
  <c r="AM80" i="131"/>
  <c r="AN80" i="131"/>
  <c r="AO80" i="131"/>
  <c r="AP80" i="131"/>
  <c r="AQ80" i="131"/>
  <c r="AR80" i="131"/>
  <c r="AS80" i="131"/>
  <c r="A81" i="131"/>
  <c r="A82" i="131"/>
  <c r="F82" i="131"/>
  <c r="G82" i="131"/>
  <c r="H82" i="131"/>
  <c r="I82" i="131"/>
  <c r="A83" i="131"/>
  <c r="A84" i="131"/>
  <c r="A85" i="131"/>
  <c r="A86" i="131"/>
  <c r="A87" i="131"/>
  <c r="K87" i="131"/>
  <c r="L87" i="131"/>
  <c r="M87" i="131"/>
  <c r="N87" i="131"/>
  <c r="O87" i="131"/>
  <c r="P87" i="131"/>
  <c r="Q87" i="131"/>
  <c r="R87" i="131"/>
  <c r="S87" i="131"/>
  <c r="T87" i="131"/>
  <c r="U87" i="131"/>
  <c r="V87" i="131"/>
  <c r="W87" i="131"/>
  <c r="X87" i="131"/>
  <c r="Y87" i="131"/>
  <c r="Z87" i="131"/>
  <c r="AA87" i="131"/>
  <c r="AB87" i="131"/>
  <c r="AC87" i="131"/>
  <c r="AD87" i="131"/>
  <c r="AE87" i="131"/>
  <c r="AF87" i="131"/>
  <c r="AG87" i="131"/>
  <c r="AH87" i="131"/>
  <c r="AI87" i="131"/>
  <c r="AJ87" i="131"/>
  <c r="AK87" i="131"/>
  <c r="AL87" i="131"/>
  <c r="AM87" i="131"/>
  <c r="AN87" i="131"/>
  <c r="AO87" i="131"/>
  <c r="AP87" i="131"/>
  <c r="AQ87" i="131"/>
  <c r="AR87" i="131"/>
  <c r="AS87" i="131"/>
  <c r="A88" i="131"/>
  <c r="A89" i="131"/>
  <c r="K89" i="131"/>
  <c r="L89" i="131"/>
  <c r="M89" i="131"/>
  <c r="N89" i="131"/>
  <c r="O89" i="131"/>
  <c r="P89" i="131"/>
  <c r="Q89" i="131"/>
  <c r="R89" i="131"/>
  <c r="S89" i="131"/>
  <c r="T89" i="131"/>
  <c r="U89" i="131"/>
  <c r="V89" i="131"/>
  <c r="W89" i="131"/>
  <c r="X89" i="131"/>
  <c r="Y89" i="131"/>
  <c r="Z89" i="131"/>
  <c r="AA89" i="131"/>
  <c r="AB89" i="131"/>
  <c r="AC89" i="131"/>
  <c r="AD89" i="131"/>
  <c r="AE89" i="131"/>
  <c r="AF89" i="131"/>
  <c r="AG89" i="131"/>
  <c r="AH89" i="131"/>
  <c r="AI89" i="131"/>
  <c r="AJ89" i="131"/>
  <c r="AK89" i="131"/>
  <c r="AL89" i="131"/>
  <c r="AM89" i="131"/>
  <c r="AN89" i="131"/>
  <c r="AO89" i="131"/>
  <c r="AP89" i="131"/>
  <c r="AQ89" i="131"/>
  <c r="AR89" i="131"/>
  <c r="AS89" i="131"/>
  <c r="A90" i="131"/>
  <c r="F90" i="131"/>
  <c r="G90" i="131"/>
  <c r="H90" i="131"/>
  <c r="I90" i="131"/>
  <c r="K90" i="131"/>
  <c r="L90" i="131"/>
  <c r="M90" i="131"/>
  <c r="N90" i="131"/>
  <c r="O90" i="131"/>
  <c r="P90" i="131"/>
  <c r="Q90" i="131"/>
  <c r="R90" i="131"/>
  <c r="S90" i="131"/>
  <c r="T90" i="131"/>
  <c r="U90" i="131"/>
  <c r="V90" i="131"/>
  <c r="W90" i="131"/>
  <c r="X90" i="131"/>
  <c r="Y90" i="131"/>
  <c r="Z90" i="131"/>
  <c r="AA90" i="131"/>
  <c r="AB90" i="131"/>
  <c r="AC90" i="131"/>
  <c r="AD90" i="131"/>
  <c r="AE90" i="131"/>
  <c r="AF90" i="131"/>
  <c r="AG90" i="131"/>
  <c r="AH90" i="131"/>
  <c r="AI90" i="131"/>
  <c r="AJ90" i="131"/>
  <c r="AK90" i="131"/>
  <c r="AL90" i="131"/>
  <c r="AM90" i="131"/>
  <c r="AN90" i="131"/>
  <c r="AO90" i="131"/>
  <c r="AP90" i="131"/>
  <c r="AQ90" i="131"/>
  <c r="AR90" i="131"/>
  <c r="AS90" i="131"/>
  <c r="A91" i="131"/>
  <c r="F91" i="131"/>
  <c r="G91" i="131"/>
  <c r="H91" i="131"/>
  <c r="I91" i="131"/>
  <c r="K91" i="131"/>
  <c r="L91" i="131"/>
  <c r="M91" i="131"/>
  <c r="N91" i="131"/>
  <c r="O91" i="131"/>
  <c r="P91" i="131"/>
  <c r="Q91" i="131"/>
  <c r="R91" i="131"/>
  <c r="S91" i="131"/>
  <c r="T91" i="131"/>
  <c r="U91" i="131"/>
  <c r="V91" i="131"/>
  <c r="W91" i="131"/>
  <c r="X91" i="131"/>
  <c r="Y91" i="131"/>
  <c r="Z91" i="131"/>
  <c r="AA91" i="131"/>
  <c r="AB91" i="131"/>
  <c r="AC91" i="131"/>
  <c r="AD91" i="131"/>
  <c r="AE91" i="131"/>
  <c r="AF91" i="131"/>
  <c r="AG91" i="131"/>
  <c r="AH91" i="131"/>
  <c r="AI91" i="131"/>
  <c r="AJ91" i="131"/>
  <c r="AK91" i="131"/>
  <c r="AL91" i="131"/>
  <c r="AM91" i="131"/>
  <c r="AN91" i="131"/>
  <c r="AO91" i="131"/>
  <c r="AP91" i="131"/>
  <c r="AQ91" i="131"/>
  <c r="AR91" i="131"/>
  <c r="AS91" i="131"/>
  <c r="A92" i="131"/>
  <c r="F92" i="131"/>
  <c r="G92" i="131"/>
  <c r="H92" i="131"/>
  <c r="I92" i="131"/>
  <c r="K92" i="131"/>
  <c r="L92" i="131"/>
  <c r="M92" i="131"/>
  <c r="N92" i="131"/>
  <c r="O92" i="131"/>
  <c r="P92" i="131"/>
  <c r="Q92" i="131"/>
  <c r="R92" i="131"/>
  <c r="S92" i="131"/>
  <c r="T92" i="131"/>
  <c r="U92" i="131"/>
  <c r="V92" i="131"/>
  <c r="W92" i="131"/>
  <c r="X92" i="131"/>
  <c r="Y92" i="131"/>
  <c r="Z92" i="131"/>
  <c r="AA92" i="131"/>
  <c r="AB92" i="131"/>
  <c r="AC92" i="131"/>
  <c r="AD92" i="131"/>
  <c r="AE92" i="131"/>
  <c r="AF92" i="131"/>
  <c r="AG92" i="131"/>
  <c r="AH92" i="131"/>
  <c r="AI92" i="131"/>
  <c r="AJ92" i="131"/>
  <c r="AK92" i="131"/>
  <c r="AL92" i="131"/>
  <c r="AM92" i="131"/>
  <c r="AN92" i="131"/>
  <c r="AO92" i="131"/>
  <c r="AP92" i="131"/>
  <c r="AQ92" i="131"/>
  <c r="AR92" i="131"/>
  <c r="AS92" i="131"/>
  <c r="A93" i="131"/>
  <c r="K93" i="131"/>
  <c r="L93" i="131"/>
  <c r="M93" i="131"/>
  <c r="N93" i="131"/>
  <c r="O93" i="131"/>
  <c r="P93" i="131"/>
  <c r="Q93" i="131"/>
  <c r="R93" i="131"/>
  <c r="S93" i="131"/>
  <c r="T93" i="131"/>
  <c r="U93" i="131"/>
  <c r="V93" i="131"/>
  <c r="W93" i="131"/>
  <c r="X93" i="131"/>
  <c r="Z93" i="131"/>
  <c r="AA93" i="131"/>
  <c r="AB93" i="131"/>
  <c r="AC93" i="131"/>
  <c r="AD93" i="131"/>
  <c r="AF93" i="131"/>
  <c r="AG93" i="131"/>
  <c r="AH93" i="131"/>
  <c r="AI93" i="131"/>
  <c r="AJ93" i="131"/>
  <c r="AK93" i="131"/>
  <c r="AL93" i="131"/>
  <c r="AM93" i="131"/>
  <c r="AN93" i="131"/>
  <c r="AO93" i="131"/>
  <c r="AP93" i="131"/>
  <c r="AQ93" i="131"/>
  <c r="AR93" i="131"/>
  <c r="AS93" i="131"/>
  <c r="A94" i="131"/>
  <c r="K94" i="131"/>
  <c r="L94" i="131"/>
  <c r="M94" i="131"/>
  <c r="N94" i="131"/>
  <c r="O94" i="131"/>
  <c r="P94" i="131"/>
  <c r="Q94" i="131"/>
  <c r="R94" i="131"/>
  <c r="S94" i="131"/>
  <c r="T94" i="131"/>
  <c r="U94" i="131"/>
  <c r="V94" i="131"/>
  <c r="W94" i="131"/>
  <c r="X94" i="131"/>
  <c r="Y94" i="131"/>
  <c r="Z94" i="131"/>
  <c r="AA94" i="131"/>
  <c r="AB94" i="131"/>
  <c r="AC94" i="131"/>
  <c r="AD94" i="131"/>
  <c r="AE94" i="131"/>
  <c r="AF94" i="131"/>
  <c r="AG94" i="131"/>
  <c r="AH94" i="131"/>
  <c r="AI94" i="131"/>
  <c r="AJ94" i="131"/>
  <c r="AK94" i="131"/>
  <c r="AL94" i="131"/>
  <c r="AM94" i="131"/>
  <c r="AN94" i="131"/>
  <c r="AO94" i="131"/>
  <c r="AP94" i="131"/>
  <c r="AQ94" i="131"/>
  <c r="AR94" i="131"/>
  <c r="AS94" i="131"/>
  <c r="AU94" i="131"/>
  <c r="AV94" i="131"/>
  <c r="AW94" i="131"/>
  <c r="AX94" i="131"/>
  <c r="AY94" i="131"/>
  <c r="AZ94" i="131"/>
  <c r="BA94" i="131"/>
  <c r="BB94" i="131"/>
  <c r="BC94" i="131"/>
  <c r="BD94" i="131"/>
  <c r="BE94" i="131"/>
  <c r="BF94" i="131"/>
  <c r="BG94" i="131"/>
  <c r="BH94" i="131"/>
  <c r="BI94" i="131"/>
  <c r="BJ94" i="131"/>
  <c r="BK94" i="131"/>
  <c r="BL94" i="131"/>
  <c r="BM94" i="131"/>
  <c r="BN94" i="131"/>
  <c r="BO94" i="131"/>
  <c r="BP94" i="131"/>
  <c r="BQ94" i="131"/>
  <c r="BR94" i="131"/>
  <c r="BS94" i="131"/>
  <c r="BT94" i="131"/>
  <c r="BU94" i="131"/>
  <c r="BV94" i="131"/>
  <c r="BW94" i="131"/>
  <c r="BX94" i="131"/>
  <c r="BY94" i="131"/>
  <c r="BZ94" i="131"/>
  <c r="CA94" i="131"/>
  <c r="CB94" i="131"/>
  <c r="CC94" i="131"/>
  <c r="CD94" i="131"/>
  <c r="CE94" i="131"/>
  <c r="CF94" i="131"/>
  <c r="CG94" i="131"/>
  <c r="CH94" i="131"/>
  <c r="CI94" i="131"/>
  <c r="CJ94" i="131"/>
  <c r="CK94" i="131"/>
  <c r="CL94" i="131"/>
  <c r="A95" i="131"/>
  <c r="K95" i="131"/>
  <c r="L95" i="131"/>
  <c r="M95" i="131"/>
  <c r="N95" i="131"/>
  <c r="O95" i="131"/>
  <c r="P95" i="131"/>
  <c r="Q95" i="131"/>
  <c r="R95" i="131"/>
  <c r="S95" i="131"/>
  <c r="T95" i="131"/>
  <c r="U95" i="131"/>
  <c r="V95" i="131"/>
  <c r="W95" i="131"/>
  <c r="X95" i="131"/>
  <c r="Y95" i="131"/>
  <c r="Y54" i="131" s="1"/>
  <c r="Z95" i="131"/>
  <c r="AA95" i="131"/>
  <c r="AB95" i="131"/>
  <c r="AC95" i="131"/>
  <c r="AD95" i="131"/>
  <c r="AE95" i="131"/>
  <c r="AE54" i="131" s="1"/>
  <c r="AF95" i="131"/>
  <c r="AG95" i="131"/>
  <c r="AH95" i="131"/>
  <c r="AI95" i="131"/>
  <c r="AJ95" i="131"/>
  <c r="AK95" i="131"/>
  <c r="AL95" i="131"/>
  <c r="AM95" i="131"/>
  <c r="AN95" i="131"/>
  <c r="AO95" i="131"/>
  <c r="AP95" i="131"/>
  <c r="AQ95" i="131"/>
  <c r="AR95" i="131"/>
  <c r="AS95" i="131"/>
  <c r="A96" i="131"/>
  <c r="C96" i="131"/>
  <c r="K96" i="131"/>
  <c r="L96" i="131"/>
  <c r="M96" i="131"/>
  <c r="N96" i="131"/>
  <c r="O96" i="131"/>
  <c r="P96" i="131"/>
  <c r="Q96" i="131"/>
  <c r="R96" i="131"/>
  <c r="S96" i="131"/>
  <c r="T96" i="131"/>
  <c r="U96" i="131"/>
  <c r="V96" i="131"/>
  <c r="W96" i="131"/>
  <c r="X96" i="131"/>
  <c r="Y96" i="131"/>
  <c r="Z96" i="131"/>
  <c r="AA96" i="131"/>
  <c r="AA51" i="131" s="1"/>
  <c r="AB96" i="131"/>
  <c r="AC96" i="131"/>
  <c r="AD96" i="131"/>
  <c r="AE96" i="131"/>
  <c r="AE51" i="131" s="1"/>
  <c r="AF96" i="131"/>
  <c r="AG96" i="131"/>
  <c r="AH96" i="131"/>
  <c r="AI96" i="131"/>
  <c r="AJ96" i="131"/>
  <c r="AK96" i="131"/>
  <c r="AL96" i="131"/>
  <c r="AM96" i="131"/>
  <c r="AN96" i="131"/>
  <c r="AO96" i="131"/>
  <c r="AP96" i="131"/>
  <c r="AQ96" i="131"/>
  <c r="AR96" i="131"/>
  <c r="AS96" i="131"/>
  <c r="AS51" i="131"/>
  <c r="A97" i="131"/>
  <c r="C97" i="131"/>
  <c r="K97" i="131"/>
  <c r="L97" i="131"/>
  <c r="M97" i="131"/>
  <c r="N97" i="131"/>
  <c r="O97" i="131"/>
  <c r="P97" i="131"/>
  <c r="Q97" i="131"/>
  <c r="R97" i="131"/>
  <c r="S97" i="131"/>
  <c r="T97" i="131"/>
  <c r="U97" i="131"/>
  <c r="V97" i="131"/>
  <c r="W97" i="131"/>
  <c r="X97" i="131"/>
  <c r="Y97" i="131"/>
  <c r="Z97" i="131"/>
  <c r="AA97" i="131"/>
  <c r="AB97" i="131"/>
  <c r="AC97" i="131"/>
  <c r="AD97" i="131"/>
  <c r="AE97" i="131"/>
  <c r="AF97" i="131"/>
  <c r="AG97" i="131"/>
  <c r="AH97" i="131"/>
  <c r="AI97" i="131"/>
  <c r="AJ97" i="131"/>
  <c r="AK97" i="131"/>
  <c r="AL97" i="131"/>
  <c r="AM97" i="131"/>
  <c r="AN97" i="131"/>
  <c r="AO97" i="131"/>
  <c r="AP97" i="131"/>
  <c r="AQ97" i="131"/>
  <c r="AR97" i="131"/>
  <c r="AS97" i="131"/>
  <c r="A98" i="131"/>
  <c r="K98" i="131"/>
  <c r="L98" i="131"/>
  <c r="M98" i="131"/>
  <c r="N98" i="131"/>
  <c r="O98" i="131"/>
  <c r="P98" i="131"/>
  <c r="Q98" i="131"/>
  <c r="R98" i="131"/>
  <c r="S98" i="131"/>
  <c r="T98" i="131"/>
  <c r="U98" i="131"/>
  <c r="V98" i="131"/>
  <c r="V54" i="131"/>
  <c r="W98" i="131"/>
  <c r="X98" i="131"/>
  <c r="Y98" i="131"/>
  <c r="Z98" i="131"/>
  <c r="AA98" i="131"/>
  <c r="AA54" i="131" s="1"/>
  <c r="AB98" i="131"/>
  <c r="AC98" i="131"/>
  <c r="AD98" i="131"/>
  <c r="AE98" i="131"/>
  <c r="AF98" i="131"/>
  <c r="AG98" i="131"/>
  <c r="AH98" i="131"/>
  <c r="AI98" i="131"/>
  <c r="AJ98" i="131"/>
  <c r="AK98" i="131"/>
  <c r="AL98" i="131"/>
  <c r="AM98" i="131"/>
  <c r="AN98" i="131"/>
  <c r="AO98" i="131"/>
  <c r="AP98" i="131"/>
  <c r="AQ98" i="131"/>
  <c r="AR98" i="131"/>
  <c r="AS98" i="131"/>
  <c r="AS54" i="131" s="1"/>
  <c r="A99" i="131"/>
  <c r="C99" i="131"/>
  <c r="K99" i="131"/>
  <c r="L99" i="131"/>
  <c r="M99" i="131"/>
  <c r="N99" i="131"/>
  <c r="O99" i="131"/>
  <c r="P99" i="131"/>
  <c r="Q99" i="131"/>
  <c r="R99" i="131"/>
  <c r="S99" i="131"/>
  <c r="T99" i="131"/>
  <c r="U99" i="131"/>
  <c r="V99" i="131"/>
  <c r="W99" i="131"/>
  <c r="X99" i="131"/>
  <c r="Y99" i="131"/>
  <c r="Z99" i="131"/>
  <c r="AA99" i="131"/>
  <c r="AA53" i="131" s="1"/>
  <c r="AB99" i="131"/>
  <c r="AC99" i="131"/>
  <c r="AD99" i="131"/>
  <c r="AE99" i="131"/>
  <c r="AF99" i="131"/>
  <c r="AG99" i="131"/>
  <c r="AH99" i="131"/>
  <c r="AI99" i="131"/>
  <c r="AJ99" i="131"/>
  <c r="AK99" i="131"/>
  <c r="AL99" i="131"/>
  <c r="AM99" i="131"/>
  <c r="AN99" i="131"/>
  <c r="AO99" i="131"/>
  <c r="AP99" i="131"/>
  <c r="AQ99" i="131"/>
  <c r="AR99" i="131"/>
  <c r="AS99" i="131"/>
  <c r="A100" i="131"/>
  <c r="A101" i="131"/>
  <c r="C101" i="131"/>
  <c r="K101" i="131"/>
  <c r="L101" i="131"/>
  <c r="M101" i="131"/>
  <c r="N101" i="131"/>
  <c r="O101" i="131"/>
  <c r="P101" i="131"/>
  <c r="Q101" i="131"/>
  <c r="R101" i="131"/>
  <c r="S101" i="131"/>
  <c r="T101" i="131"/>
  <c r="U101" i="131"/>
  <c r="V101" i="131"/>
  <c r="W101" i="131"/>
  <c r="X101" i="131"/>
  <c r="Y101" i="131"/>
  <c r="Z101" i="131"/>
  <c r="AA101" i="131"/>
  <c r="AB101" i="131"/>
  <c r="AC101" i="131"/>
  <c r="AD101" i="131"/>
  <c r="AE101" i="131"/>
  <c r="AF101" i="131"/>
  <c r="AG101" i="131"/>
  <c r="AH101" i="131"/>
  <c r="AI101" i="131"/>
  <c r="AJ101" i="131"/>
  <c r="AK101" i="131"/>
  <c r="AL101" i="131"/>
  <c r="AM101" i="131"/>
  <c r="AN101" i="131"/>
  <c r="AO101" i="131"/>
  <c r="AP101" i="131"/>
  <c r="AQ101" i="131"/>
  <c r="AR101" i="131"/>
  <c r="AS101" i="131"/>
  <c r="A102" i="131"/>
  <c r="A103" i="131"/>
  <c r="A104" i="131"/>
  <c r="K104" i="131"/>
  <c r="L104" i="131"/>
  <c r="M104" i="131"/>
  <c r="N104" i="131"/>
  <c r="O104" i="131"/>
  <c r="P104" i="131"/>
  <c r="Q104" i="131"/>
  <c r="R104" i="131"/>
  <c r="S104" i="131"/>
  <c r="T104" i="131"/>
  <c r="U104" i="131"/>
  <c r="V104" i="131"/>
  <c r="W104" i="131"/>
  <c r="X104" i="131"/>
  <c r="Y104" i="131"/>
  <c r="Z104" i="131"/>
  <c r="AA104" i="131"/>
  <c r="AB104" i="131"/>
  <c r="AC104" i="131"/>
  <c r="AD104" i="131"/>
  <c r="AE104" i="131"/>
  <c r="AF104" i="131"/>
  <c r="AG104" i="131"/>
  <c r="AH104" i="131"/>
  <c r="AI104" i="131"/>
  <c r="AJ104" i="131"/>
  <c r="AK104" i="131"/>
  <c r="AL104" i="131"/>
  <c r="AM104" i="131"/>
  <c r="AN104" i="131"/>
  <c r="AO104" i="131"/>
  <c r="AP104" i="131"/>
  <c r="AQ104" i="131"/>
  <c r="AR104" i="131"/>
  <c r="AS104" i="131"/>
  <c r="A105" i="131"/>
  <c r="K105" i="131"/>
  <c r="L105" i="131"/>
  <c r="M105" i="131"/>
  <c r="N105" i="131"/>
  <c r="O105" i="131"/>
  <c r="P105" i="131"/>
  <c r="Q105" i="131"/>
  <c r="R105" i="131"/>
  <c r="S105" i="131"/>
  <c r="T105" i="131"/>
  <c r="U105" i="131"/>
  <c r="V105" i="131"/>
  <c r="W105" i="131"/>
  <c r="X105" i="131"/>
  <c r="Y105" i="131"/>
  <c r="Z105" i="131"/>
  <c r="AA105" i="131"/>
  <c r="AB105" i="131"/>
  <c r="AC105" i="131"/>
  <c r="AD105" i="131"/>
  <c r="AE105" i="131"/>
  <c r="AF105" i="131"/>
  <c r="AG105" i="131"/>
  <c r="AH105" i="131"/>
  <c r="AI105" i="131"/>
  <c r="AJ105" i="131"/>
  <c r="AK105" i="131"/>
  <c r="AL105" i="131"/>
  <c r="AM105" i="131"/>
  <c r="AN105" i="131"/>
  <c r="AO105" i="131"/>
  <c r="AP105" i="131"/>
  <c r="AQ105" i="131"/>
  <c r="AR105" i="131"/>
  <c r="AS105" i="131"/>
  <c r="A106" i="131"/>
  <c r="K106" i="131"/>
  <c r="L106" i="131"/>
  <c r="M106" i="131"/>
  <c r="N106" i="131"/>
  <c r="O106" i="131"/>
  <c r="P106" i="131"/>
  <c r="Q106" i="131"/>
  <c r="R106" i="131"/>
  <c r="S106" i="131"/>
  <c r="T106" i="131"/>
  <c r="U106" i="131"/>
  <c r="V106" i="131"/>
  <c r="W106" i="131"/>
  <c r="X106" i="131"/>
  <c r="Y106" i="131"/>
  <c r="Z106" i="131"/>
  <c r="AA106" i="131"/>
  <c r="AB106" i="131"/>
  <c r="AC106" i="131"/>
  <c r="AD106" i="131"/>
  <c r="AE106" i="131"/>
  <c r="AF106" i="131"/>
  <c r="AG106" i="131"/>
  <c r="AH106" i="131"/>
  <c r="AI106" i="131"/>
  <c r="AJ106" i="131"/>
  <c r="AK106" i="131"/>
  <c r="AL106" i="131"/>
  <c r="AM106" i="131"/>
  <c r="AN106" i="131"/>
  <c r="AO106" i="131"/>
  <c r="AP106" i="131"/>
  <c r="AQ106" i="131"/>
  <c r="AR106" i="131"/>
  <c r="AS106" i="131"/>
  <c r="A107" i="131"/>
  <c r="K107" i="131"/>
  <c r="L107" i="131"/>
  <c r="M107" i="131"/>
  <c r="N107" i="131"/>
  <c r="O107" i="131"/>
  <c r="P107" i="131"/>
  <c r="Q107" i="131"/>
  <c r="R107" i="131"/>
  <c r="S107" i="131"/>
  <c r="T107" i="131"/>
  <c r="U107" i="131"/>
  <c r="V107" i="131"/>
  <c r="W107" i="131"/>
  <c r="X107" i="131"/>
  <c r="Y107" i="131"/>
  <c r="Z107" i="131"/>
  <c r="AA107" i="131"/>
  <c r="AB107" i="131"/>
  <c r="AC107" i="131"/>
  <c r="AD107" i="131"/>
  <c r="AE107" i="131"/>
  <c r="AF107" i="131"/>
  <c r="AG107" i="131"/>
  <c r="AH107" i="131"/>
  <c r="AI107" i="131"/>
  <c r="AJ107" i="131"/>
  <c r="AK107" i="131"/>
  <c r="AL107" i="131"/>
  <c r="AM107" i="131"/>
  <c r="AN107" i="131"/>
  <c r="AO107" i="131"/>
  <c r="AP107" i="131"/>
  <c r="AQ107" i="131"/>
  <c r="AR107" i="131"/>
  <c r="AS107" i="131"/>
  <c r="K118" i="131"/>
  <c r="L118" i="131"/>
  <c r="M118" i="131"/>
  <c r="N118" i="131"/>
  <c r="O118" i="131"/>
  <c r="P118" i="131"/>
  <c r="Q118" i="131"/>
  <c r="R118" i="131"/>
  <c r="S118" i="131"/>
  <c r="T118" i="131"/>
  <c r="U118" i="131"/>
  <c r="V118" i="131"/>
  <c r="W118" i="131"/>
  <c r="X118" i="131"/>
  <c r="Y118" i="131"/>
  <c r="Z118" i="131"/>
  <c r="AA118" i="131"/>
  <c r="AB118" i="131"/>
  <c r="AC118" i="131"/>
  <c r="AD118" i="131"/>
  <c r="AE118" i="131"/>
  <c r="AF118" i="131"/>
  <c r="AG118" i="131"/>
  <c r="AH118" i="131"/>
  <c r="AI118" i="131"/>
  <c r="AJ118" i="131"/>
  <c r="AK118" i="131"/>
  <c r="AL118" i="131"/>
  <c r="AM118" i="131"/>
  <c r="AN118" i="131"/>
  <c r="AO118" i="131"/>
  <c r="AP118" i="131"/>
  <c r="AQ118" i="131"/>
  <c r="AR118" i="131"/>
  <c r="AS118" i="131"/>
  <c r="K119" i="131"/>
  <c r="K21" i="131" s="1"/>
  <c r="L119" i="131"/>
  <c r="L21" i="131"/>
  <c r="M119" i="131"/>
  <c r="M21" i="131" s="1"/>
  <c r="N119" i="131"/>
  <c r="N21" i="131" s="1"/>
  <c r="O119" i="131"/>
  <c r="O21" i="131" s="1"/>
  <c r="P119" i="131"/>
  <c r="P21" i="131"/>
  <c r="R119" i="131"/>
  <c r="R21" i="131" s="1"/>
  <c r="S119" i="131"/>
  <c r="S21" i="131" s="1"/>
  <c r="T119" i="131"/>
  <c r="T21" i="131" s="1"/>
  <c r="U119" i="131"/>
  <c r="U21" i="131"/>
  <c r="V119" i="131"/>
  <c r="V21" i="131" s="1"/>
  <c r="W119" i="131"/>
  <c r="W21" i="131" s="1"/>
  <c r="X119" i="131"/>
  <c r="X21" i="131" s="1"/>
  <c r="Y119" i="131"/>
  <c r="Y21" i="131"/>
  <c r="Z119" i="131"/>
  <c r="Z21" i="131" s="1"/>
  <c r="AA119" i="131"/>
  <c r="AA21" i="131" s="1"/>
  <c r="AB119" i="131"/>
  <c r="AB21" i="131" s="1"/>
  <c r="AC119" i="131"/>
  <c r="AC21" i="131"/>
  <c r="AD119" i="131"/>
  <c r="AD21" i="131" s="1"/>
  <c r="AE119" i="131"/>
  <c r="AE21" i="131" s="1"/>
  <c r="AF119" i="131"/>
  <c r="AF21" i="131" s="1"/>
  <c r="AG119" i="131"/>
  <c r="AG21" i="131"/>
  <c r="AH119" i="131"/>
  <c r="AH21" i="131" s="1"/>
  <c r="AI119" i="131"/>
  <c r="AI21" i="131" s="1"/>
  <c r="AJ119" i="131"/>
  <c r="AJ21" i="131" s="1"/>
  <c r="AK119" i="131"/>
  <c r="AK21" i="131"/>
  <c r="AL119" i="131"/>
  <c r="AL21" i="131" s="1"/>
  <c r="AM119" i="131"/>
  <c r="AM21" i="131" s="1"/>
  <c r="AN119" i="131"/>
  <c r="AN21" i="131" s="1"/>
  <c r="AO119" i="131"/>
  <c r="AO21" i="131"/>
  <c r="AP119" i="131"/>
  <c r="AP21" i="131" s="1"/>
  <c r="AQ119" i="131"/>
  <c r="AQ21" i="131" s="1"/>
  <c r="AR119" i="131"/>
  <c r="AR21" i="131" s="1"/>
  <c r="AS119" i="131"/>
  <c r="AS21" i="131"/>
  <c r="A5" i="130"/>
  <c r="F5" i="130"/>
  <c r="G5" i="130"/>
  <c r="H5" i="130"/>
  <c r="I5" i="130"/>
  <c r="J5" i="130"/>
  <c r="K5" i="130"/>
  <c r="L5" i="130"/>
  <c r="M5" i="130"/>
  <c r="N5" i="130"/>
  <c r="O5" i="130"/>
  <c r="P5" i="130"/>
  <c r="Q5" i="130"/>
  <c r="R5" i="130"/>
  <c r="S5" i="130"/>
  <c r="T5" i="130"/>
  <c r="U5" i="130"/>
  <c r="V5" i="130"/>
  <c r="W5" i="130"/>
  <c r="X5" i="130"/>
  <c r="Y5" i="130"/>
  <c r="Z5" i="130"/>
  <c r="AA5" i="130"/>
  <c r="AB5" i="130"/>
  <c r="AC5" i="130"/>
  <c r="AD5" i="130"/>
  <c r="AE5" i="130"/>
  <c r="AF5" i="130"/>
  <c r="AG5" i="130"/>
  <c r="AH5" i="130"/>
  <c r="AI5" i="130"/>
  <c r="AJ5" i="130"/>
  <c r="AK5" i="130"/>
  <c r="AL5" i="130"/>
  <c r="AM5" i="130"/>
  <c r="AN5" i="130"/>
  <c r="AO5" i="130"/>
  <c r="AP5" i="130"/>
  <c r="AQ5" i="130"/>
  <c r="AR5" i="130"/>
  <c r="AS5" i="130"/>
  <c r="AT5" i="130"/>
  <c r="AU5" i="130"/>
  <c r="AV5" i="130"/>
  <c r="AW5" i="130"/>
  <c r="AX5" i="130"/>
  <c r="AY5" i="130"/>
  <c r="AZ5" i="130"/>
  <c r="BA5" i="130"/>
  <c r="BB5" i="130"/>
  <c r="BC5" i="130"/>
  <c r="BD5" i="130"/>
  <c r="BE5" i="130"/>
  <c r="BF5" i="130"/>
  <c r="BG5" i="130"/>
  <c r="BH5" i="130"/>
  <c r="BI5" i="130"/>
  <c r="BJ5" i="130"/>
  <c r="BK5" i="130"/>
  <c r="BL5" i="130"/>
  <c r="BM5" i="130"/>
  <c r="BN5" i="130"/>
  <c r="BO5" i="130"/>
  <c r="BP5" i="130"/>
  <c r="BQ5" i="130"/>
  <c r="BR5" i="130"/>
  <c r="BS5" i="130"/>
  <c r="BT5" i="130"/>
  <c r="BU5" i="130"/>
  <c r="BV5" i="130"/>
  <c r="BW5" i="130"/>
  <c r="BX5" i="130"/>
  <c r="BY5" i="130"/>
  <c r="BZ5" i="130"/>
  <c r="CA5" i="130"/>
  <c r="CB5" i="130"/>
  <c r="CC5" i="130"/>
  <c r="CD5" i="130"/>
  <c r="CE5" i="130"/>
  <c r="CF5" i="130"/>
  <c r="CG5" i="130"/>
  <c r="CH5" i="130"/>
  <c r="CI5" i="130"/>
  <c r="CJ5" i="130"/>
  <c r="CK5" i="130"/>
  <c r="CL5" i="130"/>
  <c r="A6" i="130"/>
  <c r="A7" i="130"/>
  <c r="K7" i="130"/>
  <c r="L7" i="130"/>
  <c r="M7" i="130"/>
  <c r="N7" i="130"/>
  <c r="O7" i="130"/>
  <c r="P7" i="130"/>
  <c r="Q7" i="130"/>
  <c r="R7" i="130"/>
  <c r="S7" i="130"/>
  <c r="T7" i="130"/>
  <c r="U7" i="130"/>
  <c r="V7" i="130"/>
  <c r="W7" i="130"/>
  <c r="X7" i="130"/>
  <c r="Y7" i="130"/>
  <c r="Z7" i="130"/>
  <c r="AA7" i="130"/>
  <c r="AB7" i="130"/>
  <c r="AC7" i="130"/>
  <c r="AD7" i="130"/>
  <c r="AE7" i="130"/>
  <c r="AE14" i="130" s="1"/>
  <c r="AF7" i="130"/>
  <c r="AG7" i="130"/>
  <c r="AH7" i="130"/>
  <c r="AI7" i="130"/>
  <c r="AJ7" i="130"/>
  <c r="AK7" i="130"/>
  <c r="AL7" i="130"/>
  <c r="AM7" i="130"/>
  <c r="AN7" i="130"/>
  <c r="AO7" i="130"/>
  <c r="AP7" i="130"/>
  <c r="AQ7" i="130"/>
  <c r="AR7" i="130"/>
  <c r="AS7" i="130"/>
  <c r="A8" i="130"/>
  <c r="K8" i="130"/>
  <c r="L8" i="130"/>
  <c r="M8" i="130"/>
  <c r="N8" i="130"/>
  <c r="O8" i="130"/>
  <c r="P8" i="130"/>
  <c r="Q8" i="130"/>
  <c r="R8" i="130"/>
  <c r="S8" i="130"/>
  <c r="T8" i="130"/>
  <c r="U8" i="130"/>
  <c r="V8" i="130"/>
  <c r="W8" i="130"/>
  <c r="X8" i="130"/>
  <c r="Y8" i="130"/>
  <c r="Z8" i="130"/>
  <c r="AA8" i="130"/>
  <c r="AB8" i="130"/>
  <c r="AC8" i="130"/>
  <c r="AD8" i="130"/>
  <c r="AE8" i="130"/>
  <c r="AF8" i="130"/>
  <c r="AG8" i="130"/>
  <c r="AH8" i="130"/>
  <c r="AI8" i="130"/>
  <c r="AJ8" i="130"/>
  <c r="AK8" i="130"/>
  <c r="AL8" i="130"/>
  <c r="AM8" i="130"/>
  <c r="AN8" i="130"/>
  <c r="AO8" i="130"/>
  <c r="AP8" i="130"/>
  <c r="AQ8" i="130"/>
  <c r="AR8" i="130"/>
  <c r="AS8" i="130"/>
  <c r="A9" i="130"/>
  <c r="K9" i="130"/>
  <c r="L9" i="130"/>
  <c r="M9" i="130"/>
  <c r="N9" i="130"/>
  <c r="O9" i="130"/>
  <c r="P9" i="130"/>
  <c r="Q9" i="130"/>
  <c r="R9" i="130"/>
  <c r="S9" i="130"/>
  <c r="T9" i="130"/>
  <c r="U9" i="130"/>
  <c r="V9" i="130"/>
  <c r="W9" i="130"/>
  <c r="X9" i="130"/>
  <c r="Y9" i="130"/>
  <c r="Z9" i="130"/>
  <c r="AA9" i="130"/>
  <c r="AB9" i="130"/>
  <c r="AC9" i="130"/>
  <c r="AD9" i="130"/>
  <c r="AE9" i="130"/>
  <c r="AF9" i="130"/>
  <c r="AG9" i="130"/>
  <c r="AH9" i="130"/>
  <c r="AI9" i="130"/>
  <c r="AJ9" i="130"/>
  <c r="AK9" i="130"/>
  <c r="AL9" i="130"/>
  <c r="AM9" i="130"/>
  <c r="AN9" i="130"/>
  <c r="AO9" i="130"/>
  <c r="AP9" i="130"/>
  <c r="AQ9" i="130"/>
  <c r="AR9" i="130"/>
  <c r="AS9" i="130"/>
  <c r="A10" i="130"/>
  <c r="K10" i="130"/>
  <c r="L10" i="130"/>
  <c r="M10" i="130"/>
  <c r="N10" i="130"/>
  <c r="O10" i="130"/>
  <c r="P10" i="130"/>
  <c r="Q10" i="130"/>
  <c r="R10" i="130"/>
  <c r="S10" i="130"/>
  <c r="T10" i="130"/>
  <c r="U10" i="130"/>
  <c r="V10" i="130"/>
  <c r="W10" i="130"/>
  <c r="X10" i="130"/>
  <c r="Y10" i="130"/>
  <c r="Z10" i="130"/>
  <c r="AA10" i="130"/>
  <c r="AB10" i="130"/>
  <c r="AC10" i="130"/>
  <c r="AD10" i="130"/>
  <c r="AE10" i="130"/>
  <c r="AF10" i="130"/>
  <c r="AG10" i="130"/>
  <c r="AH10" i="130"/>
  <c r="AI10" i="130"/>
  <c r="AJ10" i="130"/>
  <c r="AK10" i="130"/>
  <c r="AL10" i="130"/>
  <c r="AM10" i="130"/>
  <c r="AN10" i="130"/>
  <c r="AO10" i="130"/>
  <c r="AP10" i="130"/>
  <c r="AQ10" i="130"/>
  <c r="AR10" i="130"/>
  <c r="AS10" i="130"/>
  <c r="A11" i="130"/>
  <c r="K11" i="130"/>
  <c r="L11" i="130"/>
  <c r="M11" i="130"/>
  <c r="N11" i="130"/>
  <c r="O11" i="130"/>
  <c r="P11" i="130"/>
  <c r="Q11" i="130"/>
  <c r="R11" i="130"/>
  <c r="S11" i="130"/>
  <c r="T11" i="130"/>
  <c r="U11" i="130"/>
  <c r="V11" i="130"/>
  <c r="W11" i="130"/>
  <c r="X11" i="130"/>
  <c r="Y11" i="130"/>
  <c r="Z11" i="130"/>
  <c r="AA11" i="130"/>
  <c r="AB11" i="130"/>
  <c r="AC11" i="130"/>
  <c r="AD11" i="130"/>
  <c r="AE11" i="130"/>
  <c r="AF11" i="130"/>
  <c r="AG11" i="130"/>
  <c r="AH11" i="130"/>
  <c r="AI11" i="130"/>
  <c r="AJ11" i="130"/>
  <c r="AK11" i="130"/>
  <c r="AL11" i="130"/>
  <c r="AM11" i="130"/>
  <c r="AN11" i="130"/>
  <c r="AO11" i="130"/>
  <c r="AP11" i="130"/>
  <c r="AQ11" i="130"/>
  <c r="AR11" i="130"/>
  <c r="AS11" i="130"/>
  <c r="A12" i="130"/>
  <c r="K12" i="130"/>
  <c r="L12" i="130"/>
  <c r="M12" i="130"/>
  <c r="N12" i="130"/>
  <c r="O12" i="130"/>
  <c r="P12" i="130"/>
  <c r="Q12" i="130"/>
  <c r="R12" i="130"/>
  <c r="S12" i="130"/>
  <c r="T12" i="130"/>
  <c r="U12" i="130"/>
  <c r="V12" i="130"/>
  <c r="W12" i="130"/>
  <c r="X12" i="130"/>
  <c r="Y12" i="130"/>
  <c r="Z12" i="130"/>
  <c r="AA12" i="130"/>
  <c r="AB12" i="130"/>
  <c r="AC12" i="130"/>
  <c r="AD12" i="130"/>
  <c r="AE12" i="130"/>
  <c r="AF12" i="130"/>
  <c r="AG12" i="130"/>
  <c r="AH12" i="130"/>
  <c r="AI12" i="130"/>
  <c r="AJ12" i="130"/>
  <c r="AK12" i="130"/>
  <c r="AL12" i="130"/>
  <c r="AM12" i="130"/>
  <c r="AN12" i="130"/>
  <c r="AO12" i="130"/>
  <c r="AP12" i="130"/>
  <c r="AQ12" i="130"/>
  <c r="AR12" i="130"/>
  <c r="AS12" i="130"/>
  <c r="A13" i="130"/>
  <c r="K13" i="130"/>
  <c r="L13" i="130"/>
  <c r="M13" i="130"/>
  <c r="N13" i="130"/>
  <c r="O13" i="130"/>
  <c r="P13" i="130"/>
  <c r="P14" i="130" s="1"/>
  <c r="Q13" i="130"/>
  <c r="R13" i="130"/>
  <c r="R14" i="130" s="1"/>
  <c r="S13" i="130"/>
  <c r="T13" i="130"/>
  <c r="U13" i="130"/>
  <c r="V13" i="130"/>
  <c r="V14" i="130" s="1"/>
  <c r="W13" i="130"/>
  <c r="X13" i="130"/>
  <c r="Y13" i="130"/>
  <c r="Y14" i="130"/>
  <c r="Z13" i="130"/>
  <c r="AA13" i="130"/>
  <c r="AA14" i="130" s="1"/>
  <c r="AB13" i="130"/>
  <c r="AC13" i="130"/>
  <c r="AD13" i="130"/>
  <c r="AE13" i="130"/>
  <c r="AF13" i="130"/>
  <c r="AG13" i="130"/>
  <c r="AH13" i="130"/>
  <c r="AI13" i="130"/>
  <c r="AJ13" i="130"/>
  <c r="AK13" i="130"/>
  <c r="AL13" i="130"/>
  <c r="AM13" i="130"/>
  <c r="AN13" i="130"/>
  <c r="AO13" i="130"/>
  <c r="AP13" i="130"/>
  <c r="AQ13" i="130"/>
  <c r="AR13" i="130"/>
  <c r="AS13" i="130"/>
  <c r="AS14" i="130" s="1"/>
  <c r="A14" i="130"/>
  <c r="F14" i="130"/>
  <c r="G14" i="130"/>
  <c r="H14" i="130"/>
  <c r="I14" i="130"/>
  <c r="X14" i="130"/>
  <c r="AT14" i="130"/>
  <c r="AU14" i="130"/>
  <c r="Q14" i="130" s="1"/>
  <c r="AV14" i="130"/>
  <c r="S14" i="130" s="1"/>
  <c r="AW14" i="130"/>
  <c r="N14" i="130" s="1"/>
  <c r="AX14" i="130"/>
  <c r="AY14" i="130"/>
  <c r="L14" i="130" s="1"/>
  <c r="AZ14" i="130"/>
  <c r="BA14" i="130"/>
  <c r="BB14" i="130"/>
  <c r="T14" i="130" s="1"/>
  <c r="BC14" i="130"/>
  <c r="U14" i="130" s="1"/>
  <c r="BD14" i="130"/>
  <c r="M14" i="130" s="1"/>
  <c r="BE14" i="130"/>
  <c r="O14" i="130"/>
  <c r="BF14" i="130"/>
  <c r="K14" i="130" s="1"/>
  <c r="BG14" i="130"/>
  <c r="BH14" i="130"/>
  <c r="BI14" i="130"/>
  <c r="BJ14" i="130"/>
  <c r="BK14" i="130"/>
  <c r="BL14" i="130"/>
  <c r="BM14" i="130"/>
  <c r="Z14" i="130" s="1"/>
  <c r="BN14" i="130"/>
  <c r="BO14" i="130"/>
  <c r="BP14" i="130"/>
  <c r="AB14" i="130" s="1"/>
  <c r="BQ14" i="130"/>
  <c r="BR14" i="130"/>
  <c r="W14" i="130" s="1"/>
  <c r="BS14" i="130"/>
  <c r="BT14" i="130"/>
  <c r="BU14" i="130"/>
  <c r="AD14" i="130" s="1"/>
  <c r="BV14" i="130"/>
  <c r="AG14" i="130" s="1"/>
  <c r="BW14" i="130"/>
  <c r="AI14" i="130" s="1"/>
  <c r="BX14" i="130"/>
  <c r="AC14" i="130" s="1"/>
  <c r="BY14" i="130"/>
  <c r="AJ14" i="130" s="1"/>
  <c r="BZ14" i="130"/>
  <c r="AH14" i="130" s="1"/>
  <c r="CA14" i="130"/>
  <c r="AF14" i="130" s="1"/>
  <c r="CB14" i="130"/>
  <c r="AK14" i="130" s="1"/>
  <c r="CC14" i="130"/>
  <c r="AO14" i="130"/>
  <c r="CD14" i="130"/>
  <c r="AP14" i="130"/>
  <c r="CE14" i="130"/>
  <c r="AL14" i="130" s="1"/>
  <c r="CF14" i="130"/>
  <c r="CG14" i="130"/>
  <c r="CH14" i="130"/>
  <c r="AM14" i="130" s="1"/>
  <c r="CI14" i="130"/>
  <c r="AR14" i="130" s="1"/>
  <c r="CJ14" i="130"/>
  <c r="AN14" i="130" s="1"/>
  <c r="CK14" i="130"/>
  <c r="AQ14" i="130" s="1"/>
  <c r="CL14" i="130"/>
  <c r="A15" i="130"/>
  <c r="A16" i="130"/>
  <c r="K16" i="130"/>
  <c r="L16" i="130"/>
  <c r="M16" i="130"/>
  <c r="N16" i="130"/>
  <c r="O16" i="130"/>
  <c r="P16" i="130"/>
  <c r="Q16" i="130"/>
  <c r="R16" i="130"/>
  <c r="S16" i="130"/>
  <c r="T16" i="130"/>
  <c r="U16" i="130"/>
  <c r="V16" i="130"/>
  <c r="W16" i="130"/>
  <c r="X16" i="130"/>
  <c r="Y16" i="130"/>
  <c r="Z16" i="130"/>
  <c r="AA16" i="130"/>
  <c r="AB16" i="130"/>
  <c r="AC16" i="130"/>
  <c r="AD16" i="130"/>
  <c r="AE16" i="130"/>
  <c r="AF16" i="130"/>
  <c r="AG16" i="130"/>
  <c r="AH16" i="130"/>
  <c r="AI16" i="130"/>
  <c r="AJ16" i="130"/>
  <c r="AK16" i="130"/>
  <c r="AL16" i="130"/>
  <c r="AM16" i="130"/>
  <c r="AN16" i="130"/>
  <c r="AO16" i="130"/>
  <c r="AP16" i="130"/>
  <c r="AQ16" i="130"/>
  <c r="AR16" i="130"/>
  <c r="AS16" i="130"/>
  <c r="A17" i="130"/>
  <c r="F17" i="130"/>
  <c r="G17" i="130"/>
  <c r="H17" i="130"/>
  <c r="I17" i="130"/>
  <c r="K17" i="130"/>
  <c r="L17" i="130"/>
  <c r="M17" i="130"/>
  <c r="N17" i="130"/>
  <c r="O17" i="130"/>
  <c r="P17" i="130"/>
  <c r="Q17" i="130"/>
  <c r="R17" i="130"/>
  <c r="S17" i="130"/>
  <c r="T17" i="130"/>
  <c r="U17" i="130"/>
  <c r="V17" i="130"/>
  <c r="W17" i="130"/>
  <c r="X17" i="130"/>
  <c r="Y17" i="130"/>
  <c r="Z17" i="130"/>
  <c r="AA17" i="130"/>
  <c r="AB17" i="130"/>
  <c r="AC17" i="130"/>
  <c r="AD17" i="130"/>
  <c r="AE17" i="130"/>
  <c r="AF17" i="130"/>
  <c r="AG17" i="130"/>
  <c r="AH17" i="130"/>
  <c r="AI17" i="130"/>
  <c r="AJ17" i="130"/>
  <c r="AK17" i="130"/>
  <c r="AL17" i="130"/>
  <c r="AM17" i="130"/>
  <c r="AN17" i="130"/>
  <c r="AO17" i="130"/>
  <c r="AP17" i="130"/>
  <c r="AQ17" i="130"/>
  <c r="AR17" i="130"/>
  <c r="AS17" i="130"/>
  <c r="A18" i="130"/>
  <c r="K18" i="130"/>
  <c r="L18" i="130"/>
  <c r="M18" i="130"/>
  <c r="N18" i="130"/>
  <c r="O18" i="130"/>
  <c r="P18" i="130"/>
  <c r="Q18" i="130"/>
  <c r="R18" i="130"/>
  <c r="S18" i="130"/>
  <c r="T18" i="130"/>
  <c r="U18" i="130"/>
  <c r="V18" i="130"/>
  <c r="W18" i="130"/>
  <c r="X18" i="130"/>
  <c r="Y18" i="130"/>
  <c r="Z18" i="130"/>
  <c r="AA18" i="130"/>
  <c r="AB18" i="130"/>
  <c r="AC18" i="130"/>
  <c r="AD18" i="130"/>
  <c r="AE18" i="130"/>
  <c r="AF18" i="130"/>
  <c r="AG18" i="130"/>
  <c r="AH18" i="130"/>
  <c r="AI18" i="130"/>
  <c r="AJ18" i="130"/>
  <c r="AK18" i="130"/>
  <c r="AL18" i="130"/>
  <c r="AM18" i="130"/>
  <c r="AN18" i="130"/>
  <c r="AO18" i="130"/>
  <c r="AP18" i="130"/>
  <c r="AQ18" i="130"/>
  <c r="AR18" i="130"/>
  <c r="AS18" i="130"/>
  <c r="A19" i="130"/>
  <c r="K19" i="130"/>
  <c r="L19" i="130"/>
  <c r="M19" i="130"/>
  <c r="N19" i="130"/>
  <c r="O19" i="130"/>
  <c r="P19" i="130"/>
  <c r="Q19" i="130"/>
  <c r="R19" i="130"/>
  <c r="S19" i="130"/>
  <c r="T19" i="130"/>
  <c r="U19" i="130"/>
  <c r="V19" i="130"/>
  <c r="W19" i="130"/>
  <c r="X19" i="130"/>
  <c r="Y19" i="130"/>
  <c r="Z19" i="130"/>
  <c r="AA19" i="130"/>
  <c r="AB19" i="130"/>
  <c r="AC19" i="130"/>
  <c r="AD19" i="130"/>
  <c r="AE19" i="130"/>
  <c r="AF19" i="130"/>
  <c r="AG19" i="130"/>
  <c r="AH19" i="130"/>
  <c r="AI19" i="130"/>
  <c r="AJ19" i="130"/>
  <c r="AK19" i="130"/>
  <c r="AL19" i="130"/>
  <c r="AM19" i="130"/>
  <c r="AN19" i="130"/>
  <c r="AO19" i="130"/>
  <c r="AP19" i="130"/>
  <c r="AQ19" i="130"/>
  <c r="AR19" i="130"/>
  <c r="AS19" i="130"/>
  <c r="A20" i="130"/>
  <c r="K20" i="130"/>
  <c r="L20" i="130"/>
  <c r="M20" i="130"/>
  <c r="N20" i="130"/>
  <c r="O20" i="130"/>
  <c r="P20" i="130"/>
  <c r="Q20" i="130"/>
  <c r="Q21" i="130" s="1"/>
  <c r="R20" i="130"/>
  <c r="S20" i="130"/>
  <c r="T20" i="130"/>
  <c r="U20" i="130"/>
  <c r="V20" i="130"/>
  <c r="W20" i="130"/>
  <c r="X20" i="130"/>
  <c r="Y20" i="130"/>
  <c r="Z20" i="130"/>
  <c r="AA20" i="130"/>
  <c r="AB20" i="130"/>
  <c r="AC20" i="130"/>
  <c r="AD20" i="130"/>
  <c r="AE20" i="130"/>
  <c r="AF20" i="130"/>
  <c r="AG20" i="130"/>
  <c r="AH20" i="130"/>
  <c r="AI20" i="130"/>
  <c r="AJ20" i="130"/>
  <c r="AK20" i="130"/>
  <c r="AL20" i="130"/>
  <c r="AM20" i="130"/>
  <c r="AN20" i="130"/>
  <c r="AO20" i="130"/>
  <c r="AP20" i="130"/>
  <c r="AQ20" i="130"/>
  <c r="AR20" i="130"/>
  <c r="AS20" i="130"/>
  <c r="A21" i="130"/>
  <c r="F21" i="130"/>
  <c r="G21" i="130"/>
  <c r="H21" i="130"/>
  <c r="I21" i="130"/>
  <c r="AT21" i="130"/>
  <c r="AU21" i="130"/>
  <c r="AV21" i="130"/>
  <c r="AW21" i="130"/>
  <c r="AX21" i="130"/>
  <c r="AY21" i="130"/>
  <c r="AZ21" i="130"/>
  <c r="BA21" i="130"/>
  <c r="BB21" i="130"/>
  <c r="BC21" i="130"/>
  <c r="BD21" i="130"/>
  <c r="BE21" i="130"/>
  <c r="BF21" i="130"/>
  <c r="BG21" i="130"/>
  <c r="BH21" i="130"/>
  <c r="BI21" i="130"/>
  <c r="BJ21" i="130"/>
  <c r="BK21" i="130"/>
  <c r="BL21" i="130"/>
  <c r="BM21" i="130"/>
  <c r="BN21" i="130"/>
  <c r="BO21" i="130"/>
  <c r="BP21" i="130"/>
  <c r="BQ21" i="130"/>
  <c r="BR21" i="130"/>
  <c r="BS21" i="130"/>
  <c r="BT21" i="130"/>
  <c r="BU21" i="130"/>
  <c r="BV21" i="130"/>
  <c r="BW21" i="130"/>
  <c r="BX21" i="130"/>
  <c r="BY21" i="130"/>
  <c r="BZ21" i="130"/>
  <c r="CA21" i="130"/>
  <c r="CB21" i="130"/>
  <c r="CC21" i="130"/>
  <c r="CD21" i="130"/>
  <c r="CE21" i="130"/>
  <c r="CF21" i="130"/>
  <c r="CG21" i="130"/>
  <c r="CH21" i="130"/>
  <c r="CI21" i="130"/>
  <c r="CJ21" i="130"/>
  <c r="CK21" i="130"/>
  <c r="CL21" i="130"/>
  <c r="A22" i="130"/>
  <c r="Q22" i="130"/>
  <c r="A23" i="130"/>
  <c r="K23" i="130"/>
  <c r="L23" i="130"/>
  <c r="M23" i="130"/>
  <c r="N23" i="130"/>
  <c r="O23" i="130"/>
  <c r="P23" i="130"/>
  <c r="P32" i="130" s="1"/>
  <c r="P33" i="130" s="1"/>
  <c r="Q23" i="130"/>
  <c r="R23" i="130"/>
  <c r="R32" i="130" s="1"/>
  <c r="R33" i="130" s="1"/>
  <c r="S23" i="130"/>
  <c r="T23" i="130"/>
  <c r="U23" i="130"/>
  <c r="V23" i="130"/>
  <c r="W23" i="130"/>
  <c r="X23" i="130"/>
  <c r="X32" i="130" s="1"/>
  <c r="X33" i="130" s="1"/>
  <c r="Y23" i="130"/>
  <c r="Y32" i="130" s="1"/>
  <c r="Y33" i="130" s="1"/>
  <c r="Z23" i="130"/>
  <c r="AA23" i="130"/>
  <c r="AB23" i="130"/>
  <c r="AC23" i="130"/>
  <c r="AD23" i="130"/>
  <c r="AE23" i="130"/>
  <c r="AF23" i="130"/>
  <c r="AG23" i="130"/>
  <c r="AH23" i="130"/>
  <c r="AI23" i="130"/>
  <c r="AJ23" i="130"/>
  <c r="AK23" i="130"/>
  <c r="AL23" i="130"/>
  <c r="AM23" i="130"/>
  <c r="AN23" i="130"/>
  <c r="AO23" i="130"/>
  <c r="AP23" i="130"/>
  <c r="AQ23" i="130"/>
  <c r="AR23" i="130"/>
  <c r="AS23" i="130"/>
  <c r="A24" i="130"/>
  <c r="F24" i="130"/>
  <c r="F31" i="130"/>
  <c r="G24" i="130"/>
  <c r="G31" i="130" s="1"/>
  <c r="H24" i="130"/>
  <c r="H31" i="130" s="1"/>
  <c r="I24" i="130"/>
  <c r="AT24" i="130"/>
  <c r="AU24" i="130"/>
  <c r="Q24" i="130" s="1"/>
  <c r="AV24" i="130"/>
  <c r="S24" i="130" s="1"/>
  <c r="AW24" i="130"/>
  <c r="N24" i="130" s="1"/>
  <c r="AX24" i="130"/>
  <c r="AX31" i="130" s="1"/>
  <c r="AY24" i="130"/>
  <c r="AY31" i="130" s="1"/>
  <c r="L31" i="130" s="1"/>
  <c r="L24" i="130"/>
  <c r="AZ24" i="130"/>
  <c r="AZ31" i="130" s="1"/>
  <c r="BA24" i="130"/>
  <c r="BB24" i="130"/>
  <c r="T24" i="130" s="1"/>
  <c r="BC24" i="130"/>
  <c r="U24" i="130" s="1"/>
  <c r="BD24" i="130"/>
  <c r="M24" i="130" s="1"/>
  <c r="BE24" i="130"/>
  <c r="O24" i="130" s="1"/>
  <c r="BF24" i="130"/>
  <c r="K24" i="130" s="1"/>
  <c r="BG24" i="130"/>
  <c r="BG31" i="130" s="1"/>
  <c r="BI24" i="130"/>
  <c r="X24" i="130" s="1"/>
  <c r="BJ24" i="130"/>
  <c r="BJ31" i="130" s="1"/>
  <c r="BM24" i="130"/>
  <c r="Z24" i="130" s="1"/>
  <c r="BN24" i="130"/>
  <c r="Y24" i="130" s="1"/>
  <c r="BP24" i="130"/>
  <c r="BP31" i="130" s="1"/>
  <c r="AB31" i="130" s="1"/>
  <c r="AB24" i="130"/>
  <c r="BQ24" i="130"/>
  <c r="AA24" i="130" s="1"/>
  <c r="BR24" i="130"/>
  <c r="W24" i="130" s="1"/>
  <c r="BS24" i="130"/>
  <c r="BS31" i="130" s="1"/>
  <c r="AE31" i="130" s="1"/>
  <c r="BT24" i="130"/>
  <c r="BU24" i="130"/>
  <c r="AD24" i="130" s="1"/>
  <c r="BV24" i="130"/>
  <c r="AG24" i="130" s="1"/>
  <c r="BW24" i="130"/>
  <c r="AI24" i="130" s="1"/>
  <c r="BX24" i="130"/>
  <c r="AC24" i="130" s="1"/>
  <c r="BY24" i="130"/>
  <c r="AJ24" i="130" s="1"/>
  <c r="BZ24" i="130"/>
  <c r="AH24" i="130" s="1"/>
  <c r="CA24" i="130"/>
  <c r="AF24" i="130" s="1"/>
  <c r="CB24" i="130"/>
  <c r="AK24" i="130" s="1"/>
  <c r="CC24" i="130"/>
  <c r="AO24" i="130" s="1"/>
  <c r="CD24" i="130"/>
  <c r="AP24" i="130" s="1"/>
  <c r="CE24" i="130"/>
  <c r="AL24" i="130" s="1"/>
  <c r="CG24" i="130"/>
  <c r="AS24" i="130" s="1"/>
  <c r="CH24" i="130"/>
  <c r="AM24" i="130" s="1"/>
  <c r="CI24" i="130"/>
  <c r="AR24" i="130" s="1"/>
  <c r="CJ24" i="130"/>
  <c r="AN24" i="130" s="1"/>
  <c r="CK24" i="130"/>
  <c r="AQ24" i="130" s="1"/>
  <c r="CL24" i="130"/>
  <c r="CL31" i="130" s="1"/>
  <c r="A25" i="130"/>
  <c r="K25" i="130"/>
  <c r="L25" i="130"/>
  <c r="M25" i="130"/>
  <c r="N25" i="130"/>
  <c r="O25" i="130"/>
  <c r="P25" i="130"/>
  <c r="Q25" i="130"/>
  <c r="R25" i="130"/>
  <c r="S25" i="130"/>
  <c r="T25" i="130"/>
  <c r="U25" i="130"/>
  <c r="V25" i="130"/>
  <c r="W25" i="130"/>
  <c r="X25" i="130"/>
  <c r="Y25" i="130"/>
  <c r="Z25" i="130"/>
  <c r="AA25" i="130"/>
  <c r="AB25" i="130"/>
  <c r="AC25" i="130"/>
  <c r="AD25" i="130"/>
  <c r="AE25" i="130"/>
  <c r="AF25" i="130"/>
  <c r="AG25" i="130"/>
  <c r="AH25" i="130"/>
  <c r="AI25" i="130"/>
  <c r="AJ25" i="130"/>
  <c r="AL25" i="130"/>
  <c r="AM25" i="130"/>
  <c r="AN25" i="130"/>
  <c r="AO25" i="130"/>
  <c r="AP25" i="130"/>
  <c r="AQ25" i="130"/>
  <c r="AR25" i="130"/>
  <c r="AS25" i="130"/>
  <c r="CB25" i="130"/>
  <c r="AK25" i="130" s="1"/>
  <c r="A26" i="130"/>
  <c r="F26" i="130"/>
  <c r="G26" i="130"/>
  <c r="H26" i="130"/>
  <c r="I26" i="130"/>
  <c r="AT26" i="130"/>
  <c r="AU26" i="130"/>
  <c r="Q26" i="130" s="1"/>
  <c r="AV26" i="130"/>
  <c r="S26" i="130" s="1"/>
  <c r="AW26" i="130"/>
  <c r="N26" i="130" s="1"/>
  <c r="AX26" i="130"/>
  <c r="R26" i="130" s="1"/>
  <c r="AY26" i="130"/>
  <c r="L26" i="130" s="1"/>
  <c r="AZ26" i="130"/>
  <c r="P26" i="130" s="1"/>
  <c r="BA26" i="130"/>
  <c r="BB26" i="130"/>
  <c r="T26" i="130" s="1"/>
  <c r="BC26" i="130"/>
  <c r="U26" i="130"/>
  <c r="BD26" i="130"/>
  <c r="M26" i="130"/>
  <c r="BE26" i="130"/>
  <c r="O26" i="130" s="1"/>
  <c r="BF26" i="130"/>
  <c r="K26" i="130" s="1"/>
  <c r="BG26" i="130"/>
  <c r="BI26" i="130"/>
  <c r="X26" i="130" s="1"/>
  <c r="BJ26" i="130"/>
  <c r="BM26" i="130"/>
  <c r="Z26" i="130"/>
  <c r="BN26" i="130"/>
  <c r="Y26" i="130" s="1"/>
  <c r="BP26" i="130"/>
  <c r="AB26" i="130"/>
  <c r="BQ26" i="130"/>
  <c r="AA26" i="130" s="1"/>
  <c r="BR26" i="130"/>
  <c r="W26" i="130"/>
  <c r="BS26" i="130"/>
  <c r="BT26" i="130"/>
  <c r="BU26" i="130"/>
  <c r="AD26" i="130"/>
  <c r="BV26" i="130"/>
  <c r="AG26" i="130" s="1"/>
  <c r="BW26" i="130"/>
  <c r="AI26" i="130"/>
  <c r="BX26" i="130"/>
  <c r="AC26" i="130" s="1"/>
  <c r="BY26" i="130"/>
  <c r="AJ26" i="130"/>
  <c r="BZ26" i="130"/>
  <c r="AH26" i="130" s="1"/>
  <c r="CA26" i="130"/>
  <c r="AF26" i="130" s="1"/>
  <c r="CB26" i="130"/>
  <c r="AK26" i="130" s="1"/>
  <c r="CC26" i="130"/>
  <c r="AO26" i="130" s="1"/>
  <c r="CD26" i="130"/>
  <c r="AP26" i="130" s="1"/>
  <c r="CE26" i="130"/>
  <c r="AL26" i="130" s="1"/>
  <c r="CG26" i="130"/>
  <c r="AS26" i="130" s="1"/>
  <c r="CH26" i="130"/>
  <c r="AM26" i="130" s="1"/>
  <c r="CI26" i="130"/>
  <c r="AR26" i="130" s="1"/>
  <c r="CJ26" i="130"/>
  <c r="AN26" i="130" s="1"/>
  <c r="CK26" i="130"/>
  <c r="AQ26" i="130" s="1"/>
  <c r="CL26" i="130"/>
  <c r="A27" i="130"/>
  <c r="F27" i="130"/>
  <c r="G27" i="130"/>
  <c r="H27" i="130"/>
  <c r="I27" i="130"/>
  <c r="AD27" i="130"/>
  <c r="AL27" i="130"/>
  <c r="AT27" i="130"/>
  <c r="AU27" i="130"/>
  <c r="Q27" i="130" s="1"/>
  <c r="AV27" i="130"/>
  <c r="S27" i="130" s="1"/>
  <c r="AW27" i="130"/>
  <c r="N27" i="130" s="1"/>
  <c r="AX27" i="130"/>
  <c r="AY27" i="130"/>
  <c r="L27" i="130"/>
  <c r="AZ27" i="130"/>
  <c r="BA27" i="130"/>
  <c r="BB27" i="130"/>
  <c r="T27" i="130" s="1"/>
  <c r="BC27" i="130"/>
  <c r="U27" i="130" s="1"/>
  <c r="BD27" i="130"/>
  <c r="M27" i="130" s="1"/>
  <c r="BE27" i="130"/>
  <c r="O27" i="130" s="1"/>
  <c r="BF27" i="130"/>
  <c r="K27" i="130" s="1"/>
  <c r="BG27" i="130"/>
  <c r="V27" i="130" s="1"/>
  <c r="BI27" i="130"/>
  <c r="X27" i="130" s="1"/>
  <c r="BJ27" i="130"/>
  <c r="BM27" i="130"/>
  <c r="Z27" i="130" s="1"/>
  <c r="BN27" i="130"/>
  <c r="Y27" i="130"/>
  <c r="BP27" i="130"/>
  <c r="AB27" i="130"/>
  <c r="BQ27" i="130"/>
  <c r="AA27" i="130" s="1"/>
  <c r="BR27" i="130"/>
  <c r="W27" i="130" s="1"/>
  <c r="BS27" i="130"/>
  <c r="BT27" i="130"/>
  <c r="BU27" i="130"/>
  <c r="BV27" i="130"/>
  <c r="AG27" i="130" s="1"/>
  <c r="BW27" i="130"/>
  <c r="AI27" i="130" s="1"/>
  <c r="BX27" i="130"/>
  <c r="AC27" i="130" s="1"/>
  <c r="BY27" i="130"/>
  <c r="AJ27" i="130" s="1"/>
  <c r="BZ27" i="130"/>
  <c r="AH27" i="130" s="1"/>
  <c r="CA27" i="130"/>
  <c r="AF27" i="130" s="1"/>
  <c r="CB27" i="130"/>
  <c r="AK27" i="130" s="1"/>
  <c r="CC27" i="130"/>
  <c r="AO27" i="130"/>
  <c r="CD27" i="130"/>
  <c r="AP27" i="130" s="1"/>
  <c r="CE27" i="130"/>
  <c r="CG27" i="130"/>
  <c r="AS27" i="130" s="1"/>
  <c r="CH27" i="130"/>
  <c r="AM27" i="130" s="1"/>
  <c r="CI27" i="130"/>
  <c r="AR27" i="130" s="1"/>
  <c r="CJ27" i="130"/>
  <c r="AN27" i="130" s="1"/>
  <c r="CK27" i="130"/>
  <c r="AQ27" i="130" s="1"/>
  <c r="CL27" i="130"/>
  <c r="A28" i="130"/>
  <c r="F28" i="130"/>
  <c r="G28" i="130"/>
  <c r="H28" i="130"/>
  <c r="I28" i="130"/>
  <c r="AT28" i="130"/>
  <c r="R28" i="130" s="1"/>
  <c r="AU28" i="130"/>
  <c r="Q28" i="130" s="1"/>
  <c r="AV28" i="130"/>
  <c r="S28" i="130" s="1"/>
  <c r="AW28" i="130"/>
  <c r="N28" i="130" s="1"/>
  <c r="AX28" i="130"/>
  <c r="AY28" i="130"/>
  <c r="L28" i="130" s="1"/>
  <c r="AZ28" i="130"/>
  <c r="P28" i="130"/>
  <c r="BA28" i="130"/>
  <c r="BB28" i="130"/>
  <c r="T28" i="130" s="1"/>
  <c r="BC28" i="130"/>
  <c r="U28" i="130" s="1"/>
  <c r="BD28" i="130"/>
  <c r="M28" i="130" s="1"/>
  <c r="BE28" i="130"/>
  <c r="O28" i="130" s="1"/>
  <c r="BF28" i="130"/>
  <c r="K28" i="130" s="1"/>
  <c r="BG28" i="130"/>
  <c r="V28" i="130" s="1"/>
  <c r="BI28" i="130"/>
  <c r="X28" i="130" s="1"/>
  <c r="BJ28" i="130"/>
  <c r="BM28" i="130"/>
  <c r="Z28" i="130" s="1"/>
  <c r="BN28" i="130"/>
  <c r="Y28" i="130" s="1"/>
  <c r="BP28" i="130"/>
  <c r="AB28" i="130" s="1"/>
  <c r="BQ28" i="130"/>
  <c r="AA28" i="130" s="1"/>
  <c r="BR28" i="130"/>
  <c r="W28" i="130" s="1"/>
  <c r="BS28" i="130"/>
  <c r="BT28" i="130"/>
  <c r="BU28" i="130"/>
  <c r="AD28" i="130" s="1"/>
  <c r="BV28" i="130"/>
  <c r="AG28" i="130"/>
  <c r="BW28" i="130"/>
  <c r="AI28" i="130" s="1"/>
  <c r="BX28" i="130"/>
  <c r="AC28" i="130"/>
  <c r="BY28" i="130"/>
  <c r="AJ28" i="130" s="1"/>
  <c r="BZ28" i="130"/>
  <c r="AH28" i="130"/>
  <c r="CA28" i="130"/>
  <c r="AF28" i="130" s="1"/>
  <c r="CB28" i="130"/>
  <c r="AK28" i="130" s="1"/>
  <c r="CC28" i="130"/>
  <c r="AO28" i="130" s="1"/>
  <c r="CD28" i="130"/>
  <c r="AP28" i="130" s="1"/>
  <c r="CE28" i="130"/>
  <c r="AL28" i="130" s="1"/>
  <c r="CG28" i="130"/>
  <c r="AS28" i="130" s="1"/>
  <c r="CH28" i="130"/>
  <c r="AM28" i="130"/>
  <c r="CI28" i="130"/>
  <c r="AR28" i="130"/>
  <c r="CJ28" i="130"/>
  <c r="AN28" i="130" s="1"/>
  <c r="CK28" i="130"/>
  <c r="AQ28" i="130" s="1"/>
  <c r="CL28" i="130"/>
  <c r="A29" i="130"/>
  <c r="K29" i="130"/>
  <c r="L29" i="130"/>
  <c r="M29" i="130"/>
  <c r="N29" i="130"/>
  <c r="O29" i="130"/>
  <c r="P29" i="130"/>
  <c r="Q29" i="130"/>
  <c r="R29" i="130"/>
  <c r="S29" i="130"/>
  <c r="T29" i="130"/>
  <c r="U29" i="130"/>
  <c r="W29" i="130"/>
  <c r="Y29" i="130"/>
  <c r="Z29" i="130"/>
  <c r="AA29" i="130"/>
  <c r="AB29" i="130"/>
  <c r="AC29" i="130"/>
  <c r="AE29" i="130"/>
  <c r="AF29" i="130"/>
  <c r="AG29" i="130"/>
  <c r="AI29" i="130"/>
  <c r="AJ29" i="130"/>
  <c r="AL29" i="130"/>
  <c r="AM29" i="130"/>
  <c r="AN29" i="130"/>
  <c r="AP29" i="130"/>
  <c r="AQ29" i="130"/>
  <c r="AR29" i="130"/>
  <c r="AS29" i="130"/>
  <c r="BI29" i="130"/>
  <c r="X29" i="130"/>
  <c r="BJ29" i="130"/>
  <c r="V29" i="130" s="1"/>
  <c r="BU29" i="130"/>
  <c r="AD29" i="130" s="1"/>
  <c r="BZ29" i="130"/>
  <c r="AH29" i="130" s="1"/>
  <c r="CB29" i="130"/>
  <c r="AK29" i="130" s="1"/>
  <c r="CC29" i="130"/>
  <c r="AO29" i="130" s="1"/>
  <c r="CL29" i="130"/>
  <c r="A30" i="130"/>
  <c r="F30" i="130"/>
  <c r="G30" i="130"/>
  <c r="H30" i="130"/>
  <c r="I30" i="130"/>
  <c r="K30" i="130"/>
  <c r="AT30" i="130"/>
  <c r="AU30" i="130"/>
  <c r="Q30" i="130"/>
  <c r="AV30" i="130"/>
  <c r="S30" i="130"/>
  <c r="AW30" i="130"/>
  <c r="N30" i="130" s="1"/>
  <c r="AX30" i="130"/>
  <c r="AY30" i="130"/>
  <c r="L30" i="130" s="1"/>
  <c r="AZ30" i="130"/>
  <c r="BA30" i="130"/>
  <c r="BB30" i="130"/>
  <c r="T30" i="130" s="1"/>
  <c r="BC30" i="130"/>
  <c r="U30" i="130" s="1"/>
  <c r="BD30" i="130"/>
  <c r="M30" i="130" s="1"/>
  <c r="BE30" i="130"/>
  <c r="O30" i="130" s="1"/>
  <c r="BF30" i="130"/>
  <c r="BG30" i="130"/>
  <c r="BH30" i="130"/>
  <c r="BI30" i="130"/>
  <c r="BJ30" i="130"/>
  <c r="BK30" i="130"/>
  <c r="BL30" i="130"/>
  <c r="BM30" i="130"/>
  <c r="Z30" i="130" s="1"/>
  <c r="BN30" i="130"/>
  <c r="BO30" i="130"/>
  <c r="BP30" i="130"/>
  <c r="AB30" i="130" s="1"/>
  <c r="BQ30" i="130"/>
  <c r="BR30" i="130"/>
  <c r="W30" i="130"/>
  <c r="BS30" i="130"/>
  <c r="BT30" i="130"/>
  <c r="BU30" i="130"/>
  <c r="AD30" i="130"/>
  <c r="BV30" i="130"/>
  <c r="AG30" i="130" s="1"/>
  <c r="BW30" i="130"/>
  <c r="AI30" i="130" s="1"/>
  <c r="BX30" i="130"/>
  <c r="AC30" i="130" s="1"/>
  <c r="BY30" i="130"/>
  <c r="AJ30" i="130" s="1"/>
  <c r="BZ30" i="130"/>
  <c r="AH30" i="130" s="1"/>
  <c r="CA30" i="130"/>
  <c r="AF30" i="130" s="1"/>
  <c r="CB30" i="130"/>
  <c r="AK30" i="130" s="1"/>
  <c r="CC30" i="130"/>
  <c r="AO30" i="130" s="1"/>
  <c r="CD30" i="130"/>
  <c r="AP30" i="130" s="1"/>
  <c r="CE30" i="130"/>
  <c r="AL30" i="130" s="1"/>
  <c r="CF30" i="130"/>
  <c r="CG30" i="130"/>
  <c r="CH30" i="130"/>
  <c r="AM30" i="130" s="1"/>
  <c r="CI30" i="130"/>
  <c r="AR30" i="130" s="1"/>
  <c r="CJ30" i="130"/>
  <c r="AN30" i="130"/>
  <c r="CK30" i="130"/>
  <c r="AQ30" i="130"/>
  <c r="CL30" i="130"/>
  <c r="A31" i="130"/>
  <c r="B31" i="130"/>
  <c r="I31" i="130"/>
  <c r="AT31" i="130"/>
  <c r="AV31" i="130"/>
  <c r="S31" i="130" s="1"/>
  <c r="BA31" i="130"/>
  <c r="BB31" i="130"/>
  <c r="T31" i="130" s="1"/>
  <c r="BC31" i="130"/>
  <c r="U31" i="130" s="1"/>
  <c r="BE31" i="130"/>
  <c r="O31" i="130" s="1"/>
  <c r="BH31" i="130"/>
  <c r="BK31" i="130"/>
  <c r="Y31" i="130" s="1"/>
  <c r="BL31" i="130"/>
  <c r="BN31" i="130"/>
  <c r="BO31" i="130"/>
  <c r="AA31" i="130" s="1"/>
  <c r="BQ31" i="130"/>
  <c r="BR31" i="130"/>
  <c r="W31" i="130" s="1"/>
  <c r="BT31" i="130"/>
  <c r="BU31" i="130"/>
  <c r="AD31" i="130"/>
  <c r="BV31" i="130"/>
  <c r="AG31" i="130" s="1"/>
  <c r="BW31" i="130"/>
  <c r="AI31" i="130" s="1"/>
  <c r="BY31" i="130"/>
  <c r="AJ31" i="130" s="1"/>
  <c r="BZ31" i="130"/>
  <c r="AH31" i="130" s="1"/>
  <c r="CA31" i="130"/>
  <c r="AF31" i="130" s="1"/>
  <c r="CB31" i="130"/>
  <c r="AK31" i="130" s="1"/>
  <c r="CF31" i="130"/>
  <c r="CH31" i="130"/>
  <c r="AM31" i="130" s="1"/>
  <c r="CJ31" i="130"/>
  <c r="AN31" i="130"/>
  <c r="A32" i="130"/>
  <c r="K32" i="130"/>
  <c r="L32" i="130"/>
  <c r="M32" i="130"/>
  <c r="N32" i="130"/>
  <c r="O32" i="130"/>
  <c r="Q32" i="130"/>
  <c r="S32" i="130"/>
  <c r="T32" i="130"/>
  <c r="U32" i="130"/>
  <c r="V32" i="130"/>
  <c r="V33" i="130" s="1"/>
  <c r="W32" i="130"/>
  <c r="Z32" i="130"/>
  <c r="AA32" i="130"/>
  <c r="AA33" i="130" s="1"/>
  <c r="AB32" i="130"/>
  <c r="AC32" i="130"/>
  <c r="AD32" i="130"/>
  <c r="AE32" i="130"/>
  <c r="AE33" i="130" s="1"/>
  <c r="AF32" i="130"/>
  <c r="AG32" i="130"/>
  <c r="AH32" i="130"/>
  <c r="AI32" i="130"/>
  <c r="AJ32" i="130"/>
  <c r="AK32" i="130"/>
  <c r="AL32" i="130"/>
  <c r="AM32" i="130"/>
  <c r="AN32" i="130"/>
  <c r="AO32" i="130"/>
  <c r="AP32" i="130"/>
  <c r="AQ32" i="130"/>
  <c r="AR32" i="130"/>
  <c r="AS32" i="130"/>
  <c r="AS33" i="130" s="1"/>
  <c r="A33" i="130"/>
  <c r="F33" i="130"/>
  <c r="G33" i="130"/>
  <c r="H33" i="130"/>
  <c r="I33" i="130"/>
  <c r="AF33" i="130"/>
  <c r="AT33" i="130"/>
  <c r="AU33" i="130"/>
  <c r="Q33" i="130" s="1"/>
  <c r="AV33" i="130"/>
  <c r="S33" i="130" s="1"/>
  <c r="AW33" i="130"/>
  <c r="N33" i="130" s="1"/>
  <c r="AX33" i="130"/>
  <c r="AY33" i="130"/>
  <c r="L33" i="130" s="1"/>
  <c r="AZ33" i="130"/>
  <c r="BA33" i="130"/>
  <c r="BB33" i="130"/>
  <c r="T33" i="130" s="1"/>
  <c r="BC33" i="130"/>
  <c r="U33" i="130" s="1"/>
  <c r="BD33" i="130"/>
  <c r="M33" i="130" s="1"/>
  <c r="BE33" i="130"/>
  <c r="O33" i="130" s="1"/>
  <c r="BF33" i="130"/>
  <c r="K33" i="130" s="1"/>
  <c r="BG33" i="130"/>
  <c r="BH33" i="130"/>
  <c r="BI33" i="130"/>
  <c r="BJ33" i="130"/>
  <c r="BK33" i="130"/>
  <c r="BL33" i="130"/>
  <c r="BM33" i="130"/>
  <c r="Z33" i="130" s="1"/>
  <c r="BN33" i="130"/>
  <c r="BO33" i="130"/>
  <c r="BP33" i="130"/>
  <c r="AB33" i="130" s="1"/>
  <c r="BQ33" i="130"/>
  <c r="BR33" i="130"/>
  <c r="W33" i="130" s="1"/>
  <c r="BS33" i="130"/>
  <c r="BT33" i="130"/>
  <c r="BU33" i="130"/>
  <c r="AD33" i="130" s="1"/>
  <c r="BV33" i="130"/>
  <c r="AG33" i="130" s="1"/>
  <c r="BW33" i="130"/>
  <c r="AI33" i="130" s="1"/>
  <c r="BX33" i="130"/>
  <c r="AC33" i="130"/>
  <c r="BY33" i="130"/>
  <c r="AJ33" i="130"/>
  <c r="BZ33" i="130"/>
  <c r="AH33" i="130" s="1"/>
  <c r="CA33" i="130"/>
  <c r="CB33" i="130"/>
  <c r="AK33" i="130" s="1"/>
  <c r="CC33" i="130"/>
  <c r="AO33" i="130" s="1"/>
  <c r="CD33" i="130"/>
  <c r="AP33" i="130" s="1"/>
  <c r="CE33" i="130"/>
  <c r="AL33" i="130" s="1"/>
  <c r="CF33" i="130"/>
  <c r="CG33" i="130"/>
  <c r="CH33" i="130"/>
  <c r="AM33" i="130" s="1"/>
  <c r="CI33" i="130"/>
  <c r="AR33" i="130" s="1"/>
  <c r="CJ33" i="130"/>
  <c r="AN33" i="130" s="1"/>
  <c r="CK33" i="130"/>
  <c r="AQ33" i="130" s="1"/>
  <c r="CL33" i="130"/>
  <c r="A34" i="130"/>
  <c r="A35" i="130"/>
  <c r="K35" i="130"/>
  <c r="K67" i="130" s="1"/>
  <c r="L35" i="130"/>
  <c r="L67" i="130" s="1"/>
  <c r="M35" i="130"/>
  <c r="M67" i="130" s="1"/>
  <c r="N35" i="130"/>
  <c r="N67" i="130" s="1"/>
  <c r="O35" i="130"/>
  <c r="O67" i="130" s="1"/>
  <c r="P35" i="130"/>
  <c r="P67" i="130" s="1"/>
  <c r="Q35" i="130"/>
  <c r="Q67" i="130" s="1"/>
  <c r="R35" i="130"/>
  <c r="R67" i="130" s="1"/>
  <c r="R30" i="130"/>
  <c r="S35" i="130"/>
  <c r="T35" i="130"/>
  <c r="T67" i="130" s="1"/>
  <c r="U35" i="130"/>
  <c r="U67" i="130" s="1"/>
  <c r="V35" i="130"/>
  <c r="V67" i="130" s="1"/>
  <c r="W35" i="130"/>
  <c r="W67" i="130" s="1"/>
  <c r="X35" i="130"/>
  <c r="X67" i="130" s="1"/>
  <c r="X30" i="130"/>
  <c r="Y35" i="130"/>
  <c r="Y67" i="130" s="1"/>
  <c r="Z35" i="130"/>
  <c r="Z67" i="130" s="1"/>
  <c r="AA35" i="130"/>
  <c r="AA67" i="130" s="1"/>
  <c r="AB35" i="130"/>
  <c r="AB67" i="130" s="1"/>
  <c r="AC35" i="130"/>
  <c r="AC67" i="130" s="1"/>
  <c r="AD35" i="130"/>
  <c r="AD67" i="130" s="1"/>
  <c r="AE35" i="130"/>
  <c r="AE50" i="130" s="1"/>
  <c r="AE30" i="130"/>
  <c r="AF35" i="130"/>
  <c r="AF67" i="130" s="1"/>
  <c r="AG35" i="130"/>
  <c r="AG67" i="130" s="1"/>
  <c r="AH35" i="130"/>
  <c r="AH67" i="130" s="1"/>
  <c r="AI35" i="130"/>
  <c r="AI67" i="130" s="1"/>
  <c r="AJ35" i="130"/>
  <c r="AJ67" i="130" s="1"/>
  <c r="AK35" i="130"/>
  <c r="AK67" i="130" s="1"/>
  <c r="AL35" i="130"/>
  <c r="AL67" i="130" s="1"/>
  <c r="AM35" i="130"/>
  <c r="AM67" i="130" s="1"/>
  <c r="AN35" i="130"/>
  <c r="AO35" i="130"/>
  <c r="AP35" i="130"/>
  <c r="AP67" i="130" s="1"/>
  <c r="AQ35" i="130"/>
  <c r="AQ67" i="130" s="1"/>
  <c r="AR35" i="130"/>
  <c r="AR67" i="130" s="1"/>
  <c r="AS35" i="130"/>
  <c r="AS67" i="130" s="1"/>
  <c r="A36" i="130"/>
  <c r="K36" i="130"/>
  <c r="L36" i="130"/>
  <c r="M36" i="130"/>
  <c r="N36" i="130"/>
  <c r="O36" i="130"/>
  <c r="P36" i="130"/>
  <c r="Q36" i="130"/>
  <c r="R36" i="130"/>
  <c r="S36" i="130"/>
  <c r="T36" i="130"/>
  <c r="U36" i="130"/>
  <c r="V36" i="130"/>
  <c r="W36" i="130"/>
  <c r="X36" i="130"/>
  <c r="Y36" i="130"/>
  <c r="Z36" i="130"/>
  <c r="AA36" i="130"/>
  <c r="AB36" i="130"/>
  <c r="AC36" i="130"/>
  <c r="AD36" i="130"/>
  <c r="AE36" i="130"/>
  <c r="AF36" i="130"/>
  <c r="AG36" i="130"/>
  <c r="AH36" i="130"/>
  <c r="AI36" i="130"/>
  <c r="AJ36" i="130"/>
  <c r="AK36" i="130"/>
  <c r="AL36" i="130"/>
  <c r="AM36" i="130"/>
  <c r="AN36" i="130"/>
  <c r="AO36" i="130"/>
  <c r="AP36" i="130"/>
  <c r="AQ36" i="130"/>
  <c r="AR36" i="130"/>
  <c r="AS36" i="130"/>
  <c r="A37" i="130"/>
  <c r="K37" i="130"/>
  <c r="L37" i="130"/>
  <c r="M37" i="130"/>
  <c r="N37" i="130"/>
  <c r="O37" i="130"/>
  <c r="P37" i="130"/>
  <c r="Q37" i="130"/>
  <c r="R37" i="130"/>
  <c r="S37" i="130"/>
  <c r="T37" i="130"/>
  <c r="U37" i="130"/>
  <c r="V37" i="130"/>
  <c r="W37" i="130"/>
  <c r="X37" i="130"/>
  <c r="Y37" i="130"/>
  <c r="Z37" i="130"/>
  <c r="AA37" i="130"/>
  <c r="AB37" i="130"/>
  <c r="AC37" i="130"/>
  <c r="AD37" i="130"/>
  <c r="AE37" i="130"/>
  <c r="AF37" i="130"/>
  <c r="AG37" i="130"/>
  <c r="AH37" i="130"/>
  <c r="AI37" i="130"/>
  <c r="AJ37" i="130"/>
  <c r="AK37" i="130"/>
  <c r="AL37" i="130"/>
  <c r="AM37" i="130"/>
  <c r="AN37" i="130"/>
  <c r="AO37" i="130"/>
  <c r="AP37" i="130"/>
  <c r="AQ37" i="130"/>
  <c r="AR37" i="130"/>
  <c r="AS37" i="130"/>
  <c r="A38" i="130"/>
  <c r="K38" i="130"/>
  <c r="L38" i="130"/>
  <c r="M38" i="130"/>
  <c r="N38" i="130"/>
  <c r="O38" i="130"/>
  <c r="P38" i="130"/>
  <c r="Q38" i="130"/>
  <c r="R38" i="130"/>
  <c r="S38" i="130"/>
  <c r="T38" i="130"/>
  <c r="U38" i="130"/>
  <c r="V38" i="130"/>
  <c r="W38" i="130"/>
  <c r="X38" i="130"/>
  <c r="Y38" i="130"/>
  <c r="Z38" i="130"/>
  <c r="AA38" i="130"/>
  <c r="AB38" i="130"/>
  <c r="AC38" i="130"/>
  <c r="AD38" i="130"/>
  <c r="AE38" i="130"/>
  <c r="AF38" i="130"/>
  <c r="AG38" i="130"/>
  <c r="AH38" i="130"/>
  <c r="AI38" i="130"/>
  <c r="AJ38" i="130"/>
  <c r="AK38" i="130"/>
  <c r="AL38" i="130"/>
  <c r="AM38" i="130"/>
  <c r="AN38" i="130"/>
  <c r="AO38" i="130"/>
  <c r="AP38" i="130"/>
  <c r="AQ38" i="130"/>
  <c r="AR38" i="130"/>
  <c r="AS38" i="130"/>
  <c r="A39" i="130"/>
  <c r="K39" i="130"/>
  <c r="L39" i="130"/>
  <c r="M39" i="130"/>
  <c r="N39" i="130"/>
  <c r="O39" i="130"/>
  <c r="P39" i="130"/>
  <c r="Q39" i="130"/>
  <c r="R39" i="130"/>
  <c r="S39" i="130"/>
  <c r="T39" i="130"/>
  <c r="U39" i="130"/>
  <c r="V39" i="130"/>
  <c r="W39" i="130"/>
  <c r="X39" i="130"/>
  <c r="Y39" i="130"/>
  <c r="Z39" i="130"/>
  <c r="AA39" i="130"/>
  <c r="AB39" i="130"/>
  <c r="AC39" i="130"/>
  <c r="AD39" i="130"/>
  <c r="AE39" i="130"/>
  <c r="AF39" i="130"/>
  <c r="AG39" i="130"/>
  <c r="AH39" i="130"/>
  <c r="AI39" i="130"/>
  <c r="AJ39" i="130"/>
  <c r="AK39" i="130"/>
  <c r="AL39" i="130"/>
  <c r="AM39" i="130"/>
  <c r="AN39" i="130"/>
  <c r="AO39" i="130"/>
  <c r="AP39" i="130"/>
  <c r="AQ39" i="130"/>
  <c r="AR39" i="130"/>
  <c r="AS39" i="130"/>
  <c r="A40" i="130"/>
  <c r="A41" i="130"/>
  <c r="K41" i="130"/>
  <c r="L41" i="130"/>
  <c r="M41" i="130"/>
  <c r="N41" i="130"/>
  <c r="O41" i="130"/>
  <c r="P41" i="130"/>
  <c r="Q41" i="130"/>
  <c r="R41" i="130"/>
  <c r="S41" i="130"/>
  <c r="T41" i="130"/>
  <c r="U41" i="130"/>
  <c r="V41" i="130"/>
  <c r="W41" i="130"/>
  <c r="X41" i="130"/>
  <c r="Y41" i="130"/>
  <c r="Z41" i="130"/>
  <c r="AA41" i="130"/>
  <c r="AB41" i="130"/>
  <c r="AC41" i="130"/>
  <c r="AD41" i="130"/>
  <c r="AE41" i="130"/>
  <c r="AF41" i="130"/>
  <c r="AG41" i="130"/>
  <c r="AH41" i="130"/>
  <c r="AI41" i="130"/>
  <c r="AJ41" i="130"/>
  <c r="AK41" i="130"/>
  <c r="AL41" i="130"/>
  <c r="AM41" i="130"/>
  <c r="AN41" i="130"/>
  <c r="AO41" i="130"/>
  <c r="AP41" i="130"/>
  <c r="AQ41" i="130"/>
  <c r="AR41" i="130"/>
  <c r="AS41" i="130"/>
  <c r="A42" i="130"/>
  <c r="K42" i="130"/>
  <c r="L42" i="130"/>
  <c r="M42" i="130"/>
  <c r="N42" i="130"/>
  <c r="O42" i="130"/>
  <c r="P42" i="130"/>
  <c r="Q42" i="130"/>
  <c r="R42" i="130"/>
  <c r="S42" i="130"/>
  <c r="T42" i="130"/>
  <c r="U42" i="130"/>
  <c r="V42" i="130"/>
  <c r="W42" i="130"/>
  <c r="X42" i="130"/>
  <c r="X44" i="130" s="1"/>
  <c r="Y42" i="130"/>
  <c r="Z42" i="130"/>
  <c r="AA42" i="130"/>
  <c r="AB42" i="130"/>
  <c r="AC42" i="130"/>
  <c r="AD42" i="130"/>
  <c r="AE42" i="130"/>
  <c r="AF42" i="130"/>
  <c r="AG42" i="130"/>
  <c r="AH42" i="130"/>
  <c r="AI42" i="130"/>
  <c r="AJ42" i="130"/>
  <c r="AK42" i="130"/>
  <c r="AL42" i="130"/>
  <c r="AM42" i="130"/>
  <c r="AN42" i="130"/>
  <c r="AO42" i="130"/>
  <c r="AP42" i="130"/>
  <c r="AQ42" i="130"/>
  <c r="AR42" i="130"/>
  <c r="AS42" i="130"/>
  <c r="A43" i="130"/>
  <c r="A44" i="130"/>
  <c r="F44" i="130"/>
  <c r="G44" i="130"/>
  <c r="H44" i="130"/>
  <c r="I44" i="130"/>
  <c r="AT44" i="130"/>
  <c r="AU44" i="130"/>
  <c r="Q44" i="130" s="1"/>
  <c r="AV44" i="130"/>
  <c r="S44" i="130" s="1"/>
  <c r="AW44" i="130"/>
  <c r="N44" i="130"/>
  <c r="AX44" i="130"/>
  <c r="AY44" i="130"/>
  <c r="L44" i="130" s="1"/>
  <c r="AZ44" i="130"/>
  <c r="P44" i="130" s="1"/>
  <c r="BA44" i="130"/>
  <c r="BB44" i="130"/>
  <c r="T44" i="130" s="1"/>
  <c r="BC44" i="130"/>
  <c r="U44" i="130"/>
  <c r="BD44" i="130"/>
  <c r="M44" i="130" s="1"/>
  <c r="BE44" i="130"/>
  <c r="O44" i="130" s="1"/>
  <c r="BF44" i="130"/>
  <c r="K44" i="130" s="1"/>
  <c r="BI44" i="130"/>
  <c r="BJ44" i="130"/>
  <c r="V44" i="130" s="1"/>
  <c r="BK44" i="130"/>
  <c r="BM44" i="130"/>
  <c r="Z44" i="130" s="1"/>
  <c r="BN44" i="130"/>
  <c r="BP44" i="130"/>
  <c r="AB44" i="130" s="1"/>
  <c r="BQ44" i="130"/>
  <c r="BR44" i="130"/>
  <c r="W44" i="130" s="1"/>
  <c r="BS44" i="130"/>
  <c r="BT44" i="130"/>
  <c r="AE44" i="130" s="1"/>
  <c r="BU44" i="130"/>
  <c r="AD44" i="130" s="1"/>
  <c r="BV44" i="130"/>
  <c r="AG44" i="130"/>
  <c r="BW44" i="130"/>
  <c r="AI44" i="130" s="1"/>
  <c r="BX44" i="130"/>
  <c r="AC44" i="130" s="1"/>
  <c r="BY44" i="130"/>
  <c r="AJ44" i="130" s="1"/>
  <c r="BZ44" i="130"/>
  <c r="AH44" i="130"/>
  <c r="CA44" i="130"/>
  <c r="AF44" i="130" s="1"/>
  <c r="CB44" i="130"/>
  <c r="AK44" i="130" s="1"/>
  <c r="CC44" i="130"/>
  <c r="AO44" i="130" s="1"/>
  <c r="CD44" i="130"/>
  <c r="AP44" i="130" s="1"/>
  <c r="CE44" i="130"/>
  <c r="AL44" i="130" s="1"/>
  <c r="CF44" i="130"/>
  <c r="AS44" i="130" s="1"/>
  <c r="CG44" i="130"/>
  <c r="CH44" i="130"/>
  <c r="AM44" i="130" s="1"/>
  <c r="CI44" i="130"/>
  <c r="AR44" i="130" s="1"/>
  <c r="CJ44" i="130"/>
  <c r="AN44" i="130" s="1"/>
  <c r="CK44" i="130"/>
  <c r="AQ44" i="130" s="1"/>
  <c r="CL44" i="130"/>
  <c r="A45" i="130"/>
  <c r="K45" i="130"/>
  <c r="L45" i="130"/>
  <c r="M45" i="130"/>
  <c r="N45" i="130"/>
  <c r="O45" i="130"/>
  <c r="Q45" i="130"/>
  <c r="S45" i="130"/>
  <c r="T45" i="130"/>
  <c r="U45" i="130"/>
  <c r="W45" i="130"/>
  <c r="Z45" i="130"/>
  <c r="AB45" i="130"/>
  <c r="AC45" i="130"/>
  <c r="AD45" i="130"/>
  <c r="AF45" i="130"/>
  <c r="AG45" i="130"/>
  <c r="AH45" i="130"/>
  <c r="AI45" i="130"/>
  <c r="AJ45" i="130"/>
  <c r="AK45" i="130"/>
  <c r="AL45" i="130"/>
  <c r="AM45" i="130"/>
  <c r="AN45" i="130"/>
  <c r="AO45" i="130"/>
  <c r="AP45" i="130"/>
  <c r="AQ45" i="130"/>
  <c r="AR45" i="130"/>
  <c r="AS45" i="130"/>
  <c r="AS47" i="130"/>
  <c r="A46" i="130"/>
  <c r="K46" i="130"/>
  <c r="L46" i="130"/>
  <c r="M46" i="130"/>
  <c r="N46" i="130"/>
  <c r="O46" i="130"/>
  <c r="Q46" i="130"/>
  <c r="S46" i="130"/>
  <c r="T46" i="130"/>
  <c r="U46" i="130"/>
  <c r="W46" i="130"/>
  <c r="Z46" i="130"/>
  <c r="AB46" i="130"/>
  <c r="AC46" i="130"/>
  <c r="AD46" i="130"/>
  <c r="AF46" i="130"/>
  <c r="AG46" i="130"/>
  <c r="AH46" i="130"/>
  <c r="AI46" i="130"/>
  <c r="AJ46" i="130"/>
  <c r="AK46" i="130"/>
  <c r="AL46" i="130"/>
  <c r="AM46" i="130"/>
  <c r="AN46" i="130"/>
  <c r="AO46" i="130"/>
  <c r="AP46" i="130"/>
  <c r="AQ46" i="130"/>
  <c r="AR46" i="130"/>
  <c r="AS46" i="130"/>
  <c r="A47" i="130"/>
  <c r="K47" i="130"/>
  <c r="L47" i="130"/>
  <c r="M47" i="130"/>
  <c r="N47" i="130"/>
  <c r="O47" i="130"/>
  <c r="Q47" i="130"/>
  <c r="S47" i="130"/>
  <c r="T47" i="130"/>
  <c r="U47" i="130"/>
  <c r="W47" i="130"/>
  <c r="Z47" i="130"/>
  <c r="AB47" i="130"/>
  <c r="AC47" i="130"/>
  <c r="AD47" i="130"/>
  <c r="AF47" i="130"/>
  <c r="AG47" i="130"/>
  <c r="AH47" i="130"/>
  <c r="AI47" i="130"/>
  <c r="AJ47" i="130"/>
  <c r="AK47" i="130"/>
  <c r="AL47" i="130"/>
  <c r="AM47" i="130"/>
  <c r="AN47" i="130"/>
  <c r="AO47" i="130"/>
  <c r="AP47" i="130"/>
  <c r="AQ47" i="130"/>
  <c r="AR47" i="130"/>
  <c r="A48" i="130"/>
  <c r="K48" i="130"/>
  <c r="L48" i="130"/>
  <c r="M48" i="130"/>
  <c r="N48" i="130"/>
  <c r="O48" i="130"/>
  <c r="P48" i="130"/>
  <c r="Q48" i="130"/>
  <c r="R48" i="130"/>
  <c r="S48" i="130"/>
  <c r="T48" i="130"/>
  <c r="U48" i="130"/>
  <c r="V48" i="130"/>
  <c r="W48" i="130"/>
  <c r="X48" i="130"/>
  <c r="Y48" i="130"/>
  <c r="Z48" i="130"/>
  <c r="AA48" i="130"/>
  <c r="AB48" i="130"/>
  <c r="AC48" i="130"/>
  <c r="AD48" i="130"/>
  <c r="AE48" i="130"/>
  <c r="AF48" i="130"/>
  <c r="AG48" i="130"/>
  <c r="AH48" i="130"/>
  <c r="AI48" i="130"/>
  <c r="AJ48" i="130"/>
  <c r="AK48" i="130"/>
  <c r="AL48" i="130"/>
  <c r="AM48" i="130"/>
  <c r="AN48" i="130"/>
  <c r="AO48" i="130"/>
  <c r="AP48" i="130"/>
  <c r="AQ48" i="130"/>
  <c r="AR48" i="130"/>
  <c r="AS48" i="130"/>
  <c r="A49" i="130"/>
  <c r="K49" i="130"/>
  <c r="L49" i="130"/>
  <c r="M49" i="130"/>
  <c r="N49" i="130"/>
  <c r="O49" i="130"/>
  <c r="P49" i="130"/>
  <c r="Q49" i="130"/>
  <c r="R49" i="130"/>
  <c r="S49" i="130"/>
  <c r="T49" i="130"/>
  <c r="U49" i="130"/>
  <c r="V49" i="130"/>
  <c r="W49" i="130"/>
  <c r="X49" i="130"/>
  <c r="Y49" i="130"/>
  <c r="Z49" i="130"/>
  <c r="AA49" i="130"/>
  <c r="AB49" i="130"/>
  <c r="AC49" i="130"/>
  <c r="AD49" i="130"/>
  <c r="AE49" i="130"/>
  <c r="AF49" i="130"/>
  <c r="AG49" i="130"/>
  <c r="AH49" i="130"/>
  <c r="AI49" i="130"/>
  <c r="AJ49" i="130"/>
  <c r="AK49" i="130"/>
  <c r="AL49" i="130"/>
  <c r="AM49" i="130"/>
  <c r="AN49" i="130"/>
  <c r="AO49" i="130"/>
  <c r="AP49" i="130"/>
  <c r="AQ49" i="130"/>
  <c r="AR49" i="130"/>
  <c r="AS49" i="130"/>
  <c r="A50" i="130"/>
  <c r="K50" i="130"/>
  <c r="L50" i="130"/>
  <c r="M50" i="130"/>
  <c r="N50" i="130"/>
  <c r="O50" i="130"/>
  <c r="P50" i="130"/>
  <c r="Q50" i="130"/>
  <c r="R50" i="130"/>
  <c r="S50" i="130"/>
  <c r="T50" i="130"/>
  <c r="U50" i="130"/>
  <c r="W50" i="130"/>
  <c r="X50" i="130"/>
  <c r="Y50" i="130"/>
  <c r="Z50" i="130"/>
  <c r="AA50" i="130"/>
  <c r="AB50" i="130"/>
  <c r="AC50" i="130"/>
  <c r="AD50" i="130"/>
  <c r="AF50" i="130"/>
  <c r="AG50" i="130"/>
  <c r="AH50" i="130"/>
  <c r="AI50" i="130"/>
  <c r="AJ50" i="130"/>
  <c r="AK50" i="130"/>
  <c r="AL50" i="130"/>
  <c r="AM50" i="130"/>
  <c r="AN50" i="130"/>
  <c r="AO50" i="130"/>
  <c r="AP50" i="130"/>
  <c r="AQ50" i="130"/>
  <c r="AR50" i="130"/>
  <c r="A51" i="130"/>
  <c r="C51" i="130"/>
  <c r="F51" i="130"/>
  <c r="G51" i="130"/>
  <c r="H51" i="130"/>
  <c r="I51" i="130"/>
  <c r="AT51" i="130"/>
  <c r="AU51" i="130"/>
  <c r="Q51" i="130" s="1"/>
  <c r="AV51" i="130"/>
  <c r="S51" i="130" s="1"/>
  <c r="AW51" i="130"/>
  <c r="N51" i="130" s="1"/>
  <c r="AX51" i="130"/>
  <c r="AY51" i="130"/>
  <c r="L51" i="130" s="1"/>
  <c r="AZ51" i="130"/>
  <c r="BA51" i="130"/>
  <c r="BB51" i="130"/>
  <c r="T51" i="130" s="1"/>
  <c r="BC51" i="130"/>
  <c r="U51" i="130" s="1"/>
  <c r="BD51" i="130"/>
  <c r="M51" i="130" s="1"/>
  <c r="BE51" i="130"/>
  <c r="O51" i="130" s="1"/>
  <c r="BF51" i="130"/>
  <c r="K51" i="130" s="1"/>
  <c r="BG51" i="130"/>
  <c r="BH51" i="130"/>
  <c r="BI51" i="130"/>
  <c r="BJ51" i="130"/>
  <c r="BK51" i="130"/>
  <c r="BL51" i="130"/>
  <c r="BM51" i="130"/>
  <c r="Z51" i="130" s="1"/>
  <c r="BN51" i="130"/>
  <c r="BO51" i="130"/>
  <c r="BP51" i="130"/>
  <c r="AB51" i="130" s="1"/>
  <c r="BQ51" i="130"/>
  <c r="BR51" i="130"/>
  <c r="W51" i="130" s="1"/>
  <c r="BS51" i="130"/>
  <c r="BT51" i="130"/>
  <c r="BU51" i="130"/>
  <c r="AD51" i="130" s="1"/>
  <c r="BV51" i="130"/>
  <c r="AG51" i="130" s="1"/>
  <c r="BW51" i="130"/>
  <c r="AI51" i="130" s="1"/>
  <c r="BX51" i="130"/>
  <c r="AC51" i="130" s="1"/>
  <c r="BY51" i="130"/>
  <c r="AJ51" i="130" s="1"/>
  <c r="BZ51" i="130"/>
  <c r="AH51" i="130" s="1"/>
  <c r="CA51" i="130"/>
  <c r="AF51" i="130" s="1"/>
  <c r="CB51" i="130"/>
  <c r="AK51" i="130"/>
  <c r="CC51" i="130"/>
  <c r="AO51" i="130" s="1"/>
  <c r="CD51" i="130"/>
  <c r="AP51" i="130" s="1"/>
  <c r="CE51" i="130"/>
  <c r="AL51" i="130" s="1"/>
  <c r="CF51" i="130"/>
  <c r="CG51" i="130"/>
  <c r="CH51" i="130"/>
  <c r="AM51" i="130" s="1"/>
  <c r="CI51" i="130"/>
  <c r="AR51" i="130" s="1"/>
  <c r="CJ51" i="130"/>
  <c r="AN51" i="130" s="1"/>
  <c r="CK51" i="130"/>
  <c r="AQ51" i="130" s="1"/>
  <c r="A52" i="130"/>
  <c r="A53" i="130"/>
  <c r="A54" i="130"/>
  <c r="F54" i="130"/>
  <c r="G54" i="130"/>
  <c r="H54" i="130"/>
  <c r="I54" i="130"/>
  <c r="AT54" i="130"/>
  <c r="AU54" i="130"/>
  <c r="Q54" i="130" s="1"/>
  <c r="AV54" i="130"/>
  <c r="S54" i="130" s="1"/>
  <c r="AW54" i="130"/>
  <c r="N54" i="130" s="1"/>
  <c r="AX54" i="130"/>
  <c r="AY54" i="130"/>
  <c r="L54" i="130" s="1"/>
  <c r="AZ54" i="130"/>
  <c r="BA54" i="130"/>
  <c r="BB54" i="130"/>
  <c r="T54" i="130" s="1"/>
  <c r="BC54" i="130"/>
  <c r="U54" i="130" s="1"/>
  <c r="BD54" i="130"/>
  <c r="M54" i="130" s="1"/>
  <c r="BE54" i="130"/>
  <c r="O54" i="130" s="1"/>
  <c r="BF54" i="130"/>
  <c r="K54" i="130" s="1"/>
  <c r="BG54" i="130"/>
  <c r="BH54" i="130"/>
  <c r="BI54" i="130"/>
  <c r="BJ54" i="130"/>
  <c r="BK54" i="130"/>
  <c r="BL54" i="130"/>
  <c r="BM54" i="130"/>
  <c r="Z54" i="130" s="1"/>
  <c r="BN54" i="130"/>
  <c r="BO54" i="130"/>
  <c r="BP54" i="130"/>
  <c r="AB54" i="130" s="1"/>
  <c r="BQ54" i="130"/>
  <c r="BR54" i="130"/>
  <c r="W54" i="130" s="1"/>
  <c r="BS54" i="130"/>
  <c r="BT54" i="130"/>
  <c r="BU54" i="130"/>
  <c r="AD54" i="130" s="1"/>
  <c r="BV54" i="130"/>
  <c r="AG54" i="130" s="1"/>
  <c r="BW54" i="130"/>
  <c r="AI54" i="130" s="1"/>
  <c r="BX54" i="130"/>
  <c r="AC54" i="130"/>
  <c r="BY54" i="130"/>
  <c r="AJ54" i="130" s="1"/>
  <c r="BZ54" i="130"/>
  <c r="AH54" i="130" s="1"/>
  <c r="CA54" i="130"/>
  <c r="AF54" i="130" s="1"/>
  <c r="CB54" i="130"/>
  <c r="AK54" i="130" s="1"/>
  <c r="CC54" i="130"/>
  <c r="AO54" i="130" s="1"/>
  <c r="CD54" i="130"/>
  <c r="AP54" i="130" s="1"/>
  <c r="CE54" i="130"/>
  <c r="AL54" i="130" s="1"/>
  <c r="CF54" i="130"/>
  <c r="CG54" i="130"/>
  <c r="CH54" i="130"/>
  <c r="AM54" i="130" s="1"/>
  <c r="CI54" i="130"/>
  <c r="AR54" i="130" s="1"/>
  <c r="CJ54" i="130"/>
  <c r="AN54" i="130" s="1"/>
  <c r="CK54" i="130"/>
  <c r="AQ54" i="130" s="1"/>
  <c r="CL54" i="130"/>
  <c r="A55" i="130"/>
  <c r="A56" i="130"/>
  <c r="K56" i="130"/>
  <c r="L56" i="130"/>
  <c r="M56" i="130"/>
  <c r="N56" i="130"/>
  <c r="O56" i="130"/>
  <c r="P56" i="130"/>
  <c r="Q56" i="130"/>
  <c r="R56" i="130"/>
  <c r="S56" i="130"/>
  <c r="T56" i="130"/>
  <c r="U56" i="130"/>
  <c r="V56" i="130"/>
  <c r="W56" i="130"/>
  <c r="X56" i="130"/>
  <c r="Y56" i="130"/>
  <c r="Z56" i="130"/>
  <c r="AA56" i="130"/>
  <c r="AB56" i="130"/>
  <c r="AC56" i="130"/>
  <c r="AD56" i="130"/>
  <c r="AE56" i="130"/>
  <c r="AF56" i="130"/>
  <c r="AG56" i="130"/>
  <c r="AH56" i="130"/>
  <c r="AI56" i="130"/>
  <c r="AJ56" i="130"/>
  <c r="AK56" i="130"/>
  <c r="AL56" i="130"/>
  <c r="AM56" i="130"/>
  <c r="AN56" i="130"/>
  <c r="AO56" i="130"/>
  <c r="AP56" i="130"/>
  <c r="AQ56" i="130"/>
  <c r="AR56" i="130"/>
  <c r="AS56" i="130"/>
  <c r="A57" i="130"/>
  <c r="K57" i="130"/>
  <c r="L57" i="130"/>
  <c r="M57" i="130"/>
  <c r="N57" i="130"/>
  <c r="O57" i="130"/>
  <c r="P57" i="130"/>
  <c r="Q57" i="130"/>
  <c r="R57" i="130"/>
  <c r="S57" i="130"/>
  <c r="T57" i="130"/>
  <c r="U57" i="130"/>
  <c r="V57" i="130"/>
  <c r="W57" i="130"/>
  <c r="X57" i="130"/>
  <c r="Y57" i="130"/>
  <c r="Z57" i="130"/>
  <c r="AA57" i="130"/>
  <c r="AB57" i="130"/>
  <c r="AC57" i="130"/>
  <c r="AD57" i="130"/>
  <c r="AE57" i="130"/>
  <c r="AF57" i="130"/>
  <c r="AG57" i="130"/>
  <c r="AH57" i="130"/>
  <c r="AI57" i="130"/>
  <c r="AJ57" i="130"/>
  <c r="AK57" i="130"/>
  <c r="AL57" i="130"/>
  <c r="AM57" i="130"/>
  <c r="AN57" i="130"/>
  <c r="AO57" i="130"/>
  <c r="AP57" i="130"/>
  <c r="AQ57" i="130"/>
  <c r="AR57" i="130"/>
  <c r="AS57" i="130"/>
  <c r="A58" i="130"/>
  <c r="K58" i="130"/>
  <c r="L58" i="130"/>
  <c r="M58" i="130"/>
  <c r="N58" i="130"/>
  <c r="O58" i="130"/>
  <c r="P58" i="130"/>
  <c r="Q58" i="130"/>
  <c r="R58" i="130"/>
  <c r="S58" i="130"/>
  <c r="T58" i="130"/>
  <c r="U58" i="130"/>
  <c r="V58" i="130"/>
  <c r="W58" i="130"/>
  <c r="X58" i="130"/>
  <c r="Y58" i="130"/>
  <c r="Z58" i="130"/>
  <c r="AA58" i="130"/>
  <c r="AB58" i="130"/>
  <c r="AC58" i="130"/>
  <c r="AD58" i="130"/>
  <c r="AE58" i="130"/>
  <c r="AF58" i="130"/>
  <c r="AG58" i="130"/>
  <c r="AH58" i="130"/>
  <c r="AI58" i="130"/>
  <c r="AJ58" i="130"/>
  <c r="AK58" i="130"/>
  <c r="AL58" i="130"/>
  <c r="AM58" i="130"/>
  <c r="AN58" i="130"/>
  <c r="AO58" i="130"/>
  <c r="AP58" i="130"/>
  <c r="AQ58" i="130"/>
  <c r="AR58" i="130"/>
  <c r="AS58" i="130"/>
  <c r="A59" i="130"/>
  <c r="K59" i="130"/>
  <c r="L59" i="130"/>
  <c r="M59" i="130"/>
  <c r="N59" i="130"/>
  <c r="O59" i="130"/>
  <c r="P59" i="130"/>
  <c r="Q59" i="130"/>
  <c r="R59" i="130"/>
  <c r="S59" i="130"/>
  <c r="T59" i="130"/>
  <c r="U59" i="130"/>
  <c r="V59" i="130"/>
  <c r="W59" i="130"/>
  <c r="X59" i="130"/>
  <c r="Y59" i="130"/>
  <c r="Z59" i="130"/>
  <c r="AA59" i="130"/>
  <c r="AB59" i="130"/>
  <c r="AC59" i="130"/>
  <c r="AD59" i="130"/>
  <c r="AE59" i="130"/>
  <c r="AF59" i="130"/>
  <c r="AG59" i="130"/>
  <c r="AH59" i="130"/>
  <c r="AI59" i="130"/>
  <c r="AJ59" i="130"/>
  <c r="AK59" i="130"/>
  <c r="AL59" i="130"/>
  <c r="AM59" i="130"/>
  <c r="AN59" i="130"/>
  <c r="AO59" i="130"/>
  <c r="AP59" i="130"/>
  <c r="AQ59" i="130"/>
  <c r="AR59" i="130"/>
  <c r="AS59" i="130"/>
  <c r="A60" i="130"/>
  <c r="K60" i="130"/>
  <c r="L60" i="130"/>
  <c r="M60" i="130"/>
  <c r="N60" i="130"/>
  <c r="O60" i="130"/>
  <c r="P60" i="130"/>
  <c r="Q60" i="130"/>
  <c r="R60" i="130"/>
  <c r="S60" i="130"/>
  <c r="T60" i="130"/>
  <c r="U60" i="130"/>
  <c r="V60" i="130"/>
  <c r="W60" i="130"/>
  <c r="X60" i="130"/>
  <c r="Y60" i="130"/>
  <c r="Z60" i="130"/>
  <c r="AA60" i="130"/>
  <c r="AB60" i="130"/>
  <c r="AC60" i="130"/>
  <c r="AD60" i="130"/>
  <c r="AE60" i="130"/>
  <c r="AF60" i="130"/>
  <c r="AG60" i="130"/>
  <c r="AH60" i="130"/>
  <c r="AI60" i="130"/>
  <c r="AJ60" i="130"/>
  <c r="AK60" i="130"/>
  <c r="AL60" i="130"/>
  <c r="AM60" i="130"/>
  <c r="AN60" i="130"/>
  <c r="AO60" i="130"/>
  <c r="AP60" i="130"/>
  <c r="AQ60" i="130"/>
  <c r="AR60" i="130"/>
  <c r="AS60" i="130"/>
  <c r="A61" i="130"/>
  <c r="K61" i="130"/>
  <c r="L61" i="130"/>
  <c r="M61" i="130"/>
  <c r="N61" i="130"/>
  <c r="O61" i="130"/>
  <c r="P61" i="130"/>
  <c r="Q61" i="130"/>
  <c r="R61" i="130"/>
  <c r="S61" i="130"/>
  <c r="T61" i="130"/>
  <c r="U61" i="130"/>
  <c r="V61" i="130"/>
  <c r="W61" i="130"/>
  <c r="X61" i="130"/>
  <c r="Y61" i="130"/>
  <c r="Z61" i="130"/>
  <c r="AA61" i="130"/>
  <c r="AB61" i="130"/>
  <c r="AC61" i="130"/>
  <c r="AD61" i="130"/>
  <c r="AE61" i="130"/>
  <c r="AF61" i="130"/>
  <c r="AG61" i="130"/>
  <c r="AH61" i="130"/>
  <c r="AI61" i="130"/>
  <c r="AJ61" i="130"/>
  <c r="AK61" i="130"/>
  <c r="AL61" i="130"/>
  <c r="AM61" i="130"/>
  <c r="AN61" i="130"/>
  <c r="AO61" i="130"/>
  <c r="AP61" i="130"/>
  <c r="AQ61" i="130"/>
  <c r="AR61" i="130"/>
  <c r="AS61" i="130"/>
  <c r="A62" i="130"/>
  <c r="K62" i="130"/>
  <c r="L62" i="130"/>
  <c r="M62" i="130"/>
  <c r="N62" i="130"/>
  <c r="O62" i="130"/>
  <c r="P62" i="130"/>
  <c r="Q62" i="130"/>
  <c r="R62" i="130"/>
  <c r="S62" i="130"/>
  <c r="T62" i="130"/>
  <c r="U62" i="130"/>
  <c r="V62" i="130"/>
  <c r="W62" i="130"/>
  <c r="X62" i="130"/>
  <c r="Y62" i="130"/>
  <c r="Z62" i="130"/>
  <c r="AA62" i="130"/>
  <c r="AB62" i="130"/>
  <c r="AC62" i="130"/>
  <c r="AD62" i="130"/>
  <c r="AE62" i="130"/>
  <c r="AF62" i="130"/>
  <c r="AG62" i="130"/>
  <c r="AH62" i="130"/>
  <c r="AI62" i="130"/>
  <c r="AJ62" i="130"/>
  <c r="AK62" i="130"/>
  <c r="AL62" i="130"/>
  <c r="AM62" i="130"/>
  <c r="AN62" i="130"/>
  <c r="AO62" i="130"/>
  <c r="AP62" i="130"/>
  <c r="AQ62" i="130"/>
  <c r="AR62" i="130"/>
  <c r="AS62" i="130"/>
  <c r="A63" i="130"/>
  <c r="K63" i="130"/>
  <c r="L63" i="130"/>
  <c r="M63" i="130"/>
  <c r="N63" i="130"/>
  <c r="O63" i="130"/>
  <c r="P63" i="130"/>
  <c r="Q63" i="130"/>
  <c r="R63" i="130"/>
  <c r="S63" i="130"/>
  <c r="T63" i="130"/>
  <c r="U63" i="130"/>
  <c r="V63" i="130"/>
  <c r="W63" i="130"/>
  <c r="X63" i="130"/>
  <c r="Y63" i="130"/>
  <c r="Z63" i="130"/>
  <c r="AA63" i="130"/>
  <c r="AB63" i="130"/>
  <c r="AC63" i="130"/>
  <c r="AD63" i="130"/>
  <c r="AE63" i="130"/>
  <c r="AF63" i="130"/>
  <c r="AG63" i="130"/>
  <c r="AH63" i="130"/>
  <c r="AI63" i="130"/>
  <c r="AJ63" i="130"/>
  <c r="AK63" i="130"/>
  <c r="AL63" i="130"/>
  <c r="AM63" i="130"/>
  <c r="AN63" i="130"/>
  <c r="AO63" i="130"/>
  <c r="AP63" i="130"/>
  <c r="AQ63" i="130"/>
  <c r="AR63" i="130"/>
  <c r="AS63" i="130"/>
  <c r="A64" i="130"/>
  <c r="A65" i="130"/>
  <c r="A66" i="130"/>
  <c r="A67" i="130"/>
  <c r="A68" i="130"/>
  <c r="A69" i="130"/>
  <c r="K69" i="130"/>
  <c r="L69" i="130"/>
  <c r="M69" i="130"/>
  <c r="N69" i="130"/>
  <c r="O69" i="130"/>
  <c r="P69" i="130"/>
  <c r="Q69" i="130"/>
  <c r="R69" i="130"/>
  <c r="R71" i="130" s="1"/>
  <c r="S69" i="130"/>
  <c r="T69" i="130"/>
  <c r="U69" i="130"/>
  <c r="V69" i="130"/>
  <c r="W69" i="130"/>
  <c r="X69" i="130"/>
  <c r="Y69" i="130"/>
  <c r="Z69" i="130"/>
  <c r="AA69" i="130"/>
  <c r="AA71" i="130" s="1"/>
  <c r="AB69" i="130"/>
  <c r="AC69" i="130"/>
  <c r="AD69" i="130"/>
  <c r="AE69" i="130"/>
  <c r="AF69" i="130"/>
  <c r="AG69" i="130"/>
  <c r="AH69" i="130"/>
  <c r="AI69" i="130"/>
  <c r="AJ69" i="130"/>
  <c r="AK69" i="130"/>
  <c r="AL69" i="130"/>
  <c r="AM69" i="130"/>
  <c r="AN69" i="130"/>
  <c r="AO69" i="130"/>
  <c r="AP69" i="130"/>
  <c r="AQ69" i="130"/>
  <c r="AR69" i="130"/>
  <c r="AS69" i="130"/>
  <c r="A70" i="130"/>
  <c r="K70" i="130"/>
  <c r="L70" i="130"/>
  <c r="M70" i="130"/>
  <c r="N70" i="130"/>
  <c r="O70" i="130"/>
  <c r="P70" i="130"/>
  <c r="P71" i="130" s="1"/>
  <c r="Q70" i="130"/>
  <c r="R70" i="130"/>
  <c r="S70" i="130"/>
  <c r="T70" i="130"/>
  <c r="U70" i="130"/>
  <c r="V70" i="130"/>
  <c r="W70" i="130"/>
  <c r="X70" i="130"/>
  <c r="Y70" i="130"/>
  <c r="Z70" i="130"/>
  <c r="AA70" i="130"/>
  <c r="AB70" i="130"/>
  <c r="AC70" i="130"/>
  <c r="AD70" i="130"/>
  <c r="AE70" i="130"/>
  <c r="AE71" i="130" s="1"/>
  <c r="AF70" i="130"/>
  <c r="AG70" i="130"/>
  <c r="AH70" i="130"/>
  <c r="AI70" i="130"/>
  <c r="AJ70" i="130"/>
  <c r="AK70" i="130"/>
  <c r="AL70" i="130"/>
  <c r="AM70" i="130"/>
  <c r="AN70" i="130"/>
  <c r="AO70" i="130"/>
  <c r="AP70" i="130"/>
  <c r="AQ70" i="130"/>
  <c r="AR70" i="130"/>
  <c r="AS70" i="130"/>
  <c r="A71" i="130"/>
  <c r="F71" i="130"/>
  <c r="G71" i="130"/>
  <c r="H71" i="130"/>
  <c r="I71" i="130"/>
  <c r="X71" i="130"/>
  <c r="AT71" i="130"/>
  <c r="AU71" i="130"/>
  <c r="Q71" i="130" s="1"/>
  <c r="AV71" i="130"/>
  <c r="S71" i="130" s="1"/>
  <c r="AW71" i="130"/>
  <c r="N71" i="130" s="1"/>
  <c r="AX71" i="130"/>
  <c r="AY71" i="130"/>
  <c r="L71" i="130"/>
  <c r="AZ71" i="130"/>
  <c r="BA71" i="130"/>
  <c r="BB71" i="130"/>
  <c r="T71" i="130" s="1"/>
  <c r="BC71" i="130"/>
  <c r="U71" i="130" s="1"/>
  <c r="BD71" i="130"/>
  <c r="M71" i="130"/>
  <c r="BE71" i="130"/>
  <c r="O71" i="130" s="1"/>
  <c r="BF71" i="130"/>
  <c r="K71" i="130" s="1"/>
  <c r="BG71" i="130"/>
  <c r="BH71" i="130"/>
  <c r="BI71" i="130"/>
  <c r="BJ71" i="130"/>
  <c r="BL71" i="130"/>
  <c r="BM71" i="130"/>
  <c r="Z71" i="130" s="1"/>
  <c r="BN71" i="130"/>
  <c r="BP71" i="130"/>
  <c r="AB71" i="130" s="1"/>
  <c r="BQ71" i="130"/>
  <c r="BR71" i="130"/>
  <c r="W71" i="130"/>
  <c r="BS71" i="130"/>
  <c r="BT71" i="130"/>
  <c r="BU71" i="130"/>
  <c r="AD71" i="130" s="1"/>
  <c r="BV71" i="130"/>
  <c r="AG71" i="130" s="1"/>
  <c r="BW71" i="130"/>
  <c r="AI71" i="130" s="1"/>
  <c r="BX71" i="130"/>
  <c r="AC71" i="130" s="1"/>
  <c r="BY71" i="130"/>
  <c r="AJ71" i="130" s="1"/>
  <c r="BZ71" i="130"/>
  <c r="AH71" i="130" s="1"/>
  <c r="CA71" i="130"/>
  <c r="AF71" i="130" s="1"/>
  <c r="CB71" i="130"/>
  <c r="AK71" i="130" s="1"/>
  <c r="CC71" i="130"/>
  <c r="AO71" i="130" s="1"/>
  <c r="CD71" i="130"/>
  <c r="AP71" i="130" s="1"/>
  <c r="CE71" i="130"/>
  <c r="AL71" i="130" s="1"/>
  <c r="CG71" i="130"/>
  <c r="CH71" i="130"/>
  <c r="AM71" i="130"/>
  <c r="CI71" i="130"/>
  <c r="AR71" i="130" s="1"/>
  <c r="CJ71" i="130"/>
  <c r="AN71" i="130" s="1"/>
  <c r="CK71" i="130"/>
  <c r="AQ71" i="130" s="1"/>
  <c r="CL71" i="130"/>
  <c r="A72" i="130"/>
  <c r="A73" i="130"/>
  <c r="K73" i="130"/>
  <c r="L73" i="130"/>
  <c r="M73" i="130"/>
  <c r="N73" i="130"/>
  <c r="O73" i="130"/>
  <c r="P73" i="130"/>
  <c r="Q73" i="130"/>
  <c r="R73" i="130"/>
  <c r="S73" i="130"/>
  <c r="T73" i="130"/>
  <c r="U73" i="130"/>
  <c r="V73" i="130"/>
  <c r="W73" i="130"/>
  <c r="X73" i="130"/>
  <c r="Y73" i="130"/>
  <c r="Z73" i="130"/>
  <c r="AA73" i="130"/>
  <c r="AB73" i="130"/>
  <c r="AC73" i="130"/>
  <c r="AD73" i="130"/>
  <c r="AE73" i="130"/>
  <c r="AF73" i="130"/>
  <c r="AG73" i="130"/>
  <c r="AH73" i="130"/>
  <c r="AI73" i="130"/>
  <c r="AJ73" i="130"/>
  <c r="AK73" i="130"/>
  <c r="AL73" i="130"/>
  <c r="AM73" i="130"/>
  <c r="AN73" i="130"/>
  <c r="AO73" i="130"/>
  <c r="AP73" i="130"/>
  <c r="AQ73" i="130"/>
  <c r="AR73" i="130"/>
  <c r="AS73" i="130"/>
  <c r="A74" i="130"/>
  <c r="K74" i="130"/>
  <c r="L74" i="130"/>
  <c r="M74" i="130"/>
  <c r="N74" i="130"/>
  <c r="O74" i="130"/>
  <c r="P74" i="130"/>
  <c r="Q74" i="130"/>
  <c r="R74" i="130"/>
  <c r="S74" i="130"/>
  <c r="T74" i="130"/>
  <c r="U74" i="130"/>
  <c r="V74" i="130"/>
  <c r="W74" i="130"/>
  <c r="X74" i="130"/>
  <c r="Y74" i="130"/>
  <c r="Z74" i="130"/>
  <c r="AA74" i="130"/>
  <c r="AB74" i="130"/>
  <c r="AC74" i="130"/>
  <c r="AD74" i="130"/>
  <c r="AE74" i="130"/>
  <c r="AF74" i="130"/>
  <c r="AG74" i="130"/>
  <c r="AH74" i="130"/>
  <c r="AI74" i="130"/>
  <c r="AJ74" i="130"/>
  <c r="AK74" i="130"/>
  <c r="AL74" i="130"/>
  <c r="AM74" i="130"/>
  <c r="AN74" i="130"/>
  <c r="AO74" i="130"/>
  <c r="AP74" i="130"/>
  <c r="AQ74" i="130"/>
  <c r="AR74" i="130"/>
  <c r="AS74" i="130"/>
  <c r="A75" i="130"/>
  <c r="K75" i="130"/>
  <c r="L75" i="130"/>
  <c r="M75" i="130"/>
  <c r="N75" i="130"/>
  <c r="O75" i="130"/>
  <c r="P75" i="130"/>
  <c r="Q75" i="130"/>
  <c r="R75" i="130"/>
  <c r="S75" i="130"/>
  <c r="T75" i="130"/>
  <c r="U75" i="130"/>
  <c r="V75" i="130"/>
  <c r="W75" i="130"/>
  <c r="X75" i="130"/>
  <c r="Y75" i="130"/>
  <c r="Z75" i="130"/>
  <c r="AA75" i="130"/>
  <c r="AB75" i="130"/>
  <c r="AC75" i="130"/>
  <c r="AD75" i="130"/>
  <c r="AE75" i="130"/>
  <c r="AF75" i="130"/>
  <c r="AG75" i="130"/>
  <c r="AH75" i="130"/>
  <c r="AI75" i="130"/>
  <c r="AJ75" i="130"/>
  <c r="AK75" i="130"/>
  <c r="AL75" i="130"/>
  <c r="AM75" i="130"/>
  <c r="AN75" i="130"/>
  <c r="AO75" i="130"/>
  <c r="AP75" i="130"/>
  <c r="AQ75" i="130"/>
  <c r="AR75" i="130"/>
  <c r="AS75" i="130"/>
  <c r="A76" i="130"/>
  <c r="K76" i="130"/>
  <c r="L76" i="130"/>
  <c r="M76" i="130"/>
  <c r="N76" i="130"/>
  <c r="O76" i="130"/>
  <c r="P76" i="130"/>
  <c r="Q76" i="130"/>
  <c r="R76" i="130"/>
  <c r="S76" i="130"/>
  <c r="T76" i="130"/>
  <c r="U76" i="130"/>
  <c r="V76" i="130"/>
  <c r="W76" i="130"/>
  <c r="X76" i="130"/>
  <c r="Y76" i="130"/>
  <c r="Z76" i="130"/>
  <c r="AA76" i="130"/>
  <c r="AB76" i="130"/>
  <c r="AC76" i="130"/>
  <c r="AD76" i="130"/>
  <c r="AE76" i="130"/>
  <c r="AF76" i="130"/>
  <c r="AG76" i="130"/>
  <c r="AH76" i="130"/>
  <c r="AI76" i="130"/>
  <c r="AJ76" i="130"/>
  <c r="AK76" i="130"/>
  <c r="AL76" i="130"/>
  <c r="AM76" i="130"/>
  <c r="AN76" i="130"/>
  <c r="AO76" i="130"/>
  <c r="AP76" i="130"/>
  <c r="AQ76" i="130"/>
  <c r="AR76" i="130"/>
  <c r="AS76" i="130"/>
  <c r="A77" i="130"/>
  <c r="K77" i="130"/>
  <c r="L77" i="130"/>
  <c r="M77" i="130"/>
  <c r="N77" i="130"/>
  <c r="O77" i="130"/>
  <c r="P77" i="130"/>
  <c r="Q77" i="130"/>
  <c r="R77" i="130"/>
  <c r="S77" i="130"/>
  <c r="T77" i="130"/>
  <c r="U77" i="130"/>
  <c r="V77" i="130"/>
  <c r="W77" i="130"/>
  <c r="X77" i="130"/>
  <c r="Y77" i="130"/>
  <c r="Z77" i="130"/>
  <c r="AA77" i="130"/>
  <c r="AB77" i="130"/>
  <c r="AC77" i="130"/>
  <c r="AD77" i="130"/>
  <c r="AE77" i="130"/>
  <c r="AF77" i="130"/>
  <c r="AG77" i="130"/>
  <c r="AH77" i="130"/>
  <c r="AI77" i="130"/>
  <c r="AJ77" i="130"/>
  <c r="AK77" i="130"/>
  <c r="AL77" i="130"/>
  <c r="AM77" i="130"/>
  <c r="AN77" i="130"/>
  <c r="AO77" i="130"/>
  <c r="AP77" i="130"/>
  <c r="AQ77" i="130"/>
  <c r="AR77" i="130"/>
  <c r="AS77" i="130"/>
  <c r="A78" i="130"/>
  <c r="K78" i="130"/>
  <c r="L78" i="130"/>
  <c r="M78" i="130"/>
  <c r="N78" i="130"/>
  <c r="O78" i="130"/>
  <c r="P78" i="130"/>
  <c r="Q78" i="130"/>
  <c r="R78" i="130"/>
  <c r="S78" i="130"/>
  <c r="T78" i="130"/>
  <c r="U78" i="130"/>
  <c r="V78" i="130"/>
  <c r="W78" i="130"/>
  <c r="X78" i="130"/>
  <c r="Y78" i="130"/>
  <c r="Z78" i="130"/>
  <c r="AA78" i="130"/>
  <c r="AB78" i="130"/>
  <c r="AC78" i="130"/>
  <c r="AD78" i="130"/>
  <c r="AE78" i="130"/>
  <c r="AF78" i="130"/>
  <c r="AG78" i="130"/>
  <c r="AH78" i="130"/>
  <c r="AI78" i="130"/>
  <c r="AJ78" i="130"/>
  <c r="AK78" i="130"/>
  <c r="AL78" i="130"/>
  <c r="AM78" i="130"/>
  <c r="AN78" i="130"/>
  <c r="AO78" i="130"/>
  <c r="AP78" i="130"/>
  <c r="AQ78" i="130"/>
  <c r="AR78" i="130"/>
  <c r="AS78" i="130"/>
  <c r="A79" i="130"/>
  <c r="A80" i="130"/>
  <c r="K80" i="130"/>
  <c r="L80" i="130"/>
  <c r="M80" i="130"/>
  <c r="N80" i="130"/>
  <c r="O80" i="130"/>
  <c r="P80" i="130"/>
  <c r="R80" i="130"/>
  <c r="S80" i="130"/>
  <c r="T80" i="130"/>
  <c r="U80" i="130"/>
  <c r="V80" i="130"/>
  <c r="W80" i="130"/>
  <c r="X80" i="130"/>
  <c r="Y80" i="130"/>
  <c r="Z80" i="130"/>
  <c r="AA80" i="130"/>
  <c r="AB80" i="130"/>
  <c r="AC80" i="130"/>
  <c r="AD80" i="130"/>
  <c r="AE80" i="130"/>
  <c r="AF80" i="130"/>
  <c r="AG80" i="130"/>
  <c r="AH80" i="130"/>
  <c r="AI80" i="130"/>
  <c r="AJ80" i="130"/>
  <c r="AK80" i="130"/>
  <c r="AL80" i="130"/>
  <c r="AM80" i="130"/>
  <c r="AN80" i="130"/>
  <c r="AO80" i="130"/>
  <c r="AP80" i="130"/>
  <c r="AQ80" i="130"/>
  <c r="AR80" i="130"/>
  <c r="AS80" i="130"/>
  <c r="A81" i="130"/>
  <c r="A82" i="130"/>
  <c r="A83" i="130"/>
  <c r="A84" i="130"/>
  <c r="A85" i="130"/>
  <c r="A86" i="130"/>
  <c r="A87" i="130"/>
  <c r="K87" i="130"/>
  <c r="L87" i="130"/>
  <c r="M87" i="130"/>
  <c r="N87" i="130"/>
  <c r="O87" i="130"/>
  <c r="P87" i="130"/>
  <c r="Q87" i="130"/>
  <c r="R87" i="130"/>
  <c r="S87" i="130"/>
  <c r="T87" i="130"/>
  <c r="U87" i="130"/>
  <c r="V87" i="130"/>
  <c r="W87" i="130"/>
  <c r="X87" i="130"/>
  <c r="Y87" i="130"/>
  <c r="Z87" i="130"/>
  <c r="AA87" i="130"/>
  <c r="AB87" i="130"/>
  <c r="AC87" i="130"/>
  <c r="AD87" i="130"/>
  <c r="AE87" i="130"/>
  <c r="AF87" i="130"/>
  <c r="AG87" i="130"/>
  <c r="AH87" i="130"/>
  <c r="AI87" i="130"/>
  <c r="AJ87" i="130"/>
  <c r="AK87" i="130"/>
  <c r="AL87" i="130"/>
  <c r="AM87" i="130"/>
  <c r="AN87" i="130"/>
  <c r="AO87" i="130"/>
  <c r="AP87" i="130"/>
  <c r="AQ87" i="130"/>
  <c r="AR87" i="130"/>
  <c r="AS87" i="130"/>
  <c r="A88" i="130"/>
  <c r="A89" i="130"/>
  <c r="K89" i="130"/>
  <c r="L89" i="130"/>
  <c r="M89" i="130"/>
  <c r="N89" i="130"/>
  <c r="O89" i="130"/>
  <c r="P89" i="130"/>
  <c r="Q89" i="130"/>
  <c r="R89" i="130"/>
  <c r="S89" i="130"/>
  <c r="T89" i="130"/>
  <c r="U89" i="130"/>
  <c r="V89" i="130"/>
  <c r="W89" i="130"/>
  <c r="X89" i="130"/>
  <c r="Y89" i="130"/>
  <c r="Z89" i="130"/>
  <c r="AA89" i="130"/>
  <c r="AB89" i="130"/>
  <c r="AC89" i="130"/>
  <c r="AD89" i="130"/>
  <c r="AE89" i="130"/>
  <c r="AF89" i="130"/>
  <c r="AG89" i="130"/>
  <c r="AH89" i="130"/>
  <c r="AI89" i="130"/>
  <c r="AJ89" i="130"/>
  <c r="AK89" i="130"/>
  <c r="AL89" i="130"/>
  <c r="AM89" i="130"/>
  <c r="AN89" i="130"/>
  <c r="AO89" i="130"/>
  <c r="AP89" i="130"/>
  <c r="AQ89" i="130"/>
  <c r="AR89" i="130"/>
  <c r="AS89" i="130"/>
  <c r="A90" i="130"/>
  <c r="K90" i="130"/>
  <c r="L90" i="130"/>
  <c r="M90" i="130"/>
  <c r="N90" i="130"/>
  <c r="O90" i="130"/>
  <c r="P90" i="130"/>
  <c r="Q90" i="130"/>
  <c r="R90" i="130"/>
  <c r="S90" i="130"/>
  <c r="T90" i="130"/>
  <c r="U90" i="130"/>
  <c r="V90" i="130"/>
  <c r="W90" i="130"/>
  <c r="X90" i="130"/>
  <c r="Y90" i="130"/>
  <c r="Z90" i="130"/>
  <c r="AA90" i="130"/>
  <c r="AB90" i="130"/>
  <c r="AC90" i="130"/>
  <c r="AD90" i="130"/>
  <c r="AE90" i="130"/>
  <c r="AF90" i="130"/>
  <c r="AG90" i="130"/>
  <c r="AH90" i="130"/>
  <c r="AI90" i="130"/>
  <c r="AJ90" i="130"/>
  <c r="AK90" i="130"/>
  <c r="AL90" i="130"/>
  <c r="AM90" i="130"/>
  <c r="AN90" i="130"/>
  <c r="AO90" i="130"/>
  <c r="AP90" i="130"/>
  <c r="AQ90" i="130"/>
  <c r="AR90" i="130"/>
  <c r="AS90" i="130"/>
  <c r="A91" i="130"/>
  <c r="K91" i="130"/>
  <c r="L91" i="130"/>
  <c r="M91" i="130"/>
  <c r="N91" i="130"/>
  <c r="O91" i="130"/>
  <c r="P91" i="130"/>
  <c r="Q91" i="130"/>
  <c r="R91" i="130"/>
  <c r="S91" i="130"/>
  <c r="T91" i="130"/>
  <c r="U91" i="130"/>
  <c r="V91" i="130"/>
  <c r="W91" i="130"/>
  <c r="X91" i="130"/>
  <c r="Y91" i="130"/>
  <c r="Z91" i="130"/>
  <c r="AA91" i="130"/>
  <c r="AB91" i="130"/>
  <c r="AC91" i="130"/>
  <c r="AD91" i="130"/>
  <c r="AE91" i="130"/>
  <c r="AF91" i="130"/>
  <c r="AG91" i="130"/>
  <c r="AH91" i="130"/>
  <c r="AI91" i="130"/>
  <c r="AJ91" i="130"/>
  <c r="AK91" i="130"/>
  <c r="AL91" i="130"/>
  <c r="AM91" i="130"/>
  <c r="AN91" i="130"/>
  <c r="AO91" i="130"/>
  <c r="AP91" i="130"/>
  <c r="AQ91" i="130"/>
  <c r="AR91" i="130"/>
  <c r="AS91" i="130"/>
  <c r="A92" i="130"/>
  <c r="K92" i="130"/>
  <c r="L92" i="130"/>
  <c r="M92" i="130"/>
  <c r="N92" i="130"/>
  <c r="O92" i="130"/>
  <c r="P92" i="130"/>
  <c r="Q92" i="130"/>
  <c r="R92" i="130"/>
  <c r="S92" i="130"/>
  <c r="T92" i="130"/>
  <c r="U92" i="130"/>
  <c r="V92" i="130"/>
  <c r="W92" i="130"/>
  <c r="X92" i="130"/>
  <c r="Y92" i="130"/>
  <c r="Z92" i="130"/>
  <c r="AA92" i="130"/>
  <c r="AB92" i="130"/>
  <c r="AC92" i="130"/>
  <c r="AD92" i="130"/>
  <c r="AE92" i="130"/>
  <c r="AF92" i="130"/>
  <c r="AG92" i="130"/>
  <c r="AH92" i="130"/>
  <c r="AI92" i="130"/>
  <c r="AJ92" i="130"/>
  <c r="AK92" i="130"/>
  <c r="AL92" i="130"/>
  <c r="AM92" i="130"/>
  <c r="AN92" i="130"/>
  <c r="AO92" i="130"/>
  <c r="AP92" i="130"/>
  <c r="AQ92" i="130"/>
  <c r="AR92" i="130"/>
  <c r="AS92" i="130"/>
  <c r="A93" i="130"/>
  <c r="K93" i="130"/>
  <c r="L93" i="130"/>
  <c r="M93" i="130"/>
  <c r="N93" i="130"/>
  <c r="O93" i="130"/>
  <c r="Q93" i="130"/>
  <c r="R93" i="130"/>
  <c r="S93" i="130"/>
  <c r="T93" i="130"/>
  <c r="U93" i="130"/>
  <c r="V93" i="130"/>
  <c r="W93" i="130"/>
  <c r="X93" i="130"/>
  <c r="Z93" i="130"/>
  <c r="AA93" i="130"/>
  <c r="AB93" i="130"/>
  <c r="AC93" i="130"/>
  <c r="AD93" i="130"/>
  <c r="AE93" i="130"/>
  <c r="AF93" i="130"/>
  <c r="AG93" i="130"/>
  <c r="AH93" i="130"/>
  <c r="AI93" i="130"/>
  <c r="AJ93" i="130"/>
  <c r="AK93" i="130"/>
  <c r="AL93" i="130"/>
  <c r="AM93" i="130"/>
  <c r="AN93" i="130"/>
  <c r="AO93" i="130"/>
  <c r="AP93" i="130"/>
  <c r="AQ93" i="130"/>
  <c r="AR93" i="130"/>
  <c r="AS93" i="130"/>
  <c r="A94" i="130"/>
  <c r="K94" i="130"/>
  <c r="L94" i="130"/>
  <c r="M94" i="130"/>
  <c r="N94" i="130"/>
  <c r="O94" i="130"/>
  <c r="P94" i="130"/>
  <c r="Q94" i="130"/>
  <c r="R94" i="130"/>
  <c r="S94" i="130"/>
  <c r="T94" i="130"/>
  <c r="U94" i="130"/>
  <c r="V94" i="130"/>
  <c r="W94" i="130"/>
  <c r="X94" i="130"/>
  <c r="Y94" i="130"/>
  <c r="Z94" i="130"/>
  <c r="AA94" i="130"/>
  <c r="AB94" i="130"/>
  <c r="AC94" i="130"/>
  <c r="AD94" i="130"/>
  <c r="AE94" i="130"/>
  <c r="AF94" i="130"/>
  <c r="AG94" i="130"/>
  <c r="AH94" i="130"/>
  <c r="AI94" i="130"/>
  <c r="AJ94" i="130"/>
  <c r="AK94" i="130"/>
  <c r="AL94" i="130"/>
  <c r="AM94" i="130"/>
  <c r="AN94" i="130"/>
  <c r="AO94" i="130"/>
  <c r="AP94" i="130"/>
  <c r="AQ94" i="130"/>
  <c r="AR94" i="130"/>
  <c r="AS94" i="130"/>
  <c r="AU94" i="130"/>
  <c r="AV94" i="130"/>
  <c r="AW94" i="130"/>
  <c r="AX94" i="130"/>
  <c r="AY94" i="130"/>
  <c r="AZ94" i="130"/>
  <c r="BA94" i="130"/>
  <c r="BB94" i="130"/>
  <c r="BC94" i="130"/>
  <c r="BD94" i="130"/>
  <c r="BE94" i="130"/>
  <c r="BF94" i="130"/>
  <c r="BG94" i="130"/>
  <c r="BH94" i="130"/>
  <c r="BI94" i="130"/>
  <c r="BJ94" i="130"/>
  <c r="BK94" i="130"/>
  <c r="BL94" i="130"/>
  <c r="BM94" i="130"/>
  <c r="BN94" i="130"/>
  <c r="BO94" i="130"/>
  <c r="BP94" i="130"/>
  <c r="BQ94" i="130"/>
  <c r="BR94" i="130"/>
  <c r="BS94" i="130"/>
  <c r="BT94" i="130"/>
  <c r="BU94" i="130"/>
  <c r="BV94" i="130"/>
  <c r="BW94" i="130"/>
  <c r="BX94" i="130"/>
  <c r="BY94" i="130"/>
  <c r="BZ94" i="130"/>
  <c r="CA94" i="130"/>
  <c r="CB94" i="130"/>
  <c r="CC94" i="130"/>
  <c r="CD94" i="130"/>
  <c r="CE94" i="130"/>
  <c r="CF94" i="130"/>
  <c r="CG94" i="130"/>
  <c r="CH94" i="130"/>
  <c r="CI94" i="130"/>
  <c r="CJ94" i="130"/>
  <c r="CK94" i="130"/>
  <c r="CL94" i="130"/>
  <c r="A95" i="130"/>
  <c r="K95" i="130"/>
  <c r="L95" i="130"/>
  <c r="M95" i="130"/>
  <c r="N95" i="130"/>
  <c r="O95" i="130"/>
  <c r="P95" i="130"/>
  <c r="Q95" i="130"/>
  <c r="R95" i="130"/>
  <c r="S95" i="130"/>
  <c r="T95" i="130"/>
  <c r="U95" i="130"/>
  <c r="V95" i="130"/>
  <c r="V51" i="130" s="1"/>
  <c r="W95" i="130"/>
  <c r="X95" i="130"/>
  <c r="Y95" i="130"/>
  <c r="Z95" i="130"/>
  <c r="AA95" i="130"/>
  <c r="AB95" i="130"/>
  <c r="AC95" i="130"/>
  <c r="AD95" i="130"/>
  <c r="AE95" i="130"/>
  <c r="AE54" i="130" s="1"/>
  <c r="AF95" i="130"/>
  <c r="AG95" i="130"/>
  <c r="AH95" i="130"/>
  <c r="AI95" i="130"/>
  <c r="AJ95" i="130"/>
  <c r="AK95" i="130"/>
  <c r="AL95" i="130"/>
  <c r="AM95" i="130"/>
  <c r="AN95" i="130"/>
  <c r="AO95" i="130"/>
  <c r="AP95" i="130"/>
  <c r="AQ95" i="130"/>
  <c r="AR95" i="130"/>
  <c r="AS95" i="130"/>
  <c r="A96" i="130"/>
  <c r="C96" i="130"/>
  <c r="K96" i="130"/>
  <c r="L96" i="130"/>
  <c r="M96" i="130"/>
  <c r="N96" i="130"/>
  <c r="O96" i="130"/>
  <c r="P96" i="130"/>
  <c r="P51" i="130"/>
  <c r="Q96" i="130"/>
  <c r="R96" i="130"/>
  <c r="R51" i="130" s="1"/>
  <c r="S96" i="130"/>
  <c r="T96" i="130"/>
  <c r="U96" i="130"/>
  <c r="V96" i="130"/>
  <c r="W96" i="130"/>
  <c r="X96" i="130"/>
  <c r="X51" i="130" s="1"/>
  <c r="Y96" i="130"/>
  <c r="Y51" i="130" s="1"/>
  <c r="Z96" i="130"/>
  <c r="AA96" i="130"/>
  <c r="AA51" i="130" s="1"/>
  <c r="AB96" i="130"/>
  <c r="AC96" i="130"/>
  <c r="AD96" i="130"/>
  <c r="AE96" i="130"/>
  <c r="AE51" i="130" s="1"/>
  <c r="AF96" i="130"/>
  <c r="AG96" i="130"/>
  <c r="AH96" i="130"/>
  <c r="AI96" i="130"/>
  <c r="AJ96" i="130"/>
  <c r="AK96" i="130"/>
  <c r="AL96" i="130"/>
  <c r="AM96" i="130"/>
  <c r="AN96" i="130"/>
  <c r="AO96" i="130"/>
  <c r="AP96" i="130"/>
  <c r="AQ96" i="130"/>
  <c r="AR96" i="130"/>
  <c r="AS96" i="130"/>
  <c r="AS51" i="130"/>
  <c r="CL96" i="130"/>
  <c r="CL51" i="130" s="1"/>
  <c r="A97" i="130"/>
  <c r="C97" i="130"/>
  <c r="K97" i="130"/>
  <c r="L97" i="130"/>
  <c r="M97" i="130"/>
  <c r="N97" i="130"/>
  <c r="O97" i="130"/>
  <c r="P97" i="130"/>
  <c r="Q97" i="130"/>
  <c r="R97" i="130"/>
  <c r="S97" i="130"/>
  <c r="T97" i="130"/>
  <c r="U97" i="130"/>
  <c r="V97" i="130"/>
  <c r="W97" i="130"/>
  <c r="X97" i="130"/>
  <c r="Y97" i="130"/>
  <c r="Z97" i="130"/>
  <c r="AA97" i="130"/>
  <c r="AB97" i="130"/>
  <c r="AC97" i="130"/>
  <c r="AD97" i="130"/>
  <c r="AE97" i="130"/>
  <c r="AF97" i="130"/>
  <c r="AG97" i="130"/>
  <c r="AH97" i="130"/>
  <c r="AI97" i="130"/>
  <c r="AJ97" i="130"/>
  <c r="AK97" i="130"/>
  <c r="AL97" i="130"/>
  <c r="AM97" i="130"/>
  <c r="AN97" i="130"/>
  <c r="AO97" i="130"/>
  <c r="AP97" i="130"/>
  <c r="AQ97" i="130"/>
  <c r="AR97" i="130"/>
  <c r="AS97" i="130"/>
  <c r="CL97" i="130"/>
  <c r="A98" i="130"/>
  <c r="K98" i="130"/>
  <c r="L98" i="130"/>
  <c r="M98" i="130"/>
  <c r="N98" i="130"/>
  <c r="O98" i="130"/>
  <c r="P98" i="130"/>
  <c r="P54" i="130"/>
  <c r="Q98" i="130"/>
  <c r="R98" i="130"/>
  <c r="S98" i="130"/>
  <c r="T98" i="130"/>
  <c r="U98" i="130"/>
  <c r="V98" i="130"/>
  <c r="W98" i="130"/>
  <c r="X98" i="130"/>
  <c r="X54" i="130" s="1"/>
  <c r="Y98" i="130"/>
  <c r="Y54" i="130" s="1"/>
  <c r="Z98" i="130"/>
  <c r="AA98" i="130"/>
  <c r="AA54" i="130" s="1"/>
  <c r="AB98" i="130"/>
  <c r="AC98" i="130"/>
  <c r="AD98" i="130"/>
  <c r="AE98" i="130"/>
  <c r="AF98" i="130"/>
  <c r="AG98" i="130"/>
  <c r="AH98" i="130"/>
  <c r="AI98" i="130"/>
  <c r="AJ98" i="130"/>
  <c r="AK98" i="130"/>
  <c r="AL98" i="130"/>
  <c r="AM98" i="130"/>
  <c r="AN98" i="130"/>
  <c r="AO98" i="130"/>
  <c r="AP98" i="130"/>
  <c r="AQ98" i="130"/>
  <c r="AR98" i="130"/>
  <c r="AS98" i="130"/>
  <c r="AS54" i="130" s="1"/>
  <c r="A99" i="130"/>
  <c r="C99" i="130"/>
  <c r="K99" i="130"/>
  <c r="L99" i="130"/>
  <c r="M99" i="130"/>
  <c r="N99" i="130"/>
  <c r="O99" i="130"/>
  <c r="P99" i="130"/>
  <c r="Q99" i="130"/>
  <c r="R99" i="130"/>
  <c r="S99" i="130"/>
  <c r="T99" i="130"/>
  <c r="U99" i="130"/>
  <c r="V99" i="130"/>
  <c r="W99" i="130"/>
  <c r="X99" i="130"/>
  <c r="Y99" i="130"/>
  <c r="Z99" i="130"/>
  <c r="AA99" i="130"/>
  <c r="AB99" i="130"/>
  <c r="AC99" i="130"/>
  <c r="AD99" i="130"/>
  <c r="AE99" i="130"/>
  <c r="AF99" i="130"/>
  <c r="AG99" i="130"/>
  <c r="AH99" i="130"/>
  <c r="AI99" i="130"/>
  <c r="AJ99" i="130"/>
  <c r="AK99" i="130"/>
  <c r="AL99" i="130"/>
  <c r="AM99" i="130"/>
  <c r="AN99" i="130"/>
  <c r="AO99" i="130"/>
  <c r="AP99" i="130"/>
  <c r="AQ99" i="130"/>
  <c r="AR99" i="130"/>
  <c r="AS99" i="130"/>
  <c r="A100" i="130"/>
  <c r="A101" i="130"/>
  <c r="C101" i="130"/>
  <c r="K101" i="130"/>
  <c r="L101" i="130"/>
  <c r="M101" i="130"/>
  <c r="N101" i="130"/>
  <c r="O101" i="130"/>
  <c r="P101" i="130"/>
  <c r="Q101" i="130"/>
  <c r="R101" i="130"/>
  <c r="S101" i="130"/>
  <c r="T101" i="130"/>
  <c r="U101" i="130"/>
  <c r="V101" i="130"/>
  <c r="W101" i="130"/>
  <c r="X101" i="130"/>
  <c r="Y101" i="130"/>
  <c r="Z101" i="130"/>
  <c r="AA101" i="130"/>
  <c r="AB101" i="130"/>
  <c r="AC101" i="130"/>
  <c r="AD101" i="130"/>
  <c r="AE101" i="130"/>
  <c r="AF101" i="130"/>
  <c r="AG101" i="130"/>
  <c r="AH101" i="130"/>
  <c r="AI101" i="130"/>
  <c r="AJ101" i="130"/>
  <c r="AK101" i="130"/>
  <c r="AL101" i="130"/>
  <c r="AM101" i="130"/>
  <c r="AN101" i="130"/>
  <c r="AO101" i="130"/>
  <c r="AP101" i="130"/>
  <c r="AQ101" i="130"/>
  <c r="AR101" i="130"/>
  <c r="AS101" i="130"/>
  <c r="A102" i="130"/>
  <c r="A103" i="130"/>
  <c r="A104" i="130"/>
  <c r="K104" i="130"/>
  <c r="L104" i="130"/>
  <c r="M104" i="130"/>
  <c r="N104" i="130"/>
  <c r="O104" i="130"/>
  <c r="P104" i="130"/>
  <c r="Q104" i="130"/>
  <c r="R104" i="130"/>
  <c r="S104" i="130"/>
  <c r="T104" i="130"/>
  <c r="U104" i="130"/>
  <c r="V104" i="130"/>
  <c r="W104" i="130"/>
  <c r="X104" i="130"/>
  <c r="Y104" i="130"/>
  <c r="Z104" i="130"/>
  <c r="AA104" i="130"/>
  <c r="AB104" i="130"/>
  <c r="AC104" i="130"/>
  <c r="AD104" i="130"/>
  <c r="AE104" i="130"/>
  <c r="AF104" i="130"/>
  <c r="AG104" i="130"/>
  <c r="AH104" i="130"/>
  <c r="AI104" i="130"/>
  <c r="AJ104" i="130"/>
  <c r="AK104" i="130"/>
  <c r="AL104" i="130"/>
  <c r="AM104" i="130"/>
  <c r="AN104" i="130"/>
  <c r="AO104" i="130"/>
  <c r="AP104" i="130"/>
  <c r="AQ104" i="130"/>
  <c r="AR104" i="130"/>
  <c r="AS104" i="130"/>
  <c r="A105" i="130"/>
  <c r="K105" i="130"/>
  <c r="L105" i="130"/>
  <c r="M105" i="130"/>
  <c r="N105" i="130"/>
  <c r="O105" i="130"/>
  <c r="P105" i="130"/>
  <c r="Q105" i="130"/>
  <c r="R105" i="130"/>
  <c r="S105" i="130"/>
  <c r="T105" i="130"/>
  <c r="U105" i="130"/>
  <c r="V105" i="130"/>
  <c r="W105" i="130"/>
  <c r="X105" i="130"/>
  <c r="Y105" i="130"/>
  <c r="Z105" i="130"/>
  <c r="AA105" i="130"/>
  <c r="AB105" i="130"/>
  <c r="AC105" i="130"/>
  <c r="AD105" i="130"/>
  <c r="AE105" i="130"/>
  <c r="AF105" i="130"/>
  <c r="AG105" i="130"/>
  <c r="AH105" i="130"/>
  <c r="AI105" i="130"/>
  <c r="AJ105" i="130"/>
  <c r="AK105" i="130"/>
  <c r="AL105" i="130"/>
  <c r="AM105" i="130"/>
  <c r="AN105" i="130"/>
  <c r="AO105" i="130"/>
  <c r="AP105" i="130"/>
  <c r="AQ105" i="130"/>
  <c r="AR105" i="130"/>
  <c r="AS105" i="130"/>
  <c r="A106" i="130"/>
  <c r="K106" i="130"/>
  <c r="L106" i="130"/>
  <c r="M106" i="130"/>
  <c r="N106" i="130"/>
  <c r="O106" i="130"/>
  <c r="P106" i="130"/>
  <c r="Q106" i="130"/>
  <c r="R106" i="130"/>
  <c r="S106" i="130"/>
  <c r="T106" i="130"/>
  <c r="U106" i="130"/>
  <c r="V106" i="130"/>
  <c r="W106" i="130"/>
  <c r="X106" i="130"/>
  <c r="Y106" i="130"/>
  <c r="Z106" i="130"/>
  <c r="AA106" i="130"/>
  <c r="AB106" i="130"/>
  <c r="AC106" i="130"/>
  <c r="AD106" i="130"/>
  <c r="AE106" i="130"/>
  <c r="AF106" i="130"/>
  <c r="AG106" i="130"/>
  <c r="AH106" i="130"/>
  <c r="AI106" i="130"/>
  <c r="AJ106" i="130"/>
  <c r="AK106" i="130"/>
  <c r="AL106" i="130"/>
  <c r="AM106" i="130"/>
  <c r="AN106" i="130"/>
  <c r="AO106" i="130"/>
  <c r="AP106" i="130"/>
  <c r="AQ106" i="130"/>
  <c r="AR106" i="130"/>
  <c r="AS106" i="130"/>
  <c r="A107" i="130"/>
  <c r="K107" i="130"/>
  <c r="L107" i="130"/>
  <c r="M107" i="130"/>
  <c r="N107" i="130"/>
  <c r="O107" i="130"/>
  <c r="P107" i="130"/>
  <c r="Q107" i="130"/>
  <c r="R107" i="130"/>
  <c r="S107" i="130"/>
  <c r="T107" i="130"/>
  <c r="U107" i="130"/>
  <c r="V107" i="130"/>
  <c r="W107" i="130"/>
  <c r="X107" i="130"/>
  <c r="Y107" i="130"/>
  <c r="Z107" i="130"/>
  <c r="AA107" i="130"/>
  <c r="AB107" i="130"/>
  <c r="AC107" i="130"/>
  <c r="AD107" i="130"/>
  <c r="AE107" i="130"/>
  <c r="AF107" i="130"/>
  <c r="AG107" i="130"/>
  <c r="AH107" i="130"/>
  <c r="AI107" i="130"/>
  <c r="AJ107" i="130"/>
  <c r="AK107" i="130"/>
  <c r="AL107" i="130"/>
  <c r="AM107" i="130"/>
  <c r="AN107" i="130"/>
  <c r="AO107" i="130"/>
  <c r="AP107" i="130"/>
  <c r="AQ107" i="130"/>
  <c r="AR107" i="130"/>
  <c r="AS107" i="130"/>
  <c r="K118" i="130"/>
  <c r="L118" i="130"/>
  <c r="M118" i="130"/>
  <c r="N118" i="130"/>
  <c r="O118" i="130"/>
  <c r="P118" i="130"/>
  <c r="Q118" i="130"/>
  <c r="R118" i="130"/>
  <c r="S118" i="130"/>
  <c r="T118" i="130"/>
  <c r="U118" i="130"/>
  <c r="V118" i="130"/>
  <c r="W118" i="130"/>
  <c r="X118" i="130"/>
  <c r="Y118" i="130"/>
  <c r="Z118" i="130"/>
  <c r="AA118" i="130"/>
  <c r="AB118" i="130"/>
  <c r="AC118" i="130"/>
  <c r="AD118" i="130"/>
  <c r="AE118" i="130"/>
  <c r="AF118" i="130"/>
  <c r="AG118" i="130"/>
  <c r="AH118" i="130"/>
  <c r="AI118" i="130"/>
  <c r="AJ118" i="130"/>
  <c r="AK118" i="130"/>
  <c r="AL118" i="130"/>
  <c r="AM118" i="130"/>
  <c r="AN118" i="130"/>
  <c r="AO118" i="130"/>
  <c r="AP118" i="130"/>
  <c r="AQ118" i="130"/>
  <c r="AR118" i="130"/>
  <c r="AS118" i="130"/>
  <c r="K119" i="130"/>
  <c r="K21" i="130"/>
  <c r="L119" i="130"/>
  <c r="L21" i="130" s="1"/>
  <c r="M119" i="130"/>
  <c r="M21" i="130" s="1"/>
  <c r="N119" i="130"/>
  <c r="N21" i="130" s="1"/>
  <c r="O119" i="130"/>
  <c r="O21" i="130"/>
  <c r="P119" i="130"/>
  <c r="P21" i="130" s="1"/>
  <c r="R119" i="130"/>
  <c r="R21" i="130" s="1"/>
  <c r="S119" i="130"/>
  <c r="S21" i="130" s="1"/>
  <c r="T119" i="130"/>
  <c r="T21" i="130"/>
  <c r="U119" i="130"/>
  <c r="U21" i="130" s="1"/>
  <c r="V119" i="130"/>
  <c r="V21" i="130" s="1"/>
  <c r="W119" i="130"/>
  <c r="W21" i="130" s="1"/>
  <c r="X119" i="130"/>
  <c r="X21" i="130"/>
  <c r="Y119" i="130"/>
  <c r="Y21" i="130" s="1"/>
  <c r="Z119" i="130"/>
  <c r="Z21" i="130" s="1"/>
  <c r="AA119" i="130"/>
  <c r="AA21" i="130" s="1"/>
  <c r="AB119" i="130"/>
  <c r="AB21" i="130"/>
  <c r="AC119" i="130"/>
  <c r="AC21" i="130" s="1"/>
  <c r="AD119" i="130"/>
  <c r="AD21" i="130" s="1"/>
  <c r="AE119" i="130"/>
  <c r="AE21" i="130" s="1"/>
  <c r="AF119" i="130"/>
  <c r="AF21" i="130"/>
  <c r="AG119" i="130"/>
  <c r="AG21" i="130" s="1"/>
  <c r="AH119" i="130"/>
  <c r="AH21" i="130" s="1"/>
  <c r="AI119" i="130"/>
  <c r="AI21" i="130" s="1"/>
  <c r="AJ119" i="130"/>
  <c r="AJ21" i="130"/>
  <c r="AK119" i="130"/>
  <c r="AK21" i="130" s="1"/>
  <c r="AL119" i="130"/>
  <c r="AL21" i="130" s="1"/>
  <c r="AM119" i="130"/>
  <c r="AM21" i="130" s="1"/>
  <c r="AN119" i="130"/>
  <c r="AN21" i="130"/>
  <c r="AO119" i="130"/>
  <c r="AO21" i="130" s="1"/>
  <c r="AP119" i="130"/>
  <c r="AP21" i="130" s="1"/>
  <c r="AQ119" i="130"/>
  <c r="AQ21" i="130" s="1"/>
  <c r="AR119" i="130"/>
  <c r="AR21" i="130"/>
  <c r="AS119" i="130"/>
  <c r="AS21" i="130" s="1"/>
  <c r="A5" i="127"/>
  <c r="F5" i="127"/>
  <c r="G5" i="127"/>
  <c r="H5" i="127"/>
  <c r="I5" i="127"/>
  <c r="J5" i="127"/>
  <c r="K5" i="127"/>
  <c r="L5" i="127"/>
  <c r="M5" i="127"/>
  <c r="N5" i="127"/>
  <c r="O5" i="127"/>
  <c r="P5" i="127"/>
  <c r="Q5" i="127"/>
  <c r="R5" i="127"/>
  <c r="S5" i="127"/>
  <c r="T5" i="127"/>
  <c r="U5" i="127"/>
  <c r="V5" i="127"/>
  <c r="W5" i="127"/>
  <c r="X5" i="127"/>
  <c r="Y5" i="127"/>
  <c r="Z5" i="127"/>
  <c r="AA5" i="127"/>
  <c r="AB5" i="127"/>
  <c r="AC5" i="127"/>
  <c r="AD5" i="127"/>
  <c r="AE5" i="127"/>
  <c r="AF5" i="127"/>
  <c r="AG5" i="127"/>
  <c r="AH5" i="127"/>
  <c r="AI5" i="127"/>
  <c r="AJ5" i="127"/>
  <c r="AK5" i="127"/>
  <c r="AL5" i="127"/>
  <c r="AM5" i="127"/>
  <c r="AN5" i="127"/>
  <c r="AO5" i="127"/>
  <c r="AP5" i="127"/>
  <c r="AQ5" i="127"/>
  <c r="AR5" i="127"/>
  <c r="AS5" i="127"/>
  <c r="AT5" i="127"/>
  <c r="AU5" i="127"/>
  <c r="AV5" i="127"/>
  <c r="AW5" i="127"/>
  <c r="AX5" i="127"/>
  <c r="AY5" i="127"/>
  <c r="AZ5" i="127"/>
  <c r="BA5" i="127"/>
  <c r="BB5" i="127"/>
  <c r="BC5" i="127"/>
  <c r="BD5" i="127"/>
  <c r="BE5" i="127"/>
  <c r="BF5" i="127"/>
  <c r="BG5" i="127"/>
  <c r="BH5" i="127"/>
  <c r="BI5" i="127"/>
  <c r="BJ5" i="127"/>
  <c r="BK5" i="127"/>
  <c r="BL5" i="127"/>
  <c r="BM5" i="127"/>
  <c r="BN5" i="127"/>
  <c r="BO5" i="127"/>
  <c r="BP5" i="127"/>
  <c r="BQ5" i="127"/>
  <c r="BR5" i="127"/>
  <c r="BS5" i="127"/>
  <c r="BT5" i="127"/>
  <c r="BU5" i="127"/>
  <c r="BV5" i="127"/>
  <c r="BW5" i="127"/>
  <c r="BX5" i="127"/>
  <c r="BY5" i="127"/>
  <c r="BZ5" i="127"/>
  <c r="CA5" i="127"/>
  <c r="CB5" i="127"/>
  <c r="CC5" i="127"/>
  <c r="CD5" i="127"/>
  <c r="CE5" i="127"/>
  <c r="CF5" i="127"/>
  <c r="CG5" i="127"/>
  <c r="CH5" i="127"/>
  <c r="CI5" i="127"/>
  <c r="CJ5" i="127"/>
  <c r="CK5" i="127"/>
  <c r="CL5" i="127"/>
  <c r="A6" i="127"/>
  <c r="A7" i="127"/>
  <c r="K7" i="127"/>
  <c r="L7" i="127"/>
  <c r="M7" i="127"/>
  <c r="N7" i="127"/>
  <c r="O7" i="127"/>
  <c r="P7" i="127"/>
  <c r="Q7" i="127"/>
  <c r="R7" i="127"/>
  <c r="S7" i="127"/>
  <c r="T7" i="127"/>
  <c r="U7" i="127"/>
  <c r="V7" i="127"/>
  <c r="W7" i="127"/>
  <c r="X7" i="127"/>
  <c r="Y7" i="127"/>
  <c r="Z7" i="127"/>
  <c r="AA7" i="127"/>
  <c r="AB7" i="127"/>
  <c r="AC7" i="127"/>
  <c r="AD7" i="127"/>
  <c r="AE7" i="127"/>
  <c r="AF7" i="127"/>
  <c r="AG7" i="127"/>
  <c r="AH7" i="127"/>
  <c r="AI7" i="127"/>
  <c r="AJ7" i="127"/>
  <c r="AK7" i="127"/>
  <c r="AL7" i="127"/>
  <c r="AM7" i="127"/>
  <c r="AN7" i="127"/>
  <c r="AO7" i="127"/>
  <c r="AP7" i="127"/>
  <c r="AQ7" i="127"/>
  <c r="AR7" i="127"/>
  <c r="AS7" i="127"/>
  <c r="A8" i="127"/>
  <c r="K8" i="127"/>
  <c r="L8" i="127"/>
  <c r="M8" i="127"/>
  <c r="N8" i="127"/>
  <c r="O8" i="127"/>
  <c r="P8" i="127"/>
  <c r="Q8" i="127"/>
  <c r="R8" i="127"/>
  <c r="S8" i="127"/>
  <c r="T8" i="127"/>
  <c r="U8" i="127"/>
  <c r="V8" i="127"/>
  <c r="W8" i="127"/>
  <c r="X8" i="127"/>
  <c r="Y8" i="127"/>
  <c r="Z8" i="127"/>
  <c r="AA8" i="127"/>
  <c r="AB8" i="127"/>
  <c r="AC8" i="127"/>
  <c r="AD8" i="127"/>
  <c r="AE8" i="127"/>
  <c r="AF8" i="127"/>
  <c r="AG8" i="127"/>
  <c r="AH8" i="127"/>
  <c r="AI8" i="127"/>
  <c r="AJ8" i="127"/>
  <c r="AK8" i="127"/>
  <c r="AL8" i="127"/>
  <c r="AM8" i="127"/>
  <c r="AN8" i="127"/>
  <c r="AO8" i="127"/>
  <c r="AP8" i="127"/>
  <c r="AQ8" i="127"/>
  <c r="AR8" i="127"/>
  <c r="AS8" i="127"/>
  <c r="A9" i="127"/>
  <c r="K9" i="127"/>
  <c r="L9" i="127"/>
  <c r="M9" i="127"/>
  <c r="N9" i="127"/>
  <c r="O9" i="127"/>
  <c r="P9" i="127"/>
  <c r="Q9" i="127"/>
  <c r="R9" i="127"/>
  <c r="S9" i="127"/>
  <c r="T9" i="127"/>
  <c r="U9" i="127"/>
  <c r="V9" i="127"/>
  <c r="W9" i="127"/>
  <c r="X9" i="127"/>
  <c r="Y9" i="127"/>
  <c r="Z9" i="127"/>
  <c r="AA9" i="127"/>
  <c r="AB9" i="127"/>
  <c r="AC9" i="127"/>
  <c r="AD9" i="127"/>
  <c r="AE9" i="127"/>
  <c r="AF9" i="127"/>
  <c r="AG9" i="127"/>
  <c r="AH9" i="127"/>
  <c r="AI9" i="127"/>
  <c r="AJ9" i="127"/>
  <c r="AK9" i="127"/>
  <c r="AL9" i="127"/>
  <c r="AM9" i="127"/>
  <c r="AN9" i="127"/>
  <c r="AO9" i="127"/>
  <c r="AP9" i="127"/>
  <c r="AQ9" i="127"/>
  <c r="AR9" i="127"/>
  <c r="AS9" i="127"/>
  <c r="A10" i="127"/>
  <c r="K10" i="127"/>
  <c r="L10" i="127"/>
  <c r="M10" i="127"/>
  <c r="N10" i="127"/>
  <c r="O10" i="127"/>
  <c r="P10" i="127"/>
  <c r="Q10" i="127"/>
  <c r="R10" i="127"/>
  <c r="S10" i="127"/>
  <c r="T10" i="127"/>
  <c r="U10" i="127"/>
  <c r="V10" i="127"/>
  <c r="W10" i="127"/>
  <c r="X10" i="127"/>
  <c r="Y10" i="127"/>
  <c r="Z10" i="127"/>
  <c r="AA10" i="127"/>
  <c r="AB10" i="127"/>
  <c r="AC10" i="127"/>
  <c r="AD10" i="127"/>
  <c r="AE10" i="127"/>
  <c r="AF10" i="127"/>
  <c r="AG10" i="127"/>
  <c r="AH10" i="127"/>
  <c r="AI10" i="127"/>
  <c r="AJ10" i="127"/>
  <c r="AK10" i="127"/>
  <c r="AL10" i="127"/>
  <c r="AM10" i="127"/>
  <c r="AN10" i="127"/>
  <c r="AO10" i="127"/>
  <c r="AP10" i="127"/>
  <c r="AQ10" i="127"/>
  <c r="AR10" i="127"/>
  <c r="AS10" i="127"/>
  <c r="A11" i="127"/>
  <c r="K11" i="127"/>
  <c r="L11" i="127"/>
  <c r="M11" i="127"/>
  <c r="N11" i="127"/>
  <c r="O11" i="127"/>
  <c r="P11" i="127"/>
  <c r="Q11" i="127"/>
  <c r="R11" i="127"/>
  <c r="S11" i="127"/>
  <c r="T11" i="127"/>
  <c r="U11" i="127"/>
  <c r="V11" i="127"/>
  <c r="W11" i="127"/>
  <c r="X11" i="127"/>
  <c r="Y11" i="127"/>
  <c r="Z11" i="127"/>
  <c r="AA11" i="127"/>
  <c r="AB11" i="127"/>
  <c r="AC11" i="127"/>
  <c r="AD11" i="127"/>
  <c r="AE11" i="127"/>
  <c r="AF11" i="127"/>
  <c r="AG11" i="127"/>
  <c r="AH11" i="127"/>
  <c r="AI11" i="127"/>
  <c r="AJ11" i="127"/>
  <c r="AK11" i="127"/>
  <c r="AL11" i="127"/>
  <c r="AM11" i="127"/>
  <c r="AN11" i="127"/>
  <c r="AO11" i="127"/>
  <c r="AP11" i="127"/>
  <c r="AQ11" i="127"/>
  <c r="AR11" i="127"/>
  <c r="AS11" i="127"/>
  <c r="A12" i="127"/>
  <c r="K12" i="127"/>
  <c r="L12" i="127"/>
  <c r="M12" i="127"/>
  <c r="N12" i="127"/>
  <c r="O12" i="127"/>
  <c r="P12" i="127"/>
  <c r="Q12" i="127"/>
  <c r="R12" i="127"/>
  <c r="S12" i="127"/>
  <c r="T12" i="127"/>
  <c r="U12" i="127"/>
  <c r="V12" i="127"/>
  <c r="W12" i="127"/>
  <c r="X12" i="127"/>
  <c r="Y12" i="127"/>
  <c r="Z12" i="127"/>
  <c r="AA12" i="127"/>
  <c r="AB12" i="127"/>
  <c r="AC12" i="127"/>
  <c r="AD12" i="127"/>
  <c r="AE12" i="127"/>
  <c r="AF12" i="127"/>
  <c r="AG12" i="127"/>
  <c r="AH12" i="127"/>
  <c r="AI12" i="127"/>
  <c r="AJ12" i="127"/>
  <c r="AK12" i="127"/>
  <c r="AL12" i="127"/>
  <c r="AM12" i="127"/>
  <c r="AN12" i="127"/>
  <c r="AO12" i="127"/>
  <c r="AP12" i="127"/>
  <c r="AQ12" i="127"/>
  <c r="AR12" i="127"/>
  <c r="AS12" i="127"/>
  <c r="A13" i="127"/>
  <c r="K13" i="127"/>
  <c r="L13" i="127"/>
  <c r="M13" i="127"/>
  <c r="N13" i="127"/>
  <c r="O13" i="127"/>
  <c r="P13" i="127"/>
  <c r="P14" i="127" s="1"/>
  <c r="Q13" i="127"/>
  <c r="R13" i="127"/>
  <c r="R14" i="127" s="1"/>
  <c r="S13" i="127"/>
  <c r="T13" i="127"/>
  <c r="U13" i="127"/>
  <c r="V13" i="127"/>
  <c r="V14" i="127" s="1"/>
  <c r="W13" i="127"/>
  <c r="X13" i="127"/>
  <c r="X14" i="127" s="1"/>
  <c r="Y13" i="127"/>
  <c r="Y14" i="127" s="1"/>
  <c r="Z13" i="127"/>
  <c r="AA13" i="127"/>
  <c r="AB13" i="127"/>
  <c r="AC13" i="127"/>
  <c r="AD13" i="127"/>
  <c r="AE13" i="127"/>
  <c r="AE14" i="127"/>
  <c r="AF13" i="127"/>
  <c r="AG13" i="127"/>
  <c r="AH13" i="127"/>
  <c r="AI13" i="127"/>
  <c r="AJ13" i="127"/>
  <c r="AK13" i="127"/>
  <c r="AL13" i="127"/>
  <c r="AM13" i="127"/>
  <c r="AN13" i="127"/>
  <c r="AO13" i="127"/>
  <c r="AP13" i="127"/>
  <c r="AQ13" i="127"/>
  <c r="AR13" i="127"/>
  <c r="AS13" i="127"/>
  <c r="A14" i="127"/>
  <c r="F14" i="127"/>
  <c r="G14" i="127"/>
  <c r="H14" i="127"/>
  <c r="I14" i="127"/>
  <c r="AA14" i="127"/>
  <c r="AF14" i="127"/>
  <c r="AS14" i="127"/>
  <c r="AT14" i="127"/>
  <c r="AU14" i="127"/>
  <c r="Q14" i="127" s="1"/>
  <c r="AV14" i="127"/>
  <c r="S14" i="127" s="1"/>
  <c r="AW14" i="127"/>
  <c r="N14" i="127" s="1"/>
  <c r="AX14" i="127"/>
  <c r="AY14" i="127"/>
  <c r="L14" i="127" s="1"/>
  <c r="AZ14" i="127"/>
  <c r="BA14" i="127"/>
  <c r="BB14" i="127"/>
  <c r="T14" i="127" s="1"/>
  <c r="BC14" i="127"/>
  <c r="U14" i="127" s="1"/>
  <c r="BD14" i="127"/>
  <c r="M14" i="127" s="1"/>
  <c r="BE14" i="127"/>
  <c r="O14" i="127" s="1"/>
  <c r="BF14" i="127"/>
  <c r="K14" i="127" s="1"/>
  <c r="BG14" i="127"/>
  <c r="BH14" i="127"/>
  <c r="BI14" i="127"/>
  <c r="BJ14" i="127"/>
  <c r="BK14" i="127"/>
  <c r="BL14" i="127"/>
  <c r="BM14" i="127"/>
  <c r="Z14" i="127" s="1"/>
  <c r="BN14" i="127"/>
  <c r="BO14" i="127"/>
  <c r="BP14" i="127"/>
  <c r="AB14" i="127" s="1"/>
  <c r="BQ14" i="127"/>
  <c r="BR14" i="127"/>
  <c r="W14" i="127" s="1"/>
  <c r="BS14" i="127"/>
  <c r="BT14" i="127"/>
  <c r="BU14" i="127"/>
  <c r="AD14" i="127" s="1"/>
  <c r="BV14" i="127"/>
  <c r="AG14" i="127" s="1"/>
  <c r="BW14" i="127"/>
  <c r="AI14" i="127" s="1"/>
  <c r="BX14" i="127"/>
  <c r="AC14" i="127" s="1"/>
  <c r="BY14" i="127"/>
  <c r="AJ14" i="127" s="1"/>
  <c r="BZ14" i="127"/>
  <c r="AH14" i="127" s="1"/>
  <c r="CA14" i="127"/>
  <c r="CB14" i="127"/>
  <c r="AK14" i="127" s="1"/>
  <c r="CC14" i="127"/>
  <c r="AO14" i="127" s="1"/>
  <c r="CD14" i="127"/>
  <c r="AP14" i="127" s="1"/>
  <c r="CE14" i="127"/>
  <c r="AL14" i="127" s="1"/>
  <c r="CF14" i="127"/>
  <c r="CG14" i="127"/>
  <c r="CH14" i="127"/>
  <c r="AM14" i="127" s="1"/>
  <c r="CI14" i="127"/>
  <c r="AR14" i="127" s="1"/>
  <c r="CJ14" i="127"/>
  <c r="AN14" i="127" s="1"/>
  <c r="CK14" i="127"/>
  <c r="AQ14" i="127" s="1"/>
  <c r="CL14" i="127"/>
  <c r="A15" i="127"/>
  <c r="A16" i="127"/>
  <c r="K16" i="127"/>
  <c r="L16" i="127"/>
  <c r="M16" i="127"/>
  <c r="N16" i="127"/>
  <c r="O16" i="127"/>
  <c r="P16" i="127"/>
  <c r="Q16" i="127"/>
  <c r="R16" i="127"/>
  <c r="S16" i="127"/>
  <c r="T16" i="127"/>
  <c r="U16" i="127"/>
  <c r="V16" i="127"/>
  <c r="W16" i="127"/>
  <c r="X16" i="127"/>
  <c r="Y16" i="127"/>
  <c r="Z16" i="127"/>
  <c r="AA16" i="127"/>
  <c r="AB16" i="127"/>
  <c r="AC16" i="127"/>
  <c r="AD16" i="127"/>
  <c r="AE16" i="127"/>
  <c r="AF16" i="127"/>
  <c r="AG16" i="127"/>
  <c r="AH16" i="127"/>
  <c r="AI16" i="127"/>
  <c r="AJ16" i="127"/>
  <c r="AK16" i="127"/>
  <c r="AL16" i="127"/>
  <c r="AM16" i="127"/>
  <c r="AN16" i="127"/>
  <c r="AO16" i="127"/>
  <c r="AP16" i="127"/>
  <c r="AQ16" i="127"/>
  <c r="AR16" i="127"/>
  <c r="AS16" i="127"/>
  <c r="A17" i="127"/>
  <c r="F17" i="127"/>
  <c r="G17" i="127"/>
  <c r="H17" i="127"/>
  <c r="I17" i="127"/>
  <c r="K17" i="127"/>
  <c r="L17" i="127"/>
  <c r="M17" i="127"/>
  <c r="N17" i="127"/>
  <c r="O17" i="127"/>
  <c r="P17" i="127"/>
  <c r="Q17" i="127"/>
  <c r="R17" i="127"/>
  <c r="S17" i="127"/>
  <c r="T17" i="127"/>
  <c r="U17" i="127"/>
  <c r="V17" i="127"/>
  <c r="W17" i="127"/>
  <c r="X17" i="127"/>
  <c r="Y17" i="127"/>
  <c r="Z17" i="127"/>
  <c r="AA17" i="127"/>
  <c r="AB17" i="127"/>
  <c r="AC17" i="127"/>
  <c r="AD17" i="127"/>
  <c r="AE17" i="127"/>
  <c r="AF17" i="127"/>
  <c r="AG17" i="127"/>
  <c r="AH17" i="127"/>
  <c r="AI17" i="127"/>
  <c r="AJ17" i="127"/>
  <c r="AK17" i="127"/>
  <c r="AL17" i="127"/>
  <c r="AM17" i="127"/>
  <c r="AN17" i="127"/>
  <c r="AO17" i="127"/>
  <c r="AP17" i="127"/>
  <c r="AQ17" i="127"/>
  <c r="AR17" i="127"/>
  <c r="AS17" i="127"/>
  <c r="A18" i="127"/>
  <c r="K18" i="127"/>
  <c r="L18" i="127"/>
  <c r="M18" i="127"/>
  <c r="N18" i="127"/>
  <c r="O18" i="127"/>
  <c r="P18" i="127"/>
  <c r="Q18" i="127"/>
  <c r="R18" i="127"/>
  <c r="S18" i="127"/>
  <c r="T18" i="127"/>
  <c r="U18" i="127"/>
  <c r="V18" i="127"/>
  <c r="W18" i="127"/>
  <c r="X18" i="127"/>
  <c r="Y18" i="127"/>
  <c r="Z18" i="127"/>
  <c r="AA18" i="127"/>
  <c r="AB18" i="127"/>
  <c r="AC18" i="127"/>
  <c r="AD18" i="127"/>
  <c r="AE18" i="127"/>
  <c r="AF18" i="127"/>
  <c r="AG18" i="127"/>
  <c r="AH18" i="127"/>
  <c r="AI18" i="127"/>
  <c r="AJ18" i="127"/>
  <c r="AK18" i="127"/>
  <c r="AL18" i="127"/>
  <c r="AM18" i="127"/>
  <c r="AN18" i="127"/>
  <c r="AO18" i="127"/>
  <c r="AP18" i="127"/>
  <c r="AQ18" i="127"/>
  <c r="AR18" i="127"/>
  <c r="AS18" i="127"/>
  <c r="A19" i="127"/>
  <c r="K19" i="127"/>
  <c r="L19" i="127"/>
  <c r="M19" i="127"/>
  <c r="N19" i="127"/>
  <c r="O19" i="127"/>
  <c r="P19" i="127"/>
  <c r="Q19" i="127"/>
  <c r="R19" i="127"/>
  <c r="S19" i="127"/>
  <c r="T19" i="127"/>
  <c r="U19" i="127"/>
  <c r="V19" i="127"/>
  <c r="W19" i="127"/>
  <c r="X19" i="127"/>
  <c r="Y19" i="127"/>
  <c r="Z19" i="127"/>
  <c r="AA19" i="127"/>
  <c r="AB19" i="127"/>
  <c r="AC19" i="127"/>
  <c r="AD19" i="127"/>
  <c r="AE19" i="127"/>
  <c r="AF19" i="127"/>
  <c r="AG19" i="127"/>
  <c r="AH19" i="127"/>
  <c r="AI19" i="127"/>
  <c r="AJ19" i="127"/>
  <c r="AK19" i="127"/>
  <c r="AL19" i="127"/>
  <c r="AM19" i="127"/>
  <c r="AN19" i="127"/>
  <c r="AO19" i="127"/>
  <c r="AP19" i="127"/>
  <c r="AQ19" i="127"/>
  <c r="AR19" i="127"/>
  <c r="AS19" i="127"/>
  <c r="A20" i="127"/>
  <c r="K20" i="127"/>
  <c r="L20" i="127"/>
  <c r="M20" i="127"/>
  <c r="N20" i="127"/>
  <c r="O20" i="127"/>
  <c r="P20" i="127"/>
  <c r="Q20" i="127"/>
  <c r="Q21" i="127"/>
  <c r="R20" i="127"/>
  <c r="S20" i="127"/>
  <c r="T20" i="127"/>
  <c r="U20" i="127"/>
  <c r="V20" i="127"/>
  <c r="W20" i="127"/>
  <c r="X20" i="127"/>
  <c r="Y20" i="127"/>
  <c r="Z20" i="127"/>
  <c r="AA20" i="127"/>
  <c r="AB20" i="127"/>
  <c r="AC20" i="127"/>
  <c r="AD20" i="127"/>
  <c r="AE20" i="127"/>
  <c r="AF20" i="127"/>
  <c r="AG20" i="127"/>
  <c r="AH20" i="127"/>
  <c r="AI20" i="127"/>
  <c r="AJ20" i="127"/>
  <c r="AK20" i="127"/>
  <c r="AL20" i="127"/>
  <c r="AM20" i="127"/>
  <c r="AN20" i="127"/>
  <c r="AO20" i="127"/>
  <c r="AP20" i="127"/>
  <c r="AQ20" i="127"/>
  <c r="AR20" i="127"/>
  <c r="AS20" i="127"/>
  <c r="A21" i="127"/>
  <c r="F21" i="127"/>
  <c r="G21" i="127"/>
  <c r="H21" i="127"/>
  <c r="I21" i="127"/>
  <c r="AT21" i="127"/>
  <c r="AU21" i="127"/>
  <c r="AV21" i="127"/>
  <c r="AW21" i="127"/>
  <c r="AX21" i="127"/>
  <c r="AY21" i="127"/>
  <c r="AZ21" i="127"/>
  <c r="BA21" i="127"/>
  <c r="BB21" i="127"/>
  <c r="BC21" i="127"/>
  <c r="BD21" i="127"/>
  <c r="BE21" i="127"/>
  <c r="BF21" i="127"/>
  <c r="BG21" i="127"/>
  <c r="BH21" i="127"/>
  <c r="BI21" i="127"/>
  <c r="BJ21" i="127"/>
  <c r="BK21" i="127"/>
  <c r="BL21" i="127"/>
  <c r="BM21" i="127"/>
  <c r="BN21" i="127"/>
  <c r="BO21" i="127"/>
  <c r="BP21" i="127"/>
  <c r="BQ21" i="127"/>
  <c r="BR21" i="127"/>
  <c r="BS21" i="127"/>
  <c r="BT21" i="127"/>
  <c r="BU21" i="127"/>
  <c r="BV21" i="127"/>
  <c r="BW21" i="127"/>
  <c r="BX21" i="127"/>
  <c r="BY21" i="127"/>
  <c r="BZ21" i="127"/>
  <c r="CA21" i="127"/>
  <c r="CB21" i="127"/>
  <c r="CC21" i="127"/>
  <c r="CD21" i="127"/>
  <c r="CE21" i="127"/>
  <c r="CF21" i="127"/>
  <c r="CG21" i="127"/>
  <c r="CH21" i="127"/>
  <c r="CI21" i="127"/>
  <c r="CJ21" i="127"/>
  <c r="CK21" i="127"/>
  <c r="CL21" i="127"/>
  <c r="A22" i="127"/>
  <c r="Q22" i="127"/>
  <c r="A23" i="127"/>
  <c r="K23" i="127"/>
  <c r="L23" i="127"/>
  <c r="M23" i="127"/>
  <c r="N23" i="127"/>
  <c r="O23" i="127"/>
  <c r="P23" i="127"/>
  <c r="Q23" i="127"/>
  <c r="R23" i="127"/>
  <c r="S23" i="127"/>
  <c r="T23" i="127"/>
  <c r="U23" i="127"/>
  <c r="V23" i="127"/>
  <c r="V32" i="127" s="1"/>
  <c r="V33" i="127" s="1"/>
  <c r="W23" i="127"/>
  <c r="X23" i="127"/>
  <c r="Y23" i="127"/>
  <c r="Z23" i="127"/>
  <c r="AA23" i="127"/>
  <c r="AA32" i="127" s="1"/>
  <c r="AA33" i="127" s="1"/>
  <c r="AB23" i="127"/>
  <c r="AC23" i="127"/>
  <c r="AD23" i="127"/>
  <c r="AE23" i="127"/>
  <c r="AF23" i="127"/>
  <c r="AG23" i="127"/>
  <c r="AH23" i="127"/>
  <c r="AI23" i="127"/>
  <c r="AJ23" i="127"/>
  <c r="AK23" i="127"/>
  <c r="AL23" i="127"/>
  <c r="AM23" i="127"/>
  <c r="AN23" i="127"/>
  <c r="AO23" i="127"/>
  <c r="AP23" i="127"/>
  <c r="AQ23" i="127"/>
  <c r="AR23" i="127"/>
  <c r="AS23" i="127"/>
  <c r="AS32" i="127" s="1"/>
  <c r="A24" i="127"/>
  <c r="F24" i="127"/>
  <c r="G24" i="127"/>
  <c r="H24" i="127"/>
  <c r="I24" i="127"/>
  <c r="I31" i="127" s="1"/>
  <c r="AT24" i="127"/>
  <c r="R24" i="127" s="1"/>
  <c r="AU24" i="127"/>
  <c r="Q24" i="127" s="1"/>
  <c r="AV24" i="127"/>
  <c r="S24" i="127" s="1"/>
  <c r="AW24" i="127"/>
  <c r="N24" i="127" s="1"/>
  <c r="AX24" i="127"/>
  <c r="AY24" i="127"/>
  <c r="L24" i="127"/>
  <c r="AZ24" i="127"/>
  <c r="AZ31" i="127" s="1"/>
  <c r="BA24" i="127"/>
  <c r="BA31" i="127" s="1"/>
  <c r="BB24" i="127"/>
  <c r="T24" i="127" s="1"/>
  <c r="BC24" i="127"/>
  <c r="U24" i="127" s="1"/>
  <c r="BD24" i="127"/>
  <c r="M24" i="127" s="1"/>
  <c r="BE24" i="127"/>
  <c r="O24" i="127"/>
  <c r="BF24" i="127"/>
  <c r="BF31" i="127" s="1"/>
  <c r="K31" i="127" s="1"/>
  <c r="BG24" i="127"/>
  <c r="BG31" i="127" s="1"/>
  <c r="BI24" i="127"/>
  <c r="X24" i="127" s="1"/>
  <c r="BJ24" i="127"/>
  <c r="BM24" i="127"/>
  <c r="Z24" i="127" s="1"/>
  <c r="BN24" i="127"/>
  <c r="Y24" i="127" s="1"/>
  <c r="BP24" i="127"/>
  <c r="AB24" i="127" s="1"/>
  <c r="BQ24" i="127"/>
  <c r="AA24" i="127" s="1"/>
  <c r="BR24" i="127"/>
  <c r="BR31" i="127" s="1"/>
  <c r="W31" i="127" s="1"/>
  <c r="BS24" i="127"/>
  <c r="AE24" i="127" s="1"/>
  <c r="BT24" i="127"/>
  <c r="BU24" i="127"/>
  <c r="AD24" i="127" s="1"/>
  <c r="BV24" i="127"/>
  <c r="BW24" i="127"/>
  <c r="AI24" i="127" s="1"/>
  <c r="BX24" i="127"/>
  <c r="AC24" i="127" s="1"/>
  <c r="BY24" i="127"/>
  <c r="AJ24" i="127" s="1"/>
  <c r="BZ24" i="127"/>
  <c r="AH24" i="127"/>
  <c r="CA24" i="127"/>
  <c r="AF24" i="127" s="1"/>
  <c r="CB24" i="127"/>
  <c r="AK24" i="127" s="1"/>
  <c r="CC24" i="127"/>
  <c r="AO24" i="127" s="1"/>
  <c r="CD24" i="127"/>
  <c r="AP24" i="127"/>
  <c r="CE24" i="127"/>
  <c r="AL24" i="127" s="1"/>
  <c r="CG24" i="127"/>
  <c r="AS24" i="127" s="1"/>
  <c r="CH24" i="127"/>
  <c r="CH31" i="127" s="1"/>
  <c r="AM31" i="127" s="1"/>
  <c r="CI24" i="127"/>
  <c r="AR24" i="127" s="1"/>
  <c r="CJ24" i="127"/>
  <c r="AN24" i="127" s="1"/>
  <c r="CK24" i="127"/>
  <c r="AQ24" i="127" s="1"/>
  <c r="CL24" i="127"/>
  <c r="CL31" i="127" s="1"/>
  <c r="A25" i="127"/>
  <c r="K25" i="127"/>
  <c r="L25" i="127"/>
  <c r="M25" i="127"/>
  <c r="N25" i="127"/>
  <c r="O25" i="127"/>
  <c r="P25" i="127"/>
  <c r="Q25" i="127"/>
  <c r="R25" i="127"/>
  <c r="S25" i="127"/>
  <c r="T25" i="127"/>
  <c r="U25" i="127"/>
  <c r="V25" i="127"/>
  <c r="W25" i="127"/>
  <c r="X25" i="127"/>
  <c r="Y25" i="127"/>
  <c r="Z25" i="127"/>
  <c r="AA25" i="127"/>
  <c r="AB25" i="127"/>
  <c r="AC25" i="127"/>
  <c r="AD25" i="127"/>
  <c r="AE25" i="127"/>
  <c r="AF25" i="127"/>
  <c r="AG25" i="127"/>
  <c r="AH25" i="127"/>
  <c r="AI25" i="127"/>
  <c r="AJ25" i="127"/>
  <c r="AL25" i="127"/>
  <c r="AM25" i="127"/>
  <c r="AN25" i="127"/>
  <c r="AO25" i="127"/>
  <c r="AP25" i="127"/>
  <c r="AQ25" i="127"/>
  <c r="AR25" i="127"/>
  <c r="AS25" i="127"/>
  <c r="CB25" i="127"/>
  <c r="AK25" i="127" s="1"/>
  <c r="A26" i="127"/>
  <c r="F26" i="127"/>
  <c r="G26" i="127"/>
  <c r="H26" i="127"/>
  <c r="I26" i="127"/>
  <c r="AT26" i="127"/>
  <c r="AU26" i="127"/>
  <c r="Q26" i="127"/>
  <c r="AV26" i="127"/>
  <c r="S26" i="127" s="1"/>
  <c r="AW26" i="127"/>
  <c r="N26" i="127" s="1"/>
  <c r="AX26" i="127"/>
  <c r="AY26" i="127"/>
  <c r="L26" i="127" s="1"/>
  <c r="AZ26" i="127"/>
  <c r="P26" i="127" s="1"/>
  <c r="BA26" i="127"/>
  <c r="BB26" i="127"/>
  <c r="T26" i="127"/>
  <c r="BC26" i="127"/>
  <c r="U26" i="127" s="1"/>
  <c r="BD26" i="127"/>
  <c r="M26" i="127" s="1"/>
  <c r="BE26" i="127"/>
  <c r="O26" i="127" s="1"/>
  <c r="BF26" i="127"/>
  <c r="K26" i="127"/>
  <c r="BG26" i="127"/>
  <c r="V26" i="127"/>
  <c r="BI26" i="127"/>
  <c r="X26" i="127" s="1"/>
  <c r="BJ26" i="127"/>
  <c r="BM26" i="127"/>
  <c r="Z26" i="127" s="1"/>
  <c r="BN26" i="127"/>
  <c r="Y26" i="127" s="1"/>
  <c r="BP26" i="127"/>
  <c r="AB26" i="127" s="1"/>
  <c r="BQ26" i="127"/>
  <c r="AA26" i="127" s="1"/>
  <c r="BR26" i="127"/>
  <c r="W26" i="127" s="1"/>
  <c r="BS26" i="127"/>
  <c r="AE26" i="127" s="1"/>
  <c r="BT26" i="127"/>
  <c r="BU26" i="127"/>
  <c r="AD26" i="127" s="1"/>
  <c r="BV26" i="127"/>
  <c r="AG26" i="127"/>
  <c r="BW26" i="127"/>
  <c r="AI26" i="127" s="1"/>
  <c r="BX26" i="127"/>
  <c r="AC26" i="127" s="1"/>
  <c r="BY26" i="127"/>
  <c r="AJ26" i="127" s="1"/>
  <c r="BZ26" i="127"/>
  <c r="AH26" i="127" s="1"/>
  <c r="CA26" i="127"/>
  <c r="AF26" i="127" s="1"/>
  <c r="CB26" i="127"/>
  <c r="AK26" i="127" s="1"/>
  <c r="CC26" i="127"/>
  <c r="AO26" i="127" s="1"/>
  <c r="CD26" i="127"/>
  <c r="AP26" i="127" s="1"/>
  <c r="CE26" i="127"/>
  <c r="AL26" i="127" s="1"/>
  <c r="CG26" i="127"/>
  <c r="AS26" i="127" s="1"/>
  <c r="CH26" i="127"/>
  <c r="AM26" i="127" s="1"/>
  <c r="CI26" i="127"/>
  <c r="AR26" i="127"/>
  <c r="CJ26" i="127"/>
  <c r="AN26" i="127"/>
  <c r="CK26" i="127"/>
  <c r="AQ26" i="127" s="1"/>
  <c r="CL26" i="127"/>
  <c r="A27" i="127"/>
  <c r="F27" i="127"/>
  <c r="G27" i="127"/>
  <c r="H27" i="127"/>
  <c r="I27" i="127"/>
  <c r="AT27" i="127"/>
  <c r="R27" i="127" s="1"/>
  <c r="AU27" i="127"/>
  <c r="Q27" i="127" s="1"/>
  <c r="AV27" i="127"/>
  <c r="S27" i="127" s="1"/>
  <c r="AW27" i="127"/>
  <c r="N27" i="127" s="1"/>
  <c r="AX27" i="127"/>
  <c r="AY27" i="127"/>
  <c r="L27" i="127" s="1"/>
  <c r="AZ27" i="127"/>
  <c r="P27" i="127" s="1"/>
  <c r="BA27" i="127"/>
  <c r="BB27" i="127"/>
  <c r="T27" i="127" s="1"/>
  <c r="BC27" i="127"/>
  <c r="U27" i="127" s="1"/>
  <c r="BD27" i="127"/>
  <c r="M27" i="127"/>
  <c r="BE27" i="127"/>
  <c r="O27" i="127"/>
  <c r="BF27" i="127"/>
  <c r="K27" i="127" s="1"/>
  <c r="BG27" i="127"/>
  <c r="BI27" i="127"/>
  <c r="X27" i="127"/>
  <c r="BJ27" i="127"/>
  <c r="BM27" i="127"/>
  <c r="Z27" i="127" s="1"/>
  <c r="BN27" i="127"/>
  <c r="Y27" i="127" s="1"/>
  <c r="BP27" i="127"/>
  <c r="AB27" i="127" s="1"/>
  <c r="BQ27" i="127"/>
  <c r="AA27" i="127" s="1"/>
  <c r="BR27" i="127"/>
  <c r="W27" i="127" s="1"/>
  <c r="BS27" i="127"/>
  <c r="BT27" i="127"/>
  <c r="AE27" i="127"/>
  <c r="BU27" i="127"/>
  <c r="AD27" i="127" s="1"/>
  <c r="BV27" i="127"/>
  <c r="AG27" i="127" s="1"/>
  <c r="BW27" i="127"/>
  <c r="AI27" i="127" s="1"/>
  <c r="BX27" i="127"/>
  <c r="AC27" i="127"/>
  <c r="BY27" i="127"/>
  <c r="AJ27" i="127" s="1"/>
  <c r="BZ27" i="127"/>
  <c r="AH27" i="127" s="1"/>
  <c r="CA27" i="127"/>
  <c r="AF27" i="127" s="1"/>
  <c r="CB27" i="127"/>
  <c r="AK27" i="127"/>
  <c r="CC27" i="127"/>
  <c r="AO27" i="127" s="1"/>
  <c r="CD27" i="127"/>
  <c r="AP27" i="127" s="1"/>
  <c r="CE27" i="127"/>
  <c r="AL27" i="127" s="1"/>
  <c r="CG27" i="127"/>
  <c r="AS27" i="127"/>
  <c r="CH27" i="127"/>
  <c r="AM27" i="127" s="1"/>
  <c r="CI27" i="127"/>
  <c r="AR27" i="127" s="1"/>
  <c r="CJ27" i="127"/>
  <c r="AN27" i="127" s="1"/>
  <c r="CK27" i="127"/>
  <c r="AQ27" i="127" s="1"/>
  <c r="CL27" i="127"/>
  <c r="A28" i="127"/>
  <c r="F28" i="127"/>
  <c r="G28" i="127"/>
  <c r="H28" i="127"/>
  <c r="I28" i="127"/>
  <c r="AT28" i="127"/>
  <c r="AU28" i="127"/>
  <c r="Q28" i="127" s="1"/>
  <c r="AV28" i="127"/>
  <c r="S28" i="127" s="1"/>
  <c r="AW28" i="127"/>
  <c r="N28" i="127" s="1"/>
  <c r="AX28" i="127"/>
  <c r="AY28" i="127"/>
  <c r="L28" i="127" s="1"/>
  <c r="AZ28" i="127"/>
  <c r="P28" i="127" s="1"/>
  <c r="BA28" i="127"/>
  <c r="BB28" i="127"/>
  <c r="T28" i="127"/>
  <c r="BC28" i="127"/>
  <c r="U28" i="127"/>
  <c r="BD28" i="127"/>
  <c r="M28" i="127" s="1"/>
  <c r="BE28" i="127"/>
  <c r="O28" i="127" s="1"/>
  <c r="BF28" i="127"/>
  <c r="K28" i="127"/>
  <c r="BG28" i="127"/>
  <c r="V28" i="127"/>
  <c r="BI28" i="127"/>
  <c r="X28" i="127" s="1"/>
  <c r="BJ28" i="127"/>
  <c r="BM28" i="127"/>
  <c r="Z28" i="127" s="1"/>
  <c r="BN28" i="127"/>
  <c r="Y28" i="127" s="1"/>
  <c r="BP28" i="127"/>
  <c r="AB28" i="127" s="1"/>
  <c r="BQ28" i="127"/>
  <c r="AA28" i="127" s="1"/>
  <c r="BR28" i="127"/>
  <c r="W28" i="127" s="1"/>
  <c r="BS28" i="127"/>
  <c r="AE28" i="127" s="1"/>
  <c r="BT28" i="127"/>
  <c r="BU28" i="127"/>
  <c r="AD28" i="127"/>
  <c r="BV28" i="127"/>
  <c r="AG28" i="127" s="1"/>
  <c r="BW28" i="127"/>
  <c r="AI28" i="127" s="1"/>
  <c r="BX28" i="127"/>
  <c r="AC28" i="127" s="1"/>
  <c r="BY28" i="127"/>
  <c r="AJ28" i="127"/>
  <c r="BZ28" i="127"/>
  <c r="AH28" i="127" s="1"/>
  <c r="CA28" i="127"/>
  <c r="AF28" i="127" s="1"/>
  <c r="CB28" i="127"/>
  <c r="AK28" i="127" s="1"/>
  <c r="CC28" i="127"/>
  <c r="AO28" i="127"/>
  <c r="CD28" i="127"/>
  <c r="AP28" i="127" s="1"/>
  <c r="CE28" i="127"/>
  <c r="AL28" i="127" s="1"/>
  <c r="CG28" i="127"/>
  <c r="AS28" i="127" s="1"/>
  <c r="CH28" i="127"/>
  <c r="AM28" i="127"/>
  <c r="CI28" i="127"/>
  <c r="AR28" i="127" s="1"/>
  <c r="CJ28" i="127"/>
  <c r="AN28" i="127" s="1"/>
  <c r="CK28" i="127"/>
  <c r="AQ28" i="127" s="1"/>
  <c r="CL28" i="127"/>
  <c r="A29" i="127"/>
  <c r="K29" i="127"/>
  <c r="L29" i="127"/>
  <c r="M29" i="127"/>
  <c r="N29" i="127"/>
  <c r="O29" i="127"/>
  <c r="P29" i="127"/>
  <c r="Q29" i="127"/>
  <c r="R29" i="127"/>
  <c r="S29" i="127"/>
  <c r="T29" i="127"/>
  <c r="U29" i="127"/>
  <c r="W29" i="127"/>
  <c r="Y29" i="127"/>
  <c r="Z29" i="127"/>
  <c r="AA29" i="127"/>
  <c r="AB29" i="127"/>
  <c r="AC29" i="127"/>
  <c r="AE29" i="127"/>
  <c r="AF29" i="127"/>
  <c r="AG29" i="127"/>
  <c r="AI29" i="127"/>
  <c r="AJ29" i="127"/>
  <c r="AL29" i="127"/>
  <c r="AM29" i="127"/>
  <c r="AN29" i="127"/>
  <c r="AP29" i="127"/>
  <c r="AQ29" i="127"/>
  <c r="AR29" i="127"/>
  <c r="AS29" i="127"/>
  <c r="BI29" i="127"/>
  <c r="X29" i="127" s="1"/>
  <c r="BJ29" i="127"/>
  <c r="V29" i="127"/>
  <c r="BU29" i="127"/>
  <c r="AD29" i="127" s="1"/>
  <c r="BZ29" i="127"/>
  <c r="AH29" i="127" s="1"/>
  <c r="CB29" i="127"/>
  <c r="AK29" i="127" s="1"/>
  <c r="CC29" i="127"/>
  <c r="AO29" i="127"/>
  <c r="CL29" i="127"/>
  <c r="A30" i="127"/>
  <c r="F30" i="127"/>
  <c r="G30" i="127"/>
  <c r="H30" i="127"/>
  <c r="I30" i="127"/>
  <c r="AT30" i="127"/>
  <c r="AU30" i="127"/>
  <c r="Q30" i="127" s="1"/>
  <c r="AV30" i="127"/>
  <c r="S30" i="127" s="1"/>
  <c r="AW30" i="127"/>
  <c r="N30" i="127" s="1"/>
  <c r="AX30" i="127"/>
  <c r="AY30" i="127"/>
  <c r="L30" i="127" s="1"/>
  <c r="AZ30" i="127"/>
  <c r="BA30" i="127"/>
  <c r="BB30" i="127"/>
  <c r="T30" i="127" s="1"/>
  <c r="BC30" i="127"/>
  <c r="U30" i="127" s="1"/>
  <c r="BD30" i="127"/>
  <c r="M30" i="127" s="1"/>
  <c r="BE30" i="127"/>
  <c r="O30" i="127" s="1"/>
  <c r="BF30" i="127"/>
  <c r="K30" i="127" s="1"/>
  <c r="BG30" i="127"/>
  <c r="BH30" i="127"/>
  <c r="BI30" i="127"/>
  <c r="BJ30" i="127"/>
  <c r="BK30" i="127"/>
  <c r="BL30" i="127"/>
  <c r="BM30" i="127"/>
  <c r="Z30" i="127" s="1"/>
  <c r="BN30" i="127"/>
  <c r="BO30" i="127"/>
  <c r="BP30" i="127"/>
  <c r="AB30" i="127" s="1"/>
  <c r="BQ30" i="127"/>
  <c r="BR30" i="127"/>
  <c r="W30" i="127"/>
  <c r="BS30" i="127"/>
  <c r="BT30" i="127"/>
  <c r="BU30" i="127"/>
  <c r="AD30" i="127" s="1"/>
  <c r="BV30" i="127"/>
  <c r="AG30" i="127" s="1"/>
  <c r="BW30" i="127"/>
  <c r="AI30" i="127"/>
  <c r="BX30" i="127"/>
  <c r="AC30" i="127"/>
  <c r="BY30" i="127"/>
  <c r="AJ30" i="127" s="1"/>
  <c r="BZ30" i="127"/>
  <c r="AH30" i="127" s="1"/>
  <c r="CA30" i="127"/>
  <c r="AF30" i="127" s="1"/>
  <c r="CB30" i="127"/>
  <c r="AK30" i="127" s="1"/>
  <c r="CC30" i="127"/>
  <c r="AO30" i="127" s="1"/>
  <c r="CD30" i="127"/>
  <c r="AP30" i="127" s="1"/>
  <c r="CE30" i="127"/>
  <c r="AL30" i="127" s="1"/>
  <c r="CF30" i="127"/>
  <c r="CG30" i="127"/>
  <c r="CH30" i="127"/>
  <c r="AM30" i="127" s="1"/>
  <c r="CI30" i="127"/>
  <c r="AR30" i="127" s="1"/>
  <c r="CJ30" i="127"/>
  <c r="AN30" i="127" s="1"/>
  <c r="CK30" i="127"/>
  <c r="AQ30" i="127" s="1"/>
  <c r="CL30" i="127"/>
  <c r="A31" i="127"/>
  <c r="B31" i="127"/>
  <c r="F31" i="127"/>
  <c r="G31" i="127"/>
  <c r="H31" i="127"/>
  <c r="AT31" i="127"/>
  <c r="R31" i="127" s="1"/>
  <c r="AV31" i="127"/>
  <c r="S31" i="127" s="1"/>
  <c r="AX31" i="127"/>
  <c r="BD31" i="127"/>
  <c r="M31" i="127" s="1"/>
  <c r="BH31" i="127"/>
  <c r="BI31" i="127"/>
  <c r="X31" i="127" s="1"/>
  <c r="BJ31" i="127"/>
  <c r="BK31" i="127"/>
  <c r="BL31" i="127"/>
  <c r="BM31" i="127"/>
  <c r="Z31" i="127" s="1"/>
  <c r="BN31" i="127"/>
  <c r="BO31" i="127"/>
  <c r="BP31" i="127"/>
  <c r="AB31" i="127" s="1"/>
  <c r="BT31" i="127"/>
  <c r="BZ31" i="127"/>
  <c r="AH31" i="127" s="1"/>
  <c r="CB31" i="127"/>
  <c r="AK31" i="127"/>
  <c r="CD31" i="127"/>
  <c r="AP31" i="127" s="1"/>
  <c r="CF31" i="127"/>
  <c r="CI31" i="127"/>
  <c r="AR31" i="127" s="1"/>
  <c r="CJ31" i="127"/>
  <c r="AN31" i="127" s="1"/>
  <c r="CK31" i="127"/>
  <c r="AQ31" i="127" s="1"/>
  <c r="A32" i="127"/>
  <c r="K32" i="127"/>
  <c r="L32" i="127"/>
  <c r="M32" i="127"/>
  <c r="N32" i="127"/>
  <c r="O32" i="127"/>
  <c r="P32" i="127"/>
  <c r="P33" i="127" s="1"/>
  <c r="Q32" i="127"/>
  <c r="S32" i="127"/>
  <c r="T32" i="127"/>
  <c r="U32" i="127"/>
  <c r="W32" i="127"/>
  <c r="X32" i="127"/>
  <c r="X33" i="127" s="1"/>
  <c r="Y32" i="127"/>
  <c r="Y33" i="127" s="1"/>
  <c r="Z32" i="127"/>
  <c r="AB32" i="127"/>
  <c r="AC32" i="127"/>
  <c r="AD32" i="127"/>
  <c r="AE32" i="127"/>
  <c r="AE33" i="127" s="1"/>
  <c r="AF32" i="127"/>
  <c r="AG32" i="127"/>
  <c r="AH32" i="127"/>
  <c r="AI32" i="127"/>
  <c r="AJ32" i="127"/>
  <c r="AK32" i="127"/>
  <c r="AL32" i="127"/>
  <c r="AM32" i="127"/>
  <c r="AN32" i="127"/>
  <c r="AO32" i="127"/>
  <c r="AP32" i="127"/>
  <c r="AQ32" i="127"/>
  <c r="AR32" i="127"/>
  <c r="AS33" i="127"/>
  <c r="A33" i="127"/>
  <c r="F33" i="127"/>
  <c r="G33" i="127"/>
  <c r="H33" i="127"/>
  <c r="I33" i="127"/>
  <c r="S33" i="127"/>
  <c r="AK33" i="127"/>
  <c r="AT33" i="127"/>
  <c r="AU33" i="127"/>
  <c r="Q33" i="127" s="1"/>
  <c r="AV33" i="127"/>
  <c r="AW33" i="127"/>
  <c r="N33" i="127" s="1"/>
  <c r="AX33" i="127"/>
  <c r="AY33" i="127"/>
  <c r="L33" i="127"/>
  <c r="AZ33" i="127"/>
  <c r="BA33" i="127"/>
  <c r="BB33" i="127"/>
  <c r="T33" i="127" s="1"/>
  <c r="BC33" i="127"/>
  <c r="U33" i="127"/>
  <c r="BD33" i="127"/>
  <c r="M33" i="127" s="1"/>
  <c r="BE33" i="127"/>
  <c r="O33" i="127" s="1"/>
  <c r="BF33" i="127"/>
  <c r="K33" i="127" s="1"/>
  <c r="BG33" i="127"/>
  <c r="BH33" i="127"/>
  <c r="BI33" i="127"/>
  <c r="BJ33" i="127"/>
  <c r="BK33" i="127"/>
  <c r="BL33" i="127"/>
  <c r="BM33" i="127"/>
  <c r="Z33" i="127" s="1"/>
  <c r="BN33" i="127"/>
  <c r="BO33" i="127"/>
  <c r="BP33" i="127"/>
  <c r="AB33" i="127" s="1"/>
  <c r="BQ33" i="127"/>
  <c r="BR33" i="127"/>
  <c r="W33" i="127" s="1"/>
  <c r="BS33" i="127"/>
  <c r="BT33" i="127"/>
  <c r="BU33" i="127"/>
  <c r="AD33" i="127" s="1"/>
  <c r="BV33" i="127"/>
  <c r="AG33" i="127" s="1"/>
  <c r="BW33" i="127"/>
  <c r="AI33" i="127" s="1"/>
  <c r="BX33" i="127"/>
  <c r="AC33" i="127" s="1"/>
  <c r="BY33" i="127"/>
  <c r="AJ33" i="127"/>
  <c r="BZ33" i="127"/>
  <c r="AH33" i="127" s="1"/>
  <c r="CA33" i="127"/>
  <c r="AF33" i="127"/>
  <c r="CB33" i="127"/>
  <c r="CC33" i="127"/>
  <c r="AO33" i="127" s="1"/>
  <c r="CD33" i="127"/>
  <c r="AP33" i="127" s="1"/>
  <c r="CE33" i="127"/>
  <c r="AL33" i="127" s="1"/>
  <c r="CF33" i="127"/>
  <c r="CG33" i="127"/>
  <c r="CH33" i="127"/>
  <c r="AM33" i="127" s="1"/>
  <c r="CI33" i="127"/>
  <c r="AR33" i="127" s="1"/>
  <c r="CJ33" i="127"/>
  <c r="AN33" i="127" s="1"/>
  <c r="CK33" i="127"/>
  <c r="AQ33" i="127"/>
  <c r="CL33" i="127"/>
  <c r="A34" i="127"/>
  <c r="A35" i="127"/>
  <c r="K35" i="127"/>
  <c r="K67" i="127" s="1"/>
  <c r="L35" i="127"/>
  <c r="L67" i="127" s="1"/>
  <c r="M35" i="127"/>
  <c r="M67" i="127" s="1"/>
  <c r="N35" i="127"/>
  <c r="N67" i="127" s="1"/>
  <c r="O35" i="127"/>
  <c r="O67" i="127" s="1"/>
  <c r="P35" i="127"/>
  <c r="P67" i="127" s="1"/>
  <c r="Q35" i="127"/>
  <c r="Q67" i="127" s="1"/>
  <c r="R35" i="127"/>
  <c r="S35" i="127"/>
  <c r="S67" i="127" s="1"/>
  <c r="T35" i="127"/>
  <c r="T67" i="127" s="1"/>
  <c r="U35" i="127"/>
  <c r="U67" i="127" s="1"/>
  <c r="V35" i="127"/>
  <c r="V67" i="127" s="1"/>
  <c r="W35" i="127"/>
  <c r="W67" i="127" s="1"/>
  <c r="X35" i="127"/>
  <c r="X67" i="127" s="1"/>
  <c r="X30" i="127"/>
  <c r="Y35" i="127"/>
  <c r="Y67" i="127" s="1"/>
  <c r="Z35" i="127"/>
  <c r="Z67" i="127" s="1"/>
  <c r="AA35" i="127"/>
  <c r="AA67" i="127" s="1"/>
  <c r="AB35" i="127"/>
  <c r="AB67" i="127" s="1"/>
  <c r="AC35" i="127"/>
  <c r="AC67" i="127" s="1"/>
  <c r="AD35" i="127"/>
  <c r="AD67" i="127" s="1"/>
  <c r="AE35" i="127"/>
  <c r="AE93" i="127" s="1"/>
  <c r="AF35" i="127"/>
  <c r="AF67" i="127" s="1"/>
  <c r="AG35" i="127"/>
  <c r="AG67" i="127" s="1"/>
  <c r="AH35" i="127"/>
  <c r="AH67" i="127" s="1"/>
  <c r="AI35" i="127"/>
  <c r="AI67" i="127" s="1"/>
  <c r="AJ35" i="127"/>
  <c r="AJ67" i="127" s="1"/>
  <c r="AK35" i="127"/>
  <c r="AK67" i="127" s="1"/>
  <c r="AL35" i="127"/>
  <c r="AL67" i="127" s="1"/>
  <c r="AM35" i="127"/>
  <c r="AM67" i="127" s="1"/>
  <c r="AN35" i="127"/>
  <c r="AN67" i="127" s="1"/>
  <c r="AO35" i="127"/>
  <c r="AO67" i="127" s="1"/>
  <c r="AP35" i="127"/>
  <c r="AP67" i="127" s="1"/>
  <c r="AQ35" i="127"/>
  <c r="AQ67" i="127" s="1"/>
  <c r="AR35" i="127"/>
  <c r="AR67" i="127" s="1"/>
  <c r="AS35" i="127"/>
  <c r="AS67" i="127" s="1"/>
  <c r="A36" i="127"/>
  <c r="K36" i="127"/>
  <c r="L36" i="127"/>
  <c r="M36" i="127"/>
  <c r="N36" i="127"/>
  <c r="O36" i="127"/>
  <c r="P36" i="127"/>
  <c r="Q36" i="127"/>
  <c r="R36" i="127"/>
  <c r="S36" i="127"/>
  <c r="T36" i="127"/>
  <c r="U36" i="127"/>
  <c r="V36" i="127"/>
  <c r="W36" i="127"/>
  <c r="X36" i="127"/>
  <c r="Y36" i="127"/>
  <c r="Z36" i="127"/>
  <c r="AA36" i="127"/>
  <c r="AB36" i="127"/>
  <c r="AC36" i="127"/>
  <c r="AD36" i="127"/>
  <c r="AE36" i="127"/>
  <c r="AF36" i="127"/>
  <c r="AG36" i="127"/>
  <c r="AH36" i="127"/>
  <c r="AI36" i="127"/>
  <c r="AJ36" i="127"/>
  <c r="AK36" i="127"/>
  <c r="AL36" i="127"/>
  <c r="AM36" i="127"/>
  <c r="AN36" i="127"/>
  <c r="AO36" i="127"/>
  <c r="AP36" i="127"/>
  <c r="AQ36" i="127"/>
  <c r="AR36" i="127"/>
  <c r="AS36" i="127"/>
  <c r="A37" i="127"/>
  <c r="K37" i="127"/>
  <c r="L37" i="127"/>
  <c r="M37" i="127"/>
  <c r="N37" i="127"/>
  <c r="O37" i="127"/>
  <c r="P37" i="127"/>
  <c r="Q37" i="127"/>
  <c r="R37" i="127"/>
  <c r="S37" i="127"/>
  <c r="T37" i="127"/>
  <c r="U37" i="127"/>
  <c r="V37" i="127"/>
  <c r="W37" i="127"/>
  <c r="X37" i="127"/>
  <c r="Y37" i="127"/>
  <c r="Z37" i="127"/>
  <c r="AA37" i="127"/>
  <c r="AB37" i="127"/>
  <c r="AC37" i="127"/>
  <c r="AD37" i="127"/>
  <c r="AE37" i="127"/>
  <c r="AF37" i="127"/>
  <c r="AG37" i="127"/>
  <c r="AH37" i="127"/>
  <c r="AI37" i="127"/>
  <c r="AJ37" i="127"/>
  <c r="AK37" i="127"/>
  <c r="AL37" i="127"/>
  <c r="AM37" i="127"/>
  <c r="AN37" i="127"/>
  <c r="AO37" i="127"/>
  <c r="AP37" i="127"/>
  <c r="AQ37" i="127"/>
  <c r="AR37" i="127"/>
  <c r="AS37" i="127"/>
  <c r="A38" i="127"/>
  <c r="K38" i="127"/>
  <c r="L38" i="127"/>
  <c r="M38" i="127"/>
  <c r="N38" i="127"/>
  <c r="O38" i="127"/>
  <c r="P38" i="127"/>
  <c r="Q38" i="127"/>
  <c r="R38" i="127"/>
  <c r="S38" i="127"/>
  <c r="T38" i="127"/>
  <c r="U38" i="127"/>
  <c r="V38" i="127"/>
  <c r="W38" i="127"/>
  <c r="X38" i="127"/>
  <c r="Y38" i="127"/>
  <c r="Z38" i="127"/>
  <c r="AA38" i="127"/>
  <c r="AB38" i="127"/>
  <c r="AC38" i="127"/>
  <c r="AD38" i="127"/>
  <c r="AE38" i="127"/>
  <c r="AF38" i="127"/>
  <c r="AG38" i="127"/>
  <c r="AH38" i="127"/>
  <c r="AI38" i="127"/>
  <c r="AJ38" i="127"/>
  <c r="AK38" i="127"/>
  <c r="AL38" i="127"/>
  <c r="AM38" i="127"/>
  <c r="AN38" i="127"/>
  <c r="AO38" i="127"/>
  <c r="AP38" i="127"/>
  <c r="AQ38" i="127"/>
  <c r="AR38" i="127"/>
  <c r="AS38" i="127"/>
  <c r="A39" i="127"/>
  <c r="K39" i="127"/>
  <c r="L39" i="127"/>
  <c r="M39" i="127"/>
  <c r="N39" i="127"/>
  <c r="O39" i="127"/>
  <c r="P39" i="127"/>
  <c r="Q39" i="127"/>
  <c r="R39" i="127"/>
  <c r="S39" i="127"/>
  <c r="T39" i="127"/>
  <c r="U39" i="127"/>
  <c r="V39" i="127"/>
  <c r="W39" i="127"/>
  <c r="X39" i="127"/>
  <c r="Y39" i="127"/>
  <c r="Z39" i="127"/>
  <c r="AA39" i="127"/>
  <c r="AB39" i="127"/>
  <c r="AC39" i="127"/>
  <c r="AD39" i="127"/>
  <c r="AE39" i="127"/>
  <c r="AF39" i="127"/>
  <c r="AG39" i="127"/>
  <c r="AH39" i="127"/>
  <c r="AI39" i="127"/>
  <c r="AJ39" i="127"/>
  <c r="AK39" i="127"/>
  <c r="AL39" i="127"/>
  <c r="AM39" i="127"/>
  <c r="AN39" i="127"/>
  <c r="AO39" i="127"/>
  <c r="AP39" i="127"/>
  <c r="AQ39" i="127"/>
  <c r="AR39" i="127"/>
  <c r="AS39" i="127"/>
  <c r="A40" i="127"/>
  <c r="A41" i="127"/>
  <c r="K41" i="127"/>
  <c r="L41" i="127"/>
  <c r="M41" i="127"/>
  <c r="N41" i="127"/>
  <c r="O41" i="127"/>
  <c r="P41" i="127"/>
  <c r="Q41" i="127"/>
  <c r="R41" i="127"/>
  <c r="S41" i="127"/>
  <c r="T41" i="127"/>
  <c r="U41" i="127"/>
  <c r="V41" i="127"/>
  <c r="W41" i="127"/>
  <c r="X41" i="127"/>
  <c r="Y41" i="127"/>
  <c r="Z41" i="127"/>
  <c r="AA41" i="127"/>
  <c r="AB41" i="127"/>
  <c r="AC41" i="127"/>
  <c r="AD41" i="127"/>
  <c r="AE41" i="127"/>
  <c r="AF41" i="127"/>
  <c r="AG41" i="127"/>
  <c r="AH41" i="127"/>
  <c r="AI41" i="127"/>
  <c r="AJ41" i="127"/>
  <c r="AK41" i="127"/>
  <c r="AL41" i="127"/>
  <c r="AM41" i="127"/>
  <c r="AN41" i="127"/>
  <c r="AO41" i="127"/>
  <c r="AP41" i="127"/>
  <c r="AQ41" i="127"/>
  <c r="AR41" i="127"/>
  <c r="AS41" i="127"/>
  <c r="A42" i="127"/>
  <c r="K42" i="127"/>
  <c r="L42" i="127"/>
  <c r="M42" i="127"/>
  <c r="N42" i="127"/>
  <c r="O42" i="127"/>
  <c r="P42" i="127"/>
  <c r="Q42" i="127"/>
  <c r="R42" i="127"/>
  <c r="S42" i="127"/>
  <c r="T42" i="127"/>
  <c r="U42" i="127"/>
  <c r="V42" i="127"/>
  <c r="W42" i="127"/>
  <c r="X42" i="127"/>
  <c r="Y42" i="127"/>
  <c r="Z42" i="127"/>
  <c r="AA42" i="127"/>
  <c r="AB42" i="127"/>
  <c r="AC42" i="127"/>
  <c r="AD42" i="127"/>
  <c r="AE42" i="127"/>
  <c r="AF42" i="127"/>
  <c r="AG42" i="127"/>
  <c r="AH42" i="127"/>
  <c r="AI42" i="127"/>
  <c r="AJ42" i="127"/>
  <c r="AK42" i="127"/>
  <c r="AL42" i="127"/>
  <c r="AM42" i="127"/>
  <c r="AN42" i="127"/>
  <c r="AO42" i="127"/>
  <c r="AP42" i="127"/>
  <c r="AQ42" i="127"/>
  <c r="AR42" i="127"/>
  <c r="AS42" i="127"/>
  <c r="A43" i="127"/>
  <c r="A44" i="127"/>
  <c r="F44" i="127"/>
  <c r="G44" i="127"/>
  <c r="H44" i="127"/>
  <c r="I44" i="127"/>
  <c r="AT44" i="127"/>
  <c r="AU44" i="127"/>
  <c r="Q44" i="127" s="1"/>
  <c r="AV44" i="127"/>
  <c r="S44" i="127" s="1"/>
  <c r="AW44" i="127"/>
  <c r="N44" i="127" s="1"/>
  <c r="AX44" i="127"/>
  <c r="AY44" i="127"/>
  <c r="L44" i="127"/>
  <c r="AZ44" i="127"/>
  <c r="BA44" i="127"/>
  <c r="BB44" i="127"/>
  <c r="T44" i="127" s="1"/>
  <c r="BC44" i="127"/>
  <c r="U44" i="127" s="1"/>
  <c r="BD44" i="127"/>
  <c r="M44" i="127"/>
  <c r="BE44" i="127"/>
  <c r="O44" i="127"/>
  <c r="BF44" i="127"/>
  <c r="K44" i="127" s="1"/>
  <c r="BI44" i="127"/>
  <c r="BJ44" i="127"/>
  <c r="BK44" i="127"/>
  <c r="BM44" i="127"/>
  <c r="Z44" i="127" s="1"/>
  <c r="BN44" i="127"/>
  <c r="BP44" i="127"/>
  <c r="AB44" i="127"/>
  <c r="BQ44" i="127"/>
  <c r="AA44" i="127" s="1"/>
  <c r="BR44" i="127"/>
  <c r="W44" i="127" s="1"/>
  <c r="BS44" i="127"/>
  <c r="BT44" i="127"/>
  <c r="BU44" i="127"/>
  <c r="AD44" i="127" s="1"/>
  <c r="BV44" i="127"/>
  <c r="AG44" i="127" s="1"/>
  <c r="BW44" i="127"/>
  <c r="AI44" i="127" s="1"/>
  <c r="BX44" i="127"/>
  <c r="AC44" i="127" s="1"/>
  <c r="BY44" i="127"/>
  <c r="AJ44" i="127" s="1"/>
  <c r="BZ44" i="127"/>
  <c r="AH44" i="127" s="1"/>
  <c r="CA44" i="127"/>
  <c r="AF44" i="127" s="1"/>
  <c r="CB44" i="127"/>
  <c r="AK44" i="127" s="1"/>
  <c r="CC44" i="127"/>
  <c r="AO44" i="127" s="1"/>
  <c r="CD44" i="127"/>
  <c r="AP44" i="127" s="1"/>
  <c r="CE44" i="127"/>
  <c r="AL44" i="127" s="1"/>
  <c r="CF44" i="127"/>
  <c r="CG44" i="127"/>
  <c r="CH44" i="127"/>
  <c r="AM44" i="127" s="1"/>
  <c r="CI44" i="127"/>
  <c r="AR44" i="127" s="1"/>
  <c r="CJ44" i="127"/>
  <c r="AN44" i="127" s="1"/>
  <c r="CK44" i="127"/>
  <c r="AQ44" i="127" s="1"/>
  <c r="CL44" i="127"/>
  <c r="A45" i="127"/>
  <c r="K45" i="127"/>
  <c r="L45" i="127"/>
  <c r="M45" i="127"/>
  <c r="N45" i="127"/>
  <c r="O45" i="127"/>
  <c r="Q45" i="127"/>
  <c r="S45" i="127"/>
  <c r="T45" i="127"/>
  <c r="U45" i="127"/>
  <c r="W45" i="127"/>
  <c r="Z45" i="127"/>
  <c r="AB45" i="127"/>
  <c r="AC45" i="127"/>
  <c r="AD45" i="127"/>
  <c r="AF45" i="127"/>
  <c r="AG45" i="127"/>
  <c r="AH45" i="127"/>
  <c r="AI45" i="127"/>
  <c r="AJ45" i="127"/>
  <c r="AK45" i="127"/>
  <c r="AL45" i="127"/>
  <c r="AM45" i="127"/>
  <c r="AN45" i="127"/>
  <c r="AO45" i="127"/>
  <c r="AP45" i="127"/>
  <c r="AQ45" i="127"/>
  <c r="AR45" i="127"/>
  <c r="AS45" i="127"/>
  <c r="AS47" i="127" s="1"/>
  <c r="A46" i="127"/>
  <c r="K46" i="127"/>
  <c r="L46" i="127"/>
  <c r="M46" i="127"/>
  <c r="N46" i="127"/>
  <c r="O46" i="127"/>
  <c r="Q46" i="127"/>
  <c r="S46" i="127"/>
  <c r="T46" i="127"/>
  <c r="U46" i="127"/>
  <c r="W46" i="127"/>
  <c r="Z46" i="127"/>
  <c r="AB46" i="127"/>
  <c r="AC46" i="127"/>
  <c r="AD46" i="127"/>
  <c r="AF46" i="127"/>
  <c r="AG46" i="127"/>
  <c r="AH46" i="127"/>
  <c r="AI46" i="127"/>
  <c r="AJ46" i="127"/>
  <c r="AK46" i="127"/>
  <c r="AL46" i="127"/>
  <c r="AM46" i="127"/>
  <c r="AN46" i="127"/>
  <c r="AO46" i="127"/>
  <c r="AP46" i="127"/>
  <c r="AQ46" i="127"/>
  <c r="AR46" i="127"/>
  <c r="AS46" i="127"/>
  <c r="A47" i="127"/>
  <c r="K47" i="127"/>
  <c r="L47" i="127"/>
  <c r="M47" i="127"/>
  <c r="N47" i="127"/>
  <c r="O47" i="127"/>
  <c r="Q47" i="127"/>
  <c r="S47" i="127"/>
  <c r="T47" i="127"/>
  <c r="U47" i="127"/>
  <c r="W47" i="127"/>
  <c r="Z47" i="127"/>
  <c r="AB47" i="127"/>
  <c r="AC47" i="127"/>
  <c r="AD47" i="127"/>
  <c r="AF47" i="127"/>
  <c r="AG47" i="127"/>
  <c r="AH47" i="127"/>
  <c r="AI47" i="127"/>
  <c r="AJ47" i="127"/>
  <c r="AK47" i="127"/>
  <c r="AL47" i="127"/>
  <c r="AM47" i="127"/>
  <c r="AN47" i="127"/>
  <c r="AO47" i="127"/>
  <c r="AP47" i="127"/>
  <c r="AQ47" i="127"/>
  <c r="AR47" i="127"/>
  <c r="A48" i="127"/>
  <c r="K48" i="127"/>
  <c r="L48" i="127"/>
  <c r="M48" i="127"/>
  <c r="N48" i="127"/>
  <c r="O48" i="127"/>
  <c r="P48" i="127"/>
  <c r="Q48" i="127"/>
  <c r="R48" i="127"/>
  <c r="S48" i="127"/>
  <c r="T48" i="127"/>
  <c r="U48" i="127"/>
  <c r="V48" i="127"/>
  <c r="W48" i="127"/>
  <c r="X48" i="127"/>
  <c r="Y48" i="127"/>
  <c r="Z48" i="127"/>
  <c r="AA48" i="127"/>
  <c r="AB48" i="127"/>
  <c r="AC48" i="127"/>
  <c r="AD48" i="127"/>
  <c r="AE48" i="127"/>
  <c r="AF48" i="127"/>
  <c r="AG48" i="127"/>
  <c r="AH48" i="127"/>
  <c r="AI48" i="127"/>
  <c r="AJ48" i="127"/>
  <c r="AK48" i="127"/>
  <c r="AL48" i="127"/>
  <c r="AM48" i="127"/>
  <c r="AN48" i="127"/>
  <c r="AO48" i="127"/>
  <c r="AP48" i="127"/>
  <c r="AQ48" i="127"/>
  <c r="AR48" i="127"/>
  <c r="AS48" i="127"/>
  <c r="A49" i="127"/>
  <c r="K49" i="127"/>
  <c r="L49" i="127"/>
  <c r="M49" i="127"/>
  <c r="N49" i="127"/>
  <c r="O49" i="127"/>
  <c r="P49" i="127"/>
  <c r="Q49" i="127"/>
  <c r="R49" i="127"/>
  <c r="S49" i="127"/>
  <c r="T49" i="127"/>
  <c r="U49" i="127"/>
  <c r="V49" i="127"/>
  <c r="W49" i="127"/>
  <c r="X49" i="127"/>
  <c r="Y49" i="127"/>
  <c r="Z49" i="127"/>
  <c r="AA49" i="127"/>
  <c r="AB49" i="127"/>
  <c r="AC49" i="127"/>
  <c r="AD49" i="127"/>
  <c r="AE49" i="127"/>
  <c r="AF49" i="127"/>
  <c r="AG49" i="127"/>
  <c r="AH49" i="127"/>
  <c r="AI49" i="127"/>
  <c r="AJ49" i="127"/>
  <c r="AK49" i="127"/>
  <c r="AL49" i="127"/>
  <c r="AM49" i="127"/>
  <c r="AN49" i="127"/>
  <c r="AO49" i="127"/>
  <c r="AP49" i="127"/>
  <c r="AQ49" i="127"/>
  <c r="AR49" i="127"/>
  <c r="AS49" i="127"/>
  <c r="A50" i="127"/>
  <c r="K50" i="127"/>
  <c r="L50" i="127"/>
  <c r="M50" i="127"/>
  <c r="N50" i="127"/>
  <c r="O50" i="127"/>
  <c r="P50" i="127"/>
  <c r="Q50" i="127"/>
  <c r="S50" i="127"/>
  <c r="T50" i="127"/>
  <c r="U50" i="127"/>
  <c r="W50" i="127"/>
  <c r="X50" i="127"/>
  <c r="Z50" i="127"/>
  <c r="AB50" i="127"/>
  <c r="AC50" i="127"/>
  <c r="AD50" i="127"/>
  <c r="AF50" i="127"/>
  <c r="AG50" i="127"/>
  <c r="AH50" i="127"/>
  <c r="AI50" i="127"/>
  <c r="AJ50" i="127"/>
  <c r="AK50" i="127"/>
  <c r="AL50" i="127"/>
  <c r="AM50" i="127"/>
  <c r="AN50" i="127"/>
  <c r="AO50" i="127"/>
  <c r="AP50" i="127"/>
  <c r="AQ50" i="127"/>
  <c r="AR50" i="127"/>
  <c r="A51" i="127"/>
  <c r="C51" i="127"/>
  <c r="F51" i="127"/>
  <c r="G51" i="127"/>
  <c r="H51" i="127"/>
  <c r="I51" i="127"/>
  <c r="AT51" i="127"/>
  <c r="AU51" i="127"/>
  <c r="Q51" i="127" s="1"/>
  <c r="AV51" i="127"/>
  <c r="S51" i="127" s="1"/>
  <c r="AW51" i="127"/>
  <c r="N51" i="127" s="1"/>
  <c r="AX51" i="127"/>
  <c r="AY51" i="127"/>
  <c r="L51" i="127" s="1"/>
  <c r="AZ51" i="127"/>
  <c r="BA51" i="127"/>
  <c r="BB51" i="127"/>
  <c r="T51" i="127"/>
  <c r="BC51" i="127"/>
  <c r="U51" i="127" s="1"/>
  <c r="BD51" i="127"/>
  <c r="M51" i="127" s="1"/>
  <c r="BE51" i="127"/>
  <c r="O51" i="127" s="1"/>
  <c r="BF51" i="127"/>
  <c r="K51" i="127" s="1"/>
  <c r="BG51" i="127"/>
  <c r="BH51" i="127"/>
  <c r="BI51" i="127"/>
  <c r="BJ51" i="127"/>
  <c r="BK51" i="127"/>
  <c r="BL51" i="127"/>
  <c r="BM51" i="127"/>
  <c r="Z51" i="127" s="1"/>
  <c r="BN51" i="127"/>
  <c r="BO51" i="127"/>
  <c r="BP51" i="127"/>
  <c r="AB51" i="127" s="1"/>
  <c r="BQ51" i="127"/>
  <c r="BR51" i="127"/>
  <c r="W51" i="127" s="1"/>
  <c r="BS51" i="127"/>
  <c r="BT51" i="127"/>
  <c r="BU51" i="127"/>
  <c r="AD51" i="127" s="1"/>
  <c r="BV51" i="127"/>
  <c r="AG51" i="127" s="1"/>
  <c r="BW51" i="127"/>
  <c r="AI51" i="127" s="1"/>
  <c r="BX51" i="127"/>
  <c r="AC51" i="127" s="1"/>
  <c r="BZ51" i="127"/>
  <c r="AH51" i="127" s="1"/>
  <c r="CA51" i="127"/>
  <c r="AF51" i="127" s="1"/>
  <c r="CB51" i="127"/>
  <c r="AK51" i="127" s="1"/>
  <c r="CC51" i="127"/>
  <c r="AO51" i="127" s="1"/>
  <c r="CD51" i="127"/>
  <c r="AP51" i="127" s="1"/>
  <c r="CE51" i="127"/>
  <c r="AL51" i="127" s="1"/>
  <c r="CF51" i="127"/>
  <c r="CG51" i="127"/>
  <c r="CH51" i="127"/>
  <c r="AM51" i="127" s="1"/>
  <c r="CI51" i="127"/>
  <c r="AR51" i="127" s="1"/>
  <c r="CJ51" i="127"/>
  <c r="AN51" i="127"/>
  <c r="CK51" i="127"/>
  <c r="AQ51" i="127"/>
  <c r="CL51" i="127"/>
  <c r="A52" i="127"/>
  <c r="A53" i="127"/>
  <c r="A54" i="127"/>
  <c r="F54" i="127"/>
  <c r="G54" i="127"/>
  <c r="H54" i="127"/>
  <c r="I54" i="127"/>
  <c r="AT54" i="127"/>
  <c r="AU54" i="127"/>
  <c r="Q54" i="127" s="1"/>
  <c r="AV54" i="127"/>
  <c r="S54" i="127" s="1"/>
  <c r="AW54" i="127"/>
  <c r="N54" i="127" s="1"/>
  <c r="AX54" i="127"/>
  <c r="AY54" i="127"/>
  <c r="L54" i="127" s="1"/>
  <c r="AZ54" i="127"/>
  <c r="BA54" i="127"/>
  <c r="BB54" i="127"/>
  <c r="T54" i="127" s="1"/>
  <c r="BC54" i="127"/>
  <c r="U54" i="127"/>
  <c r="BD54" i="127"/>
  <c r="M54" i="127" s="1"/>
  <c r="BE54" i="127"/>
  <c r="O54" i="127"/>
  <c r="BF54" i="127"/>
  <c r="K54" i="127" s="1"/>
  <c r="BG54" i="127"/>
  <c r="BH54" i="127"/>
  <c r="BI54" i="127"/>
  <c r="BJ54" i="127"/>
  <c r="BK54" i="127"/>
  <c r="BL54" i="127"/>
  <c r="BM54" i="127"/>
  <c r="Z54" i="127" s="1"/>
  <c r="BN54" i="127"/>
  <c r="BO54" i="127"/>
  <c r="BP54" i="127"/>
  <c r="AB54" i="127" s="1"/>
  <c r="BQ54" i="127"/>
  <c r="BR54" i="127"/>
  <c r="W54" i="127" s="1"/>
  <c r="BS54" i="127"/>
  <c r="BT54" i="127"/>
  <c r="BU54" i="127"/>
  <c r="AD54" i="127" s="1"/>
  <c r="BV54" i="127"/>
  <c r="AG54" i="127"/>
  <c r="BW54" i="127"/>
  <c r="AI54" i="127" s="1"/>
  <c r="BX54" i="127"/>
  <c r="AC54" i="127" s="1"/>
  <c r="BZ54" i="127"/>
  <c r="AH54" i="127" s="1"/>
  <c r="CA54" i="127"/>
  <c r="AF54" i="127" s="1"/>
  <c r="CB54" i="127"/>
  <c r="AK54" i="127" s="1"/>
  <c r="CC54" i="127"/>
  <c r="AO54" i="127"/>
  <c r="CD54" i="127"/>
  <c r="AP54" i="127" s="1"/>
  <c r="CE54" i="127"/>
  <c r="AL54" i="127" s="1"/>
  <c r="CF54" i="127"/>
  <c r="CG54" i="127"/>
  <c r="CH54" i="127"/>
  <c r="AM54" i="127"/>
  <c r="CI54" i="127"/>
  <c r="AR54" i="127"/>
  <c r="CJ54" i="127"/>
  <c r="AN54" i="127" s="1"/>
  <c r="CK54" i="127"/>
  <c r="AQ54" i="127" s="1"/>
  <c r="CL54" i="127"/>
  <c r="A55" i="127"/>
  <c r="A56" i="127"/>
  <c r="K56" i="127"/>
  <c r="L56" i="127"/>
  <c r="M56" i="127"/>
  <c r="N56" i="127"/>
  <c r="O56" i="127"/>
  <c r="P56" i="127"/>
  <c r="Q56" i="127"/>
  <c r="R56" i="127"/>
  <c r="S56" i="127"/>
  <c r="T56" i="127"/>
  <c r="U56" i="127"/>
  <c r="V56" i="127"/>
  <c r="W56" i="127"/>
  <c r="X56" i="127"/>
  <c r="Y56" i="127"/>
  <c r="Z56" i="127"/>
  <c r="AA56" i="127"/>
  <c r="AB56" i="127"/>
  <c r="AC56" i="127"/>
  <c r="AD56" i="127"/>
  <c r="AE56" i="127"/>
  <c r="AF56" i="127"/>
  <c r="AG56" i="127"/>
  <c r="AH56" i="127"/>
  <c r="AI56" i="127"/>
  <c r="AJ56" i="127"/>
  <c r="AK56" i="127"/>
  <c r="AL56" i="127"/>
  <c r="AM56" i="127"/>
  <c r="AN56" i="127"/>
  <c r="AO56" i="127"/>
  <c r="AP56" i="127"/>
  <c r="AQ56" i="127"/>
  <c r="AR56" i="127"/>
  <c r="AS56" i="127"/>
  <c r="A57" i="127"/>
  <c r="K57" i="127"/>
  <c r="L57" i="127"/>
  <c r="M57" i="127"/>
  <c r="N57" i="127"/>
  <c r="O57" i="127"/>
  <c r="P57" i="127"/>
  <c r="Q57" i="127"/>
  <c r="R57" i="127"/>
  <c r="S57" i="127"/>
  <c r="T57" i="127"/>
  <c r="U57" i="127"/>
  <c r="V57" i="127"/>
  <c r="W57" i="127"/>
  <c r="X57" i="127"/>
  <c r="Y57" i="127"/>
  <c r="Z57" i="127"/>
  <c r="AA57" i="127"/>
  <c r="AB57" i="127"/>
  <c r="AC57" i="127"/>
  <c r="AD57" i="127"/>
  <c r="AE57" i="127"/>
  <c r="AF57" i="127"/>
  <c r="AG57" i="127"/>
  <c r="AH57" i="127"/>
  <c r="AI57" i="127"/>
  <c r="AJ57" i="127"/>
  <c r="AK57" i="127"/>
  <c r="AL57" i="127"/>
  <c r="AM57" i="127"/>
  <c r="AN57" i="127"/>
  <c r="AO57" i="127"/>
  <c r="AP57" i="127"/>
  <c r="AQ57" i="127"/>
  <c r="AR57" i="127"/>
  <c r="AS57" i="127"/>
  <c r="A58" i="127"/>
  <c r="K58" i="127"/>
  <c r="L58" i="127"/>
  <c r="M58" i="127"/>
  <c r="N58" i="127"/>
  <c r="O58" i="127"/>
  <c r="P58" i="127"/>
  <c r="Q58" i="127"/>
  <c r="R58" i="127"/>
  <c r="S58" i="127"/>
  <c r="T58" i="127"/>
  <c r="U58" i="127"/>
  <c r="V58" i="127"/>
  <c r="W58" i="127"/>
  <c r="X58" i="127"/>
  <c r="Y58" i="127"/>
  <c r="Z58" i="127"/>
  <c r="AA58" i="127"/>
  <c r="AB58" i="127"/>
  <c r="AC58" i="127"/>
  <c r="AD58" i="127"/>
  <c r="AE58" i="127"/>
  <c r="AF58" i="127"/>
  <c r="AG58" i="127"/>
  <c r="AH58" i="127"/>
  <c r="AI58" i="127"/>
  <c r="AJ58" i="127"/>
  <c r="AK58" i="127"/>
  <c r="AL58" i="127"/>
  <c r="AM58" i="127"/>
  <c r="AN58" i="127"/>
  <c r="AO58" i="127"/>
  <c r="AP58" i="127"/>
  <c r="AQ58" i="127"/>
  <c r="AR58" i="127"/>
  <c r="AS58" i="127"/>
  <c r="A59" i="127"/>
  <c r="K59" i="127"/>
  <c r="L59" i="127"/>
  <c r="M59" i="127"/>
  <c r="N59" i="127"/>
  <c r="O59" i="127"/>
  <c r="P59" i="127"/>
  <c r="Q59" i="127"/>
  <c r="R59" i="127"/>
  <c r="S59" i="127"/>
  <c r="T59" i="127"/>
  <c r="U59" i="127"/>
  <c r="V59" i="127"/>
  <c r="W59" i="127"/>
  <c r="X59" i="127"/>
  <c r="Y59" i="127"/>
  <c r="Z59" i="127"/>
  <c r="AA59" i="127"/>
  <c r="AB59" i="127"/>
  <c r="AC59" i="127"/>
  <c r="AD59" i="127"/>
  <c r="AE59" i="127"/>
  <c r="AF59" i="127"/>
  <c r="AG59" i="127"/>
  <c r="AH59" i="127"/>
  <c r="AI59" i="127"/>
  <c r="AJ59" i="127"/>
  <c r="AK59" i="127"/>
  <c r="AL59" i="127"/>
  <c r="AM59" i="127"/>
  <c r="AN59" i="127"/>
  <c r="AO59" i="127"/>
  <c r="AP59" i="127"/>
  <c r="AQ59" i="127"/>
  <c r="AR59" i="127"/>
  <c r="AS59" i="127"/>
  <c r="A60" i="127"/>
  <c r="K60" i="127"/>
  <c r="L60" i="127"/>
  <c r="M60" i="127"/>
  <c r="N60" i="127"/>
  <c r="O60" i="127"/>
  <c r="P60" i="127"/>
  <c r="Q60" i="127"/>
  <c r="R60" i="127"/>
  <c r="S60" i="127"/>
  <c r="T60" i="127"/>
  <c r="U60" i="127"/>
  <c r="V60" i="127"/>
  <c r="W60" i="127"/>
  <c r="X60" i="127"/>
  <c r="Y60" i="127"/>
  <c r="Z60" i="127"/>
  <c r="AA60" i="127"/>
  <c r="AB60" i="127"/>
  <c r="AC60" i="127"/>
  <c r="AD60" i="127"/>
  <c r="AE60" i="127"/>
  <c r="AF60" i="127"/>
  <c r="AG60" i="127"/>
  <c r="AH60" i="127"/>
  <c r="AI60" i="127"/>
  <c r="AJ60" i="127"/>
  <c r="AK60" i="127"/>
  <c r="AL60" i="127"/>
  <c r="AM60" i="127"/>
  <c r="AN60" i="127"/>
  <c r="AO60" i="127"/>
  <c r="AP60" i="127"/>
  <c r="AQ60" i="127"/>
  <c r="AR60" i="127"/>
  <c r="AS60" i="127"/>
  <c r="A61" i="127"/>
  <c r="K61" i="127"/>
  <c r="L61" i="127"/>
  <c r="M61" i="127"/>
  <c r="N61" i="127"/>
  <c r="O61" i="127"/>
  <c r="P61" i="127"/>
  <c r="Q61" i="127"/>
  <c r="R61" i="127"/>
  <c r="S61" i="127"/>
  <c r="T61" i="127"/>
  <c r="U61" i="127"/>
  <c r="V61" i="127"/>
  <c r="W61" i="127"/>
  <c r="X61" i="127"/>
  <c r="Y61" i="127"/>
  <c r="Z61" i="127"/>
  <c r="AA61" i="127"/>
  <c r="AB61" i="127"/>
  <c r="AC61" i="127"/>
  <c r="AD61" i="127"/>
  <c r="AE61" i="127"/>
  <c r="AF61" i="127"/>
  <c r="AG61" i="127"/>
  <c r="AH61" i="127"/>
  <c r="AI61" i="127"/>
  <c r="AJ61" i="127"/>
  <c r="AK61" i="127"/>
  <c r="AL61" i="127"/>
  <c r="AM61" i="127"/>
  <c r="AN61" i="127"/>
  <c r="AO61" i="127"/>
  <c r="AP61" i="127"/>
  <c r="AQ61" i="127"/>
  <c r="AR61" i="127"/>
  <c r="AS61" i="127"/>
  <c r="A62" i="127"/>
  <c r="K62" i="127"/>
  <c r="L62" i="127"/>
  <c r="M62" i="127"/>
  <c r="N62" i="127"/>
  <c r="O62" i="127"/>
  <c r="P62" i="127"/>
  <c r="Q62" i="127"/>
  <c r="R62" i="127"/>
  <c r="S62" i="127"/>
  <c r="T62" i="127"/>
  <c r="U62" i="127"/>
  <c r="V62" i="127"/>
  <c r="W62" i="127"/>
  <c r="X62" i="127"/>
  <c r="Y62" i="127"/>
  <c r="Z62" i="127"/>
  <c r="AA62" i="127"/>
  <c r="AB62" i="127"/>
  <c r="AC62" i="127"/>
  <c r="AD62" i="127"/>
  <c r="AE62" i="127"/>
  <c r="AF62" i="127"/>
  <c r="AG62" i="127"/>
  <c r="AH62" i="127"/>
  <c r="AI62" i="127"/>
  <c r="AJ62" i="127"/>
  <c r="AK62" i="127"/>
  <c r="AL62" i="127"/>
  <c r="AM62" i="127"/>
  <c r="AN62" i="127"/>
  <c r="AO62" i="127"/>
  <c r="AP62" i="127"/>
  <c r="AQ62" i="127"/>
  <c r="AR62" i="127"/>
  <c r="AS62" i="127"/>
  <c r="A63" i="127"/>
  <c r="K63" i="127"/>
  <c r="L63" i="127"/>
  <c r="M63" i="127"/>
  <c r="N63" i="127"/>
  <c r="O63" i="127"/>
  <c r="P63" i="127"/>
  <c r="Q63" i="127"/>
  <c r="R63" i="127"/>
  <c r="S63" i="127"/>
  <c r="T63" i="127"/>
  <c r="U63" i="127"/>
  <c r="V63" i="127"/>
  <c r="W63" i="127"/>
  <c r="X63" i="127"/>
  <c r="Y63" i="127"/>
  <c r="Z63" i="127"/>
  <c r="AA63" i="127"/>
  <c r="AB63" i="127"/>
  <c r="AC63" i="127"/>
  <c r="AD63" i="127"/>
  <c r="AE63" i="127"/>
  <c r="AF63" i="127"/>
  <c r="AG63" i="127"/>
  <c r="AH63" i="127"/>
  <c r="AI63" i="127"/>
  <c r="AJ63" i="127"/>
  <c r="AK63" i="127"/>
  <c r="AL63" i="127"/>
  <c r="AM63" i="127"/>
  <c r="AN63" i="127"/>
  <c r="AO63" i="127"/>
  <c r="AP63" i="127"/>
  <c r="AQ63" i="127"/>
  <c r="AR63" i="127"/>
  <c r="AS63" i="127"/>
  <c r="A64" i="127"/>
  <c r="A65" i="127"/>
  <c r="A66" i="127"/>
  <c r="A67" i="127"/>
  <c r="A68" i="127"/>
  <c r="A69" i="127"/>
  <c r="K69" i="127"/>
  <c r="L69" i="127"/>
  <c r="M69" i="127"/>
  <c r="N69" i="127"/>
  <c r="O69" i="127"/>
  <c r="P69" i="127"/>
  <c r="P71" i="127" s="1"/>
  <c r="Q69" i="127"/>
  <c r="R69" i="127"/>
  <c r="S69" i="127"/>
  <c r="T69" i="127"/>
  <c r="U69" i="127"/>
  <c r="V69" i="127"/>
  <c r="V71" i="127" s="1"/>
  <c r="W69" i="127"/>
  <c r="X69" i="127"/>
  <c r="X71" i="127" s="1"/>
  <c r="Y69" i="127"/>
  <c r="Y71" i="127" s="1"/>
  <c r="Z69" i="127"/>
  <c r="AA69" i="127"/>
  <c r="AB69" i="127"/>
  <c r="AC69" i="127"/>
  <c r="AD69" i="127"/>
  <c r="AE69" i="127"/>
  <c r="AF69" i="127"/>
  <c r="AG69" i="127"/>
  <c r="AH69" i="127"/>
  <c r="AI69" i="127"/>
  <c r="AJ69" i="127"/>
  <c r="AK69" i="127"/>
  <c r="AL69" i="127"/>
  <c r="AM69" i="127"/>
  <c r="AN69" i="127"/>
  <c r="AO69" i="127"/>
  <c r="AP69" i="127"/>
  <c r="AQ69" i="127"/>
  <c r="AR69" i="127"/>
  <c r="AS69" i="127"/>
  <c r="A70" i="127"/>
  <c r="K70" i="127"/>
  <c r="L70" i="127"/>
  <c r="M70" i="127"/>
  <c r="N70" i="127"/>
  <c r="O70" i="127"/>
  <c r="P70" i="127"/>
  <c r="Q70" i="127"/>
  <c r="R70" i="127"/>
  <c r="R71" i="127" s="1"/>
  <c r="S70" i="127"/>
  <c r="T70" i="127"/>
  <c r="U70" i="127"/>
  <c r="V70" i="127"/>
  <c r="W70" i="127"/>
  <c r="X70" i="127"/>
  <c r="Y70" i="127"/>
  <c r="Z70" i="127"/>
  <c r="AA70" i="127"/>
  <c r="AB70" i="127"/>
  <c r="AC70" i="127"/>
  <c r="AD70" i="127"/>
  <c r="AE70" i="127"/>
  <c r="AF70" i="127"/>
  <c r="AG70" i="127"/>
  <c r="AH70" i="127"/>
  <c r="AI70" i="127"/>
  <c r="AJ70" i="127"/>
  <c r="AK70" i="127"/>
  <c r="AL70" i="127"/>
  <c r="AM70" i="127"/>
  <c r="AN70" i="127"/>
  <c r="AO70" i="127"/>
  <c r="AP70" i="127"/>
  <c r="AQ70" i="127"/>
  <c r="AR70" i="127"/>
  <c r="AS70" i="127"/>
  <c r="AS71" i="127" s="1"/>
  <c r="A71" i="127"/>
  <c r="F71" i="127"/>
  <c r="G71" i="127"/>
  <c r="H71" i="127"/>
  <c r="I71" i="127"/>
  <c r="AT71" i="127"/>
  <c r="AU71" i="127"/>
  <c r="Q71" i="127" s="1"/>
  <c r="AV71" i="127"/>
  <c r="S71" i="127" s="1"/>
  <c r="AW71" i="127"/>
  <c r="N71" i="127" s="1"/>
  <c r="AX71" i="127"/>
  <c r="AY71" i="127"/>
  <c r="L71" i="127" s="1"/>
  <c r="AZ71" i="127"/>
  <c r="BA71" i="127"/>
  <c r="BB71" i="127"/>
  <c r="T71" i="127" s="1"/>
  <c r="BC71" i="127"/>
  <c r="U71" i="127" s="1"/>
  <c r="BD71" i="127"/>
  <c r="M71" i="127" s="1"/>
  <c r="BE71" i="127"/>
  <c r="O71" i="127" s="1"/>
  <c r="BF71" i="127"/>
  <c r="K71" i="127" s="1"/>
  <c r="BG71" i="127"/>
  <c r="BH71" i="127"/>
  <c r="BI71" i="127"/>
  <c r="BJ71" i="127"/>
  <c r="BL71" i="127"/>
  <c r="BM71" i="127"/>
  <c r="Z71" i="127" s="1"/>
  <c r="BN71" i="127"/>
  <c r="BP71" i="127"/>
  <c r="AB71" i="127" s="1"/>
  <c r="BQ71" i="127"/>
  <c r="BR71" i="127"/>
  <c r="W71" i="127"/>
  <c r="BS71" i="127"/>
  <c r="BT71" i="127"/>
  <c r="BU71" i="127"/>
  <c r="AD71" i="127" s="1"/>
  <c r="BV71" i="127"/>
  <c r="AG71" i="127" s="1"/>
  <c r="BW71" i="127"/>
  <c r="AI71" i="127" s="1"/>
  <c r="BX71" i="127"/>
  <c r="AC71" i="127" s="1"/>
  <c r="BY71" i="127"/>
  <c r="AJ71" i="127" s="1"/>
  <c r="BZ71" i="127"/>
  <c r="AH71" i="127"/>
  <c r="CA71" i="127"/>
  <c r="AF71" i="127" s="1"/>
  <c r="CB71" i="127"/>
  <c r="AK71" i="127" s="1"/>
  <c r="CC71" i="127"/>
  <c r="AO71" i="127" s="1"/>
  <c r="CD71" i="127"/>
  <c r="AP71" i="127"/>
  <c r="CE71" i="127"/>
  <c r="AL71" i="127"/>
  <c r="CG71" i="127"/>
  <c r="CH71" i="127"/>
  <c r="AM71" i="127" s="1"/>
  <c r="CI71" i="127"/>
  <c r="AR71" i="127" s="1"/>
  <c r="CJ71" i="127"/>
  <c r="AN71" i="127" s="1"/>
  <c r="CK71" i="127"/>
  <c r="AQ71" i="127" s="1"/>
  <c r="CL71" i="127"/>
  <c r="A72" i="127"/>
  <c r="A73" i="127"/>
  <c r="K73" i="127"/>
  <c r="L73" i="127"/>
  <c r="M73" i="127"/>
  <c r="N73" i="127"/>
  <c r="O73" i="127"/>
  <c r="P73" i="127"/>
  <c r="Q73" i="127"/>
  <c r="R73" i="127"/>
  <c r="S73" i="127"/>
  <c r="T73" i="127"/>
  <c r="U73" i="127"/>
  <c r="V73" i="127"/>
  <c r="W73" i="127"/>
  <c r="X73" i="127"/>
  <c r="Y73" i="127"/>
  <c r="Z73" i="127"/>
  <c r="AA73" i="127"/>
  <c r="AB73" i="127"/>
  <c r="AC73" i="127"/>
  <c r="AD73" i="127"/>
  <c r="AE73" i="127"/>
  <c r="AF73" i="127"/>
  <c r="AG73" i="127"/>
  <c r="AH73" i="127"/>
  <c r="AI73" i="127"/>
  <c r="AJ73" i="127"/>
  <c r="AK73" i="127"/>
  <c r="AL73" i="127"/>
  <c r="AM73" i="127"/>
  <c r="AN73" i="127"/>
  <c r="AO73" i="127"/>
  <c r="AP73" i="127"/>
  <c r="AQ73" i="127"/>
  <c r="AR73" i="127"/>
  <c r="AS73" i="127"/>
  <c r="A74" i="127"/>
  <c r="K74" i="127"/>
  <c r="L74" i="127"/>
  <c r="M74" i="127"/>
  <c r="N74" i="127"/>
  <c r="O74" i="127"/>
  <c r="P74" i="127"/>
  <c r="Q74" i="127"/>
  <c r="R74" i="127"/>
  <c r="S74" i="127"/>
  <c r="T74" i="127"/>
  <c r="U74" i="127"/>
  <c r="V74" i="127"/>
  <c r="W74" i="127"/>
  <c r="X74" i="127"/>
  <c r="Y74" i="127"/>
  <c r="Z74" i="127"/>
  <c r="AA74" i="127"/>
  <c r="AB74" i="127"/>
  <c r="AC74" i="127"/>
  <c r="AD74" i="127"/>
  <c r="AE74" i="127"/>
  <c r="AF74" i="127"/>
  <c r="AG74" i="127"/>
  <c r="AH74" i="127"/>
  <c r="AI74" i="127"/>
  <c r="AJ74" i="127"/>
  <c r="AK74" i="127"/>
  <c r="AL74" i="127"/>
  <c r="AM74" i="127"/>
  <c r="AN74" i="127"/>
  <c r="AO74" i="127"/>
  <c r="AP74" i="127"/>
  <c r="AQ74" i="127"/>
  <c r="AR74" i="127"/>
  <c r="AS74" i="127"/>
  <c r="A75" i="127"/>
  <c r="K75" i="127"/>
  <c r="L75" i="127"/>
  <c r="M75" i="127"/>
  <c r="N75" i="127"/>
  <c r="O75" i="127"/>
  <c r="P75" i="127"/>
  <c r="Q75" i="127"/>
  <c r="R75" i="127"/>
  <c r="S75" i="127"/>
  <c r="T75" i="127"/>
  <c r="U75" i="127"/>
  <c r="V75" i="127"/>
  <c r="W75" i="127"/>
  <c r="X75" i="127"/>
  <c r="Y75" i="127"/>
  <c r="Z75" i="127"/>
  <c r="AA75" i="127"/>
  <c r="AB75" i="127"/>
  <c r="AC75" i="127"/>
  <c r="AD75" i="127"/>
  <c r="AE75" i="127"/>
  <c r="AF75" i="127"/>
  <c r="AG75" i="127"/>
  <c r="AH75" i="127"/>
  <c r="AI75" i="127"/>
  <c r="AJ75" i="127"/>
  <c r="AK75" i="127"/>
  <c r="AL75" i="127"/>
  <c r="AM75" i="127"/>
  <c r="AN75" i="127"/>
  <c r="AO75" i="127"/>
  <c r="AP75" i="127"/>
  <c r="AQ75" i="127"/>
  <c r="AR75" i="127"/>
  <c r="AS75" i="127"/>
  <c r="A76" i="127"/>
  <c r="K76" i="127"/>
  <c r="L76" i="127"/>
  <c r="M76" i="127"/>
  <c r="N76" i="127"/>
  <c r="O76" i="127"/>
  <c r="P76" i="127"/>
  <c r="Q76" i="127"/>
  <c r="R76" i="127"/>
  <c r="S76" i="127"/>
  <c r="T76" i="127"/>
  <c r="U76" i="127"/>
  <c r="V76" i="127"/>
  <c r="W76" i="127"/>
  <c r="X76" i="127"/>
  <c r="Y76" i="127"/>
  <c r="Z76" i="127"/>
  <c r="AA76" i="127"/>
  <c r="AB76" i="127"/>
  <c r="AC76" i="127"/>
  <c r="AD76" i="127"/>
  <c r="AE76" i="127"/>
  <c r="AF76" i="127"/>
  <c r="AG76" i="127"/>
  <c r="AH76" i="127"/>
  <c r="AI76" i="127"/>
  <c r="AJ76" i="127"/>
  <c r="AK76" i="127"/>
  <c r="AL76" i="127"/>
  <c r="AM76" i="127"/>
  <c r="AN76" i="127"/>
  <c r="AO76" i="127"/>
  <c r="AP76" i="127"/>
  <c r="AQ76" i="127"/>
  <c r="AR76" i="127"/>
  <c r="AS76" i="127"/>
  <c r="A77" i="127"/>
  <c r="K77" i="127"/>
  <c r="L77" i="127"/>
  <c r="M77" i="127"/>
  <c r="N77" i="127"/>
  <c r="O77" i="127"/>
  <c r="P77" i="127"/>
  <c r="Q77" i="127"/>
  <c r="R77" i="127"/>
  <c r="S77" i="127"/>
  <c r="T77" i="127"/>
  <c r="U77" i="127"/>
  <c r="V77" i="127"/>
  <c r="W77" i="127"/>
  <c r="X77" i="127"/>
  <c r="Y77" i="127"/>
  <c r="Z77" i="127"/>
  <c r="AA77" i="127"/>
  <c r="AB77" i="127"/>
  <c r="AC77" i="127"/>
  <c r="AD77" i="127"/>
  <c r="AE77" i="127"/>
  <c r="AF77" i="127"/>
  <c r="AG77" i="127"/>
  <c r="AH77" i="127"/>
  <c r="AI77" i="127"/>
  <c r="AJ77" i="127"/>
  <c r="AK77" i="127"/>
  <c r="AL77" i="127"/>
  <c r="AM77" i="127"/>
  <c r="AN77" i="127"/>
  <c r="AO77" i="127"/>
  <c r="AP77" i="127"/>
  <c r="AQ77" i="127"/>
  <c r="AR77" i="127"/>
  <c r="AS77" i="127"/>
  <c r="A78" i="127"/>
  <c r="K78" i="127"/>
  <c r="L78" i="127"/>
  <c r="M78" i="127"/>
  <c r="N78" i="127"/>
  <c r="O78" i="127"/>
  <c r="P78" i="127"/>
  <c r="Q78" i="127"/>
  <c r="R78" i="127"/>
  <c r="S78" i="127"/>
  <c r="T78" i="127"/>
  <c r="U78" i="127"/>
  <c r="V78" i="127"/>
  <c r="W78" i="127"/>
  <c r="X78" i="127"/>
  <c r="Y78" i="127"/>
  <c r="Z78" i="127"/>
  <c r="AA78" i="127"/>
  <c r="AB78" i="127"/>
  <c r="AC78" i="127"/>
  <c r="AD78" i="127"/>
  <c r="AE78" i="127"/>
  <c r="AF78" i="127"/>
  <c r="AG78" i="127"/>
  <c r="AH78" i="127"/>
  <c r="AI78" i="127"/>
  <c r="AJ78" i="127"/>
  <c r="AK78" i="127"/>
  <c r="AL78" i="127"/>
  <c r="AM78" i="127"/>
  <c r="AN78" i="127"/>
  <c r="AO78" i="127"/>
  <c r="AP78" i="127"/>
  <c r="AQ78" i="127"/>
  <c r="AR78" i="127"/>
  <c r="AS78" i="127"/>
  <c r="A79" i="127"/>
  <c r="A80" i="127"/>
  <c r="K80" i="127"/>
  <c r="L80" i="127"/>
  <c r="M80" i="127"/>
  <c r="N80" i="127"/>
  <c r="O80" i="127"/>
  <c r="P80" i="127"/>
  <c r="Q80" i="127"/>
  <c r="R80" i="127"/>
  <c r="S80" i="127"/>
  <c r="T80" i="127"/>
  <c r="U80" i="127"/>
  <c r="V80" i="127"/>
  <c r="W80" i="127"/>
  <c r="X80" i="127"/>
  <c r="Y80" i="127"/>
  <c r="Z80" i="127"/>
  <c r="AA80" i="127"/>
  <c r="AB80" i="127"/>
  <c r="AC80" i="127"/>
  <c r="AD80" i="127"/>
  <c r="AE80" i="127"/>
  <c r="AF80" i="127"/>
  <c r="AG80" i="127"/>
  <c r="AH80" i="127"/>
  <c r="AI80" i="127"/>
  <c r="AJ80" i="127"/>
  <c r="AK80" i="127"/>
  <c r="AL80" i="127"/>
  <c r="AM80" i="127"/>
  <c r="AN80" i="127"/>
  <c r="AO80" i="127"/>
  <c r="AP80" i="127"/>
  <c r="AQ80" i="127"/>
  <c r="AR80" i="127"/>
  <c r="AS80" i="127"/>
  <c r="A81" i="127"/>
  <c r="A82" i="127"/>
  <c r="A83" i="127"/>
  <c r="A84" i="127"/>
  <c r="A85" i="127"/>
  <c r="A86" i="127"/>
  <c r="A87" i="127"/>
  <c r="K87" i="127"/>
  <c r="L87" i="127"/>
  <c r="M87" i="127"/>
  <c r="N87" i="127"/>
  <c r="O87" i="127"/>
  <c r="P87" i="127"/>
  <c r="Q87" i="127"/>
  <c r="R87" i="127"/>
  <c r="S87" i="127"/>
  <c r="T87" i="127"/>
  <c r="U87" i="127"/>
  <c r="V87" i="127"/>
  <c r="W87" i="127"/>
  <c r="X87" i="127"/>
  <c r="Y87" i="127"/>
  <c r="Z87" i="127"/>
  <c r="AA87" i="127"/>
  <c r="AB87" i="127"/>
  <c r="AC87" i="127"/>
  <c r="AD87" i="127"/>
  <c r="AE87" i="127"/>
  <c r="AF87" i="127"/>
  <c r="AG87" i="127"/>
  <c r="AH87" i="127"/>
  <c r="AI87" i="127"/>
  <c r="AJ87" i="127"/>
  <c r="AK87" i="127"/>
  <c r="AL87" i="127"/>
  <c r="AM87" i="127"/>
  <c r="AN87" i="127"/>
  <c r="AO87" i="127"/>
  <c r="AP87" i="127"/>
  <c r="AQ87" i="127"/>
  <c r="AR87" i="127"/>
  <c r="AS87" i="127"/>
  <c r="A88" i="127"/>
  <c r="A89" i="127"/>
  <c r="K89" i="127"/>
  <c r="L89" i="127"/>
  <c r="M89" i="127"/>
  <c r="N89" i="127"/>
  <c r="O89" i="127"/>
  <c r="P89" i="127"/>
  <c r="Q89" i="127"/>
  <c r="R89" i="127"/>
  <c r="S89" i="127"/>
  <c r="T89" i="127"/>
  <c r="U89" i="127"/>
  <c r="V89" i="127"/>
  <c r="W89" i="127"/>
  <c r="X89" i="127"/>
  <c r="Y89" i="127"/>
  <c r="Z89" i="127"/>
  <c r="AA89" i="127"/>
  <c r="AB89" i="127"/>
  <c r="AC89" i="127"/>
  <c r="AD89" i="127"/>
  <c r="AE89" i="127"/>
  <c r="AF89" i="127"/>
  <c r="AG89" i="127"/>
  <c r="AH89" i="127"/>
  <c r="AI89" i="127"/>
  <c r="AJ89" i="127"/>
  <c r="AK89" i="127"/>
  <c r="AL89" i="127"/>
  <c r="AM89" i="127"/>
  <c r="AN89" i="127"/>
  <c r="AO89" i="127"/>
  <c r="AP89" i="127"/>
  <c r="AQ89" i="127"/>
  <c r="AR89" i="127"/>
  <c r="AS89" i="127"/>
  <c r="A90" i="127"/>
  <c r="K90" i="127"/>
  <c r="L90" i="127"/>
  <c r="M90" i="127"/>
  <c r="N90" i="127"/>
  <c r="O90" i="127"/>
  <c r="P90" i="127"/>
  <c r="Q90" i="127"/>
  <c r="R90" i="127"/>
  <c r="S90" i="127"/>
  <c r="T90" i="127"/>
  <c r="U90" i="127"/>
  <c r="V90" i="127"/>
  <c r="W90" i="127"/>
  <c r="X90" i="127"/>
  <c r="Y90" i="127"/>
  <c r="Z90" i="127"/>
  <c r="AA90" i="127"/>
  <c r="AB90" i="127"/>
  <c r="AC90" i="127"/>
  <c r="AD90" i="127"/>
  <c r="AE90" i="127"/>
  <c r="AF90" i="127"/>
  <c r="AG90" i="127"/>
  <c r="AH90" i="127"/>
  <c r="AI90" i="127"/>
  <c r="AJ90" i="127"/>
  <c r="AK90" i="127"/>
  <c r="AL90" i="127"/>
  <c r="AM90" i="127"/>
  <c r="AN90" i="127"/>
  <c r="AO90" i="127"/>
  <c r="AP90" i="127"/>
  <c r="AQ90" i="127"/>
  <c r="AR90" i="127"/>
  <c r="AS90" i="127"/>
  <c r="A91" i="127"/>
  <c r="K91" i="127"/>
  <c r="L91" i="127"/>
  <c r="M91" i="127"/>
  <c r="N91" i="127"/>
  <c r="O91" i="127"/>
  <c r="P91" i="127"/>
  <c r="Q91" i="127"/>
  <c r="R91" i="127"/>
  <c r="S91" i="127"/>
  <c r="T91" i="127"/>
  <c r="U91" i="127"/>
  <c r="V91" i="127"/>
  <c r="W91" i="127"/>
  <c r="X91" i="127"/>
  <c r="Y91" i="127"/>
  <c r="Z91" i="127"/>
  <c r="AA91" i="127"/>
  <c r="AB91" i="127"/>
  <c r="AC91" i="127"/>
  <c r="AD91" i="127"/>
  <c r="AE91" i="127"/>
  <c r="AF91" i="127"/>
  <c r="AG91" i="127"/>
  <c r="AH91" i="127"/>
  <c r="AI91" i="127"/>
  <c r="AJ91" i="127"/>
  <c r="AK91" i="127"/>
  <c r="AL91" i="127"/>
  <c r="AM91" i="127"/>
  <c r="AN91" i="127"/>
  <c r="AO91" i="127"/>
  <c r="AP91" i="127"/>
  <c r="AQ91" i="127"/>
  <c r="AR91" i="127"/>
  <c r="AS91" i="127"/>
  <c r="A92" i="127"/>
  <c r="K92" i="127"/>
  <c r="L92" i="127"/>
  <c r="M92" i="127"/>
  <c r="N92" i="127"/>
  <c r="O92" i="127"/>
  <c r="P92" i="127"/>
  <c r="Q92" i="127"/>
  <c r="R92" i="127"/>
  <c r="S92" i="127"/>
  <c r="T92" i="127"/>
  <c r="U92" i="127"/>
  <c r="V92" i="127"/>
  <c r="W92" i="127"/>
  <c r="X92" i="127"/>
  <c r="Y92" i="127"/>
  <c r="Z92" i="127"/>
  <c r="AA92" i="127"/>
  <c r="AB92" i="127"/>
  <c r="AC92" i="127"/>
  <c r="AD92" i="127"/>
  <c r="AE92" i="127"/>
  <c r="AF92" i="127"/>
  <c r="AG92" i="127"/>
  <c r="AH92" i="127"/>
  <c r="AI92" i="127"/>
  <c r="AJ92" i="127"/>
  <c r="AK92" i="127"/>
  <c r="AL92" i="127"/>
  <c r="AM92" i="127"/>
  <c r="AN92" i="127"/>
  <c r="AO92" i="127"/>
  <c r="AP92" i="127"/>
  <c r="AQ92" i="127"/>
  <c r="AR92" i="127"/>
  <c r="AS92" i="127"/>
  <c r="A93" i="127"/>
  <c r="K93" i="127"/>
  <c r="L93" i="127"/>
  <c r="M93" i="127"/>
  <c r="N93" i="127"/>
  <c r="O93" i="127"/>
  <c r="Q93" i="127"/>
  <c r="R93" i="127"/>
  <c r="S93" i="127"/>
  <c r="T93" i="127"/>
  <c r="U93" i="127"/>
  <c r="V93" i="127"/>
  <c r="W93" i="127"/>
  <c r="Y93" i="127"/>
  <c r="Z93" i="127"/>
  <c r="AA93" i="127"/>
  <c r="AB93" i="127"/>
  <c r="AC93" i="127"/>
  <c r="AD93" i="127"/>
  <c r="AF93" i="127"/>
  <c r="AG93" i="127"/>
  <c r="AH93" i="127"/>
  <c r="AI93" i="127"/>
  <c r="AJ93" i="127"/>
  <c r="AK93" i="127"/>
  <c r="AL93" i="127"/>
  <c r="AM93" i="127"/>
  <c r="AN93" i="127"/>
  <c r="AO93" i="127"/>
  <c r="AP93" i="127"/>
  <c r="AQ93" i="127"/>
  <c r="AR93" i="127"/>
  <c r="AS93" i="127"/>
  <c r="A94" i="127"/>
  <c r="A95" i="127"/>
  <c r="K95" i="127"/>
  <c r="L95" i="127"/>
  <c r="M95" i="127"/>
  <c r="N95" i="127"/>
  <c r="O95" i="127"/>
  <c r="P95" i="127"/>
  <c r="Q95" i="127"/>
  <c r="R95" i="127"/>
  <c r="S95" i="127"/>
  <c r="T95" i="127"/>
  <c r="U95" i="127"/>
  <c r="V95" i="127"/>
  <c r="V54" i="127" s="1"/>
  <c r="W95" i="127"/>
  <c r="X95" i="127"/>
  <c r="Y95" i="127"/>
  <c r="Z95" i="127"/>
  <c r="AA95" i="127"/>
  <c r="AB95" i="127"/>
  <c r="AC95" i="127"/>
  <c r="AD95" i="127"/>
  <c r="AE95" i="127"/>
  <c r="AF95" i="127"/>
  <c r="AG95" i="127"/>
  <c r="AH95" i="127"/>
  <c r="AI95" i="127"/>
  <c r="AK95" i="127"/>
  <c r="AL95" i="127"/>
  <c r="AM95" i="127"/>
  <c r="AN95" i="127"/>
  <c r="AO95" i="127"/>
  <c r="AP95" i="127"/>
  <c r="AQ95" i="127"/>
  <c r="AR95" i="127"/>
  <c r="AS95" i="127"/>
  <c r="AS54" i="127" s="1"/>
  <c r="BY95" i="127"/>
  <c r="BY54" i="127" s="1"/>
  <c r="AJ54" i="127" s="1"/>
  <c r="A96" i="127"/>
  <c r="C96" i="127"/>
  <c r="K96" i="127"/>
  <c r="L96" i="127"/>
  <c r="M96" i="127"/>
  <c r="N96" i="127"/>
  <c r="O96" i="127"/>
  <c r="P96" i="127"/>
  <c r="P51" i="127" s="1"/>
  <c r="Q96" i="127"/>
  <c r="R96" i="127"/>
  <c r="R51" i="127" s="1"/>
  <c r="S96" i="127"/>
  <c r="T96" i="127"/>
  <c r="U96" i="127"/>
  <c r="V96" i="127"/>
  <c r="W96" i="127"/>
  <c r="X96" i="127"/>
  <c r="X51" i="127"/>
  <c r="Y96" i="127"/>
  <c r="Y51" i="127"/>
  <c r="Z96" i="127"/>
  <c r="AA96" i="127"/>
  <c r="AA51" i="127" s="1"/>
  <c r="AB96" i="127"/>
  <c r="AC96" i="127"/>
  <c r="AD96" i="127"/>
  <c r="AE96" i="127"/>
  <c r="AE51" i="127" s="1"/>
  <c r="AF96" i="127"/>
  <c r="AG96" i="127"/>
  <c r="AH96" i="127"/>
  <c r="AI96" i="127"/>
  <c r="AK96" i="127"/>
  <c r="AL96" i="127"/>
  <c r="AM96" i="127"/>
  <c r="AN96" i="127"/>
  <c r="AO96" i="127"/>
  <c r="AP96" i="127"/>
  <c r="AQ96" i="127"/>
  <c r="AR96" i="127"/>
  <c r="AS96" i="127"/>
  <c r="AS51" i="127" s="1"/>
  <c r="BY96" i="127"/>
  <c r="BY51" i="127" s="1"/>
  <c r="AJ51" i="127" s="1"/>
  <c r="A97" i="127"/>
  <c r="C97" i="127"/>
  <c r="K97" i="127"/>
  <c r="L97" i="127"/>
  <c r="M97" i="127"/>
  <c r="N97" i="127"/>
  <c r="O97" i="127"/>
  <c r="P97" i="127"/>
  <c r="Q97" i="127"/>
  <c r="R97" i="127"/>
  <c r="S97" i="127"/>
  <c r="T97" i="127"/>
  <c r="U97" i="127"/>
  <c r="V97" i="127"/>
  <c r="W97" i="127"/>
  <c r="X97" i="127"/>
  <c r="Y97" i="127"/>
  <c r="Z97" i="127"/>
  <c r="AA97" i="127"/>
  <c r="AB97" i="127"/>
  <c r="AC97" i="127"/>
  <c r="AD97" i="127"/>
  <c r="AE97" i="127"/>
  <c r="AF97" i="127"/>
  <c r="AG97" i="127"/>
  <c r="AH97" i="127"/>
  <c r="AI97" i="127"/>
  <c r="AK97" i="127"/>
  <c r="AL97" i="127"/>
  <c r="AM97" i="127"/>
  <c r="AN97" i="127"/>
  <c r="AO97" i="127"/>
  <c r="AP97" i="127"/>
  <c r="AQ97" i="127"/>
  <c r="AR97" i="127"/>
  <c r="AS97" i="127"/>
  <c r="BY97" i="127"/>
  <c r="A98" i="127"/>
  <c r="K98" i="127"/>
  <c r="L98" i="127"/>
  <c r="M98" i="127"/>
  <c r="N98" i="127"/>
  <c r="O98" i="127"/>
  <c r="P98" i="127"/>
  <c r="Q98" i="127"/>
  <c r="R98" i="127"/>
  <c r="R54" i="127"/>
  <c r="S98" i="127"/>
  <c r="T98" i="127"/>
  <c r="U98" i="127"/>
  <c r="V98" i="127"/>
  <c r="W98" i="127"/>
  <c r="X98" i="127"/>
  <c r="X54" i="127" s="1"/>
  <c r="Y98" i="127"/>
  <c r="Y54" i="127" s="1"/>
  <c r="Z98" i="127"/>
  <c r="AA98" i="127"/>
  <c r="AB98" i="127"/>
  <c r="AC98" i="127"/>
  <c r="AD98" i="127"/>
  <c r="AE98" i="127"/>
  <c r="AF98" i="127"/>
  <c r="AG98" i="127"/>
  <c r="AH98" i="127"/>
  <c r="AI98" i="127"/>
  <c r="AJ98" i="127"/>
  <c r="AK98" i="127"/>
  <c r="AL98" i="127"/>
  <c r="AM98" i="127"/>
  <c r="AN98" i="127"/>
  <c r="AO98" i="127"/>
  <c r="AP98" i="127"/>
  <c r="AQ98" i="127"/>
  <c r="AR98" i="127"/>
  <c r="AS98" i="127"/>
  <c r="A99" i="127"/>
  <c r="C99" i="127"/>
  <c r="K99" i="127"/>
  <c r="L99" i="127"/>
  <c r="M99" i="127"/>
  <c r="N99" i="127"/>
  <c r="O99" i="127"/>
  <c r="P99" i="127"/>
  <c r="Q99" i="127"/>
  <c r="R99" i="127"/>
  <c r="S99" i="127"/>
  <c r="T99" i="127"/>
  <c r="U99" i="127"/>
  <c r="V99" i="127"/>
  <c r="W99" i="127"/>
  <c r="X99" i="127"/>
  <c r="Y99" i="127"/>
  <c r="Z99" i="127"/>
  <c r="AA99" i="127"/>
  <c r="AB99" i="127"/>
  <c r="AC99" i="127"/>
  <c r="AD99" i="127"/>
  <c r="AE99" i="127"/>
  <c r="AF99" i="127"/>
  <c r="AG99" i="127"/>
  <c r="AH99" i="127"/>
  <c r="AI99" i="127"/>
  <c r="AJ99" i="127"/>
  <c r="AK99" i="127"/>
  <c r="AL99" i="127"/>
  <c r="AM99" i="127"/>
  <c r="AN99" i="127"/>
  <c r="AO99" i="127"/>
  <c r="AP99" i="127"/>
  <c r="AQ99" i="127"/>
  <c r="AR99" i="127"/>
  <c r="AS99" i="127"/>
  <c r="A100" i="127"/>
  <c r="A101" i="127"/>
  <c r="C101" i="127"/>
  <c r="K101" i="127"/>
  <c r="L101" i="127"/>
  <c r="M101" i="127"/>
  <c r="N101" i="127"/>
  <c r="O101" i="127"/>
  <c r="P101" i="127"/>
  <c r="Q101" i="127"/>
  <c r="R101" i="127"/>
  <c r="S101" i="127"/>
  <c r="T101" i="127"/>
  <c r="U101" i="127"/>
  <c r="V101" i="127"/>
  <c r="W101" i="127"/>
  <c r="X101" i="127"/>
  <c r="Y101" i="127"/>
  <c r="Z101" i="127"/>
  <c r="AA101" i="127"/>
  <c r="AB101" i="127"/>
  <c r="AC101" i="127"/>
  <c r="AD101" i="127"/>
  <c r="AE101" i="127"/>
  <c r="AF101" i="127"/>
  <c r="AG101" i="127"/>
  <c r="AH101" i="127"/>
  <c r="AI101" i="127"/>
  <c r="AJ101" i="127"/>
  <c r="AK101" i="127"/>
  <c r="AL101" i="127"/>
  <c r="AM101" i="127"/>
  <c r="AN101" i="127"/>
  <c r="AO101" i="127"/>
  <c r="AP101" i="127"/>
  <c r="AQ101" i="127"/>
  <c r="AR101" i="127"/>
  <c r="AS101" i="127"/>
  <c r="A102" i="127"/>
  <c r="A103" i="127"/>
  <c r="A104" i="127"/>
  <c r="K104" i="127"/>
  <c r="L104" i="127"/>
  <c r="M104" i="127"/>
  <c r="N104" i="127"/>
  <c r="O104" i="127"/>
  <c r="P104" i="127"/>
  <c r="Q104" i="127"/>
  <c r="R104" i="127"/>
  <c r="S104" i="127"/>
  <c r="T104" i="127"/>
  <c r="U104" i="127"/>
  <c r="V104" i="127"/>
  <c r="W104" i="127"/>
  <c r="X104" i="127"/>
  <c r="Y104" i="127"/>
  <c r="Z104" i="127"/>
  <c r="AA104" i="127"/>
  <c r="AB104" i="127"/>
  <c r="AC104" i="127"/>
  <c r="AD104" i="127"/>
  <c r="AE104" i="127"/>
  <c r="AF104" i="127"/>
  <c r="AG104" i="127"/>
  <c r="AH104" i="127"/>
  <c r="AI104" i="127"/>
  <c r="AJ104" i="127"/>
  <c r="AK104" i="127"/>
  <c r="AL104" i="127"/>
  <c r="AM104" i="127"/>
  <c r="AN104" i="127"/>
  <c r="AO104" i="127"/>
  <c r="AP104" i="127"/>
  <c r="AQ104" i="127"/>
  <c r="AR104" i="127"/>
  <c r="AS104" i="127"/>
  <c r="A105" i="127"/>
  <c r="K105" i="127"/>
  <c r="L105" i="127"/>
  <c r="M105" i="127"/>
  <c r="N105" i="127"/>
  <c r="O105" i="127"/>
  <c r="P105" i="127"/>
  <c r="Q105" i="127"/>
  <c r="R105" i="127"/>
  <c r="S105" i="127"/>
  <c r="T105" i="127"/>
  <c r="U105" i="127"/>
  <c r="V105" i="127"/>
  <c r="W105" i="127"/>
  <c r="X105" i="127"/>
  <c r="Y105" i="127"/>
  <c r="Z105" i="127"/>
  <c r="AA105" i="127"/>
  <c r="AB105" i="127"/>
  <c r="AC105" i="127"/>
  <c r="AD105" i="127"/>
  <c r="AE105" i="127"/>
  <c r="AF105" i="127"/>
  <c r="AG105" i="127"/>
  <c r="AH105" i="127"/>
  <c r="AI105" i="127"/>
  <c r="AJ105" i="127"/>
  <c r="AK105" i="127"/>
  <c r="AL105" i="127"/>
  <c r="AM105" i="127"/>
  <c r="AN105" i="127"/>
  <c r="AO105" i="127"/>
  <c r="AP105" i="127"/>
  <c r="AQ105" i="127"/>
  <c r="AR105" i="127"/>
  <c r="AS105" i="127"/>
  <c r="A106" i="127"/>
  <c r="K106" i="127"/>
  <c r="L106" i="127"/>
  <c r="M106" i="127"/>
  <c r="N106" i="127"/>
  <c r="O106" i="127"/>
  <c r="P106" i="127"/>
  <c r="Q106" i="127"/>
  <c r="R106" i="127"/>
  <c r="S106" i="127"/>
  <c r="T106" i="127"/>
  <c r="U106" i="127"/>
  <c r="V106" i="127"/>
  <c r="W106" i="127"/>
  <c r="X106" i="127"/>
  <c r="Y106" i="127"/>
  <c r="Z106" i="127"/>
  <c r="AA106" i="127"/>
  <c r="AB106" i="127"/>
  <c r="AC106" i="127"/>
  <c r="AD106" i="127"/>
  <c r="AE106" i="127"/>
  <c r="AF106" i="127"/>
  <c r="AG106" i="127"/>
  <c r="AH106" i="127"/>
  <c r="AI106" i="127"/>
  <c r="AJ106" i="127"/>
  <c r="AK106" i="127"/>
  <c r="AL106" i="127"/>
  <c r="AM106" i="127"/>
  <c r="AN106" i="127"/>
  <c r="AO106" i="127"/>
  <c r="AP106" i="127"/>
  <c r="AQ106" i="127"/>
  <c r="AR106" i="127"/>
  <c r="AS106" i="127"/>
  <c r="A107" i="127"/>
  <c r="K107" i="127"/>
  <c r="L107" i="127"/>
  <c r="M107" i="127"/>
  <c r="N107" i="127"/>
  <c r="O107" i="127"/>
  <c r="P107" i="127"/>
  <c r="Q107" i="127"/>
  <c r="R107" i="127"/>
  <c r="S107" i="127"/>
  <c r="T107" i="127"/>
  <c r="U107" i="127"/>
  <c r="V107" i="127"/>
  <c r="W107" i="127"/>
  <c r="X107" i="127"/>
  <c r="Y107" i="127"/>
  <c r="Z107" i="127"/>
  <c r="AA107" i="127"/>
  <c r="AB107" i="127"/>
  <c r="AC107" i="127"/>
  <c r="AD107" i="127"/>
  <c r="AE107" i="127"/>
  <c r="AF107" i="127"/>
  <c r="AG107" i="127"/>
  <c r="AH107" i="127"/>
  <c r="AI107" i="127"/>
  <c r="AJ107" i="127"/>
  <c r="AK107" i="127"/>
  <c r="AL107" i="127"/>
  <c r="AM107" i="127"/>
  <c r="AN107" i="127"/>
  <c r="AO107" i="127"/>
  <c r="AP107" i="127"/>
  <c r="AQ107" i="127"/>
  <c r="AR107" i="127"/>
  <c r="AS107" i="127"/>
  <c r="K118" i="127"/>
  <c r="L118" i="127"/>
  <c r="M118" i="127"/>
  <c r="N118" i="127"/>
  <c r="O118" i="127"/>
  <c r="P118" i="127"/>
  <c r="Q118" i="127"/>
  <c r="R118" i="127"/>
  <c r="S118" i="127"/>
  <c r="T118" i="127"/>
  <c r="U118" i="127"/>
  <c r="V118" i="127"/>
  <c r="W118" i="127"/>
  <c r="X118" i="127"/>
  <c r="Y118" i="127"/>
  <c r="Z118" i="127"/>
  <c r="AA118" i="127"/>
  <c r="AB118" i="127"/>
  <c r="AC118" i="127"/>
  <c r="AD118" i="127"/>
  <c r="AE118" i="127"/>
  <c r="AF118" i="127"/>
  <c r="AG118" i="127"/>
  <c r="AH118" i="127"/>
  <c r="AI118" i="127"/>
  <c r="AJ118" i="127"/>
  <c r="AK118" i="127"/>
  <c r="AL118" i="127"/>
  <c r="AM118" i="127"/>
  <c r="AN118" i="127"/>
  <c r="AO118" i="127"/>
  <c r="AP118" i="127"/>
  <c r="AQ118" i="127"/>
  <c r="AR118" i="127"/>
  <c r="AS118" i="127"/>
  <c r="K119" i="127"/>
  <c r="K21" i="127"/>
  <c r="L119" i="127"/>
  <c r="L21" i="127"/>
  <c r="M119" i="127"/>
  <c r="M21" i="127"/>
  <c r="N119" i="127"/>
  <c r="N21" i="127"/>
  <c r="O119" i="127"/>
  <c r="O21" i="127"/>
  <c r="P119" i="127"/>
  <c r="P21" i="127"/>
  <c r="R119" i="127"/>
  <c r="R21" i="127"/>
  <c r="S119" i="127"/>
  <c r="S21" i="127"/>
  <c r="T119" i="127"/>
  <c r="T21" i="127"/>
  <c r="U119" i="127"/>
  <c r="U21" i="127"/>
  <c r="V119" i="127"/>
  <c r="V21" i="127"/>
  <c r="W119" i="127"/>
  <c r="W21" i="127"/>
  <c r="X119" i="127"/>
  <c r="X21" i="127"/>
  <c r="Y119" i="127"/>
  <c r="Y21" i="127"/>
  <c r="Z119" i="127"/>
  <c r="Z21" i="127"/>
  <c r="AA119" i="127"/>
  <c r="AA21" i="127"/>
  <c r="AB119" i="127"/>
  <c r="AB21" i="127"/>
  <c r="AC119" i="127"/>
  <c r="AC21" i="127"/>
  <c r="AD119" i="127"/>
  <c r="AD21" i="127"/>
  <c r="AE119" i="127"/>
  <c r="AE21" i="127"/>
  <c r="AF119" i="127"/>
  <c r="AF21" i="127"/>
  <c r="AG119" i="127"/>
  <c r="AG21" i="127"/>
  <c r="AH119" i="127"/>
  <c r="AH21" i="127"/>
  <c r="AI119" i="127"/>
  <c r="AI21" i="127"/>
  <c r="AJ119" i="127"/>
  <c r="AJ21" i="127"/>
  <c r="AK119" i="127"/>
  <c r="AK21" i="127"/>
  <c r="AL119" i="127"/>
  <c r="AL21" i="127"/>
  <c r="AM119" i="127"/>
  <c r="AM21" i="127"/>
  <c r="AN119" i="127"/>
  <c r="AN21" i="127"/>
  <c r="AO119" i="127"/>
  <c r="AO21" i="127"/>
  <c r="AP119" i="127"/>
  <c r="AP21" i="127"/>
  <c r="AQ119" i="127"/>
  <c r="AQ21" i="127"/>
  <c r="AR119" i="127"/>
  <c r="AR21" i="127"/>
  <c r="AS119" i="127"/>
  <c r="AS21" i="127"/>
  <c r="A5" i="125"/>
  <c r="F5" i="125"/>
  <c r="G5" i="125"/>
  <c r="H5" i="125"/>
  <c r="I5" i="125"/>
  <c r="J5" i="125"/>
  <c r="K5" i="125"/>
  <c r="L5" i="125"/>
  <c r="M5" i="125"/>
  <c r="N5" i="125"/>
  <c r="O5" i="125"/>
  <c r="P5" i="125"/>
  <c r="Q5" i="125"/>
  <c r="R5" i="125"/>
  <c r="S5" i="125"/>
  <c r="T5" i="125"/>
  <c r="U5" i="125"/>
  <c r="V5" i="125"/>
  <c r="W5" i="125"/>
  <c r="X5" i="125"/>
  <c r="Y5" i="125"/>
  <c r="Z5" i="125"/>
  <c r="AA5" i="125"/>
  <c r="AB5" i="125"/>
  <c r="AC5" i="125"/>
  <c r="AD5" i="125"/>
  <c r="AE5" i="125"/>
  <c r="AF5" i="125"/>
  <c r="AG5" i="125"/>
  <c r="AH5" i="125"/>
  <c r="AI5" i="125"/>
  <c r="AJ5" i="125"/>
  <c r="AK5" i="125"/>
  <c r="AL5" i="125"/>
  <c r="AM5" i="125"/>
  <c r="AN5" i="125"/>
  <c r="AO5" i="125"/>
  <c r="AP5" i="125"/>
  <c r="AQ5" i="125"/>
  <c r="AR5" i="125"/>
  <c r="AS5" i="125"/>
  <c r="AT5" i="125"/>
  <c r="AU5" i="125"/>
  <c r="AV5" i="125"/>
  <c r="AW5" i="125"/>
  <c r="AX5" i="125"/>
  <c r="AY5" i="125"/>
  <c r="AZ5" i="125"/>
  <c r="BA5" i="125"/>
  <c r="BB5" i="125"/>
  <c r="BC5" i="125"/>
  <c r="BD5" i="125"/>
  <c r="BE5" i="125"/>
  <c r="BF5" i="125"/>
  <c r="BG5" i="125"/>
  <c r="BH5" i="125"/>
  <c r="BI5" i="125"/>
  <c r="BJ5" i="125"/>
  <c r="BK5" i="125"/>
  <c r="BL5" i="125"/>
  <c r="BM5" i="125"/>
  <c r="BN5" i="125"/>
  <c r="BO5" i="125"/>
  <c r="BP5" i="125"/>
  <c r="BQ5" i="125"/>
  <c r="BR5" i="125"/>
  <c r="BS5" i="125"/>
  <c r="BT5" i="125"/>
  <c r="BU5" i="125"/>
  <c r="BV5" i="125"/>
  <c r="BW5" i="125"/>
  <c r="BX5" i="125"/>
  <c r="BY5" i="125"/>
  <c r="BZ5" i="125"/>
  <c r="CA5" i="125"/>
  <c r="CB5" i="125"/>
  <c r="CC5" i="125"/>
  <c r="CD5" i="125"/>
  <c r="CE5" i="125"/>
  <c r="CF5" i="125"/>
  <c r="CG5" i="125"/>
  <c r="CH5" i="125"/>
  <c r="CI5" i="125"/>
  <c r="CJ5" i="125"/>
  <c r="CK5" i="125"/>
  <c r="CL5" i="125"/>
  <c r="A6" i="125"/>
  <c r="A7" i="125"/>
  <c r="K7" i="125"/>
  <c r="L7" i="125"/>
  <c r="M7" i="125"/>
  <c r="N7" i="125"/>
  <c r="O7" i="125"/>
  <c r="P7" i="125"/>
  <c r="Q7" i="125"/>
  <c r="R7" i="125"/>
  <c r="R14" i="125" s="1"/>
  <c r="S7" i="125"/>
  <c r="T7" i="125"/>
  <c r="U7" i="125"/>
  <c r="V7" i="125"/>
  <c r="W7" i="125"/>
  <c r="X7" i="125"/>
  <c r="X14" i="125" s="1"/>
  <c r="Y7" i="125"/>
  <c r="Y14" i="125" s="1"/>
  <c r="Z7" i="125"/>
  <c r="AA7" i="125"/>
  <c r="AB7" i="125"/>
  <c r="AC7" i="125"/>
  <c r="AD7" i="125"/>
  <c r="AE7" i="125"/>
  <c r="AF7" i="125"/>
  <c r="AG7" i="125"/>
  <c r="AH7" i="125"/>
  <c r="AI7" i="125"/>
  <c r="AJ7" i="125"/>
  <c r="AK7" i="125"/>
  <c r="AL7" i="125"/>
  <c r="AM7" i="125"/>
  <c r="AN7" i="125"/>
  <c r="AO7" i="125"/>
  <c r="AP7" i="125"/>
  <c r="AQ7" i="125"/>
  <c r="AR7" i="125"/>
  <c r="AS7" i="125"/>
  <c r="A8" i="125"/>
  <c r="K8" i="125"/>
  <c r="L8" i="125"/>
  <c r="M8" i="125"/>
  <c r="N8" i="125"/>
  <c r="O8" i="125"/>
  <c r="P8" i="125"/>
  <c r="Q8" i="125"/>
  <c r="R8" i="125"/>
  <c r="S8" i="125"/>
  <c r="T8" i="125"/>
  <c r="U8" i="125"/>
  <c r="V8" i="125"/>
  <c r="W8" i="125"/>
  <c r="X8" i="125"/>
  <c r="Y8" i="125"/>
  <c r="Z8" i="125"/>
  <c r="AA8" i="125"/>
  <c r="AB8" i="125"/>
  <c r="AC8" i="125"/>
  <c r="AD8" i="125"/>
  <c r="AE8" i="125"/>
  <c r="AF8" i="125"/>
  <c r="AG8" i="125"/>
  <c r="AH8" i="125"/>
  <c r="AI8" i="125"/>
  <c r="AJ8" i="125"/>
  <c r="AK8" i="125"/>
  <c r="AL8" i="125"/>
  <c r="AM8" i="125"/>
  <c r="AN8" i="125"/>
  <c r="AO8" i="125"/>
  <c r="AP8" i="125"/>
  <c r="AQ8" i="125"/>
  <c r="AR8" i="125"/>
  <c r="AS8" i="125"/>
  <c r="A9" i="125"/>
  <c r="K9" i="125"/>
  <c r="L9" i="125"/>
  <c r="M9" i="125"/>
  <c r="N9" i="125"/>
  <c r="O9" i="125"/>
  <c r="P9" i="125"/>
  <c r="Q9" i="125"/>
  <c r="R9" i="125"/>
  <c r="S9" i="125"/>
  <c r="T9" i="125"/>
  <c r="U9" i="125"/>
  <c r="V9" i="125"/>
  <c r="W9" i="125"/>
  <c r="X9" i="125"/>
  <c r="Y9" i="125"/>
  <c r="Z9" i="125"/>
  <c r="AA9" i="125"/>
  <c r="AB9" i="125"/>
  <c r="AC9" i="125"/>
  <c r="AD9" i="125"/>
  <c r="AE9" i="125"/>
  <c r="AF9" i="125"/>
  <c r="AG9" i="125"/>
  <c r="AH9" i="125"/>
  <c r="AI9" i="125"/>
  <c r="AJ9" i="125"/>
  <c r="AK9" i="125"/>
  <c r="AL9" i="125"/>
  <c r="AM9" i="125"/>
  <c r="AN9" i="125"/>
  <c r="AO9" i="125"/>
  <c r="AP9" i="125"/>
  <c r="AQ9" i="125"/>
  <c r="AR9" i="125"/>
  <c r="AS9" i="125"/>
  <c r="A10" i="125"/>
  <c r="K10" i="125"/>
  <c r="L10" i="125"/>
  <c r="M10" i="125"/>
  <c r="N10" i="125"/>
  <c r="O10" i="125"/>
  <c r="P10" i="125"/>
  <c r="Q10" i="125"/>
  <c r="R10" i="125"/>
  <c r="S10" i="125"/>
  <c r="T10" i="125"/>
  <c r="U10" i="125"/>
  <c r="V10" i="125"/>
  <c r="W10" i="125"/>
  <c r="X10" i="125"/>
  <c r="Y10" i="125"/>
  <c r="Z10" i="125"/>
  <c r="AA10" i="125"/>
  <c r="AB10" i="125"/>
  <c r="AC10" i="125"/>
  <c r="AD10" i="125"/>
  <c r="AE10" i="125"/>
  <c r="AF10" i="125"/>
  <c r="AG10" i="125"/>
  <c r="AH10" i="125"/>
  <c r="AI10" i="125"/>
  <c r="AJ10" i="125"/>
  <c r="AK10" i="125"/>
  <c r="AL10" i="125"/>
  <c r="AM10" i="125"/>
  <c r="AN10" i="125"/>
  <c r="AO10" i="125"/>
  <c r="AP10" i="125"/>
  <c r="AQ10" i="125"/>
  <c r="AR10" i="125"/>
  <c r="AS10" i="125"/>
  <c r="A11" i="125"/>
  <c r="K11" i="125"/>
  <c r="L11" i="125"/>
  <c r="M11" i="125"/>
  <c r="N11" i="125"/>
  <c r="O11" i="125"/>
  <c r="P11" i="125"/>
  <c r="Q11" i="125"/>
  <c r="R11" i="125"/>
  <c r="S11" i="125"/>
  <c r="T11" i="125"/>
  <c r="U11" i="125"/>
  <c r="V11" i="125"/>
  <c r="W11" i="125"/>
  <c r="X11" i="125"/>
  <c r="Y11" i="125"/>
  <c r="Z11" i="125"/>
  <c r="AA11" i="125"/>
  <c r="AB11" i="125"/>
  <c r="AC11" i="125"/>
  <c r="AD11" i="125"/>
  <c r="AE11" i="125"/>
  <c r="AF11" i="125"/>
  <c r="AG11" i="125"/>
  <c r="AH11" i="125"/>
  <c r="AI11" i="125"/>
  <c r="AJ11" i="125"/>
  <c r="AK11" i="125"/>
  <c r="AL11" i="125"/>
  <c r="AM11" i="125"/>
  <c r="AN11" i="125"/>
  <c r="AO11" i="125"/>
  <c r="AP11" i="125"/>
  <c r="AQ11" i="125"/>
  <c r="AR11" i="125"/>
  <c r="AS11" i="125"/>
  <c r="A12" i="125"/>
  <c r="K12" i="125"/>
  <c r="L12" i="125"/>
  <c r="M12" i="125"/>
  <c r="N12" i="125"/>
  <c r="O12" i="125"/>
  <c r="P12" i="125"/>
  <c r="Q12" i="125"/>
  <c r="R12" i="125"/>
  <c r="S12" i="125"/>
  <c r="T12" i="125"/>
  <c r="U12" i="125"/>
  <c r="V12" i="125"/>
  <c r="W12" i="125"/>
  <c r="X12" i="125"/>
  <c r="Y12" i="125"/>
  <c r="Z12" i="125"/>
  <c r="AA12" i="125"/>
  <c r="AB12" i="125"/>
  <c r="AC12" i="125"/>
  <c r="AD12" i="125"/>
  <c r="AE12" i="125"/>
  <c r="AF12" i="125"/>
  <c r="AG12" i="125"/>
  <c r="AH12" i="125"/>
  <c r="AI12" i="125"/>
  <c r="AJ12" i="125"/>
  <c r="AK12" i="125"/>
  <c r="AL12" i="125"/>
  <c r="AM12" i="125"/>
  <c r="AN12" i="125"/>
  <c r="AO12" i="125"/>
  <c r="AP12" i="125"/>
  <c r="AQ12" i="125"/>
  <c r="AR12" i="125"/>
  <c r="AS12" i="125"/>
  <c r="A13" i="125"/>
  <c r="F13" i="125"/>
  <c r="F14" i="125" s="1"/>
  <c r="G13" i="125"/>
  <c r="G14" i="125" s="1"/>
  <c r="H13" i="125"/>
  <c r="I13" i="125"/>
  <c r="K13" i="125"/>
  <c r="L13" i="125"/>
  <c r="M13" i="125"/>
  <c r="N13" i="125"/>
  <c r="O13" i="125"/>
  <c r="P13" i="125"/>
  <c r="Q13" i="125"/>
  <c r="R13" i="125"/>
  <c r="S13" i="125"/>
  <c r="T13" i="125"/>
  <c r="U13" i="125"/>
  <c r="V13" i="125"/>
  <c r="V14" i="125" s="1"/>
  <c r="W13" i="125"/>
  <c r="X13" i="125"/>
  <c r="Y13" i="125"/>
  <c r="Z13" i="125"/>
  <c r="AA13" i="125"/>
  <c r="AA14" i="125" s="1"/>
  <c r="AB13" i="125"/>
  <c r="AC13" i="125"/>
  <c r="AD13" i="125"/>
  <c r="AE13" i="125"/>
  <c r="AF13" i="125"/>
  <c r="AG13" i="125"/>
  <c r="AH13" i="125"/>
  <c r="AI13" i="125"/>
  <c r="AJ13" i="125"/>
  <c r="AK13" i="125"/>
  <c r="AL13" i="125"/>
  <c r="AM13" i="125"/>
  <c r="AN13" i="125"/>
  <c r="AO13" i="125"/>
  <c r="AP13" i="125"/>
  <c r="AQ13" i="125"/>
  <c r="AR13" i="125"/>
  <c r="AS13" i="125"/>
  <c r="AS14" i="125" s="1"/>
  <c r="A14" i="125"/>
  <c r="H14" i="125"/>
  <c r="I14" i="125"/>
  <c r="AT14" i="125"/>
  <c r="AU14" i="125"/>
  <c r="Q14" i="125"/>
  <c r="AV14" i="125"/>
  <c r="S14" i="125" s="1"/>
  <c r="AW14" i="125"/>
  <c r="N14" i="125" s="1"/>
  <c r="AX14" i="125"/>
  <c r="AY14" i="125"/>
  <c r="L14" i="125" s="1"/>
  <c r="AZ14" i="125"/>
  <c r="BA14" i="125"/>
  <c r="BB14" i="125"/>
  <c r="T14" i="125" s="1"/>
  <c r="BC14" i="125"/>
  <c r="U14" i="125" s="1"/>
  <c r="BD14" i="125"/>
  <c r="M14" i="125" s="1"/>
  <c r="BE14" i="125"/>
  <c r="O14" i="125"/>
  <c r="BF14" i="125"/>
  <c r="K14" i="125" s="1"/>
  <c r="BG14" i="125"/>
  <c r="BH14" i="125"/>
  <c r="BI14" i="125"/>
  <c r="BJ14" i="125"/>
  <c r="BK14" i="125"/>
  <c r="BL14" i="125"/>
  <c r="BM14" i="125"/>
  <c r="Z14" i="125" s="1"/>
  <c r="BN14" i="125"/>
  <c r="BO14" i="125"/>
  <c r="BP14" i="125"/>
  <c r="AB14" i="125" s="1"/>
  <c r="BQ14" i="125"/>
  <c r="BR14" i="125"/>
  <c r="W14" i="125" s="1"/>
  <c r="BS14" i="125"/>
  <c r="BT14" i="125"/>
  <c r="BU14" i="125"/>
  <c r="AD14" i="125" s="1"/>
  <c r="BV14" i="125"/>
  <c r="AG14" i="125" s="1"/>
  <c r="BW14" i="125"/>
  <c r="AI14" i="125" s="1"/>
  <c r="BX14" i="125"/>
  <c r="AC14" i="125" s="1"/>
  <c r="BY14" i="125"/>
  <c r="AJ14" i="125" s="1"/>
  <c r="BZ14" i="125"/>
  <c r="AH14" i="125" s="1"/>
  <c r="CA14" i="125"/>
  <c r="AF14" i="125" s="1"/>
  <c r="CB14" i="125"/>
  <c r="AK14" i="125" s="1"/>
  <c r="CC14" i="125"/>
  <c r="AO14" i="125" s="1"/>
  <c r="CD14" i="125"/>
  <c r="AP14" i="125" s="1"/>
  <c r="CE14" i="125"/>
  <c r="AL14" i="125" s="1"/>
  <c r="CF14" i="125"/>
  <c r="CG14" i="125"/>
  <c r="CH14" i="125"/>
  <c r="AM14" i="125" s="1"/>
  <c r="CI14" i="125"/>
  <c r="AR14" i="125" s="1"/>
  <c r="CJ14" i="125"/>
  <c r="AN14" i="125" s="1"/>
  <c r="CK14" i="125"/>
  <c r="AQ14" i="125" s="1"/>
  <c r="CL14" i="125"/>
  <c r="A15" i="125"/>
  <c r="A16" i="125"/>
  <c r="K16" i="125"/>
  <c r="L16" i="125"/>
  <c r="M16" i="125"/>
  <c r="N16" i="125"/>
  <c r="O16" i="125"/>
  <c r="P16" i="125"/>
  <c r="Q16" i="125"/>
  <c r="R16" i="125"/>
  <c r="S16" i="125"/>
  <c r="T16" i="125"/>
  <c r="U16" i="125"/>
  <c r="V16" i="125"/>
  <c r="W16" i="125"/>
  <c r="X16" i="125"/>
  <c r="Y16" i="125"/>
  <c r="Z16" i="125"/>
  <c r="AA16" i="125"/>
  <c r="AB16" i="125"/>
  <c r="AC16" i="125"/>
  <c r="AD16" i="125"/>
  <c r="AE16" i="125"/>
  <c r="AF16" i="125"/>
  <c r="AG16" i="125"/>
  <c r="AH16" i="125"/>
  <c r="AI16" i="125"/>
  <c r="AJ16" i="125"/>
  <c r="AK16" i="125"/>
  <c r="AL16" i="125"/>
  <c r="AM16" i="125"/>
  <c r="AN16" i="125"/>
  <c r="AO16" i="125"/>
  <c r="AP16" i="125"/>
  <c r="AQ16" i="125"/>
  <c r="AR16" i="125"/>
  <c r="AS16" i="125"/>
  <c r="A17" i="125"/>
  <c r="F17" i="125"/>
  <c r="G17" i="125"/>
  <c r="H17" i="125"/>
  <c r="I17" i="125"/>
  <c r="K17" i="125"/>
  <c r="L17" i="125"/>
  <c r="M17" i="125"/>
  <c r="N17" i="125"/>
  <c r="O17" i="125"/>
  <c r="P17" i="125"/>
  <c r="Q17" i="125"/>
  <c r="R17" i="125"/>
  <c r="S17" i="125"/>
  <c r="T17" i="125"/>
  <c r="U17" i="125"/>
  <c r="V17" i="125"/>
  <c r="W17" i="125"/>
  <c r="X17" i="125"/>
  <c r="Y17" i="125"/>
  <c r="Z17" i="125"/>
  <c r="AA17" i="125"/>
  <c r="AB17" i="125"/>
  <c r="AC17" i="125"/>
  <c r="AD17" i="125"/>
  <c r="AE17" i="125"/>
  <c r="AF17" i="125"/>
  <c r="AG17" i="125"/>
  <c r="AH17" i="125"/>
  <c r="AI17" i="125"/>
  <c r="AJ17" i="125"/>
  <c r="AK17" i="125"/>
  <c r="AL17" i="125"/>
  <c r="AM17" i="125"/>
  <c r="AN17" i="125"/>
  <c r="AO17" i="125"/>
  <c r="AP17" i="125"/>
  <c r="AQ17" i="125"/>
  <c r="AR17" i="125"/>
  <c r="AS17" i="125"/>
  <c r="A18" i="125"/>
  <c r="K18" i="125"/>
  <c r="L18" i="125"/>
  <c r="M18" i="125"/>
  <c r="N18" i="125"/>
  <c r="O18" i="125"/>
  <c r="P18" i="125"/>
  <c r="Q18" i="125"/>
  <c r="R18" i="125"/>
  <c r="S18" i="125"/>
  <c r="T18" i="125"/>
  <c r="U18" i="125"/>
  <c r="V18" i="125"/>
  <c r="W18" i="125"/>
  <c r="X18" i="125"/>
  <c r="Y18" i="125"/>
  <c r="Z18" i="125"/>
  <c r="AA18" i="125"/>
  <c r="AB18" i="125"/>
  <c r="AC18" i="125"/>
  <c r="AD18" i="125"/>
  <c r="AE18" i="125"/>
  <c r="AF18" i="125"/>
  <c r="AG18" i="125"/>
  <c r="AH18" i="125"/>
  <c r="AI18" i="125"/>
  <c r="AJ18" i="125"/>
  <c r="AK18" i="125"/>
  <c r="AL18" i="125"/>
  <c r="AM18" i="125"/>
  <c r="AN18" i="125"/>
  <c r="AO18" i="125"/>
  <c r="AP18" i="125"/>
  <c r="AQ18" i="125"/>
  <c r="AR18" i="125"/>
  <c r="AS18" i="125"/>
  <c r="A19" i="125"/>
  <c r="K19" i="125"/>
  <c r="L19" i="125"/>
  <c r="M19" i="125"/>
  <c r="N19" i="125"/>
  <c r="O19" i="125"/>
  <c r="P19" i="125"/>
  <c r="Q19" i="125"/>
  <c r="R19" i="125"/>
  <c r="S19" i="125"/>
  <c r="T19" i="125"/>
  <c r="U19" i="125"/>
  <c r="V19" i="125"/>
  <c r="W19" i="125"/>
  <c r="X19" i="125"/>
  <c r="Y19" i="125"/>
  <c r="Z19" i="125"/>
  <c r="AA19" i="125"/>
  <c r="AB19" i="125"/>
  <c r="AC19" i="125"/>
  <c r="AD19" i="125"/>
  <c r="AE19" i="125"/>
  <c r="AF19" i="125"/>
  <c r="AG19" i="125"/>
  <c r="AH19" i="125"/>
  <c r="AI19" i="125"/>
  <c r="AJ19" i="125"/>
  <c r="AK19" i="125"/>
  <c r="AL19" i="125"/>
  <c r="AM19" i="125"/>
  <c r="AN19" i="125"/>
  <c r="AO19" i="125"/>
  <c r="AP19" i="125"/>
  <c r="AQ19" i="125"/>
  <c r="AR19" i="125"/>
  <c r="AS19" i="125"/>
  <c r="A20" i="125"/>
  <c r="K20" i="125"/>
  <c r="L20" i="125"/>
  <c r="M20" i="125"/>
  <c r="N20" i="125"/>
  <c r="O20" i="125"/>
  <c r="P20" i="125"/>
  <c r="Q20" i="125"/>
  <c r="Q21" i="125"/>
  <c r="R20" i="125"/>
  <c r="S20" i="125"/>
  <c r="T20" i="125"/>
  <c r="U20" i="125"/>
  <c r="V20" i="125"/>
  <c r="W20" i="125"/>
  <c r="X20" i="125"/>
  <c r="Y20" i="125"/>
  <c r="Z20" i="125"/>
  <c r="AA20" i="125"/>
  <c r="AB20" i="125"/>
  <c r="AC20" i="125"/>
  <c r="AD20" i="125"/>
  <c r="AE20" i="125"/>
  <c r="AF20" i="125"/>
  <c r="AG20" i="125"/>
  <c r="AH20" i="125"/>
  <c r="AI20" i="125"/>
  <c r="AJ20" i="125"/>
  <c r="AK20" i="125"/>
  <c r="AL20" i="125"/>
  <c r="AM20" i="125"/>
  <c r="AN20" i="125"/>
  <c r="AO20" i="125"/>
  <c r="AP20" i="125"/>
  <c r="AQ20" i="125"/>
  <c r="AR20" i="125"/>
  <c r="AS20" i="125"/>
  <c r="A21" i="125"/>
  <c r="F21" i="125"/>
  <c r="G21" i="125"/>
  <c r="H21" i="125"/>
  <c r="I21" i="125"/>
  <c r="AT21" i="125"/>
  <c r="AU21" i="125"/>
  <c r="AV21" i="125"/>
  <c r="AW21" i="125"/>
  <c r="AX21" i="125"/>
  <c r="AY21" i="125"/>
  <c r="AZ21" i="125"/>
  <c r="BA21" i="125"/>
  <c r="BB21" i="125"/>
  <c r="BC21" i="125"/>
  <c r="BD21" i="125"/>
  <c r="BE21" i="125"/>
  <c r="BF21" i="125"/>
  <c r="BG21" i="125"/>
  <c r="BH21" i="125"/>
  <c r="BI21" i="125"/>
  <c r="BJ21" i="125"/>
  <c r="BK21" i="125"/>
  <c r="BL21" i="125"/>
  <c r="BM21" i="125"/>
  <c r="BN21" i="125"/>
  <c r="BO21" i="125"/>
  <c r="BP21" i="125"/>
  <c r="BQ21" i="125"/>
  <c r="BR21" i="125"/>
  <c r="BS21" i="125"/>
  <c r="BT21" i="125"/>
  <c r="BU21" i="125"/>
  <c r="BV21" i="125"/>
  <c r="BW21" i="125"/>
  <c r="BX21" i="125"/>
  <c r="BY21" i="125"/>
  <c r="BZ21" i="125"/>
  <c r="CA21" i="125"/>
  <c r="CB21" i="125"/>
  <c r="CC21" i="125"/>
  <c r="CD21" i="125"/>
  <c r="CE21" i="125"/>
  <c r="CF21" i="125"/>
  <c r="CG21" i="125"/>
  <c r="CH21" i="125"/>
  <c r="CI21" i="125"/>
  <c r="CJ21" i="125"/>
  <c r="CK21" i="125"/>
  <c r="CL21" i="125"/>
  <c r="A22" i="125"/>
  <c r="Q22" i="125"/>
  <c r="A23" i="125"/>
  <c r="K23" i="125"/>
  <c r="L23" i="125"/>
  <c r="M23" i="125"/>
  <c r="N23" i="125"/>
  <c r="O23" i="125"/>
  <c r="P23" i="125"/>
  <c r="P32" i="125"/>
  <c r="P33" i="125" s="1"/>
  <c r="Q23" i="125"/>
  <c r="R23" i="125"/>
  <c r="S23" i="125"/>
  <c r="T23" i="125"/>
  <c r="U23" i="125"/>
  <c r="V23" i="125"/>
  <c r="V32" i="125"/>
  <c r="V33" i="125" s="1"/>
  <c r="W23" i="125"/>
  <c r="X23" i="125"/>
  <c r="X32" i="125"/>
  <c r="X33" i="125" s="1"/>
  <c r="Y23" i="125"/>
  <c r="Z23" i="125"/>
  <c r="AA23" i="125"/>
  <c r="AA32" i="125" s="1"/>
  <c r="AA33" i="125" s="1"/>
  <c r="AB23" i="125"/>
  <c r="AC23" i="125"/>
  <c r="AD23" i="125"/>
  <c r="AE23" i="125"/>
  <c r="AF23" i="125"/>
  <c r="AG23" i="125"/>
  <c r="AH23" i="125"/>
  <c r="AI23" i="125"/>
  <c r="AJ23" i="125"/>
  <c r="AK23" i="125"/>
  <c r="AL23" i="125"/>
  <c r="AM23" i="125"/>
  <c r="AN23" i="125"/>
  <c r="AO23" i="125"/>
  <c r="AP23" i="125"/>
  <c r="AQ23" i="125"/>
  <c r="AR23" i="125"/>
  <c r="AS23" i="125"/>
  <c r="A24" i="125"/>
  <c r="K24" i="125"/>
  <c r="L24" i="125"/>
  <c r="M24" i="125"/>
  <c r="N24" i="125"/>
  <c r="O24" i="125"/>
  <c r="P24" i="125"/>
  <c r="Q24" i="125"/>
  <c r="R24" i="125"/>
  <c r="S24" i="125"/>
  <c r="T24" i="125"/>
  <c r="U24" i="125"/>
  <c r="V24" i="125"/>
  <c r="W24" i="125"/>
  <c r="X24" i="125"/>
  <c r="Y24" i="125"/>
  <c r="Z24" i="125"/>
  <c r="AA24" i="125"/>
  <c r="AB24" i="125"/>
  <c r="AC24" i="125"/>
  <c r="AD24" i="125"/>
  <c r="AE24" i="125"/>
  <c r="AF24" i="125"/>
  <c r="AG24" i="125"/>
  <c r="AH24" i="125"/>
  <c r="AI24" i="125"/>
  <c r="AJ24" i="125"/>
  <c r="AK24" i="125"/>
  <c r="AL24" i="125"/>
  <c r="AM24" i="125"/>
  <c r="AN24" i="125"/>
  <c r="AO24" i="125"/>
  <c r="AP24" i="125"/>
  <c r="AQ24" i="125"/>
  <c r="AR24" i="125"/>
  <c r="AS24" i="125"/>
  <c r="A25" i="125"/>
  <c r="K25" i="125"/>
  <c r="L25" i="125"/>
  <c r="M25" i="125"/>
  <c r="N25" i="125"/>
  <c r="O25" i="125"/>
  <c r="P25" i="125"/>
  <c r="Q25" i="125"/>
  <c r="R25" i="125"/>
  <c r="S25" i="125"/>
  <c r="T25" i="125"/>
  <c r="U25" i="125"/>
  <c r="V25" i="125"/>
  <c r="W25" i="125"/>
  <c r="X25" i="125"/>
  <c r="Y25" i="125"/>
  <c r="Z25" i="125"/>
  <c r="AA25" i="125"/>
  <c r="AB25" i="125"/>
  <c r="AC25" i="125"/>
  <c r="AD25" i="125"/>
  <c r="AE25" i="125"/>
  <c r="AF25" i="125"/>
  <c r="AG25" i="125"/>
  <c r="AH25" i="125"/>
  <c r="AI25" i="125"/>
  <c r="AJ25" i="125"/>
  <c r="AK25" i="125"/>
  <c r="AL25" i="125"/>
  <c r="AM25" i="125"/>
  <c r="AN25" i="125"/>
  <c r="AO25" i="125"/>
  <c r="AP25" i="125"/>
  <c r="AQ25" i="125"/>
  <c r="AR25" i="125"/>
  <c r="AS25" i="125"/>
  <c r="A26" i="125"/>
  <c r="K26" i="125"/>
  <c r="L26" i="125"/>
  <c r="M26" i="125"/>
  <c r="N26" i="125"/>
  <c r="O26" i="125"/>
  <c r="P26" i="125"/>
  <c r="Q26" i="125"/>
  <c r="R26" i="125"/>
  <c r="S26" i="125"/>
  <c r="T26" i="125"/>
  <c r="U26" i="125"/>
  <c r="V26" i="125"/>
  <c r="W26" i="125"/>
  <c r="X26" i="125"/>
  <c r="Y26" i="125"/>
  <c r="Z26" i="125"/>
  <c r="AA26" i="125"/>
  <c r="AB26" i="125"/>
  <c r="AC26" i="125"/>
  <c r="AD26" i="125"/>
  <c r="AE26" i="125"/>
  <c r="AF26" i="125"/>
  <c r="AG26" i="125"/>
  <c r="AH26" i="125"/>
  <c r="AI26" i="125"/>
  <c r="AJ26" i="125"/>
  <c r="AK26" i="125"/>
  <c r="AL26" i="125"/>
  <c r="AM26" i="125"/>
  <c r="AN26" i="125"/>
  <c r="AO26" i="125"/>
  <c r="AP26" i="125"/>
  <c r="AQ26" i="125"/>
  <c r="AR26" i="125"/>
  <c r="AS26" i="125"/>
  <c r="A27" i="125"/>
  <c r="K27" i="125"/>
  <c r="L27" i="125"/>
  <c r="M27" i="125"/>
  <c r="N27" i="125"/>
  <c r="O27" i="125"/>
  <c r="P27" i="125"/>
  <c r="Q27" i="125"/>
  <c r="R27" i="125"/>
  <c r="S27" i="125"/>
  <c r="T27" i="125"/>
  <c r="U27" i="125"/>
  <c r="V27" i="125"/>
  <c r="W27" i="125"/>
  <c r="X27" i="125"/>
  <c r="Y27" i="125"/>
  <c r="Z27" i="125"/>
  <c r="AA27" i="125"/>
  <c r="AB27" i="125"/>
  <c r="AC27" i="125"/>
  <c r="AD27" i="125"/>
  <c r="AE27" i="125"/>
  <c r="AF27" i="125"/>
  <c r="AG27" i="125"/>
  <c r="AH27" i="125"/>
  <c r="AI27" i="125"/>
  <c r="AJ27" i="125"/>
  <c r="AK27" i="125"/>
  <c r="AL27" i="125"/>
  <c r="AM27" i="125"/>
  <c r="AN27" i="125"/>
  <c r="AO27" i="125"/>
  <c r="AP27" i="125"/>
  <c r="AQ27" i="125"/>
  <c r="AR27" i="125"/>
  <c r="AS27" i="125"/>
  <c r="A28" i="125"/>
  <c r="K28" i="125"/>
  <c r="L28" i="125"/>
  <c r="M28" i="125"/>
  <c r="N28" i="125"/>
  <c r="O28" i="125"/>
  <c r="P28" i="125"/>
  <c r="Q28" i="125"/>
  <c r="R28" i="125"/>
  <c r="S28" i="125"/>
  <c r="T28" i="125"/>
  <c r="U28" i="125"/>
  <c r="V28" i="125"/>
  <c r="W28" i="125"/>
  <c r="X28" i="125"/>
  <c r="Y28" i="125"/>
  <c r="Z28" i="125"/>
  <c r="AA28" i="125"/>
  <c r="AB28" i="125"/>
  <c r="AC28" i="125"/>
  <c r="AD28" i="125"/>
  <c r="AE28" i="125"/>
  <c r="AF28" i="125"/>
  <c r="AG28" i="125"/>
  <c r="AH28" i="125"/>
  <c r="AI28" i="125"/>
  <c r="AJ28" i="125"/>
  <c r="AK28" i="125"/>
  <c r="AL28" i="125"/>
  <c r="AM28" i="125"/>
  <c r="AN28" i="125"/>
  <c r="AO28" i="125"/>
  <c r="AP28" i="125"/>
  <c r="AQ28" i="125"/>
  <c r="AR28" i="125"/>
  <c r="AS28" i="125"/>
  <c r="A29" i="125"/>
  <c r="K29" i="125"/>
  <c r="L29" i="125"/>
  <c r="M29" i="125"/>
  <c r="N29" i="125"/>
  <c r="O29" i="125"/>
  <c r="P29" i="125"/>
  <c r="Q29" i="125"/>
  <c r="R29" i="125"/>
  <c r="S29" i="125"/>
  <c r="T29" i="125"/>
  <c r="U29" i="125"/>
  <c r="V29" i="125"/>
  <c r="W29" i="125"/>
  <c r="X29" i="125"/>
  <c r="Y29" i="125"/>
  <c r="Z29" i="125"/>
  <c r="AA29" i="125"/>
  <c r="AB29" i="125"/>
  <c r="AC29" i="125"/>
  <c r="AD29" i="125"/>
  <c r="AE29" i="125"/>
  <c r="AF29" i="125"/>
  <c r="AG29" i="125"/>
  <c r="AH29" i="125"/>
  <c r="AI29" i="125"/>
  <c r="AJ29" i="125"/>
  <c r="AK29" i="125"/>
  <c r="AL29" i="125"/>
  <c r="AM29" i="125"/>
  <c r="AN29" i="125"/>
  <c r="AO29" i="125"/>
  <c r="AP29" i="125"/>
  <c r="AQ29" i="125"/>
  <c r="AR29" i="125"/>
  <c r="AS29" i="125"/>
  <c r="A30" i="125"/>
  <c r="F30" i="125"/>
  <c r="G30" i="125"/>
  <c r="H30" i="125"/>
  <c r="I30" i="125"/>
  <c r="AT30" i="125"/>
  <c r="AU30" i="125"/>
  <c r="Q30" i="125"/>
  <c r="AV30" i="125"/>
  <c r="S30" i="125"/>
  <c r="AW30" i="125"/>
  <c r="N30" i="125" s="1"/>
  <c r="AX30" i="125"/>
  <c r="AY30" i="125"/>
  <c r="L30" i="125" s="1"/>
  <c r="AZ30" i="125"/>
  <c r="BA30" i="125"/>
  <c r="BB30" i="125"/>
  <c r="T30" i="125" s="1"/>
  <c r="BC30" i="125"/>
  <c r="U30" i="125" s="1"/>
  <c r="BD30" i="125"/>
  <c r="M30" i="125" s="1"/>
  <c r="BE30" i="125"/>
  <c r="O30" i="125" s="1"/>
  <c r="BF30" i="125"/>
  <c r="K30" i="125" s="1"/>
  <c r="BG30" i="125"/>
  <c r="BH30" i="125"/>
  <c r="BI30" i="125"/>
  <c r="BJ30" i="125"/>
  <c r="BJ107" i="125" s="1"/>
  <c r="BK30" i="125"/>
  <c r="BL30" i="125"/>
  <c r="BM30" i="125"/>
  <c r="Z30" i="125" s="1"/>
  <c r="BN30" i="125"/>
  <c r="BO30" i="125"/>
  <c r="BP30" i="125"/>
  <c r="AB30" i="125" s="1"/>
  <c r="BQ30" i="125"/>
  <c r="BR30" i="125"/>
  <c r="W30" i="125" s="1"/>
  <c r="BS30" i="125"/>
  <c r="BT30" i="125"/>
  <c r="BU30" i="125"/>
  <c r="AD30" i="125" s="1"/>
  <c r="BV30" i="125"/>
  <c r="AG30" i="125"/>
  <c r="BW30" i="125"/>
  <c r="AI30" i="125" s="1"/>
  <c r="BX30" i="125"/>
  <c r="AC30" i="125" s="1"/>
  <c r="BY30" i="125"/>
  <c r="AJ30" i="125" s="1"/>
  <c r="BZ30" i="125"/>
  <c r="AH30" i="125" s="1"/>
  <c r="CA30" i="125"/>
  <c r="AF30" i="125" s="1"/>
  <c r="CB30" i="125"/>
  <c r="AK30" i="125" s="1"/>
  <c r="CC30" i="125"/>
  <c r="AO30" i="125" s="1"/>
  <c r="CD30" i="125"/>
  <c r="AP30" i="125" s="1"/>
  <c r="CE30" i="125"/>
  <c r="AL30" i="125" s="1"/>
  <c r="CF30" i="125"/>
  <c r="CG30" i="125"/>
  <c r="CH30" i="125"/>
  <c r="AM30" i="125" s="1"/>
  <c r="CI30" i="125"/>
  <c r="AR30" i="125" s="1"/>
  <c r="CJ30" i="125"/>
  <c r="AN30" i="125" s="1"/>
  <c r="CK30" i="125"/>
  <c r="AQ30" i="125" s="1"/>
  <c r="CL30" i="125"/>
  <c r="A31" i="125"/>
  <c r="B31" i="125"/>
  <c r="F31" i="125"/>
  <c r="G31" i="125"/>
  <c r="H31" i="125"/>
  <c r="I31" i="125"/>
  <c r="AT31" i="125"/>
  <c r="AT107" i="125" s="1"/>
  <c r="AU31" i="125"/>
  <c r="Q31" i="125"/>
  <c r="AV31" i="125"/>
  <c r="S31" i="125"/>
  <c r="AW31" i="125"/>
  <c r="N31" i="125" s="1"/>
  <c r="AX31" i="125"/>
  <c r="AY31" i="125"/>
  <c r="L31" i="125" s="1"/>
  <c r="AZ31" i="125"/>
  <c r="P31" i="125" s="1"/>
  <c r="BA31" i="125"/>
  <c r="BB31" i="125"/>
  <c r="T31" i="125" s="1"/>
  <c r="BC31" i="125"/>
  <c r="U31" i="125"/>
  <c r="BD31" i="125"/>
  <c r="M31" i="125" s="1"/>
  <c r="BE31" i="125"/>
  <c r="O31" i="125" s="1"/>
  <c r="BF31" i="125"/>
  <c r="K31" i="125" s="1"/>
  <c r="BG31" i="125"/>
  <c r="BH31" i="125"/>
  <c r="X31" i="125"/>
  <c r="BI31" i="125"/>
  <c r="BJ31" i="125"/>
  <c r="V31" i="125" s="1"/>
  <c r="BK31" i="125"/>
  <c r="BL31" i="125"/>
  <c r="BM31" i="125"/>
  <c r="Z31" i="125" s="1"/>
  <c r="BN31" i="125"/>
  <c r="BO31" i="125"/>
  <c r="AA31" i="125" s="1"/>
  <c r="BP31" i="125"/>
  <c r="AB31" i="125" s="1"/>
  <c r="BQ31" i="125"/>
  <c r="BR31" i="125"/>
  <c r="W31" i="125"/>
  <c r="BS31" i="125"/>
  <c r="BT31" i="125"/>
  <c r="BU31" i="125"/>
  <c r="AD31" i="125"/>
  <c r="BV31" i="125"/>
  <c r="AG31" i="125"/>
  <c r="BW31" i="125"/>
  <c r="AI31" i="125"/>
  <c r="BX31" i="125"/>
  <c r="AC31" i="125" s="1"/>
  <c r="BY31" i="125"/>
  <c r="AJ31" i="125"/>
  <c r="BZ31" i="125"/>
  <c r="AH31" i="125"/>
  <c r="CA31" i="125"/>
  <c r="AF31" i="125" s="1"/>
  <c r="CB31" i="125"/>
  <c r="AK31" i="125" s="1"/>
  <c r="CC31" i="125"/>
  <c r="AO31" i="125" s="1"/>
  <c r="CD31" i="125"/>
  <c r="AP31" i="125" s="1"/>
  <c r="CE31" i="125"/>
  <c r="AL31" i="125" s="1"/>
  <c r="CF31" i="125"/>
  <c r="AS31" i="125" s="1"/>
  <c r="CG31" i="125"/>
  <c r="CH31" i="125"/>
  <c r="AM31" i="125"/>
  <c r="CI31" i="125"/>
  <c r="AR31" i="125" s="1"/>
  <c r="CJ31" i="125"/>
  <c r="AN31" i="125"/>
  <c r="CK31" i="125"/>
  <c r="AQ31" i="125"/>
  <c r="CL31" i="125"/>
  <c r="A32" i="125"/>
  <c r="K32" i="125"/>
  <c r="L32" i="125"/>
  <c r="M32" i="125"/>
  <c r="N32" i="125"/>
  <c r="O32" i="125"/>
  <c r="Q32" i="125"/>
  <c r="S32" i="125"/>
  <c r="T32" i="125"/>
  <c r="U32" i="125"/>
  <c r="W32" i="125"/>
  <c r="Y32" i="125"/>
  <c r="Y33" i="125"/>
  <c r="Z32" i="125"/>
  <c r="AB32" i="125"/>
  <c r="AC32" i="125"/>
  <c r="AD32" i="125"/>
  <c r="AF32" i="125"/>
  <c r="AG32" i="125"/>
  <c r="AH32" i="125"/>
  <c r="AI32" i="125"/>
  <c r="AJ32" i="125"/>
  <c r="AK32" i="125"/>
  <c r="AL32" i="125"/>
  <c r="AM32" i="125"/>
  <c r="AN32" i="125"/>
  <c r="AO32" i="125"/>
  <c r="AP32" i="125"/>
  <c r="AQ32" i="125"/>
  <c r="AR32" i="125"/>
  <c r="AS32" i="125"/>
  <c r="AS33" i="125" s="1"/>
  <c r="A33" i="125"/>
  <c r="F33" i="125"/>
  <c r="G33" i="125"/>
  <c r="H33" i="125"/>
  <c r="I33" i="125"/>
  <c r="W33" i="125"/>
  <c r="AT33" i="125"/>
  <c r="AU33" i="125"/>
  <c r="Q33" i="125" s="1"/>
  <c r="AV33" i="125"/>
  <c r="S33" i="125" s="1"/>
  <c r="AW33" i="125"/>
  <c r="N33" i="125" s="1"/>
  <c r="AX33" i="125"/>
  <c r="AY33" i="125"/>
  <c r="L33" i="125" s="1"/>
  <c r="AZ33" i="125"/>
  <c r="BA33" i="125"/>
  <c r="BB33" i="125"/>
  <c r="T33" i="125" s="1"/>
  <c r="BC33" i="125"/>
  <c r="U33" i="125" s="1"/>
  <c r="BD33" i="125"/>
  <c r="M33" i="125" s="1"/>
  <c r="BE33" i="125"/>
  <c r="O33" i="125" s="1"/>
  <c r="BF33" i="125"/>
  <c r="K33" i="125" s="1"/>
  <c r="BG33" i="125"/>
  <c r="BH33" i="125"/>
  <c r="BI33" i="125"/>
  <c r="BJ33" i="125"/>
  <c r="BK33" i="125"/>
  <c r="BL33" i="125"/>
  <c r="BM33" i="125"/>
  <c r="Z33" i="125" s="1"/>
  <c r="BN33" i="125"/>
  <c r="BO33" i="125"/>
  <c r="BP33" i="125"/>
  <c r="AB33" i="125" s="1"/>
  <c r="BQ33" i="125"/>
  <c r="BR33" i="125"/>
  <c r="BS33" i="125"/>
  <c r="BT33" i="125"/>
  <c r="BU33" i="125"/>
  <c r="AD33" i="125" s="1"/>
  <c r="BV33" i="125"/>
  <c r="AG33" i="125" s="1"/>
  <c r="BW33" i="125"/>
  <c r="AI33" i="125" s="1"/>
  <c r="BX33" i="125"/>
  <c r="AC33" i="125" s="1"/>
  <c r="BY33" i="125"/>
  <c r="AJ33" i="125"/>
  <c r="BZ33" i="125"/>
  <c r="AH33" i="125"/>
  <c r="CA33" i="125"/>
  <c r="AF33" i="125" s="1"/>
  <c r="CB33" i="125"/>
  <c r="AK33" i="125" s="1"/>
  <c r="CC33" i="125"/>
  <c r="AO33" i="125" s="1"/>
  <c r="CD33" i="125"/>
  <c r="AP33" i="125" s="1"/>
  <c r="CE33" i="125"/>
  <c r="AL33" i="125" s="1"/>
  <c r="CF33" i="125"/>
  <c r="CG33" i="125"/>
  <c r="CH33" i="125"/>
  <c r="AM33" i="125" s="1"/>
  <c r="CI33" i="125"/>
  <c r="AR33" i="125"/>
  <c r="CJ33" i="125"/>
  <c r="AN33" i="125" s="1"/>
  <c r="CK33" i="125"/>
  <c r="AQ33" i="125" s="1"/>
  <c r="CL33" i="125"/>
  <c r="A34" i="125"/>
  <c r="A35" i="125"/>
  <c r="K35" i="125"/>
  <c r="K67" i="125" s="1"/>
  <c r="L35" i="125"/>
  <c r="M35" i="125"/>
  <c r="M67" i="125" s="1"/>
  <c r="N35" i="125"/>
  <c r="O35" i="125"/>
  <c r="O67" i="125" s="1"/>
  <c r="P35" i="125"/>
  <c r="Q35" i="125"/>
  <c r="Q67" i="125" s="1"/>
  <c r="R35" i="125"/>
  <c r="R30" i="125"/>
  <c r="S35" i="125"/>
  <c r="S67" i="125" s="1"/>
  <c r="T35" i="125"/>
  <c r="U35" i="125"/>
  <c r="U67" i="125" s="1"/>
  <c r="V35" i="125"/>
  <c r="V30" i="125" s="1"/>
  <c r="W35" i="125"/>
  <c r="W67" i="125" s="1"/>
  <c r="X35" i="125"/>
  <c r="X50" i="125" s="1"/>
  <c r="Y35" i="125"/>
  <c r="Y67" i="125" s="1"/>
  <c r="Y30" i="125"/>
  <c r="Z35" i="125"/>
  <c r="AA35" i="125"/>
  <c r="AA67" i="125" s="1"/>
  <c r="AB35" i="125"/>
  <c r="AC35" i="125"/>
  <c r="AC67" i="125" s="1"/>
  <c r="AD35" i="125"/>
  <c r="AE35" i="125"/>
  <c r="AE30" i="125"/>
  <c r="AF35" i="125"/>
  <c r="AG35" i="125"/>
  <c r="AG67" i="125" s="1"/>
  <c r="AH35" i="125"/>
  <c r="AI35" i="125"/>
  <c r="AI67" i="125" s="1"/>
  <c r="AJ35" i="125"/>
  <c r="AK35" i="125"/>
  <c r="AK67" i="125" s="1"/>
  <c r="AL35" i="125"/>
  <c r="AM35" i="125"/>
  <c r="AM67" i="125" s="1"/>
  <c r="AN35" i="125"/>
  <c r="AO35" i="125"/>
  <c r="AP35" i="125"/>
  <c r="AQ35" i="125"/>
  <c r="AQ67" i="125" s="1"/>
  <c r="AR35" i="125"/>
  <c r="AS35" i="125"/>
  <c r="AS67" i="125" s="1"/>
  <c r="A36" i="125"/>
  <c r="K36" i="125"/>
  <c r="L36" i="125"/>
  <c r="M36" i="125"/>
  <c r="N36" i="125"/>
  <c r="O36" i="125"/>
  <c r="P36" i="125"/>
  <c r="Q36" i="125"/>
  <c r="R36" i="125"/>
  <c r="S36" i="125"/>
  <c r="T36" i="125"/>
  <c r="U36" i="125"/>
  <c r="V36" i="125"/>
  <c r="W36" i="125"/>
  <c r="X36" i="125"/>
  <c r="Y36" i="125"/>
  <c r="Z36" i="125"/>
  <c r="AA36" i="125"/>
  <c r="AB36" i="125"/>
  <c r="AC36" i="125"/>
  <c r="AD36" i="125"/>
  <c r="AE36" i="125"/>
  <c r="AF36" i="125"/>
  <c r="AG36" i="125"/>
  <c r="AH36" i="125"/>
  <c r="AI36" i="125"/>
  <c r="AJ36" i="125"/>
  <c r="AK36" i="125"/>
  <c r="AL36" i="125"/>
  <c r="AM36" i="125"/>
  <c r="AN36" i="125"/>
  <c r="AO36" i="125"/>
  <c r="AP36" i="125"/>
  <c r="AQ36" i="125"/>
  <c r="AR36" i="125"/>
  <c r="AS36" i="125"/>
  <c r="A37" i="125"/>
  <c r="K37" i="125"/>
  <c r="L37" i="125"/>
  <c r="M37" i="125"/>
  <c r="N37" i="125"/>
  <c r="O37" i="125"/>
  <c r="P37" i="125"/>
  <c r="Q37" i="125"/>
  <c r="R37" i="125"/>
  <c r="S37" i="125"/>
  <c r="T37" i="125"/>
  <c r="U37" i="125"/>
  <c r="V37" i="125"/>
  <c r="W37" i="125"/>
  <c r="X37" i="125"/>
  <c r="Y37" i="125"/>
  <c r="Z37" i="125"/>
  <c r="AA37" i="125"/>
  <c r="AB37" i="125"/>
  <c r="AC37" i="125"/>
  <c r="AD37" i="125"/>
  <c r="AE37" i="125"/>
  <c r="AF37" i="125"/>
  <c r="AG37" i="125"/>
  <c r="AH37" i="125"/>
  <c r="AI37" i="125"/>
  <c r="AJ37" i="125"/>
  <c r="AK37" i="125"/>
  <c r="AL37" i="125"/>
  <c r="AM37" i="125"/>
  <c r="AN37" i="125"/>
  <c r="AO37" i="125"/>
  <c r="AP37" i="125"/>
  <c r="AQ37" i="125"/>
  <c r="AR37" i="125"/>
  <c r="AS37" i="125"/>
  <c r="A38" i="125"/>
  <c r="K38" i="125"/>
  <c r="L38" i="125"/>
  <c r="M38" i="125"/>
  <c r="N38" i="125"/>
  <c r="O38" i="125"/>
  <c r="P38" i="125"/>
  <c r="Q38" i="125"/>
  <c r="R38" i="125"/>
  <c r="S38" i="125"/>
  <c r="T38" i="125"/>
  <c r="U38" i="125"/>
  <c r="V38" i="125"/>
  <c r="W38" i="125"/>
  <c r="X38" i="125"/>
  <c r="Y38" i="125"/>
  <c r="Z38" i="125"/>
  <c r="AA38" i="125"/>
  <c r="AB38" i="125"/>
  <c r="AC38" i="125"/>
  <c r="AD38" i="125"/>
  <c r="AE38" i="125"/>
  <c r="AF38" i="125"/>
  <c r="AG38" i="125"/>
  <c r="AH38" i="125"/>
  <c r="AI38" i="125"/>
  <c r="AJ38" i="125"/>
  <c r="AK38" i="125"/>
  <c r="AL38" i="125"/>
  <c r="AM38" i="125"/>
  <c r="AN38" i="125"/>
  <c r="AO38" i="125"/>
  <c r="AP38" i="125"/>
  <c r="AQ38" i="125"/>
  <c r="AR38" i="125"/>
  <c r="AS38" i="125"/>
  <c r="A39" i="125"/>
  <c r="K39" i="125"/>
  <c r="L39" i="125"/>
  <c r="M39" i="125"/>
  <c r="N39" i="125"/>
  <c r="O39" i="125"/>
  <c r="P39" i="125"/>
  <c r="Q39" i="125"/>
  <c r="R39" i="125"/>
  <c r="S39" i="125"/>
  <c r="T39" i="125"/>
  <c r="U39" i="125"/>
  <c r="V39" i="125"/>
  <c r="W39" i="125"/>
  <c r="X39" i="125"/>
  <c r="Y39" i="125"/>
  <c r="Z39" i="125"/>
  <c r="AA39" i="125"/>
  <c r="AB39" i="125"/>
  <c r="AC39" i="125"/>
  <c r="AD39" i="125"/>
  <c r="AE39" i="125"/>
  <c r="AF39" i="125"/>
  <c r="AG39" i="125"/>
  <c r="AH39" i="125"/>
  <c r="AI39" i="125"/>
  <c r="AJ39" i="125"/>
  <c r="AK39" i="125"/>
  <c r="AL39" i="125"/>
  <c r="AM39" i="125"/>
  <c r="AN39" i="125"/>
  <c r="AO39" i="125"/>
  <c r="AP39" i="125"/>
  <c r="AQ39" i="125"/>
  <c r="AR39" i="125"/>
  <c r="AS39" i="125"/>
  <c r="A40" i="125"/>
  <c r="A41" i="125"/>
  <c r="K41" i="125"/>
  <c r="L41" i="125"/>
  <c r="M41" i="125"/>
  <c r="N41" i="125"/>
  <c r="O41" i="125"/>
  <c r="P41" i="125"/>
  <c r="Q41" i="125"/>
  <c r="R41" i="125"/>
  <c r="S41" i="125"/>
  <c r="T41" i="125"/>
  <c r="U41" i="125"/>
  <c r="V41" i="125"/>
  <c r="W41" i="125"/>
  <c r="X41" i="125"/>
  <c r="Y41" i="125"/>
  <c r="Z41" i="125"/>
  <c r="AA41" i="125"/>
  <c r="AB41" i="125"/>
  <c r="AC41" i="125"/>
  <c r="AD41" i="125"/>
  <c r="AE41" i="125"/>
  <c r="AF41" i="125"/>
  <c r="AG41" i="125"/>
  <c r="AH41" i="125"/>
  <c r="AI41" i="125"/>
  <c r="AJ41" i="125"/>
  <c r="AK41" i="125"/>
  <c r="AL41" i="125"/>
  <c r="AM41" i="125"/>
  <c r="AN41" i="125"/>
  <c r="AO41" i="125"/>
  <c r="AP41" i="125"/>
  <c r="AQ41" i="125"/>
  <c r="AR41" i="125"/>
  <c r="AS41" i="125"/>
  <c r="A42" i="125"/>
  <c r="K42" i="125"/>
  <c r="L42" i="125"/>
  <c r="M42" i="125"/>
  <c r="N42" i="125"/>
  <c r="O42" i="125"/>
  <c r="P42" i="125"/>
  <c r="Q42" i="125"/>
  <c r="R42" i="125"/>
  <c r="R44" i="125"/>
  <c r="S42" i="125"/>
  <c r="T42" i="125"/>
  <c r="U42" i="125"/>
  <c r="V42" i="125"/>
  <c r="V51" i="125" s="1"/>
  <c r="W42" i="125"/>
  <c r="X42" i="125"/>
  <c r="Y42" i="125"/>
  <c r="Y44" i="125"/>
  <c r="Z42" i="125"/>
  <c r="AA42" i="125"/>
  <c r="AA44" i="125" s="1"/>
  <c r="AB42" i="125"/>
  <c r="AC42" i="125"/>
  <c r="AD42" i="125"/>
  <c r="AE42" i="125"/>
  <c r="AE44" i="125" s="1"/>
  <c r="AF42" i="125"/>
  <c r="AG42" i="125"/>
  <c r="AH42" i="125"/>
  <c r="AI42" i="125"/>
  <c r="AJ42" i="125"/>
  <c r="AK42" i="125"/>
  <c r="AL42" i="125"/>
  <c r="AM42" i="125"/>
  <c r="AN42" i="125"/>
  <c r="AO42" i="125"/>
  <c r="AP42" i="125"/>
  <c r="AQ42" i="125"/>
  <c r="AR42" i="125"/>
  <c r="AS42" i="125"/>
  <c r="AS44" i="125" s="1"/>
  <c r="A43" i="125"/>
  <c r="A44" i="125"/>
  <c r="A45" i="125"/>
  <c r="K45" i="125"/>
  <c r="L45" i="125"/>
  <c r="M45" i="125"/>
  <c r="N45" i="125"/>
  <c r="O45" i="125"/>
  <c r="Q45" i="125"/>
  <c r="S45" i="125"/>
  <c r="T45" i="125"/>
  <c r="U45" i="125"/>
  <c r="W45" i="125"/>
  <c r="Z45" i="125"/>
  <c r="AB45" i="125"/>
  <c r="AC45" i="125"/>
  <c r="AD45" i="125"/>
  <c r="AF45" i="125"/>
  <c r="AG45" i="125"/>
  <c r="AH45" i="125"/>
  <c r="AI45" i="125"/>
  <c r="AJ45" i="125"/>
  <c r="AK45" i="125"/>
  <c r="AL45" i="125"/>
  <c r="AM45" i="125"/>
  <c r="AN45" i="125"/>
  <c r="AO45" i="125"/>
  <c r="AP45" i="125"/>
  <c r="AQ45" i="125"/>
  <c r="AR45" i="125"/>
  <c r="AS45" i="125"/>
  <c r="AS47" i="125" s="1"/>
  <c r="A46" i="125"/>
  <c r="K46" i="125"/>
  <c r="L46" i="125"/>
  <c r="M46" i="125"/>
  <c r="N46" i="125"/>
  <c r="O46" i="125"/>
  <c r="Q46" i="125"/>
  <c r="S46" i="125"/>
  <c r="T46" i="125"/>
  <c r="U46" i="125"/>
  <c r="W46" i="125"/>
  <c r="Z46" i="125"/>
  <c r="AB46" i="125"/>
  <c r="AC46" i="125"/>
  <c r="AD46" i="125"/>
  <c r="AF46" i="125"/>
  <c r="AG46" i="125"/>
  <c r="AH46" i="125"/>
  <c r="AI46" i="125"/>
  <c r="AJ46" i="125"/>
  <c r="AK46" i="125"/>
  <c r="AL46" i="125"/>
  <c r="AM46" i="125"/>
  <c r="AN46" i="125"/>
  <c r="AO46" i="125"/>
  <c r="AP46" i="125"/>
  <c r="AQ46" i="125"/>
  <c r="AR46" i="125"/>
  <c r="AS46" i="125"/>
  <c r="A47" i="125"/>
  <c r="K47" i="125"/>
  <c r="L47" i="125"/>
  <c r="M47" i="125"/>
  <c r="N47" i="125"/>
  <c r="O47" i="125"/>
  <c r="Q47" i="125"/>
  <c r="S47" i="125"/>
  <c r="T47" i="125"/>
  <c r="U47" i="125"/>
  <c r="W47" i="125"/>
  <c r="Z47" i="125"/>
  <c r="AB47" i="125"/>
  <c r="AC47" i="125"/>
  <c r="AD47" i="125"/>
  <c r="AF47" i="125"/>
  <c r="AG47" i="125"/>
  <c r="AH47" i="125"/>
  <c r="AI47" i="125"/>
  <c r="AJ47" i="125"/>
  <c r="AK47" i="125"/>
  <c r="AL47" i="125"/>
  <c r="AM47" i="125"/>
  <c r="AN47" i="125"/>
  <c r="AO47" i="125"/>
  <c r="AP47" i="125"/>
  <c r="AQ47" i="125"/>
  <c r="AR47" i="125"/>
  <c r="A48" i="125"/>
  <c r="K48" i="125"/>
  <c r="L48" i="125"/>
  <c r="M48" i="125"/>
  <c r="N48" i="125"/>
  <c r="O48" i="125"/>
  <c r="P48" i="125"/>
  <c r="Q48" i="125"/>
  <c r="R48" i="125"/>
  <c r="S48" i="125"/>
  <c r="T48" i="125"/>
  <c r="U48" i="125"/>
  <c r="V48" i="125"/>
  <c r="W48" i="125"/>
  <c r="X48" i="125"/>
  <c r="Y48" i="125"/>
  <c r="Z48" i="125"/>
  <c r="AA48" i="125"/>
  <c r="AB48" i="125"/>
  <c r="AC48" i="125"/>
  <c r="AD48" i="125"/>
  <c r="AE48" i="125"/>
  <c r="AF48" i="125"/>
  <c r="AG48" i="125"/>
  <c r="AH48" i="125"/>
  <c r="AI48" i="125"/>
  <c r="AJ48" i="125"/>
  <c r="AK48" i="125"/>
  <c r="AL48" i="125"/>
  <c r="AM48" i="125"/>
  <c r="AN48" i="125"/>
  <c r="AO48" i="125"/>
  <c r="AP48" i="125"/>
  <c r="AQ48" i="125"/>
  <c r="AR48" i="125"/>
  <c r="AS48" i="125"/>
  <c r="A49" i="125"/>
  <c r="K49" i="125"/>
  <c r="L49" i="125"/>
  <c r="M49" i="125"/>
  <c r="N49" i="125"/>
  <c r="O49" i="125"/>
  <c r="P49" i="125"/>
  <c r="Q49" i="125"/>
  <c r="R49" i="125"/>
  <c r="S49" i="125"/>
  <c r="T49" i="125"/>
  <c r="U49" i="125"/>
  <c r="V49" i="125"/>
  <c r="W49" i="125"/>
  <c r="X49" i="125"/>
  <c r="Y49" i="125"/>
  <c r="Z49" i="125"/>
  <c r="AA49" i="125"/>
  <c r="AB49" i="125"/>
  <c r="AC49" i="125"/>
  <c r="AD49" i="125"/>
  <c r="AE49" i="125"/>
  <c r="AF49" i="125"/>
  <c r="AG49" i="125"/>
  <c r="AH49" i="125"/>
  <c r="AI49" i="125"/>
  <c r="AJ49" i="125"/>
  <c r="AK49" i="125"/>
  <c r="AL49" i="125"/>
  <c r="AM49" i="125"/>
  <c r="AN49" i="125"/>
  <c r="AO49" i="125"/>
  <c r="AP49" i="125"/>
  <c r="AQ49" i="125"/>
  <c r="AR49" i="125"/>
  <c r="AS49" i="125"/>
  <c r="A50" i="125"/>
  <c r="K50" i="125"/>
  <c r="L50" i="125"/>
  <c r="M50" i="125"/>
  <c r="N50" i="125"/>
  <c r="O50" i="125"/>
  <c r="Q50" i="125"/>
  <c r="R50" i="125"/>
  <c r="S50" i="125"/>
  <c r="T50" i="125"/>
  <c r="U50" i="125"/>
  <c r="W50" i="125"/>
  <c r="Z50" i="125"/>
  <c r="AB50" i="125"/>
  <c r="AC50" i="125"/>
  <c r="AD50" i="125"/>
  <c r="AF50" i="125"/>
  <c r="AG50" i="125"/>
  <c r="AH50" i="125"/>
  <c r="AI50" i="125"/>
  <c r="AJ50" i="125"/>
  <c r="AK50" i="125"/>
  <c r="AL50" i="125"/>
  <c r="AM50" i="125"/>
  <c r="AN50" i="125"/>
  <c r="AO50" i="125"/>
  <c r="AP50" i="125"/>
  <c r="AQ50" i="125"/>
  <c r="AR50" i="125"/>
  <c r="A51" i="125"/>
  <c r="AT51" i="125"/>
  <c r="AU51" i="125"/>
  <c r="Q51" i="135" s="1"/>
  <c r="AV51" i="125"/>
  <c r="S51" i="125" s="1"/>
  <c r="AW51" i="125"/>
  <c r="N51" i="125" s="1"/>
  <c r="AX51" i="125"/>
  <c r="AY51" i="125"/>
  <c r="L51" i="125"/>
  <c r="AZ51" i="125"/>
  <c r="BA51" i="125"/>
  <c r="BB51" i="125"/>
  <c r="T51" i="125" s="1"/>
  <c r="BC51" i="125"/>
  <c r="U51" i="125" s="1"/>
  <c r="BD51" i="125"/>
  <c r="M51" i="125"/>
  <c r="BE51" i="125"/>
  <c r="O51" i="125" s="1"/>
  <c r="BF51" i="125"/>
  <c r="K51" i="125" s="1"/>
  <c r="BG51" i="125"/>
  <c r="BH51" i="125"/>
  <c r="BI51" i="125"/>
  <c r="BJ51" i="125"/>
  <c r="BK51" i="125"/>
  <c r="BL51" i="125"/>
  <c r="BM51" i="125"/>
  <c r="Z51" i="125" s="1"/>
  <c r="BN51" i="125"/>
  <c r="BO51" i="125"/>
  <c r="BP51" i="125"/>
  <c r="AB51" i="125"/>
  <c r="BQ51" i="125"/>
  <c r="BR51" i="125"/>
  <c r="W51" i="125" s="1"/>
  <c r="BS51" i="125"/>
  <c r="BT51" i="125"/>
  <c r="BU51" i="125"/>
  <c r="AD51" i="125" s="1"/>
  <c r="BV51" i="125"/>
  <c r="AG51" i="125" s="1"/>
  <c r="BW51" i="125"/>
  <c r="AI51" i="125" s="1"/>
  <c r="BX51" i="125"/>
  <c r="AC51" i="125" s="1"/>
  <c r="BY51" i="125"/>
  <c r="AJ51" i="125" s="1"/>
  <c r="BZ51" i="125"/>
  <c r="AH51" i="125" s="1"/>
  <c r="CA51" i="125"/>
  <c r="AF51" i="125" s="1"/>
  <c r="CB51" i="125"/>
  <c r="AK51" i="125" s="1"/>
  <c r="CC51" i="125"/>
  <c r="AO51" i="125" s="1"/>
  <c r="CD51" i="125"/>
  <c r="AP51" i="125" s="1"/>
  <c r="CE51" i="125"/>
  <c r="AL51" i="125" s="1"/>
  <c r="CF51" i="125"/>
  <c r="CG51" i="125"/>
  <c r="CH51" i="125"/>
  <c r="AM51" i="125" s="1"/>
  <c r="CI51" i="125"/>
  <c r="AR51" i="125" s="1"/>
  <c r="CJ51" i="125"/>
  <c r="AN51" i="125" s="1"/>
  <c r="CK51" i="125"/>
  <c r="AQ51" i="125" s="1"/>
  <c r="CL51" i="125"/>
  <c r="A52" i="125"/>
  <c r="O52" i="125"/>
  <c r="Q52" i="125"/>
  <c r="U52" i="125"/>
  <c r="AG52" i="125"/>
  <c r="AK52" i="125"/>
  <c r="S52" i="125"/>
  <c r="N52" i="125"/>
  <c r="R52" i="125"/>
  <c r="L52" i="125"/>
  <c r="T52" i="125"/>
  <c r="M52" i="125"/>
  <c r="K52" i="125"/>
  <c r="BH52" i="125"/>
  <c r="X52" i="125"/>
  <c r="V52" i="125"/>
  <c r="Z52" i="125"/>
  <c r="AA52" i="125"/>
  <c r="AB52" i="125"/>
  <c r="W52" i="125"/>
  <c r="AE52" i="125"/>
  <c r="AD52" i="125"/>
  <c r="AI52" i="125"/>
  <c r="AJ52" i="125"/>
  <c r="AH52" i="125"/>
  <c r="AF52" i="125"/>
  <c r="AO52" i="125"/>
  <c r="AP52" i="125"/>
  <c r="AL52" i="125"/>
  <c r="AS52" i="125"/>
  <c r="AM52" i="125"/>
  <c r="AR52" i="125"/>
  <c r="AN52" i="125"/>
  <c r="AQ52" i="125"/>
  <c r="A53" i="125"/>
  <c r="A54" i="125"/>
  <c r="F54" i="125"/>
  <c r="G54" i="125"/>
  <c r="H54" i="125"/>
  <c r="I54" i="125"/>
  <c r="AT54" i="125"/>
  <c r="AU54" i="125"/>
  <c r="Q54" i="138"/>
  <c r="AV54" i="125"/>
  <c r="S54" i="125"/>
  <c r="AW54" i="125"/>
  <c r="N54" i="125"/>
  <c r="AX54" i="125"/>
  <c r="AY54" i="125"/>
  <c r="L54" i="125" s="1"/>
  <c r="AZ54" i="125"/>
  <c r="BA54" i="125"/>
  <c r="BA107" i="125" s="1"/>
  <c r="BB54" i="125"/>
  <c r="T54" i="125" s="1"/>
  <c r="BC54" i="125"/>
  <c r="U54" i="125" s="1"/>
  <c r="BD54" i="125"/>
  <c r="M54" i="125" s="1"/>
  <c r="BE54" i="125"/>
  <c r="O54" i="125" s="1"/>
  <c r="BF54" i="125"/>
  <c r="K54" i="125" s="1"/>
  <c r="BG54" i="125"/>
  <c r="BH54" i="125"/>
  <c r="BI54" i="125"/>
  <c r="BJ54" i="125"/>
  <c r="BK54" i="125"/>
  <c r="BL54" i="125"/>
  <c r="BM54" i="125"/>
  <c r="Z54" i="125" s="1"/>
  <c r="BN54" i="125"/>
  <c r="BO54" i="125"/>
  <c r="BP54" i="125"/>
  <c r="AB54" i="125" s="1"/>
  <c r="BQ54" i="125"/>
  <c r="BR54" i="125"/>
  <c r="W54" i="125"/>
  <c r="BS54" i="125"/>
  <c r="BT54" i="125"/>
  <c r="BU54" i="125"/>
  <c r="AD54" i="125" s="1"/>
  <c r="BV54" i="125"/>
  <c r="AG54" i="125"/>
  <c r="BW54" i="125"/>
  <c r="AI54" i="125"/>
  <c r="BX54" i="125"/>
  <c r="AC54" i="125"/>
  <c r="BY54" i="125"/>
  <c r="AJ54" i="125" s="1"/>
  <c r="BZ54" i="125"/>
  <c r="AH54" i="125"/>
  <c r="CA54" i="125"/>
  <c r="AF54" i="125"/>
  <c r="CB54" i="125"/>
  <c r="AK54" i="125"/>
  <c r="CC54" i="125"/>
  <c r="AO54" i="125" s="1"/>
  <c r="CD54" i="125"/>
  <c r="AP54" i="125"/>
  <c r="CE54" i="125"/>
  <c r="AL54" i="125"/>
  <c r="CF54" i="125"/>
  <c r="CG54" i="125"/>
  <c r="CH54" i="125"/>
  <c r="AM54" i="125" s="1"/>
  <c r="CI54" i="125"/>
  <c r="AR54" i="125"/>
  <c r="CJ54" i="125"/>
  <c r="AN54" i="125"/>
  <c r="CK54" i="125"/>
  <c r="AQ54" i="125"/>
  <c r="CL54" i="125"/>
  <c r="A55" i="125"/>
  <c r="A56" i="125"/>
  <c r="K56" i="125"/>
  <c r="L56" i="125"/>
  <c r="M56" i="125"/>
  <c r="N56" i="125"/>
  <c r="O56" i="125"/>
  <c r="P56" i="125"/>
  <c r="Q56" i="125"/>
  <c r="R56" i="125"/>
  <c r="S56" i="125"/>
  <c r="T56" i="125"/>
  <c r="U56" i="125"/>
  <c r="V56" i="125"/>
  <c r="W56" i="125"/>
  <c r="X56" i="125"/>
  <c r="Y56" i="125"/>
  <c r="Z56" i="125"/>
  <c r="AA56" i="125"/>
  <c r="AB56" i="125"/>
  <c r="AC56" i="125"/>
  <c r="AD56" i="125"/>
  <c r="AE56" i="125"/>
  <c r="AF56" i="125"/>
  <c r="AG56" i="125"/>
  <c r="AH56" i="125"/>
  <c r="AI56" i="125"/>
  <c r="AJ56" i="125"/>
  <c r="AK56" i="125"/>
  <c r="AL56" i="125"/>
  <c r="AM56" i="125"/>
  <c r="AN56" i="125"/>
  <c r="AO56" i="125"/>
  <c r="AP56" i="125"/>
  <c r="AQ56" i="125"/>
  <c r="AR56" i="125"/>
  <c r="AS56" i="125"/>
  <c r="A57" i="125"/>
  <c r="K57" i="125"/>
  <c r="L57" i="125"/>
  <c r="M57" i="125"/>
  <c r="N57" i="125"/>
  <c r="O57" i="125"/>
  <c r="P57" i="125"/>
  <c r="Q57" i="125"/>
  <c r="R57" i="125"/>
  <c r="S57" i="125"/>
  <c r="T57" i="125"/>
  <c r="U57" i="125"/>
  <c r="V57" i="125"/>
  <c r="W57" i="125"/>
  <c r="X57" i="125"/>
  <c r="Y57" i="125"/>
  <c r="Z57" i="125"/>
  <c r="AA57" i="125"/>
  <c r="AB57" i="125"/>
  <c r="AC57" i="125"/>
  <c r="AD57" i="125"/>
  <c r="AE57" i="125"/>
  <c r="AF57" i="125"/>
  <c r="AG57" i="125"/>
  <c r="AH57" i="125"/>
  <c r="AI57" i="125"/>
  <c r="AJ57" i="125"/>
  <c r="AK57" i="125"/>
  <c r="AL57" i="125"/>
  <c r="AM57" i="125"/>
  <c r="AN57" i="125"/>
  <c r="AO57" i="125"/>
  <c r="AP57" i="125"/>
  <c r="AQ57" i="125"/>
  <c r="AR57" i="125"/>
  <c r="AS57" i="125"/>
  <c r="A58" i="125"/>
  <c r="K58" i="125"/>
  <c r="L58" i="125"/>
  <c r="M58" i="125"/>
  <c r="N58" i="125"/>
  <c r="O58" i="125"/>
  <c r="P58" i="125"/>
  <c r="Q58" i="125"/>
  <c r="R58" i="125"/>
  <c r="S58" i="125"/>
  <c r="T58" i="125"/>
  <c r="U58" i="125"/>
  <c r="V58" i="125"/>
  <c r="W58" i="125"/>
  <c r="X58" i="125"/>
  <c r="Y58" i="125"/>
  <c r="Z58" i="125"/>
  <c r="AA58" i="125"/>
  <c r="AB58" i="125"/>
  <c r="AC58" i="125"/>
  <c r="AD58" i="125"/>
  <c r="AE58" i="125"/>
  <c r="AF58" i="125"/>
  <c r="AG58" i="125"/>
  <c r="AH58" i="125"/>
  <c r="AI58" i="125"/>
  <c r="AJ58" i="125"/>
  <c r="AK58" i="125"/>
  <c r="AL58" i="125"/>
  <c r="AM58" i="125"/>
  <c r="AN58" i="125"/>
  <c r="AO58" i="125"/>
  <c r="AP58" i="125"/>
  <c r="AQ58" i="125"/>
  <c r="AR58" i="125"/>
  <c r="AS58" i="125"/>
  <c r="A59" i="125"/>
  <c r="K59" i="125"/>
  <c r="L59" i="125"/>
  <c r="M59" i="125"/>
  <c r="N59" i="125"/>
  <c r="O59" i="125"/>
  <c r="P59" i="125"/>
  <c r="Q59" i="125"/>
  <c r="R59" i="125"/>
  <c r="S59" i="125"/>
  <c r="T59" i="125"/>
  <c r="U59" i="125"/>
  <c r="V59" i="125"/>
  <c r="W59" i="125"/>
  <c r="X59" i="125"/>
  <c r="Y59" i="125"/>
  <c r="Z59" i="125"/>
  <c r="AA59" i="125"/>
  <c r="AB59" i="125"/>
  <c r="AC59" i="125"/>
  <c r="AD59" i="125"/>
  <c r="AE59" i="125"/>
  <c r="AF59" i="125"/>
  <c r="AG59" i="125"/>
  <c r="AH59" i="125"/>
  <c r="AI59" i="125"/>
  <c r="AJ59" i="125"/>
  <c r="AK59" i="125"/>
  <c r="AL59" i="125"/>
  <c r="AM59" i="125"/>
  <c r="AN59" i="125"/>
  <c r="AO59" i="125"/>
  <c r="AP59" i="125"/>
  <c r="AQ59" i="125"/>
  <c r="AR59" i="125"/>
  <c r="AS59" i="125"/>
  <c r="A60" i="125"/>
  <c r="K60" i="125"/>
  <c r="L60" i="125"/>
  <c r="M60" i="125"/>
  <c r="N60" i="125"/>
  <c r="O60" i="125"/>
  <c r="P60" i="125"/>
  <c r="Q60" i="125"/>
  <c r="R60" i="125"/>
  <c r="S60" i="125"/>
  <c r="T60" i="125"/>
  <c r="U60" i="125"/>
  <c r="V60" i="125"/>
  <c r="W60" i="125"/>
  <c r="X60" i="125"/>
  <c r="Y60" i="125"/>
  <c r="Z60" i="125"/>
  <c r="AA60" i="125"/>
  <c r="AB60" i="125"/>
  <c r="AC60" i="125"/>
  <c r="AD60" i="125"/>
  <c r="AE60" i="125"/>
  <c r="AF60" i="125"/>
  <c r="AG60" i="125"/>
  <c r="AH60" i="125"/>
  <c r="AI60" i="125"/>
  <c r="AJ60" i="125"/>
  <c r="AK60" i="125"/>
  <c r="AL60" i="125"/>
  <c r="AM60" i="125"/>
  <c r="AN60" i="125"/>
  <c r="AO60" i="125"/>
  <c r="AP60" i="125"/>
  <c r="AQ60" i="125"/>
  <c r="AR60" i="125"/>
  <c r="AS60" i="125"/>
  <c r="A61" i="125"/>
  <c r="K61" i="125"/>
  <c r="L61" i="125"/>
  <c r="M61" i="125"/>
  <c r="N61" i="125"/>
  <c r="O61" i="125"/>
  <c r="P61" i="125"/>
  <c r="Q61" i="125"/>
  <c r="R61" i="125"/>
  <c r="S61" i="125"/>
  <c r="T61" i="125"/>
  <c r="U61" i="125"/>
  <c r="V61" i="125"/>
  <c r="W61" i="125"/>
  <c r="X61" i="125"/>
  <c r="Y61" i="125"/>
  <c r="Z61" i="125"/>
  <c r="AA61" i="125"/>
  <c r="AB61" i="125"/>
  <c r="AC61" i="125"/>
  <c r="AD61" i="125"/>
  <c r="AE61" i="125"/>
  <c r="AF61" i="125"/>
  <c r="AG61" i="125"/>
  <c r="AH61" i="125"/>
  <c r="AI61" i="125"/>
  <c r="AJ61" i="125"/>
  <c r="AK61" i="125"/>
  <c r="AL61" i="125"/>
  <c r="AM61" i="125"/>
  <c r="AN61" i="125"/>
  <c r="AO61" i="125"/>
  <c r="AP61" i="125"/>
  <c r="AQ61" i="125"/>
  <c r="AR61" i="125"/>
  <c r="AS61" i="125"/>
  <c r="A62" i="125"/>
  <c r="K62" i="125"/>
  <c r="L62" i="125"/>
  <c r="M62" i="125"/>
  <c r="N62" i="125"/>
  <c r="O62" i="125"/>
  <c r="P62" i="125"/>
  <c r="Q62" i="125"/>
  <c r="R62" i="125"/>
  <c r="S62" i="125"/>
  <c r="T62" i="125"/>
  <c r="U62" i="125"/>
  <c r="V62" i="125"/>
  <c r="W62" i="125"/>
  <c r="X62" i="125"/>
  <c r="Y62" i="125"/>
  <c r="Z62" i="125"/>
  <c r="AA62" i="125"/>
  <c r="AB62" i="125"/>
  <c r="AC62" i="125"/>
  <c r="AD62" i="125"/>
  <c r="AE62" i="125"/>
  <c r="AF62" i="125"/>
  <c r="AG62" i="125"/>
  <c r="AH62" i="125"/>
  <c r="AI62" i="125"/>
  <c r="AJ62" i="125"/>
  <c r="AK62" i="125"/>
  <c r="AL62" i="125"/>
  <c r="AM62" i="125"/>
  <c r="AN62" i="125"/>
  <c r="AO62" i="125"/>
  <c r="AP62" i="125"/>
  <c r="AQ62" i="125"/>
  <c r="AR62" i="125"/>
  <c r="AS62" i="125"/>
  <c r="A63" i="125"/>
  <c r="K63" i="125"/>
  <c r="L63" i="125"/>
  <c r="M63" i="125"/>
  <c r="N63" i="125"/>
  <c r="O63" i="125"/>
  <c r="P63" i="125"/>
  <c r="Q63" i="125"/>
  <c r="R63" i="125"/>
  <c r="S63" i="125"/>
  <c r="T63" i="125"/>
  <c r="U63" i="125"/>
  <c r="V63" i="125"/>
  <c r="W63" i="125"/>
  <c r="X63" i="125"/>
  <c r="Y63" i="125"/>
  <c r="Z63" i="125"/>
  <c r="AA63" i="125"/>
  <c r="AB63" i="125"/>
  <c r="AC63" i="125"/>
  <c r="AD63" i="125"/>
  <c r="AE63" i="125"/>
  <c r="AF63" i="125"/>
  <c r="AG63" i="125"/>
  <c r="AH63" i="125"/>
  <c r="AI63" i="125"/>
  <c r="AJ63" i="125"/>
  <c r="AK63" i="125"/>
  <c r="AL63" i="125"/>
  <c r="AM63" i="125"/>
  <c r="AN63" i="125"/>
  <c r="AO63" i="125"/>
  <c r="AP63" i="125"/>
  <c r="AQ63" i="125"/>
  <c r="AR63" i="125"/>
  <c r="AS63" i="125"/>
  <c r="A64" i="125"/>
  <c r="A65" i="125"/>
  <c r="A66" i="125"/>
  <c r="A67" i="125"/>
  <c r="A68" i="125"/>
  <c r="A69" i="125"/>
  <c r="K69" i="125"/>
  <c r="L69" i="125"/>
  <c r="M69" i="125"/>
  <c r="M71" i="125" s="1"/>
  <c r="N69" i="125"/>
  <c r="N71" i="125" s="1"/>
  <c r="O69" i="125"/>
  <c r="O71" i="125" s="1"/>
  <c r="P69" i="125"/>
  <c r="P71" i="125" s="1"/>
  <c r="Q69" i="125"/>
  <c r="R69" i="125"/>
  <c r="S69" i="125"/>
  <c r="T69" i="125"/>
  <c r="U69" i="125"/>
  <c r="U71" i="125" s="1"/>
  <c r="V69" i="125"/>
  <c r="V71" i="125" s="1"/>
  <c r="W69" i="125"/>
  <c r="W71" i="125" s="1"/>
  <c r="X69" i="125"/>
  <c r="X71" i="125" s="1"/>
  <c r="Y69" i="125"/>
  <c r="Z69" i="125"/>
  <c r="AA69" i="125"/>
  <c r="AB69" i="125"/>
  <c r="AC69" i="125"/>
  <c r="AC71" i="125" s="1"/>
  <c r="AD69" i="125"/>
  <c r="AD71" i="125" s="1"/>
  <c r="AE69" i="125"/>
  <c r="AE71" i="125" s="1"/>
  <c r="AF69" i="125"/>
  <c r="AF71" i="125" s="1"/>
  <c r="AG69" i="125"/>
  <c r="AH69" i="125"/>
  <c r="AI69" i="125"/>
  <c r="AJ69" i="125"/>
  <c r="AK69" i="125"/>
  <c r="AK71" i="125" s="1"/>
  <c r="AL69" i="125"/>
  <c r="AL71" i="125" s="1"/>
  <c r="AM69" i="125"/>
  <c r="AM71" i="125" s="1"/>
  <c r="AN69" i="125"/>
  <c r="AN71" i="125" s="1"/>
  <c r="AO69" i="125"/>
  <c r="AP69" i="125"/>
  <c r="AQ69" i="125"/>
  <c r="AR69" i="125"/>
  <c r="AS69" i="125"/>
  <c r="AS71" i="125" s="1"/>
  <c r="A70" i="125"/>
  <c r="K70" i="125"/>
  <c r="L70" i="125"/>
  <c r="M70" i="125"/>
  <c r="N70" i="125"/>
  <c r="O70" i="125"/>
  <c r="P70" i="125"/>
  <c r="Q70" i="125"/>
  <c r="R70" i="125"/>
  <c r="S70" i="125"/>
  <c r="T70" i="125"/>
  <c r="U70" i="125"/>
  <c r="V70" i="125"/>
  <c r="W70" i="125"/>
  <c r="X70" i="125"/>
  <c r="Y70" i="125"/>
  <c r="Z70" i="125"/>
  <c r="AA70" i="125"/>
  <c r="AB70" i="125"/>
  <c r="AC70" i="125"/>
  <c r="AD70" i="125"/>
  <c r="AE70" i="125"/>
  <c r="AF70" i="125"/>
  <c r="AG70" i="125"/>
  <c r="AH70" i="125"/>
  <c r="AI70" i="125"/>
  <c r="AJ70" i="125"/>
  <c r="AK70" i="125"/>
  <c r="AL70" i="125"/>
  <c r="AM70" i="125"/>
  <c r="AN70" i="125"/>
  <c r="AO70" i="125"/>
  <c r="AP70" i="125"/>
  <c r="AQ70" i="125"/>
  <c r="AR70" i="125"/>
  <c r="AS70" i="125"/>
  <c r="A71" i="125"/>
  <c r="F71" i="125"/>
  <c r="G71" i="125"/>
  <c r="H71" i="125"/>
  <c r="I71" i="125"/>
  <c r="K71" i="125"/>
  <c r="L71" i="125"/>
  <c r="Q71" i="125"/>
  <c r="R71" i="125"/>
  <c r="S71" i="125"/>
  <c r="T71" i="125"/>
  <c r="Y71" i="125"/>
  <c r="Z71" i="125"/>
  <c r="AA71" i="125"/>
  <c r="AB71" i="125"/>
  <c r="AG71" i="125"/>
  <c r="AH71" i="125"/>
  <c r="AI71" i="125"/>
  <c r="AJ71" i="125"/>
  <c r="AO71" i="125"/>
  <c r="AP71" i="125"/>
  <c r="AQ71" i="125"/>
  <c r="AR71" i="125"/>
  <c r="AT71" i="125"/>
  <c r="AU71" i="125"/>
  <c r="AV71" i="125"/>
  <c r="AW71" i="125"/>
  <c r="AX71" i="125"/>
  <c r="AY71" i="125"/>
  <c r="AZ71" i="125"/>
  <c r="BA71" i="125"/>
  <c r="BB71" i="125"/>
  <c r="BC71" i="125"/>
  <c r="BD71" i="125"/>
  <c r="BE71" i="125"/>
  <c r="BF71" i="125"/>
  <c r="BG71" i="125"/>
  <c r="BH71" i="125"/>
  <c r="BI71" i="125"/>
  <c r="BJ71" i="125"/>
  <c r="BK71" i="125"/>
  <c r="BL71" i="125"/>
  <c r="BM71" i="125"/>
  <c r="BN71" i="125"/>
  <c r="BN107" i="125" s="1"/>
  <c r="BO71" i="125"/>
  <c r="BP71" i="125"/>
  <c r="BQ71" i="125"/>
  <c r="BR71" i="125"/>
  <c r="BS71" i="125"/>
  <c r="BT71" i="125"/>
  <c r="BU71" i="125"/>
  <c r="BV71" i="125"/>
  <c r="BW71" i="125"/>
  <c r="BX71" i="125"/>
  <c r="BY71" i="125"/>
  <c r="BZ71" i="125"/>
  <c r="CA71" i="125"/>
  <c r="CB71" i="125"/>
  <c r="CC71" i="125"/>
  <c r="CD71" i="125"/>
  <c r="CE71" i="125"/>
  <c r="CF71" i="125"/>
  <c r="CG71" i="125"/>
  <c r="CH71" i="125"/>
  <c r="CI71" i="125"/>
  <c r="CJ71" i="125"/>
  <c r="CK71" i="125"/>
  <c r="CL71" i="125"/>
  <c r="A72" i="125"/>
  <c r="A73" i="125"/>
  <c r="K73" i="125"/>
  <c r="L73" i="125"/>
  <c r="M73" i="125"/>
  <c r="N73" i="125"/>
  <c r="O73" i="125"/>
  <c r="P73" i="125"/>
  <c r="Q73" i="125"/>
  <c r="R73" i="125"/>
  <c r="S73" i="125"/>
  <c r="T73" i="125"/>
  <c r="U73" i="125"/>
  <c r="V73" i="125"/>
  <c r="W73" i="125"/>
  <c r="X73" i="125"/>
  <c r="Y73" i="125"/>
  <c r="Z73" i="125"/>
  <c r="AA73" i="125"/>
  <c r="AB73" i="125"/>
  <c r="AC73" i="125"/>
  <c r="AD73" i="125"/>
  <c r="AE73" i="125"/>
  <c r="AF73" i="125"/>
  <c r="AG73" i="125"/>
  <c r="AH73" i="125"/>
  <c r="AI73" i="125"/>
  <c r="AJ73" i="125"/>
  <c r="AK73" i="125"/>
  <c r="AL73" i="125"/>
  <c r="AM73" i="125"/>
  <c r="AN73" i="125"/>
  <c r="AO73" i="125"/>
  <c r="AP73" i="125"/>
  <c r="AQ73" i="125"/>
  <c r="AR73" i="125"/>
  <c r="AS73" i="125"/>
  <c r="A74" i="125"/>
  <c r="K74" i="125"/>
  <c r="L74" i="125"/>
  <c r="M74" i="125"/>
  <c r="N74" i="125"/>
  <c r="O74" i="125"/>
  <c r="P74" i="125"/>
  <c r="Q74" i="125"/>
  <c r="R74" i="125"/>
  <c r="S74" i="125"/>
  <c r="T74" i="125"/>
  <c r="U74" i="125"/>
  <c r="V74" i="125"/>
  <c r="W74" i="125"/>
  <c r="X74" i="125"/>
  <c r="Y74" i="125"/>
  <c r="Z74" i="125"/>
  <c r="AA74" i="125"/>
  <c r="AB74" i="125"/>
  <c r="AC74" i="125"/>
  <c r="AD74" i="125"/>
  <c r="AE74" i="125"/>
  <c r="AF74" i="125"/>
  <c r="AG74" i="125"/>
  <c r="AH74" i="125"/>
  <c r="AI74" i="125"/>
  <c r="AJ74" i="125"/>
  <c r="AK74" i="125"/>
  <c r="AL74" i="125"/>
  <c r="AM74" i="125"/>
  <c r="AN74" i="125"/>
  <c r="AO74" i="125"/>
  <c r="AP74" i="125"/>
  <c r="AQ74" i="125"/>
  <c r="AR74" i="125"/>
  <c r="AS74" i="125"/>
  <c r="A75" i="125"/>
  <c r="K75" i="125"/>
  <c r="L75" i="125"/>
  <c r="M75" i="125"/>
  <c r="N75" i="125"/>
  <c r="O75" i="125"/>
  <c r="P75" i="125"/>
  <c r="Q75" i="125"/>
  <c r="R75" i="125"/>
  <c r="S75" i="125"/>
  <c r="T75" i="125"/>
  <c r="U75" i="125"/>
  <c r="V75" i="125"/>
  <c r="W75" i="125"/>
  <c r="X75" i="125"/>
  <c r="Y75" i="125"/>
  <c r="Z75" i="125"/>
  <c r="AA75" i="125"/>
  <c r="AB75" i="125"/>
  <c r="AC75" i="125"/>
  <c r="AD75" i="125"/>
  <c r="AE75" i="125"/>
  <c r="AF75" i="125"/>
  <c r="AG75" i="125"/>
  <c r="AH75" i="125"/>
  <c r="AI75" i="125"/>
  <c r="AJ75" i="125"/>
  <c r="AK75" i="125"/>
  <c r="AL75" i="125"/>
  <c r="AM75" i="125"/>
  <c r="AN75" i="125"/>
  <c r="AO75" i="125"/>
  <c r="AP75" i="125"/>
  <c r="AQ75" i="125"/>
  <c r="AR75" i="125"/>
  <c r="AS75" i="125"/>
  <c r="A76" i="125"/>
  <c r="K76" i="125"/>
  <c r="L76" i="125"/>
  <c r="M76" i="125"/>
  <c r="N76" i="125"/>
  <c r="O76" i="125"/>
  <c r="P76" i="125"/>
  <c r="Q76" i="125"/>
  <c r="R76" i="125"/>
  <c r="S76" i="125"/>
  <c r="T76" i="125"/>
  <c r="U76" i="125"/>
  <c r="V76" i="125"/>
  <c r="W76" i="125"/>
  <c r="X76" i="125"/>
  <c r="Y76" i="125"/>
  <c r="Z76" i="125"/>
  <c r="AA76" i="125"/>
  <c r="AB76" i="125"/>
  <c r="AC76" i="125"/>
  <c r="AD76" i="125"/>
  <c r="AE76" i="125"/>
  <c r="AF76" i="125"/>
  <c r="AG76" i="125"/>
  <c r="AH76" i="125"/>
  <c r="AI76" i="125"/>
  <c r="AJ76" i="125"/>
  <c r="AK76" i="125"/>
  <c r="AL76" i="125"/>
  <c r="AM76" i="125"/>
  <c r="AN76" i="125"/>
  <c r="AO76" i="125"/>
  <c r="AP76" i="125"/>
  <c r="AQ76" i="125"/>
  <c r="AR76" i="125"/>
  <c r="AS76" i="125"/>
  <c r="A77" i="125"/>
  <c r="K77" i="125"/>
  <c r="L77" i="125"/>
  <c r="M77" i="125"/>
  <c r="N77" i="125"/>
  <c r="O77" i="125"/>
  <c r="P77" i="125"/>
  <c r="Q77" i="125"/>
  <c r="R77" i="125"/>
  <c r="S77" i="125"/>
  <c r="T77" i="125"/>
  <c r="U77" i="125"/>
  <c r="V77" i="125"/>
  <c r="W77" i="125"/>
  <c r="X77" i="125"/>
  <c r="Y77" i="125"/>
  <c r="Z77" i="125"/>
  <c r="AA77" i="125"/>
  <c r="AB77" i="125"/>
  <c r="AC77" i="125"/>
  <c r="AD77" i="125"/>
  <c r="AE77" i="125"/>
  <c r="AF77" i="125"/>
  <c r="AG77" i="125"/>
  <c r="AH77" i="125"/>
  <c r="AI77" i="125"/>
  <c r="AJ77" i="125"/>
  <c r="AK77" i="125"/>
  <c r="AL77" i="125"/>
  <c r="AM77" i="125"/>
  <c r="AN77" i="125"/>
  <c r="AO77" i="125"/>
  <c r="AP77" i="125"/>
  <c r="AQ77" i="125"/>
  <c r="AR77" i="125"/>
  <c r="AS77" i="125"/>
  <c r="A78" i="125"/>
  <c r="K78" i="125"/>
  <c r="L78" i="125"/>
  <c r="M78" i="125"/>
  <c r="N78" i="125"/>
  <c r="O78" i="125"/>
  <c r="P78" i="125"/>
  <c r="Q78" i="125"/>
  <c r="R78" i="125"/>
  <c r="S78" i="125"/>
  <c r="T78" i="125"/>
  <c r="U78" i="125"/>
  <c r="V78" i="125"/>
  <c r="W78" i="125"/>
  <c r="X78" i="125"/>
  <c r="Y78" i="125"/>
  <c r="Z78" i="125"/>
  <c r="AA78" i="125"/>
  <c r="AB78" i="125"/>
  <c r="AC78" i="125"/>
  <c r="AD78" i="125"/>
  <c r="AE78" i="125"/>
  <c r="AF78" i="125"/>
  <c r="AG78" i="125"/>
  <c r="AH78" i="125"/>
  <c r="AI78" i="125"/>
  <c r="AJ78" i="125"/>
  <c r="AK78" i="125"/>
  <c r="AL78" i="125"/>
  <c r="AM78" i="125"/>
  <c r="AN78" i="125"/>
  <c r="AO78" i="125"/>
  <c r="AP78" i="125"/>
  <c r="AQ78" i="125"/>
  <c r="AR78" i="125"/>
  <c r="AS78" i="125"/>
  <c r="A79" i="125"/>
  <c r="A80" i="125"/>
  <c r="F80" i="125"/>
  <c r="F84" i="125" s="1"/>
  <c r="G80" i="125"/>
  <c r="G84" i="125" s="1"/>
  <c r="H80" i="125"/>
  <c r="H84" i="125" s="1"/>
  <c r="I80" i="125"/>
  <c r="I84" i="125" s="1"/>
  <c r="K80" i="125"/>
  <c r="K84" i="125" s="1"/>
  <c r="L80" i="125"/>
  <c r="L84" i="125" s="1"/>
  <c r="M80" i="125"/>
  <c r="M84" i="125" s="1"/>
  <c r="N80" i="125"/>
  <c r="N84" i="125" s="1"/>
  <c r="O80" i="125"/>
  <c r="O84" i="125" s="1"/>
  <c r="P80" i="125"/>
  <c r="P84" i="125" s="1"/>
  <c r="Q80" i="125"/>
  <c r="Q84" i="125" s="1"/>
  <c r="R80" i="125"/>
  <c r="R84" i="125" s="1"/>
  <c r="S80" i="125"/>
  <c r="S84" i="125" s="1"/>
  <c r="T80" i="125"/>
  <c r="T84" i="125" s="1"/>
  <c r="U80" i="125"/>
  <c r="U84" i="125" s="1"/>
  <c r="V80" i="125"/>
  <c r="V84" i="125" s="1"/>
  <c r="W80" i="125"/>
  <c r="W84" i="125" s="1"/>
  <c r="X80" i="125"/>
  <c r="X84" i="125" s="1"/>
  <c r="Y80" i="125"/>
  <c r="Y84" i="125" s="1"/>
  <c r="Z80" i="125"/>
  <c r="Z84" i="125" s="1"/>
  <c r="AA80" i="125"/>
  <c r="AA84" i="125" s="1"/>
  <c r="AB80" i="125"/>
  <c r="AB84" i="125" s="1"/>
  <c r="AC80" i="125"/>
  <c r="AC84" i="125" s="1"/>
  <c r="AD80" i="125"/>
  <c r="AD84" i="125" s="1"/>
  <c r="AE80" i="125"/>
  <c r="AE84" i="125" s="1"/>
  <c r="AF80" i="125"/>
  <c r="AF84" i="125" s="1"/>
  <c r="AG80" i="125"/>
  <c r="AG84" i="125" s="1"/>
  <c r="AH80" i="125"/>
  <c r="AH84" i="125" s="1"/>
  <c r="AI80" i="125"/>
  <c r="AI84" i="125" s="1"/>
  <c r="AJ80" i="125"/>
  <c r="AJ84" i="125" s="1"/>
  <c r="AK80" i="125"/>
  <c r="AK84" i="125" s="1"/>
  <c r="AL80" i="125"/>
  <c r="AL84" i="125" s="1"/>
  <c r="AM80" i="125"/>
  <c r="AM84" i="125" s="1"/>
  <c r="AN80" i="125"/>
  <c r="AN84" i="125" s="1"/>
  <c r="AO80" i="125"/>
  <c r="AO84" i="125" s="1"/>
  <c r="AP80" i="125"/>
  <c r="AP84" i="125" s="1"/>
  <c r="AQ80" i="125"/>
  <c r="AQ84" i="125" s="1"/>
  <c r="AR80" i="125"/>
  <c r="AR84" i="125" s="1"/>
  <c r="AS80" i="125"/>
  <c r="AS84" i="125" s="1"/>
  <c r="A81" i="125"/>
  <c r="A82" i="125"/>
  <c r="A83" i="125"/>
  <c r="A84" i="125"/>
  <c r="A85" i="125"/>
  <c r="A86" i="125"/>
  <c r="A87" i="125"/>
  <c r="K87" i="125"/>
  <c r="L87" i="125"/>
  <c r="M87" i="125"/>
  <c r="N87" i="125"/>
  <c r="O87" i="125"/>
  <c r="P87" i="125"/>
  <c r="Q87" i="125"/>
  <c r="R87" i="125"/>
  <c r="S87" i="125"/>
  <c r="T87" i="125"/>
  <c r="U87" i="125"/>
  <c r="V87" i="125"/>
  <c r="W87" i="125"/>
  <c r="X87" i="125"/>
  <c r="Y87" i="125"/>
  <c r="Z87" i="125"/>
  <c r="AA87" i="125"/>
  <c r="AB87" i="125"/>
  <c r="AC87" i="125"/>
  <c r="AD87" i="125"/>
  <c r="AE87" i="125"/>
  <c r="AF87" i="125"/>
  <c r="AG87" i="125"/>
  <c r="AH87" i="125"/>
  <c r="AI87" i="125"/>
  <c r="AJ87" i="125"/>
  <c r="AK87" i="125"/>
  <c r="AL87" i="125"/>
  <c r="AM87" i="125"/>
  <c r="AN87" i="125"/>
  <c r="AO87" i="125"/>
  <c r="AP87" i="125"/>
  <c r="AQ87" i="125"/>
  <c r="AR87" i="125"/>
  <c r="AS87" i="125"/>
  <c r="A88" i="125"/>
  <c r="A89" i="125"/>
  <c r="K89" i="125"/>
  <c r="L89" i="125"/>
  <c r="M89" i="125"/>
  <c r="N89" i="125"/>
  <c r="O89" i="125"/>
  <c r="P89" i="125"/>
  <c r="Q89" i="125"/>
  <c r="R89" i="125"/>
  <c r="S89" i="125"/>
  <c r="T89" i="125"/>
  <c r="U89" i="125"/>
  <c r="V89" i="125"/>
  <c r="W89" i="125"/>
  <c r="X89" i="125"/>
  <c r="Y89" i="125"/>
  <c r="Z89" i="125"/>
  <c r="AA89" i="125"/>
  <c r="AB89" i="125"/>
  <c r="AC89" i="125"/>
  <c r="AD89" i="125"/>
  <c r="AE89" i="125"/>
  <c r="AF89" i="125"/>
  <c r="AG89" i="125"/>
  <c r="AH89" i="125"/>
  <c r="AI89" i="125"/>
  <c r="AJ89" i="125"/>
  <c r="AK89" i="125"/>
  <c r="AL89" i="125"/>
  <c r="AM89" i="125"/>
  <c r="AN89" i="125"/>
  <c r="AO89" i="125"/>
  <c r="AP89" i="125"/>
  <c r="AQ89" i="125"/>
  <c r="AR89" i="125"/>
  <c r="AS89" i="125"/>
  <c r="A90" i="125"/>
  <c r="K90" i="125"/>
  <c r="L90" i="125"/>
  <c r="M90" i="125"/>
  <c r="N90" i="125"/>
  <c r="O90" i="125"/>
  <c r="P90" i="125"/>
  <c r="Q90" i="125"/>
  <c r="R90" i="125"/>
  <c r="S90" i="125"/>
  <c r="T90" i="125"/>
  <c r="U90" i="125"/>
  <c r="V90" i="125"/>
  <c r="W90" i="125"/>
  <c r="X90" i="125"/>
  <c r="Y90" i="125"/>
  <c r="Z90" i="125"/>
  <c r="AA90" i="125"/>
  <c r="AB90" i="125"/>
  <c r="AC90" i="125"/>
  <c r="AD90" i="125"/>
  <c r="AE90" i="125"/>
  <c r="AF90" i="125"/>
  <c r="AG90" i="125"/>
  <c r="AH90" i="125"/>
  <c r="AI90" i="125"/>
  <c r="AJ90" i="125"/>
  <c r="AK90" i="125"/>
  <c r="AL90" i="125"/>
  <c r="AM90" i="125"/>
  <c r="AN90" i="125"/>
  <c r="AO90" i="125"/>
  <c r="AP90" i="125"/>
  <c r="AQ90" i="125"/>
  <c r="AR90" i="125"/>
  <c r="AS90" i="125"/>
  <c r="A91" i="125"/>
  <c r="K91" i="125"/>
  <c r="L91" i="125"/>
  <c r="M91" i="125"/>
  <c r="N91" i="125"/>
  <c r="O91" i="125"/>
  <c r="P91" i="125"/>
  <c r="Q91" i="125"/>
  <c r="R91" i="125"/>
  <c r="S91" i="125"/>
  <c r="T91" i="125"/>
  <c r="U91" i="125"/>
  <c r="V91" i="125"/>
  <c r="W91" i="125"/>
  <c r="X91" i="125"/>
  <c r="Y91" i="125"/>
  <c r="Z91" i="125"/>
  <c r="AA91" i="125"/>
  <c r="AB91" i="125"/>
  <c r="AC91" i="125"/>
  <c r="AD91" i="125"/>
  <c r="AE91" i="125"/>
  <c r="AF91" i="125"/>
  <c r="AG91" i="125"/>
  <c r="AH91" i="125"/>
  <c r="AI91" i="125"/>
  <c r="AJ91" i="125"/>
  <c r="AK91" i="125"/>
  <c r="AL91" i="125"/>
  <c r="AM91" i="125"/>
  <c r="AN91" i="125"/>
  <c r="AO91" i="125"/>
  <c r="AP91" i="125"/>
  <c r="AQ91" i="125"/>
  <c r="AR91" i="125"/>
  <c r="AS91" i="125"/>
  <c r="A92" i="125"/>
  <c r="K92" i="125"/>
  <c r="L92" i="125"/>
  <c r="M92" i="125"/>
  <c r="N92" i="125"/>
  <c r="O92" i="125"/>
  <c r="P92" i="125"/>
  <c r="Q92" i="125"/>
  <c r="R92" i="125"/>
  <c r="S92" i="125"/>
  <c r="T92" i="125"/>
  <c r="U92" i="125"/>
  <c r="V92" i="125"/>
  <c r="W92" i="125"/>
  <c r="X92" i="125"/>
  <c r="Y92" i="125"/>
  <c r="Z92" i="125"/>
  <c r="AA92" i="125"/>
  <c r="AB92" i="125"/>
  <c r="AC92" i="125"/>
  <c r="AD92" i="125"/>
  <c r="AE92" i="125"/>
  <c r="AF92" i="125"/>
  <c r="AG92" i="125"/>
  <c r="AH92" i="125"/>
  <c r="AI92" i="125"/>
  <c r="AJ92" i="125"/>
  <c r="AK92" i="125"/>
  <c r="AL92" i="125"/>
  <c r="AM92" i="125"/>
  <c r="AN92" i="125"/>
  <c r="AO92" i="125"/>
  <c r="AP92" i="125"/>
  <c r="AQ92" i="125"/>
  <c r="AR92" i="125"/>
  <c r="AS92" i="125"/>
  <c r="A93" i="125"/>
  <c r="K93" i="125"/>
  <c r="L93" i="125"/>
  <c r="M93" i="125"/>
  <c r="N93" i="125"/>
  <c r="O93" i="125"/>
  <c r="P93" i="125"/>
  <c r="Q93" i="125"/>
  <c r="R93" i="125"/>
  <c r="S93" i="125"/>
  <c r="T93" i="125"/>
  <c r="U93" i="125"/>
  <c r="V93" i="125"/>
  <c r="W93" i="125"/>
  <c r="X93" i="125"/>
  <c r="Y93" i="125"/>
  <c r="Z93" i="125"/>
  <c r="AA93" i="125"/>
  <c r="AB93" i="125"/>
  <c r="AC93" i="125"/>
  <c r="AD93" i="125"/>
  <c r="AE93" i="125"/>
  <c r="AF93" i="125"/>
  <c r="AG93" i="125"/>
  <c r="AH93" i="125"/>
  <c r="AI93" i="125"/>
  <c r="AJ93" i="125"/>
  <c r="AK93" i="125"/>
  <c r="AL93" i="125"/>
  <c r="AM93" i="125"/>
  <c r="AN93" i="125"/>
  <c r="AO93" i="125"/>
  <c r="AP93" i="125"/>
  <c r="AQ93" i="125"/>
  <c r="AR93" i="125"/>
  <c r="AS93" i="125"/>
  <c r="A94" i="125"/>
  <c r="A95" i="125"/>
  <c r="F95" i="125"/>
  <c r="F51" i="125" s="1"/>
  <c r="G95" i="125"/>
  <c r="G51" i="125" s="1"/>
  <c r="H95" i="125"/>
  <c r="H51" i="125" s="1"/>
  <c r="I95" i="125"/>
  <c r="I51" i="125" s="1"/>
  <c r="K95" i="125"/>
  <c r="L95" i="125"/>
  <c r="M95" i="125"/>
  <c r="N95" i="125"/>
  <c r="O95" i="125"/>
  <c r="P95" i="125"/>
  <c r="P51" i="125"/>
  <c r="Q95" i="125"/>
  <c r="R95" i="125"/>
  <c r="R51" i="125" s="1"/>
  <c r="S95" i="125"/>
  <c r="T95" i="125"/>
  <c r="U95" i="125"/>
  <c r="V95" i="125"/>
  <c r="W95" i="125"/>
  <c r="X95" i="125"/>
  <c r="X51" i="125" s="1"/>
  <c r="Y95" i="125"/>
  <c r="Y51" i="125" s="1"/>
  <c r="Z95" i="125"/>
  <c r="AA95" i="125"/>
  <c r="AA51" i="125"/>
  <c r="AB95" i="125"/>
  <c r="AC95" i="125"/>
  <c r="AD95" i="125"/>
  <c r="AE95" i="125"/>
  <c r="AE51" i="125" s="1"/>
  <c r="AF95" i="125"/>
  <c r="AG95" i="125"/>
  <c r="AH95" i="125"/>
  <c r="AI95" i="125"/>
  <c r="AJ95" i="125"/>
  <c r="AK95" i="125"/>
  <c r="AL95" i="125"/>
  <c r="AM95" i="125"/>
  <c r="AN95" i="125"/>
  <c r="AO95" i="125"/>
  <c r="AP95" i="125"/>
  <c r="AQ95" i="125"/>
  <c r="AR95" i="125"/>
  <c r="AS95" i="125"/>
  <c r="AS51" i="125"/>
  <c r="A96" i="125"/>
  <c r="F96" i="125"/>
  <c r="G96" i="125"/>
  <c r="H96" i="125"/>
  <c r="I96" i="125"/>
  <c r="K96" i="125"/>
  <c r="L96" i="125"/>
  <c r="M96" i="125"/>
  <c r="N96" i="125"/>
  <c r="O96" i="125"/>
  <c r="P96" i="125"/>
  <c r="Q96" i="125"/>
  <c r="R96" i="125"/>
  <c r="S96" i="125"/>
  <c r="T96" i="125"/>
  <c r="U96" i="125"/>
  <c r="V96" i="125"/>
  <c r="W96" i="125"/>
  <c r="X96" i="125"/>
  <c r="Y96" i="125"/>
  <c r="Z96" i="125"/>
  <c r="AA96" i="125"/>
  <c r="AB96" i="125"/>
  <c r="AC96" i="125"/>
  <c r="AD96" i="125"/>
  <c r="AE96" i="125"/>
  <c r="AF96" i="125"/>
  <c r="AG96" i="125"/>
  <c r="AH96" i="125"/>
  <c r="AI96" i="125"/>
  <c r="AJ96" i="125"/>
  <c r="AK96" i="125"/>
  <c r="AL96" i="125"/>
  <c r="AM96" i="125"/>
  <c r="AN96" i="125"/>
  <c r="AO96" i="125"/>
  <c r="AP96" i="125"/>
  <c r="AQ96" i="125"/>
  <c r="AR96" i="125"/>
  <c r="AS96" i="125"/>
  <c r="A97" i="125"/>
  <c r="K97" i="125"/>
  <c r="L97" i="125"/>
  <c r="M97" i="125"/>
  <c r="N97" i="125"/>
  <c r="O97" i="125"/>
  <c r="P97" i="125"/>
  <c r="P54" i="125"/>
  <c r="Q97" i="125"/>
  <c r="R97" i="125"/>
  <c r="S97" i="125"/>
  <c r="T97" i="125"/>
  <c r="U97" i="125"/>
  <c r="V97" i="125"/>
  <c r="W97" i="125"/>
  <c r="X97" i="125"/>
  <c r="Y97" i="125"/>
  <c r="Y54" i="125" s="1"/>
  <c r="Z97" i="125"/>
  <c r="AA97" i="125"/>
  <c r="AA54" i="125" s="1"/>
  <c r="AB97" i="125"/>
  <c r="AC97" i="125"/>
  <c r="AD97" i="125"/>
  <c r="AE97" i="125"/>
  <c r="AE54" i="125" s="1"/>
  <c r="AF97" i="125"/>
  <c r="AG97" i="125"/>
  <c r="AH97" i="125"/>
  <c r="AI97" i="125"/>
  <c r="AJ97" i="125"/>
  <c r="AK97" i="125"/>
  <c r="AL97" i="125"/>
  <c r="AM97" i="125"/>
  <c r="AN97" i="125"/>
  <c r="AO97" i="125"/>
  <c r="AP97" i="125"/>
  <c r="AQ97" i="125"/>
  <c r="AR97" i="125"/>
  <c r="AS97" i="125"/>
  <c r="A98" i="125"/>
  <c r="C98" i="125"/>
  <c r="K98" i="125"/>
  <c r="L98" i="125"/>
  <c r="M98" i="125"/>
  <c r="N98" i="125"/>
  <c r="O98" i="125"/>
  <c r="P98" i="125"/>
  <c r="Q98" i="125"/>
  <c r="R98" i="125"/>
  <c r="S98" i="125"/>
  <c r="T98" i="125"/>
  <c r="U98" i="125"/>
  <c r="V98" i="125"/>
  <c r="W98" i="125"/>
  <c r="X98" i="125"/>
  <c r="Y98" i="125"/>
  <c r="Z98" i="125"/>
  <c r="AA98" i="125"/>
  <c r="AB98" i="125"/>
  <c r="AC98" i="125"/>
  <c r="AD98" i="125"/>
  <c r="AE98" i="125"/>
  <c r="AF98" i="125"/>
  <c r="AG98" i="125"/>
  <c r="AH98" i="125"/>
  <c r="AI98" i="125"/>
  <c r="AJ98" i="125"/>
  <c r="AK98" i="125"/>
  <c r="AL98" i="125"/>
  <c r="AM98" i="125"/>
  <c r="AN98" i="125"/>
  <c r="AO98" i="125"/>
  <c r="AP98" i="125"/>
  <c r="AQ98" i="125"/>
  <c r="AR98" i="125"/>
  <c r="AS98" i="125"/>
  <c r="A99" i="125"/>
  <c r="A100" i="125"/>
  <c r="C100" i="125"/>
  <c r="K100" i="125"/>
  <c r="L100" i="125"/>
  <c r="M100" i="125"/>
  <c r="N100" i="125"/>
  <c r="O100" i="125"/>
  <c r="P100" i="125"/>
  <c r="Q100" i="125"/>
  <c r="R100" i="125"/>
  <c r="S100" i="125"/>
  <c r="T100" i="125"/>
  <c r="U100" i="125"/>
  <c r="V100" i="125"/>
  <c r="W100" i="125"/>
  <c r="X100" i="125"/>
  <c r="Y100" i="125"/>
  <c r="Z100" i="125"/>
  <c r="AA100" i="125"/>
  <c r="AB100" i="125"/>
  <c r="AC100" i="125"/>
  <c r="AD100" i="125"/>
  <c r="AE100" i="125"/>
  <c r="AF100" i="125"/>
  <c r="AG100" i="125"/>
  <c r="AH100" i="125"/>
  <c r="AI100" i="125"/>
  <c r="AJ100" i="125"/>
  <c r="AK100" i="125"/>
  <c r="AL100" i="125"/>
  <c r="AM100" i="125"/>
  <c r="AN100" i="125"/>
  <c r="AO100" i="125"/>
  <c r="AP100" i="125"/>
  <c r="AQ100" i="125"/>
  <c r="AR100" i="125"/>
  <c r="AS100" i="125"/>
  <c r="A101" i="125"/>
  <c r="A102" i="125"/>
  <c r="A103" i="125"/>
  <c r="K103" i="125"/>
  <c r="L103" i="125"/>
  <c r="M103" i="125"/>
  <c r="N103" i="125"/>
  <c r="O103" i="125"/>
  <c r="P103" i="125"/>
  <c r="Q103" i="125"/>
  <c r="R103" i="125"/>
  <c r="S103" i="125"/>
  <c r="T103" i="125"/>
  <c r="U103" i="125"/>
  <c r="V103" i="125"/>
  <c r="W103" i="125"/>
  <c r="X103" i="125"/>
  <c r="Y103" i="125"/>
  <c r="Z103" i="125"/>
  <c r="AA103" i="125"/>
  <c r="AB103" i="125"/>
  <c r="AC103" i="125"/>
  <c r="AD103" i="125"/>
  <c r="AE103" i="125"/>
  <c r="AF103" i="125"/>
  <c r="AG103" i="125"/>
  <c r="AH103" i="125"/>
  <c r="AI103" i="125"/>
  <c r="AJ103" i="125"/>
  <c r="AK103" i="125"/>
  <c r="AL103" i="125"/>
  <c r="AM103" i="125"/>
  <c r="AN103" i="125"/>
  <c r="AO103" i="125"/>
  <c r="AP103" i="125"/>
  <c r="AQ103" i="125"/>
  <c r="AR103" i="125"/>
  <c r="AS103" i="125"/>
  <c r="A104" i="125"/>
  <c r="K104" i="125"/>
  <c r="L104" i="125"/>
  <c r="M104" i="125"/>
  <c r="N104" i="125"/>
  <c r="O104" i="125"/>
  <c r="P104" i="125"/>
  <c r="Q104" i="125"/>
  <c r="R104" i="125"/>
  <c r="S104" i="125"/>
  <c r="T104" i="125"/>
  <c r="U104" i="125"/>
  <c r="V104" i="125"/>
  <c r="W104" i="125"/>
  <c r="X104" i="125"/>
  <c r="Y104" i="125"/>
  <c r="Z104" i="125"/>
  <c r="AA104" i="125"/>
  <c r="AB104" i="125"/>
  <c r="AC104" i="125"/>
  <c r="AD104" i="125"/>
  <c r="AE104" i="125"/>
  <c r="AF104" i="125"/>
  <c r="AG104" i="125"/>
  <c r="AH104" i="125"/>
  <c r="AI104" i="125"/>
  <c r="AJ104" i="125"/>
  <c r="AK104" i="125"/>
  <c r="AL104" i="125"/>
  <c r="AM104" i="125"/>
  <c r="AN104" i="125"/>
  <c r="AO104" i="125"/>
  <c r="AP104" i="125"/>
  <c r="AQ104" i="125"/>
  <c r="AR104" i="125"/>
  <c r="AS104" i="125"/>
  <c r="A105" i="125"/>
  <c r="K105" i="125"/>
  <c r="L105" i="125"/>
  <c r="M105" i="125"/>
  <c r="N105" i="125"/>
  <c r="O105" i="125"/>
  <c r="P105" i="125"/>
  <c r="Q105" i="125"/>
  <c r="R105" i="125"/>
  <c r="S105" i="125"/>
  <c r="T105" i="125"/>
  <c r="U105" i="125"/>
  <c r="V105" i="125"/>
  <c r="W105" i="125"/>
  <c r="X105" i="125"/>
  <c r="Y105" i="125"/>
  <c r="Z105" i="125"/>
  <c r="AA105" i="125"/>
  <c r="AB105" i="125"/>
  <c r="AC105" i="125"/>
  <c r="AD105" i="125"/>
  <c r="AE105" i="125"/>
  <c r="AF105" i="125"/>
  <c r="AG105" i="125"/>
  <c r="AH105" i="125"/>
  <c r="AI105" i="125"/>
  <c r="AJ105" i="125"/>
  <c r="AK105" i="125"/>
  <c r="AL105" i="125"/>
  <c r="AM105" i="125"/>
  <c r="AN105" i="125"/>
  <c r="AO105" i="125"/>
  <c r="AP105" i="125"/>
  <c r="AQ105" i="125"/>
  <c r="AR105" i="125"/>
  <c r="AS105" i="125"/>
  <c r="A106" i="125"/>
  <c r="K106" i="125"/>
  <c r="L106" i="125"/>
  <c r="M106" i="125"/>
  <c r="N106" i="125"/>
  <c r="O106" i="125"/>
  <c r="P106" i="125"/>
  <c r="Q106" i="125"/>
  <c r="R106" i="125"/>
  <c r="S106" i="125"/>
  <c r="T106" i="125"/>
  <c r="U106" i="125"/>
  <c r="V106" i="125"/>
  <c r="W106" i="125"/>
  <c r="X106" i="125"/>
  <c r="Y106" i="125"/>
  <c r="Z106" i="125"/>
  <c r="AA106" i="125"/>
  <c r="AB106" i="125"/>
  <c r="AC106" i="125"/>
  <c r="AD106" i="125"/>
  <c r="AE106" i="125"/>
  <c r="AF106" i="125"/>
  <c r="AG106" i="125"/>
  <c r="AH106" i="125"/>
  <c r="AI106" i="125"/>
  <c r="AJ106" i="125"/>
  <c r="AK106" i="125"/>
  <c r="AL106" i="125"/>
  <c r="AM106" i="125"/>
  <c r="AN106" i="125"/>
  <c r="AO106" i="125"/>
  <c r="AP106" i="125"/>
  <c r="AQ106" i="125"/>
  <c r="AR106" i="125"/>
  <c r="AS106" i="125"/>
  <c r="J107" i="125"/>
  <c r="AW107" i="125"/>
  <c r="BC107" i="125"/>
  <c r="BE107" i="125"/>
  <c r="BG107" i="125"/>
  <c r="F117" i="125"/>
  <c r="G117" i="125"/>
  <c r="H117" i="125"/>
  <c r="I117" i="125"/>
  <c r="K117" i="125"/>
  <c r="L117" i="125"/>
  <c r="M117" i="125"/>
  <c r="N117" i="125"/>
  <c r="O117" i="125"/>
  <c r="P117" i="125"/>
  <c r="Q117" i="125"/>
  <c r="R117" i="125"/>
  <c r="S117" i="125"/>
  <c r="T117" i="125"/>
  <c r="U117" i="125"/>
  <c r="V117" i="125"/>
  <c r="W117" i="125"/>
  <c r="X117" i="125"/>
  <c r="Y117" i="125"/>
  <c r="Z117" i="125"/>
  <c r="AA117" i="125"/>
  <c r="AB117" i="125"/>
  <c r="AC117" i="125"/>
  <c r="AD117" i="125"/>
  <c r="AE117" i="125"/>
  <c r="AF117" i="125"/>
  <c r="AG117" i="125"/>
  <c r="AH117" i="125"/>
  <c r="AI117" i="125"/>
  <c r="AJ117" i="125"/>
  <c r="AK117" i="125"/>
  <c r="AL117" i="125"/>
  <c r="AM117" i="125"/>
  <c r="AN117" i="125"/>
  <c r="AO117" i="125"/>
  <c r="AP117" i="125"/>
  <c r="AQ117" i="125"/>
  <c r="AR117" i="125"/>
  <c r="AS117" i="125"/>
  <c r="K118" i="125"/>
  <c r="K21" i="125" s="1"/>
  <c r="L118" i="125"/>
  <c r="L21" i="125" s="1"/>
  <c r="M118" i="125"/>
  <c r="M21" i="125" s="1"/>
  <c r="N118" i="125"/>
  <c r="N21" i="125" s="1"/>
  <c r="O118" i="125"/>
  <c r="O21" i="125" s="1"/>
  <c r="P118" i="125"/>
  <c r="P21" i="125" s="1"/>
  <c r="R118" i="125"/>
  <c r="R21" i="125" s="1"/>
  <c r="S118" i="125"/>
  <c r="S21" i="125" s="1"/>
  <c r="T118" i="125"/>
  <c r="T21" i="125" s="1"/>
  <c r="U118" i="125"/>
  <c r="U21" i="125" s="1"/>
  <c r="V118" i="125"/>
  <c r="V21" i="125" s="1"/>
  <c r="W118" i="125"/>
  <c r="W21" i="125" s="1"/>
  <c r="X118" i="125"/>
  <c r="X21" i="125" s="1"/>
  <c r="Y118" i="125"/>
  <c r="Y21" i="125" s="1"/>
  <c r="Z118" i="125"/>
  <c r="Z21" i="125" s="1"/>
  <c r="AA118" i="125"/>
  <c r="AA21" i="125" s="1"/>
  <c r="AB118" i="125"/>
  <c r="AB21" i="125" s="1"/>
  <c r="AC118" i="125"/>
  <c r="AC21" i="125" s="1"/>
  <c r="AD118" i="125"/>
  <c r="AD21" i="125" s="1"/>
  <c r="AE118" i="125"/>
  <c r="AE21" i="125" s="1"/>
  <c r="AF118" i="125"/>
  <c r="AF21" i="125" s="1"/>
  <c r="AG118" i="125"/>
  <c r="AG21" i="125" s="1"/>
  <c r="AH118" i="125"/>
  <c r="AH21" i="125" s="1"/>
  <c r="AI118" i="125"/>
  <c r="AI21" i="125" s="1"/>
  <c r="AJ118" i="125"/>
  <c r="AJ21" i="125" s="1"/>
  <c r="AK118" i="125"/>
  <c r="AK21" i="125" s="1"/>
  <c r="AL118" i="125"/>
  <c r="AL21" i="125" s="1"/>
  <c r="AM118" i="125"/>
  <c r="AM21" i="125" s="1"/>
  <c r="AN118" i="125"/>
  <c r="AN21" i="125" s="1"/>
  <c r="AO118" i="125"/>
  <c r="AO21" i="125" s="1"/>
  <c r="AP118" i="125"/>
  <c r="AP21" i="125" s="1"/>
  <c r="AQ118" i="125"/>
  <c r="AQ21" i="125" s="1"/>
  <c r="AR118" i="125"/>
  <c r="AR21" i="125" s="1"/>
  <c r="AS118" i="125"/>
  <c r="AS21" i="125" s="1"/>
  <c r="A5" i="120"/>
  <c r="F5" i="120"/>
  <c r="G5" i="120"/>
  <c r="H5" i="120"/>
  <c r="I5" i="120"/>
  <c r="J5" i="120"/>
  <c r="K5" i="120"/>
  <c r="L5" i="120"/>
  <c r="M5" i="120"/>
  <c r="N5" i="120"/>
  <c r="O5" i="120"/>
  <c r="P5" i="120"/>
  <c r="Q5" i="120"/>
  <c r="R5" i="120"/>
  <c r="S5" i="120"/>
  <c r="T5" i="120"/>
  <c r="U5" i="120"/>
  <c r="V5" i="120"/>
  <c r="W5" i="120"/>
  <c r="X5" i="120"/>
  <c r="Y5" i="120"/>
  <c r="Z5" i="120"/>
  <c r="AA5" i="120"/>
  <c r="AB5" i="120"/>
  <c r="AC5" i="120"/>
  <c r="AD5" i="120"/>
  <c r="AE5" i="120"/>
  <c r="AF5" i="120"/>
  <c r="AG5" i="120"/>
  <c r="AH5" i="120"/>
  <c r="AI5" i="120"/>
  <c r="AJ5" i="120"/>
  <c r="AK5" i="120"/>
  <c r="AL5" i="120"/>
  <c r="AM5" i="120"/>
  <c r="AN5" i="120"/>
  <c r="AO5" i="120"/>
  <c r="AP5" i="120"/>
  <c r="AQ5" i="120"/>
  <c r="AR5" i="120"/>
  <c r="AS5" i="120"/>
  <c r="AT5" i="120"/>
  <c r="AU5" i="120"/>
  <c r="AV5" i="120"/>
  <c r="AW5" i="120"/>
  <c r="AX5" i="120"/>
  <c r="AY5" i="120"/>
  <c r="AZ5" i="120"/>
  <c r="BA5" i="120"/>
  <c r="BB5" i="120"/>
  <c r="BC5" i="120"/>
  <c r="BD5" i="120"/>
  <c r="BE5" i="120"/>
  <c r="BF5" i="120"/>
  <c r="BG5" i="120"/>
  <c r="BH5" i="120"/>
  <c r="BI5" i="120"/>
  <c r="BJ5" i="120"/>
  <c r="BK5" i="120"/>
  <c r="BL5" i="120"/>
  <c r="BM5" i="120"/>
  <c r="BN5" i="120"/>
  <c r="BO5" i="120"/>
  <c r="BP5" i="120"/>
  <c r="BQ5" i="120"/>
  <c r="BR5" i="120"/>
  <c r="BS5" i="120"/>
  <c r="BT5" i="120"/>
  <c r="BU5" i="120"/>
  <c r="BV5" i="120"/>
  <c r="BW5" i="120"/>
  <c r="BX5" i="120"/>
  <c r="BY5" i="120"/>
  <c r="BZ5" i="120"/>
  <c r="CA5" i="120"/>
  <c r="CB5" i="120"/>
  <c r="CC5" i="120"/>
  <c r="CD5" i="120"/>
  <c r="CE5" i="120"/>
  <c r="CF5" i="120"/>
  <c r="CG5" i="120"/>
  <c r="CH5" i="120"/>
  <c r="CI5" i="120"/>
  <c r="CJ5" i="120"/>
  <c r="CK5" i="120"/>
  <c r="CL5" i="120"/>
  <c r="A6" i="120"/>
  <c r="A7" i="120"/>
  <c r="K7" i="120"/>
  <c r="L7" i="120"/>
  <c r="M7" i="120"/>
  <c r="N7" i="120"/>
  <c r="O7" i="120"/>
  <c r="P7" i="120"/>
  <c r="Q7" i="120"/>
  <c r="R7" i="120"/>
  <c r="S7" i="120"/>
  <c r="T7" i="120"/>
  <c r="U7" i="120"/>
  <c r="V7" i="120"/>
  <c r="W7" i="120"/>
  <c r="X7" i="120"/>
  <c r="Y7" i="120"/>
  <c r="Z7" i="120"/>
  <c r="AA7" i="120"/>
  <c r="AB7" i="120"/>
  <c r="AC7" i="120"/>
  <c r="AD7" i="120"/>
  <c r="AE7" i="120"/>
  <c r="AF7" i="120"/>
  <c r="AG7" i="120"/>
  <c r="AH7" i="120"/>
  <c r="AI7" i="120"/>
  <c r="AJ7" i="120"/>
  <c r="AK7" i="120"/>
  <c r="AL7" i="120"/>
  <c r="AM7" i="120"/>
  <c r="AN7" i="120"/>
  <c r="AO7" i="120"/>
  <c r="AP7" i="120"/>
  <c r="AQ7" i="120"/>
  <c r="AR7" i="120"/>
  <c r="AS7" i="120"/>
  <c r="A8" i="120"/>
  <c r="K8" i="120"/>
  <c r="L8" i="120"/>
  <c r="M8" i="120"/>
  <c r="N8" i="120"/>
  <c r="O8" i="120"/>
  <c r="P8" i="120"/>
  <c r="Q8" i="120"/>
  <c r="R8" i="120"/>
  <c r="S8" i="120"/>
  <c r="T8" i="120"/>
  <c r="U8" i="120"/>
  <c r="V8" i="120"/>
  <c r="W8" i="120"/>
  <c r="X8" i="120"/>
  <c r="Y8" i="120"/>
  <c r="Z8" i="120"/>
  <c r="AA8" i="120"/>
  <c r="AB8" i="120"/>
  <c r="AC8" i="120"/>
  <c r="AD8" i="120"/>
  <c r="AE8" i="120"/>
  <c r="AF8" i="120"/>
  <c r="AG8" i="120"/>
  <c r="AH8" i="120"/>
  <c r="AI8" i="120"/>
  <c r="AJ8" i="120"/>
  <c r="AK8" i="120"/>
  <c r="AL8" i="120"/>
  <c r="AM8" i="120"/>
  <c r="AN8" i="120"/>
  <c r="AO8" i="120"/>
  <c r="AP8" i="120"/>
  <c r="AQ8" i="120"/>
  <c r="AR8" i="120"/>
  <c r="AS8" i="120"/>
  <c r="A9" i="120"/>
  <c r="K9" i="120"/>
  <c r="L9" i="120"/>
  <c r="M9" i="120"/>
  <c r="N9" i="120"/>
  <c r="O9" i="120"/>
  <c r="P9" i="120"/>
  <c r="Q9" i="120"/>
  <c r="R9" i="120"/>
  <c r="S9" i="120"/>
  <c r="T9" i="120"/>
  <c r="U9" i="120"/>
  <c r="V9" i="120"/>
  <c r="W9" i="120"/>
  <c r="X9" i="120"/>
  <c r="Y9" i="120"/>
  <c r="Z9" i="120"/>
  <c r="AA9" i="120"/>
  <c r="AB9" i="120"/>
  <c r="AC9" i="120"/>
  <c r="AD9" i="120"/>
  <c r="AE9" i="120"/>
  <c r="AF9" i="120"/>
  <c r="AG9" i="120"/>
  <c r="AH9" i="120"/>
  <c r="AI9" i="120"/>
  <c r="AJ9" i="120"/>
  <c r="AK9" i="120"/>
  <c r="AL9" i="120"/>
  <c r="AM9" i="120"/>
  <c r="AN9" i="120"/>
  <c r="AO9" i="120"/>
  <c r="AP9" i="120"/>
  <c r="AQ9" i="120"/>
  <c r="AR9" i="120"/>
  <c r="AS9" i="120"/>
  <c r="A10" i="120"/>
  <c r="K10" i="120"/>
  <c r="L10" i="120"/>
  <c r="M10" i="120"/>
  <c r="N10" i="120"/>
  <c r="O10" i="120"/>
  <c r="P10" i="120"/>
  <c r="Q10" i="120"/>
  <c r="R10" i="120"/>
  <c r="S10" i="120"/>
  <c r="T10" i="120"/>
  <c r="U10" i="120"/>
  <c r="V10" i="120"/>
  <c r="W10" i="120"/>
  <c r="X10" i="120"/>
  <c r="Y10" i="120"/>
  <c r="Z10" i="120"/>
  <c r="AA10" i="120"/>
  <c r="AB10" i="120"/>
  <c r="AC10" i="120"/>
  <c r="AD10" i="120"/>
  <c r="AE10" i="120"/>
  <c r="AF10" i="120"/>
  <c r="AG10" i="120"/>
  <c r="AH10" i="120"/>
  <c r="AI10" i="120"/>
  <c r="AJ10" i="120"/>
  <c r="AK10" i="120"/>
  <c r="AL10" i="120"/>
  <c r="AM10" i="120"/>
  <c r="AN10" i="120"/>
  <c r="AO10" i="120"/>
  <c r="AP10" i="120"/>
  <c r="AQ10" i="120"/>
  <c r="AR10" i="120"/>
  <c r="AS10" i="120"/>
  <c r="A11" i="120"/>
  <c r="K11" i="120"/>
  <c r="L11" i="120"/>
  <c r="M11" i="120"/>
  <c r="N11" i="120"/>
  <c r="O11" i="120"/>
  <c r="P11" i="120"/>
  <c r="Q11" i="120"/>
  <c r="R11" i="120"/>
  <c r="S11" i="120"/>
  <c r="T11" i="120"/>
  <c r="U11" i="120"/>
  <c r="V11" i="120"/>
  <c r="W11" i="120"/>
  <c r="X11" i="120"/>
  <c r="Y11" i="120"/>
  <c r="Z11" i="120"/>
  <c r="AA11" i="120"/>
  <c r="AB11" i="120"/>
  <c r="AC11" i="120"/>
  <c r="AD11" i="120"/>
  <c r="AE11" i="120"/>
  <c r="AF11" i="120"/>
  <c r="AG11" i="120"/>
  <c r="AH11" i="120"/>
  <c r="AI11" i="120"/>
  <c r="AJ11" i="120"/>
  <c r="AK11" i="120"/>
  <c r="AL11" i="120"/>
  <c r="AM11" i="120"/>
  <c r="AN11" i="120"/>
  <c r="AO11" i="120"/>
  <c r="AP11" i="120"/>
  <c r="AQ11" i="120"/>
  <c r="AR11" i="120"/>
  <c r="AS11" i="120"/>
  <c r="A12" i="120"/>
  <c r="K12" i="120"/>
  <c r="L12" i="120"/>
  <c r="M12" i="120"/>
  <c r="N12" i="120"/>
  <c r="O12" i="120"/>
  <c r="P12" i="120"/>
  <c r="Q12" i="120"/>
  <c r="R12" i="120"/>
  <c r="S12" i="120"/>
  <c r="T12" i="120"/>
  <c r="U12" i="120"/>
  <c r="V12" i="120"/>
  <c r="W12" i="120"/>
  <c r="X12" i="120"/>
  <c r="Y12" i="120"/>
  <c r="Z12" i="120"/>
  <c r="AA12" i="120"/>
  <c r="AB12" i="120"/>
  <c r="AC12" i="120"/>
  <c r="AD12" i="120"/>
  <c r="AE12" i="120"/>
  <c r="AF12" i="120"/>
  <c r="AG12" i="120"/>
  <c r="AH12" i="120"/>
  <c r="AI12" i="120"/>
  <c r="AJ12" i="120"/>
  <c r="AK12" i="120"/>
  <c r="AL12" i="120"/>
  <c r="AM12" i="120"/>
  <c r="AN12" i="120"/>
  <c r="AO12" i="120"/>
  <c r="AP12" i="120"/>
  <c r="AQ12" i="120"/>
  <c r="AR12" i="120"/>
  <c r="AS12" i="120"/>
  <c r="A13" i="120"/>
  <c r="G14" i="120"/>
  <c r="K13" i="120"/>
  <c r="L13" i="120"/>
  <c r="M13" i="120"/>
  <c r="N13" i="120"/>
  <c r="O13" i="120"/>
  <c r="P13" i="120"/>
  <c r="P14" i="120" s="1"/>
  <c r="Q13" i="120"/>
  <c r="R13" i="120"/>
  <c r="R14" i="120" s="1"/>
  <c r="S13" i="120"/>
  <c r="T13" i="120"/>
  <c r="U13" i="120"/>
  <c r="V13" i="120"/>
  <c r="W13" i="120"/>
  <c r="X13" i="120"/>
  <c r="Y13" i="120"/>
  <c r="Z13" i="120"/>
  <c r="AA13" i="120"/>
  <c r="AA14" i="120"/>
  <c r="AB13" i="120"/>
  <c r="AC13" i="120"/>
  <c r="AD13" i="120"/>
  <c r="AE13" i="120"/>
  <c r="AF13" i="120"/>
  <c r="AG13" i="120"/>
  <c r="AH13" i="120"/>
  <c r="AI13" i="120"/>
  <c r="AJ13" i="120"/>
  <c r="AK13" i="120"/>
  <c r="AL13" i="120"/>
  <c r="AM13" i="120"/>
  <c r="AN13" i="120"/>
  <c r="AO13" i="120"/>
  <c r="AP13" i="120"/>
  <c r="AQ13" i="120"/>
  <c r="AR13" i="120"/>
  <c r="AS13" i="120"/>
  <c r="AS14" i="120"/>
  <c r="A14" i="120"/>
  <c r="F14" i="120"/>
  <c r="H14" i="120"/>
  <c r="I14" i="120"/>
  <c r="X14" i="120"/>
  <c r="AT14" i="120"/>
  <c r="AU14" i="120"/>
  <c r="Q14" i="120"/>
  <c r="AV14" i="120"/>
  <c r="S14" i="120"/>
  <c r="AW14" i="120"/>
  <c r="N14" i="120" s="1"/>
  <c r="AX14" i="120"/>
  <c r="AY14" i="120"/>
  <c r="L14" i="120" s="1"/>
  <c r="AZ14" i="120"/>
  <c r="BA14" i="120"/>
  <c r="BB14" i="120"/>
  <c r="T14" i="120" s="1"/>
  <c r="BC14" i="120"/>
  <c r="U14" i="120" s="1"/>
  <c r="BD14" i="120"/>
  <c r="M14" i="120" s="1"/>
  <c r="BE14" i="120"/>
  <c r="O14" i="120" s="1"/>
  <c r="BF14" i="120"/>
  <c r="K14" i="120" s="1"/>
  <c r="BG14" i="120"/>
  <c r="BH14" i="120"/>
  <c r="BI14" i="120"/>
  <c r="BJ14" i="120"/>
  <c r="BK14" i="120"/>
  <c r="BL14" i="120"/>
  <c r="BM14" i="120"/>
  <c r="Z14" i="120" s="1"/>
  <c r="BN14" i="120"/>
  <c r="BO14" i="120"/>
  <c r="BP14" i="120"/>
  <c r="AB14" i="120" s="1"/>
  <c r="BQ14" i="120"/>
  <c r="BR14" i="120"/>
  <c r="W14" i="120"/>
  <c r="BS14" i="120"/>
  <c r="BT14" i="120"/>
  <c r="BU14" i="120"/>
  <c r="AD14" i="120"/>
  <c r="BV14" i="120"/>
  <c r="AG14" i="120" s="1"/>
  <c r="BW14" i="120"/>
  <c r="AI14" i="120"/>
  <c r="BX14" i="120"/>
  <c r="AC14" i="120" s="1"/>
  <c r="BY14" i="120"/>
  <c r="AJ14" i="120"/>
  <c r="BZ14" i="120"/>
  <c r="AH14" i="120" s="1"/>
  <c r="CA14" i="120"/>
  <c r="AF14" i="120"/>
  <c r="CB14" i="120"/>
  <c r="AK14" i="120" s="1"/>
  <c r="CC14" i="120"/>
  <c r="AO14" i="120"/>
  <c r="CD14" i="120"/>
  <c r="AP14" i="120" s="1"/>
  <c r="CE14" i="120"/>
  <c r="AL14" i="120"/>
  <c r="CF14" i="120"/>
  <c r="CG14" i="120"/>
  <c r="CH14" i="120"/>
  <c r="AM14" i="120"/>
  <c r="CI14" i="120"/>
  <c r="AR14" i="120" s="1"/>
  <c r="CJ14" i="120"/>
  <c r="AN14" i="120"/>
  <c r="CK14" i="120"/>
  <c r="AQ14" i="120" s="1"/>
  <c r="CL14" i="120"/>
  <c r="A15" i="120"/>
  <c r="A16" i="120"/>
  <c r="K16" i="120"/>
  <c r="L16" i="120"/>
  <c r="M16" i="120"/>
  <c r="N16" i="120"/>
  <c r="O16" i="120"/>
  <c r="P16" i="120"/>
  <c r="Q16" i="120"/>
  <c r="R16" i="120"/>
  <c r="S16" i="120"/>
  <c r="T16" i="120"/>
  <c r="U16" i="120"/>
  <c r="V16" i="120"/>
  <c r="W16" i="120"/>
  <c r="X16" i="120"/>
  <c r="Y16" i="120"/>
  <c r="Z16" i="120"/>
  <c r="AA16" i="120"/>
  <c r="AB16" i="120"/>
  <c r="AC16" i="120"/>
  <c r="AD16" i="120"/>
  <c r="AE16" i="120"/>
  <c r="AF16" i="120"/>
  <c r="AG16" i="120"/>
  <c r="AH16" i="120"/>
  <c r="AI16" i="120"/>
  <c r="AJ16" i="120"/>
  <c r="AK16" i="120"/>
  <c r="AL16" i="120"/>
  <c r="AM16" i="120"/>
  <c r="AN16" i="120"/>
  <c r="AO16" i="120"/>
  <c r="AP16" i="120"/>
  <c r="AQ16" i="120"/>
  <c r="AR16" i="120"/>
  <c r="AS16" i="120"/>
  <c r="A17" i="120"/>
  <c r="F17" i="120"/>
  <c r="G17" i="120"/>
  <c r="H17" i="120"/>
  <c r="I17" i="120"/>
  <c r="K17" i="120"/>
  <c r="L17" i="120"/>
  <c r="M17" i="120"/>
  <c r="N17" i="120"/>
  <c r="O17" i="120"/>
  <c r="P17" i="120"/>
  <c r="Q17" i="120"/>
  <c r="R17" i="120"/>
  <c r="S17" i="120"/>
  <c r="T17" i="120"/>
  <c r="U17" i="120"/>
  <c r="V17" i="120"/>
  <c r="W17" i="120"/>
  <c r="X17" i="120"/>
  <c r="Y17" i="120"/>
  <c r="Z17" i="120"/>
  <c r="AA17" i="120"/>
  <c r="AB17" i="120"/>
  <c r="AC17" i="120"/>
  <c r="AD17" i="120"/>
  <c r="AE17" i="120"/>
  <c r="AF17" i="120"/>
  <c r="AG17" i="120"/>
  <c r="AH17" i="120"/>
  <c r="AI17" i="120"/>
  <c r="AJ17" i="120"/>
  <c r="AK17" i="120"/>
  <c r="AL17" i="120"/>
  <c r="AM17" i="120"/>
  <c r="AN17" i="120"/>
  <c r="AO17" i="120"/>
  <c r="AP17" i="120"/>
  <c r="AQ17" i="120"/>
  <c r="AR17" i="120"/>
  <c r="AS17" i="120"/>
  <c r="A18" i="120"/>
  <c r="K18" i="120"/>
  <c r="L18" i="120"/>
  <c r="M18" i="120"/>
  <c r="N18" i="120"/>
  <c r="O18" i="120"/>
  <c r="P18" i="120"/>
  <c r="Q18" i="120"/>
  <c r="R18" i="120"/>
  <c r="S18" i="120"/>
  <c r="T18" i="120"/>
  <c r="U18" i="120"/>
  <c r="V18" i="120"/>
  <c r="W18" i="120"/>
  <c r="X18" i="120"/>
  <c r="Y18" i="120"/>
  <c r="Z18" i="120"/>
  <c r="AA18" i="120"/>
  <c r="AB18" i="120"/>
  <c r="AC18" i="120"/>
  <c r="AD18" i="120"/>
  <c r="AE18" i="120"/>
  <c r="AF18" i="120"/>
  <c r="AG18" i="120"/>
  <c r="AH18" i="120"/>
  <c r="AI18" i="120"/>
  <c r="AJ18" i="120"/>
  <c r="AK18" i="120"/>
  <c r="AL18" i="120"/>
  <c r="AM18" i="120"/>
  <c r="AN18" i="120"/>
  <c r="AO18" i="120"/>
  <c r="AP18" i="120"/>
  <c r="AQ18" i="120"/>
  <c r="AR18" i="120"/>
  <c r="AS18" i="120"/>
  <c r="A19" i="120"/>
  <c r="K19" i="120"/>
  <c r="L19" i="120"/>
  <c r="M19" i="120"/>
  <c r="N19" i="120"/>
  <c r="O19" i="120"/>
  <c r="P19" i="120"/>
  <c r="Q19" i="120"/>
  <c r="R19" i="120"/>
  <c r="S19" i="120"/>
  <c r="T19" i="120"/>
  <c r="U19" i="120"/>
  <c r="V19" i="120"/>
  <c r="W19" i="120"/>
  <c r="X19" i="120"/>
  <c r="Y19" i="120"/>
  <c r="Z19" i="120"/>
  <c r="AA19" i="120"/>
  <c r="AB19" i="120"/>
  <c r="AC19" i="120"/>
  <c r="AD19" i="120"/>
  <c r="AE19" i="120"/>
  <c r="AF19" i="120"/>
  <c r="AG19" i="120"/>
  <c r="AH19" i="120"/>
  <c r="AI19" i="120"/>
  <c r="AJ19" i="120"/>
  <c r="AK19" i="120"/>
  <c r="AL19" i="120"/>
  <c r="AM19" i="120"/>
  <c r="AN19" i="120"/>
  <c r="AO19" i="120"/>
  <c r="AP19" i="120"/>
  <c r="AQ19" i="120"/>
  <c r="AR19" i="120"/>
  <c r="AS19" i="120"/>
  <c r="A20" i="120"/>
  <c r="K20" i="120"/>
  <c r="L20" i="120"/>
  <c r="M20" i="120"/>
  <c r="N20" i="120"/>
  <c r="O20" i="120"/>
  <c r="P20" i="120"/>
  <c r="Q20" i="120"/>
  <c r="R20" i="120"/>
  <c r="S20" i="120"/>
  <c r="T20" i="120"/>
  <c r="U20" i="120"/>
  <c r="V20" i="120"/>
  <c r="W20" i="120"/>
  <c r="X20" i="120"/>
  <c r="Y20" i="120"/>
  <c r="Z20" i="120"/>
  <c r="AA20" i="120"/>
  <c r="AB20" i="120"/>
  <c r="AC20" i="120"/>
  <c r="AD20" i="120"/>
  <c r="AE20" i="120"/>
  <c r="AF20" i="120"/>
  <c r="AG20" i="120"/>
  <c r="AH20" i="120"/>
  <c r="AI20" i="120"/>
  <c r="AJ20" i="120"/>
  <c r="AK20" i="120"/>
  <c r="AL20" i="120"/>
  <c r="AM20" i="120"/>
  <c r="AN20" i="120"/>
  <c r="AO20" i="120"/>
  <c r="AP20" i="120"/>
  <c r="AQ20" i="120"/>
  <c r="AR20" i="120"/>
  <c r="AS20" i="120"/>
  <c r="A21" i="120"/>
  <c r="F21" i="120"/>
  <c r="G21" i="120"/>
  <c r="H21" i="120"/>
  <c r="I21" i="120"/>
  <c r="AT21" i="120"/>
  <c r="AU21" i="120"/>
  <c r="AV21" i="120"/>
  <c r="AW21" i="120"/>
  <c r="AX21" i="120"/>
  <c r="AY21" i="120"/>
  <c r="AZ21" i="120"/>
  <c r="BA21" i="120"/>
  <c r="BB21" i="120"/>
  <c r="BC21" i="120"/>
  <c r="BD21" i="120"/>
  <c r="BE21" i="120"/>
  <c r="BF21" i="120"/>
  <c r="BG21" i="120"/>
  <c r="BH21" i="120"/>
  <c r="BI21" i="120"/>
  <c r="BJ21" i="120"/>
  <c r="BK21" i="120"/>
  <c r="BL21" i="120"/>
  <c r="BM21" i="120"/>
  <c r="BN21" i="120"/>
  <c r="BO21" i="120"/>
  <c r="BP21" i="120"/>
  <c r="BQ21" i="120"/>
  <c r="BR21" i="120"/>
  <c r="BS21" i="120"/>
  <c r="BT21" i="120"/>
  <c r="BU21" i="120"/>
  <c r="BV21" i="120"/>
  <c r="BW21" i="120"/>
  <c r="BX21" i="120"/>
  <c r="BY21" i="120"/>
  <c r="BZ21" i="120"/>
  <c r="CA21" i="120"/>
  <c r="CB21" i="120"/>
  <c r="CC21" i="120"/>
  <c r="CE21" i="120"/>
  <c r="CF21" i="120"/>
  <c r="CG21" i="120"/>
  <c r="CH21" i="120"/>
  <c r="CI21" i="120"/>
  <c r="CJ21" i="120"/>
  <c r="CK21" i="120"/>
  <c r="CL21" i="120"/>
  <c r="A22" i="120"/>
  <c r="Q22" i="120"/>
  <c r="A23" i="120"/>
  <c r="K23" i="120"/>
  <c r="L23" i="120"/>
  <c r="M23" i="120"/>
  <c r="N23" i="120"/>
  <c r="O23" i="120"/>
  <c r="P23" i="120"/>
  <c r="P32" i="120" s="1"/>
  <c r="P33" i="120" s="1"/>
  <c r="Q23" i="120"/>
  <c r="R23" i="120"/>
  <c r="S23" i="120"/>
  <c r="T23" i="120"/>
  <c r="U23" i="120"/>
  <c r="V23" i="120"/>
  <c r="V32" i="120" s="1"/>
  <c r="V33" i="120" s="1"/>
  <c r="W23" i="120"/>
  <c r="X23" i="120"/>
  <c r="X32" i="120" s="1"/>
  <c r="X33" i="120" s="1"/>
  <c r="Y23" i="120"/>
  <c r="Y32" i="120"/>
  <c r="Y33" i="120" s="1"/>
  <c r="Z23" i="120"/>
  <c r="AA23" i="120"/>
  <c r="AA32" i="120"/>
  <c r="AA33" i="120" s="1"/>
  <c r="AB23" i="120"/>
  <c r="AC23" i="120"/>
  <c r="AD23" i="120"/>
  <c r="AE23" i="120"/>
  <c r="AE32" i="120"/>
  <c r="AE33" i="120" s="1"/>
  <c r="AF23" i="120"/>
  <c r="AG23" i="120"/>
  <c r="AH23" i="120"/>
  <c r="AI23" i="120"/>
  <c r="AJ23" i="120"/>
  <c r="AK23" i="120"/>
  <c r="AL23" i="120"/>
  <c r="AM23" i="120"/>
  <c r="AN23" i="120"/>
  <c r="AO23" i="120"/>
  <c r="AP23" i="120"/>
  <c r="AQ23" i="120"/>
  <c r="AR23" i="120"/>
  <c r="AS23" i="120"/>
  <c r="AS32" i="120" s="1"/>
  <c r="AS33" i="120" s="1"/>
  <c r="A24" i="120"/>
  <c r="K24" i="120"/>
  <c r="L24" i="120"/>
  <c r="M24" i="120"/>
  <c r="N24" i="120"/>
  <c r="O24" i="120"/>
  <c r="P24" i="120"/>
  <c r="Q24" i="120"/>
  <c r="R24" i="120"/>
  <c r="S24" i="120"/>
  <c r="T24" i="120"/>
  <c r="U24" i="120"/>
  <c r="V24" i="120"/>
  <c r="W24" i="120"/>
  <c r="X24" i="120"/>
  <c r="Y24" i="120"/>
  <c r="Z24" i="120"/>
  <c r="AA24" i="120"/>
  <c r="AB24" i="120"/>
  <c r="AC24" i="120"/>
  <c r="AD24" i="120"/>
  <c r="AE24" i="120"/>
  <c r="AF24" i="120"/>
  <c r="AG24" i="120"/>
  <c r="AH24" i="120"/>
  <c r="AI24" i="120"/>
  <c r="AJ24" i="120"/>
  <c r="AK24" i="120"/>
  <c r="AL24" i="120"/>
  <c r="AM24" i="120"/>
  <c r="AN24" i="120"/>
  <c r="AO24" i="120"/>
  <c r="AP24" i="120"/>
  <c r="AQ24" i="120"/>
  <c r="AR24" i="120"/>
  <c r="AS24" i="120"/>
  <c r="A25" i="120"/>
  <c r="K25" i="120"/>
  <c r="L25" i="120"/>
  <c r="M25" i="120"/>
  <c r="N25" i="120"/>
  <c r="O25" i="120"/>
  <c r="P25" i="120"/>
  <c r="Q25" i="120"/>
  <c r="R25" i="120"/>
  <c r="S25" i="120"/>
  <c r="T25" i="120"/>
  <c r="U25" i="120"/>
  <c r="V25" i="120"/>
  <c r="W25" i="120"/>
  <c r="X25" i="120"/>
  <c r="Y25" i="120"/>
  <c r="Z25" i="120"/>
  <c r="AA25" i="120"/>
  <c r="AB25" i="120"/>
  <c r="AC25" i="120"/>
  <c r="AD25" i="120"/>
  <c r="AE25" i="120"/>
  <c r="AF25" i="120"/>
  <c r="AG25" i="120"/>
  <c r="AH25" i="120"/>
  <c r="AI25" i="120"/>
  <c r="AJ25" i="120"/>
  <c r="AK25" i="120"/>
  <c r="AL25" i="120"/>
  <c r="AM25" i="120"/>
  <c r="AN25" i="120"/>
  <c r="AO25" i="120"/>
  <c r="AP25" i="120"/>
  <c r="AQ25" i="120"/>
  <c r="AR25" i="120"/>
  <c r="AS25" i="120"/>
  <c r="A26" i="120"/>
  <c r="K26" i="120"/>
  <c r="L26" i="120"/>
  <c r="M26" i="120"/>
  <c r="N26" i="120"/>
  <c r="O26" i="120"/>
  <c r="P26" i="120"/>
  <c r="Q26" i="120"/>
  <c r="R26" i="120"/>
  <c r="S26" i="120"/>
  <c r="T26" i="120"/>
  <c r="U26" i="120"/>
  <c r="V26" i="120"/>
  <c r="W26" i="120"/>
  <c r="X26" i="120"/>
  <c r="Y26" i="120"/>
  <c r="Z26" i="120"/>
  <c r="AA26" i="120"/>
  <c r="AB26" i="120"/>
  <c r="AC26" i="120"/>
  <c r="AD26" i="120"/>
  <c r="AE26" i="120"/>
  <c r="AF26" i="120"/>
  <c r="AG26" i="120"/>
  <c r="AH26" i="120"/>
  <c r="AI26" i="120"/>
  <c r="AJ26" i="120"/>
  <c r="AK26" i="120"/>
  <c r="AL26" i="120"/>
  <c r="AM26" i="120"/>
  <c r="AN26" i="120"/>
  <c r="AO26" i="120"/>
  <c r="AP26" i="120"/>
  <c r="AQ26" i="120"/>
  <c r="AR26" i="120"/>
  <c r="AS26" i="120"/>
  <c r="A27" i="120"/>
  <c r="K27" i="120"/>
  <c r="L27" i="120"/>
  <c r="M27" i="120"/>
  <c r="N27" i="120"/>
  <c r="O27" i="120"/>
  <c r="P27" i="120"/>
  <c r="Q27" i="120"/>
  <c r="R27" i="120"/>
  <c r="S27" i="120"/>
  <c r="T27" i="120"/>
  <c r="U27" i="120"/>
  <c r="V27" i="120"/>
  <c r="W27" i="120"/>
  <c r="X27" i="120"/>
  <c r="Y27" i="120"/>
  <c r="Z27" i="120"/>
  <c r="AA27" i="120"/>
  <c r="AB27" i="120"/>
  <c r="AC27" i="120"/>
  <c r="AD27" i="120"/>
  <c r="AE27" i="120"/>
  <c r="AF27" i="120"/>
  <c r="AG27" i="120"/>
  <c r="AH27" i="120"/>
  <c r="AI27" i="120"/>
  <c r="AJ27" i="120"/>
  <c r="AK27" i="120"/>
  <c r="AL27" i="120"/>
  <c r="AM27" i="120"/>
  <c r="AN27" i="120"/>
  <c r="AO27" i="120"/>
  <c r="AP27" i="120"/>
  <c r="AQ27" i="120"/>
  <c r="AR27" i="120"/>
  <c r="AS27" i="120"/>
  <c r="A28" i="120"/>
  <c r="K28" i="120"/>
  <c r="L28" i="120"/>
  <c r="M28" i="120"/>
  <c r="N28" i="120"/>
  <c r="O28" i="120"/>
  <c r="P28" i="120"/>
  <c r="Q28" i="120"/>
  <c r="R28" i="120"/>
  <c r="S28" i="120"/>
  <c r="T28" i="120"/>
  <c r="U28" i="120"/>
  <c r="V28" i="120"/>
  <c r="W28" i="120"/>
  <c r="X28" i="120"/>
  <c r="Y28" i="120"/>
  <c r="Z28" i="120"/>
  <c r="AA28" i="120"/>
  <c r="AB28" i="120"/>
  <c r="AC28" i="120"/>
  <c r="AD28" i="120"/>
  <c r="AE28" i="120"/>
  <c r="AF28" i="120"/>
  <c r="AG28" i="120"/>
  <c r="AH28" i="120"/>
  <c r="AI28" i="120"/>
  <c r="AJ28" i="120"/>
  <c r="AK28" i="120"/>
  <c r="AL28" i="120"/>
  <c r="AM28" i="120"/>
  <c r="AN28" i="120"/>
  <c r="AO28" i="120"/>
  <c r="AP28" i="120"/>
  <c r="AQ28" i="120"/>
  <c r="AR28" i="120"/>
  <c r="AS28" i="120"/>
  <c r="A29" i="120"/>
  <c r="K29" i="120"/>
  <c r="L29" i="120"/>
  <c r="M29" i="120"/>
  <c r="N29" i="120"/>
  <c r="O29" i="120"/>
  <c r="P29" i="120"/>
  <c r="Q29" i="120"/>
  <c r="R29" i="120"/>
  <c r="S29" i="120"/>
  <c r="T29" i="120"/>
  <c r="U29" i="120"/>
  <c r="V29" i="120"/>
  <c r="W29" i="120"/>
  <c r="X29" i="120"/>
  <c r="Y29" i="120"/>
  <c r="Z29" i="120"/>
  <c r="AA29" i="120"/>
  <c r="AB29" i="120"/>
  <c r="AC29" i="120"/>
  <c r="AD29" i="120"/>
  <c r="AE29" i="120"/>
  <c r="AF29" i="120"/>
  <c r="AG29" i="120"/>
  <c r="AH29" i="120"/>
  <c r="AI29" i="120"/>
  <c r="AJ29" i="120"/>
  <c r="AK29" i="120"/>
  <c r="AL29" i="120"/>
  <c r="AM29" i="120"/>
  <c r="AN29" i="120"/>
  <c r="AO29" i="120"/>
  <c r="AP29" i="120"/>
  <c r="AQ29" i="120"/>
  <c r="AR29" i="120"/>
  <c r="AS29" i="120"/>
  <c r="A30" i="120"/>
  <c r="F30" i="120"/>
  <c r="G30" i="120"/>
  <c r="H30" i="120"/>
  <c r="I30" i="120"/>
  <c r="AT30" i="120"/>
  <c r="AU30" i="120"/>
  <c r="Q30" i="120"/>
  <c r="AV30" i="120"/>
  <c r="S30" i="120" s="1"/>
  <c r="AW30" i="120"/>
  <c r="N30" i="120"/>
  <c r="AX30" i="120"/>
  <c r="AY30" i="120"/>
  <c r="L30" i="120" s="1"/>
  <c r="AZ30" i="120"/>
  <c r="BA30" i="120"/>
  <c r="BB30" i="120"/>
  <c r="T30" i="120" s="1"/>
  <c r="BC30" i="120"/>
  <c r="U30" i="120" s="1"/>
  <c r="BD30" i="120"/>
  <c r="M30" i="120" s="1"/>
  <c r="BE30" i="120"/>
  <c r="O30" i="120" s="1"/>
  <c r="BF30" i="120"/>
  <c r="K30" i="120" s="1"/>
  <c r="BG30" i="120"/>
  <c r="BH30" i="120"/>
  <c r="BI30" i="120"/>
  <c r="BJ30" i="120"/>
  <c r="BK30" i="120"/>
  <c r="BL30" i="120"/>
  <c r="BM30" i="120"/>
  <c r="Z30" i="120" s="1"/>
  <c r="BN30" i="120"/>
  <c r="BO30" i="120"/>
  <c r="BP30" i="120"/>
  <c r="AB30" i="120" s="1"/>
  <c r="BQ30" i="120"/>
  <c r="BR30" i="120"/>
  <c r="W30" i="120" s="1"/>
  <c r="BS30" i="120"/>
  <c r="BT30" i="120"/>
  <c r="BU30" i="120"/>
  <c r="AD30" i="120" s="1"/>
  <c r="BV30" i="120"/>
  <c r="AG30" i="120" s="1"/>
  <c r="BW30" i="120"/>
  <c r="AI30" i="120" s="1"/>
  <c r="BX30" i="120"/>
  <c r="AC30" i="120" s="1"/>
  <c r="BY30" i="120"/>
  <c r="AJ30" i="120" s="1"/>
  <c r="BZ30" i="120"/>
  <c r="AH30" i="120" s="1"/>
  <c r="CA30" i="120"/>
  <c r="AF30" i="120" s="1"/>
  <c r="CB30" i="120"/>
  <c r="AK30" i="120" s="1"/>
  <c r="CC30" i="120"/>
  <c r="AO30" i="120" s="1"/>
  <c r="CD30" i="120"/>
  <c r="AP30" i="120" s="1"/>
  <c r="CE30" i="120"/>
  <c r="AL30" i="120" s="1"/>
  <c r="CF30" i="120"/>
  <c r="CG30" i="120"/>
  <c r="CH30" i="120"/>
  <c r="AM30" i="120" s="1"/>
  <c r="CI30" i="120"/>
  <c r="AR30" i="120" s="1"/>
  <c r="CJ30" i="120"/>
  <c r="AN30" i="120" s="1"/>
  <c r="CK30" i="120"/>
  <c r="AQ30" i="120" s="1"/>
  <c r="CL30" i="120"/>
  <c r="A31" i="120"/>
  <c r="B31" i="120"/>
  <c r="F31" i="120"/>
  <c r="G31" i="120"/>
  <c r="H31" i="120"/>
  <c r="I31" i="120"/>
  <c r="AT31" i="120"/>
  <c r="R31" i="120" s="1"/>
  <c r="AU31" i="120"/>
  <c r="Q31" i="120" s="1"/>
  <c r="AV31" i="120"/>
  <c r="S31" i="120"/>
  <c r="AW31" i="120"/>
  <c r="N31" i="120" s="1"/>
  <c r="AX31" i="120"/>
  <c r="AY31" i="120"/>
  <c r="L31" i="120" s="1"/>
  <c r="AZ31" i="120"/>
  <c r="BA31" i="120"/>
  <c r="BB31" i="120"/>
  <c r="T31" i="120" s="1"/>
  <c r="BC31" i="120"/>
  <c r="U31" i="120" s="1"/>
  <c r="BD31" i="120"/>
  <c r="M31" i="120" s="1"/>
  <c r="BE31" i="120"/>
  <c r="O31" i="120" s="1"/>
  <c r="BF31" i="120"/>
  <c r="K31" i="120" s="1"/>
  <c r="BG31" i="120"/>
  <c r="BH31" i="120"/>
  <c r="BI31" i="120"/>
  <c r="BJ31" i="120"/>
  <c r="BK31" i="120"/>
  <c r="BL31" i="120"/>
  <c r="BM31" i="120"/>
  <c r="Z31" i="120" s="1"/>
  <c r="BN31" i="120"/>
  <c r="BO31" i="120"/>
  <c r="BP31" i="120"/>
  <c r="AB31" i="120" s="1"/>
  <c r="BQ31" i="120"/>
  <c r="BR31" i="120"/>
  <c r="W31" i="120" s="1"/>
  <c r="BS31" i="120"/>
  <c r="BT31" i="120"/>
  <c r="BU31" i="120"/>
  <c r="AD31" i="120" s="1"/>
  <c r="BV31" i="120"/>
  <c r="AG31" i="120" s="1"/>
  <c r="BW31" i="120"/>
  <c r="AI31" i="120" s="1"/>
  <c r="BX31" i="120"/>
  <c r="AC31" i="120" s="1"/>
  <c r="BY31" i="120"/>
  <c r="AJ31" i="120"/>
  <c r="BZ31" i="120"/>
  <c r="AH31" i="120" s="1"/>
  <c r="CA31" i="120"/>
  <c r="AF31" i="120"/>
  <c r="CB31" i="120"/>
  <c r="AK31" i="120" s="1"/>
  <c r="CC31" i="120"/>
  <c r="AO31" i="120"/>
  <c r="CD31" i="120"/>
  <c r="AP31" i="120" s="1"/>
  <c r="CE31" i="120"/>
  <c r="AL31" i="120"/>
  <c r="CF31" i="120"/>
  <c r="CG31" i="120"/>
  <c r="CH31" i="120"/>
  <c r="AM31" i="120"/>
  <c r="CI31" i="120"/>
  <c r="AR31" i="120" s="1"/>
  <c r="CJ31" i="120"/>
  <c r="AN31" i="120"/>
  <c r="CK31" i="120"/>
  <c r="AQ31" i="120" s="1"/>
  <c r="CL31" i="120"/>
  <c r="A32" i="120"/>
  <c r="K32" i="120"/>
  <c r="L32" i="120"/>
  <c r="M32" i="120"/>
  <c r="N32" i="120"/>
  <c r="O32" i="120"/>
  <c r="Q32" i="120"/>
  <c r="R32" i="120"/>
  <c r="R33" i="120" s="1"/>
  <c r="S32" i="120"/>
  <c r="T32" i="120"/>
  <c r="U32" i="120"/>
  <c r="W32" i="120"/>
  <c r="Z32" i="120"/>
  <c r="AB32" i="120"/>
  <c r="AC32" i="120"/>
  <c r="AD32" i="120"/>
  <c r="AF32" i="120"/>
  <c r="AG32" i="120"/>
  <c r="AH32" i="120"/>
  <c r="AI32" i="120"/>
  <c r="AJ32" i="120"/>
  <c r="AK32" i="120"/>
  <c r="AL32" i="120"/>
  <c r="AM32" i="120"/>
  <c r="AN32" i="120"/>
  <c r="AO32" i="120"/>
  <c r="AP32" i="120"/>
  <c r="AQ32" i="120"/>
  <c r="AR32" i="120"/>
  <c r="A33" i="120"/>
  <c r="F33" i="120"/>
  <c r="G33" i="120"/>
  <c r="H33" i="120"/>
  <c r="I33" i="120"/>
  <c r="AT33" i="120"/>
  <c r="AU33" i="120"/>
  <c r="Q33" i="120"/>
  <c r="AV33" i="120"/>
  <c r="S33" i="120" s="1"/>
  <c r="AW33" i="120"/>
  <c r="N33" i="120" s="1"/>
  <c r="AX33" i="120"/>
  <c r="AY33" i="120"/>
  <c r="L33" i="120" s="1"/>
  <c r="AZ33" i="120"/>
  <c r="BA33" i="120"/>
  <c r="BB33" i="120"/>
  <c r="T33" i="120" s="1"/>
  <c r="BC33" i="120"/>
  <c r="U33" i="120"/>
  <c r="BD33" i="120"/>
  <c r="M33" i="120" s="1"/>
  <c r="BE33" i="120"/>
  <c r="O33" i="120"/>
  <c r="BF33" i="120"/>
  <c r="K33" i="120" s="1"/>
  <c r="BG33" i="120"/>
  <c r="BH33" i="120"/>
  <c r="BI33" i="120"/>
  <c r="BJ33" i="120"/>
  <c r="BK33" i="120"/>
  <c r="BL33" i="120"/>
  <c r="BM33" i="120"/>
  <c r="Z33" i="120" s="1"/>
  <c r="BN33" i="120"/>
  <c r="BO33" i="120"/>
  <c r="BP33" i="120"/>
  <c r="AB33" i="120" s="1"/>
  <c r="BQ33" i="120"/>
  <c r="BR33" i="120"/>
  <c r="W33" i="120" s="1"/>
  <c r="BS33" i="120"/>
  <c r="BT33" i="120"/>
  <c r="BU33" i="120"/>
  <c r="AD33" i="120" s="1"/>
  <c r="BV33" i="120"/>
  <c r="AG33" i="120" s="1"/>
  <c r="BW33" i="120"/>
  <c r="AI33" i="120" s="1"/>
  <c r="BX33" i="120"/>
  <c r="AC33" i="120" s="1"/>
  <c r="BY33" i="120"/>
  <c r="AJ33" i="120" s="1"/>
  <c r="BZ33" i="120"/>
  <c r="AH33" i="120" s="1"/>
  <c r="CA33" i="120"/>
  <c r="AF33" i="120" s="1"/>
  <c r="CB33" i="120"/>
  <c r="AK33" i="120" s="1"/>
  <c r="CC33" i="120"/>
  <c r="AO33" i="120" s="1"/>
  <c r="CD33" i="120"/>
  <c r="AP33" i="120"/>
  <c r="CE33" i="120"/>
  <c r="AL33" i="120" s="1"/>
  <c r="CF33" i="120"/>
  <c r="CG33" i="120"/>
  <c r="CH33" i="120"/>
  <c r="AM33" i="120" s="1"/>
  <c r="CI33" i="120"/>
  <c r="AR33" i="120" s="1"/>
  <c r="CJ33" i="120"/>
  <c r="AN33" i="120" s="1"/>
  <c r="CK33" i="120"/>
  <c r="AQ33" i="120" s="1"/>
  <c r="CL33" i="120"/>
  <c r="A34" i="120"/>
  <c r="A35" i="120"/>
  <c r="K35" i="120"/>
  <c r="L35" i="120"/>
  <c r="M35" i="120"/>
  <c r="N35" i="120"/>
  <c r="O35" i="120"/>
  <c r="P35" i="120"/>
  <c r="P50" i="120" s="1"/>
  <c r="Q35" i="120"/>
  <c r="R35" i="120"/>
  <c r="R30" i="120" s="1"/>
  <c r="S35" i="120"/>
  <c r="T35" i="120"/>
  <c r="U35" i="120"/>
  <c r="V35" i="120"/>
  <c r="V30" i="120" s="1"/>
  <c r="W35" i="120"/>
  <c r="X35" i="120"/>
  <c r="X30" i="120" s="1"/>
  <c r="Y35" i="120"/>
  <c r="Z35" i="120"/>
  <c r="AA35" i="120"/>
  <c r="AA30" i="120" s="1"/>
  <c r="AB35" i="120"/>
  <c r="AC35" i="120"/>
  <c r="AD35" i="120"/>
  <c r="AE35" i="120"/>
  <c r="AE30" i="120" s="1"/>
  <c r="AF35" i="120"/>
  <c r="AG35" i="120"/>
  <c r="AH35" i="120"/>
  <c r="AI35" i="120"/>
  <c r="AJ35" i="120"/>
  <c r="AK35" i="120"/>
  <c r="AL35" i="120"/>
  <c r="AM35" i="120"/>
  <c r="AN35" i="120"/>
  <c r="AO35" i="120"/>
  <c r="AP35" i="120"/>
  <c r="AQ35" i="120"/>
  <c r="AR35" i="120"/>
  <c r="AS35" i="120"/>
  <c r="AS50" i="120" s="1"/>
  <c r="A36" i="120"/>
  <c r="K36" i="120"/>
  <c r="L36" i="120"/>
  <c r="M36" i="120"/>
  <c r="N36" i="120"/>
  <c r="O36" i="120"/>
  <c r="P36" i="120"/>
  <c r="Q36" i="120"/>
  <c r="R36" i="120"/>
  <c r="S36" i="120"/>
  <c r="T36" i="120"/>
  <c r="U36" i="120"/>
  <c r="V36" i="120"/>
  <c r="W36" i="120"/>
  <c r="X36" i="120"/>
  <c r="Y36" i="120"/>
  <c r="Z36" i="120"/>
  <c r="AA36" i="120"/>
  <c r="AB36" i="120"/>
  <c r="AC36" i="120"/>
  <c r="AD36" i="120"/>
  <c r="AE36" i="120"/>
  <c r="AF36" i="120"/>
  <c r="AG36" i="120"/>
  <c r="AH36" i="120"/>
  <c r="AI36" i="120"/>
  <c r="AJ36" i="120"/>
  <c r="AK36" i="120"/>
  <c r="AL36" i="120"/>
  <c r="AM36" i="120"/>
  <c r="AN36" i="120"/>
  <c r="AO36" i="120"/>
  <c r="AP36" i="120"/>
  <c r="AQ36" i="120"/>
  <c r="AR36" i="120"/>
  <c r="AS36" i="120"/>
  <c r="A37" i="120"/>
  <c r="K37" i="120"/>
  <c r="L37" i="120"/>
  <c r="M37" i="120"/>
  <c r="N37" i="120"/>
  <c r="O37" i="120"/>
  <c r="P37" i="120"/>
  <c r="Q37" i="120"/>
  <c r="R37" i="120"/>
  <c r="S37" i="120"/>
  <c r="T37" i="120"/>
  <c r="U37" i="120"/>
  <c r="V37" i="120"/>
  <c r="W37" i="120"/>
  <c r="X37" i="120"/>
  <c r="Y37" i="120"/>
  <c r="Z37" i="120"/>
  <c r="AA37" i="120"/>
  <c r="AB37" i="120"/>
  <c r="AC37" i="120"/>
  <c r="AD37" i="120"/>
  <c r="AE37" i="120"/>
  <c r="AF37" i="120"/>
  <c r="AG37" i="120"/>
  <c r="AH37" i="120"/>
  <c r="AI37" i="120"/>
  <c r="AJ37" i="120"/>
  <c r="AK37" i="120"/>
  <c r="AL37" i="120"/>
  <c r="AM37" i="120"/>
  <c r="AN37" i="120"/>
  <c r="AO37" i="120"/>
  <c r="AP37" i="120"/>
  <c r="AQ37" i="120"/>
  <c r="AR37" i="120"/>
  <c r="AS37" i="120"/>
  <c r="A38" i="120"/>
  <c r="K38" i="120"/>
  <c r="L38" i="120"/>
  <c r="M38" i="120"/>
  <c r="N38" i="120"/>
  <c r="O38" i="120"/>
  <c r="P38" i="120"/>
  <c r="Q38" i="120"/>
  <c r="R38" i="120"/>
  <c r="S38" i="120"/>
  <c r="T38" i="120"/>
  <c r="U38" i="120"/>
  <c r="V38" i="120"/>
  <c r="W38" i="120"/>
  <c r="X38" i="120"/>
  <c r="Y38" i="120"/>
  <c r="Z38" i="120"/>
  <c r="AA38" i="120"/>
  <c r="AB38" i="120"/>
  <c r="AC38" i="120"/>
  <c r="AD38" i="120"/>
  <c r="AE38" i="120"/>
  <c r="AF38" i="120"/>
  <c r="AG38" i="120"/>
  <c r="AH38" i="120"/>
  <c r="AI38" i="120"/>
  <c r="AJ38" i="120"/>
  <c r="AK38" i="120"/>
  <c r="AL38" i="120"/>
  <c r="AM38" i="120"/>
  <c r="AN38" i="120"/>
  <c r="AO38" i="120"/>
  <c r="AP38" i="120"/>
  <c r="AQ38" i="120"/>
  <c r="AR38" i="120"/>
  <c r="AS38" i="120"/>
  <c r="A39" i="120"/>
  <c r="K39" i="120"/>
  <c r="L39" i="120"/>
  <c r="M39" i="120"/>
  <c r="N39" i="120"/>
  <c r="O39" i="120"/>
  <c r="P39" i="120"/>
  <c r="Q39" i="120"/>
  <c r="R39" i="120"/>
  <c r="S39" i="120"/>
  <c r="T39" i="120"/>
  <c r="U39" i="120"/>
  <c r="V39" i="120"/>
  <c r="W39" i="120"/>
  <c r="X39" i="120"/>
  <c r="Y39" i="120"/>
  <c r="Z39" i="120"/>
  <c r="AA39" i="120"/>
  <c r="AB39" i="120"/>
  <c r="AC39" i="120"/>
  <c r="AD39" i="120"/>
  <c r="AE39" i="120"/>
  <c r="AF39" i="120"/>
  <c r="AG39" i="120"/>
  <c r="AH39" i="120"/>
  <c r="AI39" i="120"/>
  <c r="AJ39" i="120"/>
  <c r="AK39" i="120"/>
  <c r="AL39" i="120"/>
  <c r="AM39" i="120"/>
  <c r="AN39" i="120"/>
  <c r="AO39" i="120"/>
  <c r="AP39" i="120"/>
  <c r="AQ39" i="120"/>
  <c r="AR39" i="120"/>
  <c r="AS39" i="120"/>
  <c r="A40" i="120"/>
  <c r="A41" i="120"/>
  <c r="K41" i="120"/>
  <c r="L41" i="120"/>
  <c r="M41" i="120"/>
  <c r="N41" i="120"/>
  <c r="O41" i="120"/>
  <c r="P41" i="120"/>
  <c r="Q41" i="120"/>
  <c r="R41" i="120"/>
  <c r="S41" i="120"/>
  <c r="T41" i="120"/>
  <c r="U41" i="120"/>
  <c r="V41" i="120"/>
  <c r="W41" i="120"/>
  <c r="X41" i="120"/>
  <c r="Y41" i="120"/>
  <c r="Z41" i="120"/>
  <c r="AA41" i="120"/>
  <c r="AB41" i="120"/>
  <c r="AC41" i="120"/>
  <c r="AD41" i="120"/>
  <c r="AE41" i="120"/>
  <c r="AF41" i="120"/>
  <c r="AG41" i="120"/>
  <c r="AH41" i="120"/>
  <c r="AI41" i="120"/>
  <c r="AJ41" i="120"/>
  <c r="AK41" i="120"/>
  <c r="AL41" i="120"/>
  <c r="AM41" i="120"/>
  <c r="AN41" i="120"/>
  <c r="AO41" i="120"/>
  <c r="AP41" i="120"/>
  <c r="AQ41" i="120"/>
  <c r="AR41" i="120"/>
  <c r="AS41" i="120"/>
  <c r="A42" i="120"/>
  <c r="K42" i="120"/>
  <c r="L42" i="120"/>
  <c r="M42" i="120"/>
  <c r="N42" i="120"/>
  <c r="O42" i="120"/>
  <c r="P42" i="120"/>
  <c r="Q42" i="120"/>
  <c r="R42" i="120"/>
  <c r="S42" i="120"/>
  <c r="T42" i="120"/>
  <c r="U42" i="120"/>
  <c r="V42" i="120"/>
  <c r="V51" i="120" s="1"/>
  <c r="W42" i="120"/>
  <c r="X42" i="120"/>
  <c r="Y42" i="120"/>
  <c r="Z42" i="120"/>
  <c r="AA42" i="120"/>
  <c r="AB42" i="120"/>
  <c r="AC42" i="120"/>
  <c r="AD42" i="120"/>
  <c r="AE42" i="120"/>
  <c r="AF42" i="120"/>
  <c r="AG42" i="120"/>
  <c r="AH42" i="120"/>
  <c r="AI42" i="120"/>
  <c r="AJ42" i="120"/>
  <c r="AK42" i="120"/>
  <c r="AL42" i="120"/>
  <c r="AM42" i="120"/>
  <c r="AN42" i="120"/>
  <c r="AO42" i="120"/>
  <c r="AP42" i="120"/>
  <c r="AQ42" i="120"/>
  <c r="AR42" i="120"/>
  <c r="AS42" i="120"/>
  <c r="AS54" i="120" s="1"/>
  <c r="A43" i="120"/>
  <c r="A44" i="120"/>
  <c r="A45" i="120"/>
  <c r="K45" i="120"/>
  <c r="L45" i="120"/>
  <c r="M45" i="120"/>
  <c r="N45" i="120"/>
  <c r="O45" i="120"/>
  <c r="Q45" i="120"/>
  <c r="S45" i="120"/>
  <c r="T45" i="120"/>
  <c r="U45" i="120"/>
  <c r="W45" i="120"/>
  <c r="AB45" i="120"/>
  <c r="AC45" i="120"/>
  <c r="AD45" i="120"/>
  <c r="AF45" i="120"/>
  <c r="AG45" i="120"/>
  <c r="AH45" i="120"/>
  <c r="AI45" i="120"/>
  <c r="AJ45" i="120"/>
  <c r="AK45" i="120"/>
  <c r="AL45" i="120"/>
  <c r="AM45" i="120"/>
  <c r="AN45" i="120"/>
  <c r="AO45" i="120"/>
  <c r="AP45" i="120"/>
  <c r="AQ45" i="120"/>
  <c r="AR45" i="120"/>
  <c r="AS45" i="120"/>
  <c r="A46" i="120"/>
  <c r="K46" i="120"/>
  <c r="L46" i="120"/>
  <c r="M46" i="120"/>
  <c r="N46" i="120"/>
  <c r="O46" i="120"/>
  <c r="Q46" i="120"/>
  <c r="S46" i="120"/>
  <c r="T46" i="120"/>
  <c r="U46" i="120"/>
  <c r="W46" i="120"/>
  <c r="AB46" i="120"/>
  <c r="AC46" i="120"/>
  <c r="AD46" i="120"/>
  <c r="AF46" i="120"/>
  <c r="AG46" i="120"/>
  <c r="AH46" i="120"/>
  <c r="AI46" i="120"/>
  <c r="AJ46" i="120"/>
  <c r="AK46" i="120"/>
  <c r="AL46" i="120"/>
  <c r="AM46" i="120"/>
  <c r="AN46" i="120"/>
  <c r="AO46" i="120"/>
  <c r="AP46" i="120"/>
  <c r="AQ46" i="120"/>
  <c r="AR46" i="120"/>
  <c r="AS46" i="120"/>
  <c r="A47" i="120"/>
  <c r="F47" i="120"/>
  <c r="G47" i="120"/>
  <c r="H47" i="120"/>
  <c r="I47" i="120"/>
  <c r="AU47" i="120"/>
  <c r="Q47" i="120" s="1"/>
  <c r="AV47" i="120"/>
  <c r="S47" i="120" s="1"/>
  <c r="AW47" i="120"/>
  <c r="N47" i="120" s="1"/>
  <c r="AX47" i="120"/>
  <c r="AY47" i="120"/>
  <c r="L47" i="120"/>
  <c r="BA47" i="120"/>
  <c r="BB47" i="120"/>
  <c r="T47" i="120" s="1"/>
  <c r="BC47" i="120"/>
  <c r="U47" i="120" s="1"/>
  <c r="BD47" i="120"/>
  <c r="M47" i="120" s="1"/>
  <c r="BE47" i="120"/>
  <c r="O47" i="120" s="1"/>
  <c r="BF47" i="120"/>
  <c r="K47" i="120" s="1"/>
  <c r="BH47" i="120"/>
  <c r="BI47" i="120"/>
  <c r="BJ47" i="120"/>
  <c r="BK47" i="120"/>
  <c r="BM47" i="120"/>
  <c r="Z47" i="120"/>
  <c r="BN47" i="120"/>
  <c r="BP47" i="120"/>
  <c r="AB47" i="120" s="1"/>
  <c r="BQ47" i="120"/>
  <c r="BR47" i="120"/>
  <c r="W47" i="120" s="1"/>
  <c r="BS47" i="120"/>
  <c r="BT47" i="120"/>
  <c r="BU47" i="120"/>
  <c r="AD47" i="120" s="1"/>
  <c r="BV47" i="120"/>
  <c r="AG47" i="120"/>
  <c r="BW47" i="120"/>
  <c r="AI47" i="120" s="1"/>
  <c r="BX47" i="120"/>
  <c r="AC47" i="120" s="1"/>
  <c r="BY47" i="120"/>
  <c r="AJ47" i="120" s="1"/>
  <c r="BZ47" i="120"/>
  <c r="AH47" i="120"/>
  <c r="CA47" i="120"/>
  <c r="AF47" i="120" s="1"/>
  <c r="CB47" i="120"/>
  <c r="AK47" i="120" s="1"/>
  <c r="CC47" i="120"/>
  <c r="AO47" i="120" s="1"/>
  <c r="CD47" i="120"/>
  <c r="AP47" i="120"/>
  <c r="CE47" i="120"/>
  <c r="AL47" i="120" s="1"/>
  <c r="CF47" i="120"/>
  <c r="AS47" i="120" s="1"/>
  <c r="CG47" i="120"/>
  <c r="CH47" i="120"/>
  <c r="AM47" i="120" s="1"/>
  <c r="CI47" i="120"/>
  <c r="AR47" i="120" s="1"/>
  <c r="CJ47" i="120"/>
  <c r="AN47" i="120" s="1"/>
  <c r="CK47" i="120"/>
  <c r="AQ47" i="120" s="1"/>
  <c r="CL47" i="120"/>
  <c r="A48" i="120"/>
  <c r="K48" i="120"/>
  <c r="L48" i="120"/>
  <c r="M48" i="120"/>
  <c r="N48" i="120"/>
  <c r="O48" i="120"/>
  <c r="P48" i="120"/>
  <c r="Q48" i="120"/>
  <c r="R48" i="120"/>
  <c r="S48" i="120"/>
  <c r="T48" i="120"/>
  <c r="U48" i="120"/>
  <c r="V48" i="120"/>
  <c r="W48" i="120"/>
  <c r="X48" i="120"/>
  <c r="Y48" i="120"/>
  <c r="Z48" i="120"/>
  <c r="AA48" i="120"/>
  <c r="AB48" i="120"/>
  <c r="AC48" i="120"/>
  <c r="AD48" i="120"/>
  <c r="AE48" i="120"/>
  <c r="AF48" i="120"/>
  <c r="AG48" i="120"/>
  <c r="AH48" i="120"/>
  <c r="AI48" i="120"/>
  <c r="AJ48" i="120"/>
  <c r="AK48" i="120"/>
  <c r="AL48" i="120"/>
  <c r="AM48" i="120"/>
  <c r="AN48" i="120"/>
  <c r="AO48" i="120"/>
  <c r="AP48" i="120"/>
  <c r="AQ48" i="120"/>
  <c r="AR48" i="120"/>
  <c r="AS48" i="120"/>
  <c r="A49" i="120"/>
  <c r="K49" i="120"/>
  <c r="L49" i="120"/>
  <c r="M49" i="120"/>
  <c r="N49" i="120"/>
  <c r="O49" i="120"/>
  <c r="P49" i="120"/>
  <c r="Q49" i="120"/>
  <c r="R49" i="120"/>
  <c r="S49" i="120"/>
  <c r="T49" i="120"/>
  <c r="U49" i="120"/>
  <c r="V49" i="120"/>
  <c r="W49" i="120"/>
  <c r="X49" i="120"/>
  <c r="Y49" i="120"/>
  <c r="Z49" i="120"/>
  <c r="AA49" i="120"/>
  <c r="AB49" i="120"/>
  <c r="AC49" i="120"/>
  <c r="AD49" i="120"/>
  <c r="AE49" i="120"/>
  <c r="AF49" i="120"/>
  <c r="AG49" i="120"/>
  <c r="AH49" i="120"/>
  <c r="AI49" i="120"/>
  <c r="AJ49" i="120"/>
  <c r="AK49" i="120"/>
  <c r="AL49" i="120"/>
  <c r="AM49" i="120"/>
  <c r="AN49" i="120"/>
  <c r="AO49" i="120"/>
  <c r="AP49" i="120"/>
  <c r="AQ49" i="120"/>
  <c r="AR49" i="120"/>
  <c r="AS49" i="120"/>
  <c r="A50" i="120"/>
  <c r="K50" i="120"/>
  <c r="L50" i="120"/>
  <c r="M50" i="120"/>
  <c r="N50" i="120"/>
  <c r="O50" i="120"/>
  <c r="Q50" i="120"/>
  <c r="R50" i="120"/>
  <c r="S50" i="120"/>
  <c r="T50" i="120"/>
  <c r="U50" i="120"/>
  <c r="W50" i="120"/>
  <c r="X50" i="120"/>
  <c r="Y50" i="120"/>
  <c r="Z50" i="120"/>
  <c r="AA50" i="120"/>
  <c r="AB50" i="120"/>
  <c r="AC50" i="120"/>
  <c r="AD50" i="120"/>
  <c r="AF50" i="120"/>
  <c r="AG50" i="120"/>
  <c r="AH50" i="120"/>
  <c r="AI50" i="120"/>
  <c r="AJ50" i="120"/>
  <c r="AK50" i="120"/>
  <c r="AL50" i="120"/>
  <c r="AM50" i="120"/>
  <c r="AN50" i="120"/>
  <c r="AO50" i="120"/>
  <c r="AP50" i="120"/>
  <c r="AQ50" i="120"/>
  <c r="AR50" i="120"/>
  <c r="A51" i="120"/>
  <c r="Q51" i="120"/>
  <c r="AT51" i="120"/>
  <c r="AU51" i="120"/>
  <c r="AV51" i="120"/>
  <c r="S51" i="120" s="1"/>
  <c r="AW51" i="120"/>
  <c r="N51" i="120" s="1"/>
  <c r="AX51" i="120"/>
  <c r="AY51" i="120"/>
  <c r="L51" i="120" s="1"/>
  <c r="AZ51" i="120"/>
  <c r="BA51" i="120"/>
  <c r="BB51" i="120"/>
  <c r="T51" i="120" s="1"/>
  <c r="BC51" i="120"/>
  <c r="U51" i="120" s="1"/>
  <c r="BD51" i="120"/>
  <c r="M51" i="120" s="1"/>
  <c r="BE51" i="120"/>
  <c r="O51" i="120" s="1"/>
  <c r="BF51" i="120"/>
  <c r="K51" i="120" s="1"/>
  <c r="BG51" i="120"/>
  <c r="BH51" i="120"/>
  <c r="BI51" i="120"/>
  <c r="BJ51" i="120"/>
  <c r="BK51" i="120"/>
  <c r="BL51" i="120"/>
  <c r="BM51" i="120"/>
  <c r="Z51" i="120" s="1"/>
  <c r="BN51" i="120"/>
  <c r="BO51" i="120"/>
  <c r="BP51" i="120"/>
  <c r="AB51" i="120" s="1"/>
  <c r="BQ51" i="120"/>
  <c r="BR51" i="120"/>
  <c r="W51" i="120" s="1"/>
  <c r="BS51" i="120"/>
  <c r="BT51" i="120"/>
  <c r="BU51" i="120"/>
  <c r="AD51" i="120" s="1"/>
  <c r="BV51" i="120"/>
  <c r="AG51" i="120"/>
  <c r="BW51" i="120"/>
  <c r="AI51" i="120" s="1"/>
  <c r="BX51" i="120"/>
  <c r="AC51" i="120"/>
  <c r="BY51" i="120"/>
  <c r="AJ51" i="120" s="1"/>
  <c r="BZ51" i="120"/>
  <c r="AH51" i="120"/>
  <c r="CA51" i="120"/>
  <c r="AF51" i="120" s="1"/>
  <c r="CB51" i="120"/>
  <c r="AK51" i="120" s="1"/>
  <c r="CC51" i="120"/>
  <c r="AO51" i="120" s="1"/>
  <c r="CD51" i="120"/>
  <c r="AP51" i="120" s="1"/>
  <c r="CE51" i="120"/>
  <c r="AL51" i="120" s="1"/>
  <c r="CF51" i="120"/>
  <c r="CG51" i="120"/>
  <c r="CH51" i="120"/>
  <c r="AM51" i="120" s="1"/>
  <c r="CI51" i="120"/>
  <c r="AR51" i="120" s="1"/>
  <c r="CJ51" i="120"/>
  <c r="AN51" i="120" s="1"/>
  <c r="CK51" i="120"/>
  <c r="AQ51" i="120" s="1"/>
  <c r="CL51" i="120"/>
  <c r="A52" i="120"/>
  <c r="A53" i="120"/>
  <c r="A54" i="120"/>
  <c r="F54" i="120"/>
  <c r="G54" i="120"/>
  <c r="H54" i="120"/>
  <c r="I54" i="120"/>
  <c r="Q54" i="120"/>
  <c r="AT54" i="120"/>
  <c r="AU54" i="120"/>
  <c r="AV54" i="120"/>
  <c r="S54" i="120"/>
  <c r="AW54" i="120"/>
  <c r="N54" i="120" s="1"/>
  <c r="AX54" i="120"/>
  <c r="AY54" i="120"/>
  <c r="L54" i="120" s="1"/>
  <c r="AZ54" i="120"/>
  <c r="BA54" i="120"/>
  <c r="BB54" i="120"/>
  <c r="T54" i="120" s="1"/>
  <c r="BC54" i="120"/>
  <c r="U54" i="120" s="1"/>
  <c r="BD54" i="120"/>
  <c r="M54" i="120" s="1"/>
  <c r="BE54" i="120"/>
  <c r="O54" i="120" s="1"/>
  <c r="BF54" i="120"/>
  <c r="K54" i="120" s="1"/>
  <c r="BG54" i="120"/>
  <c r="BH54" i="120"/>
  <c r="BI54" i="120"/>
  <c r="BJ54" i="120"/>
  <c r="BK54" i="120"/>
  <c r="BL54" i="120"/>
  <c r="BM54" i="120"/>
  <c r="Z54" i="120" s="1"/>
  <c r="BN54" i="120"/>
  <c r="BO54" i="120"/>
  <c r="BP54" i="120"/>
  <c r="AB54" i="120" s="1"/>
  <c r="BQ54" i="120"/>
  <c r="BR54" i="120"/>
  <c r="W54" i="120"/>
  <c r="BS54" i="120"/>
  <c r="BT54" i="120"/>
  <c r="BU54" i="120"/>
  <c r="AD54" i="120"/>
  <c r="BV54" i="120"/>
  <c r="AG54" i="120" s="1"/>
  <c r="BW54" i="120"/>
  <c r="AI54" i="120"/>
  <c r="BX54" i="120"/>
  <c r="AC54" i="120" s="1"/>
  <c r="BY54" i="120"/>
  <c r="AJ54" i="120"/>
  <c r="BZ54" i="120"/>
  <c r="AH54" i="120" s="1"/>
  <c r="CA54" i="120"/>
  <c r="AF54" i="120"/>
  <c r="CB54" i="120"/>
  <c r="AK54" i="120" s="1"/>
  <c r="CC54" i="120"/>
  <c r="AO54" i="120" s="1"/>
  <c r="CD54" i="120"/>
  <c r="AP54" i="120" s="1"/>
  <c r="CE54" i="120"/>
  <c r="AL54" i="120"/>
  <c r="CF54" i="120"/>
  <c r="CG54" i="120"/>
  <c r="CH54" i="120"/>
  <c r="AM54" i="120" s="1"/>
  <c r="CI54" i="120"/>
  <c r="AR54" i="120" s="1"/>
  <c r="CJ54" i="120"/>
  <c r="AN54" i="120" s="1"/>
  <c r="CK54" i="120"/>
  <c r="AQ54" i="120" s="1"/>
  <c r="CL54" i="120"/>
  <c r="A55" i="120"/>
  <c r="A56" i="120"/>
  <c r="K56" i="120"/>
  <c r="L56" i="120"/>
  <c r="M56" i="120"/>
  <c r="N56" i="120"/>
  <c r="O56" i="120"/>
  <c r="P56" i="120"/>
  <c r="Q56" i="120"/>
  <c r="R56" i="120"/>
  <c r="S56" i="120"/>
  <c r="T56" i="120"/>
  <c r="U56" i="120"/>
  <c r="V56" i="120"/>
  <c r="W56" i="120"/>
  <c r="X56" i="120"/>
  <c r="Y56" i="120"/>
  <c r="Z56" i="120"/>
  <c r="AA56" i="120"/>
  <c r="AB56" i="120"/>
  <c r="AC56" i="120"/>
  <c r="AD56" i="120"/>
  <c r="AE56" i="120"/>
  <c r="AF56" i="120"/>
  <c r="AG56" i="120"/>
  <c r="AH56" i="120"/>
  <c r="AI56" i="120"/>
  <c r="AJ56" i="120"/>
  <c r="AK56" i="120"/>
  <c r="AL56" i="120"/>
  <c r="AM56" i="120"/>
  <c r="AN56" i="120"/>
  <c r="AO56" i="120"/>
  <c r="AP56" i="120"/>
  <c r="AQ56" i="120"/>
  <c r="AR56" i="120"/>
  <c r="AS56" i="120"/>
  <c r="A57" i="120"/>
  <c r="K57" i="120"/>
  <c r="L57" i="120"/>
  <c r="M57" i="120"/>
  <c r="N57" i="120"/>
  <c r="O57" i="120"/>
  <c r="P57" i="120"/>
  <c r="Q57" i="120"/>
  <c r="R57" i="120"/>
  <c r="S57" i="120"/>
  <c r="T57" i="120"/>
  <c r="U57" i="120"/>
  <c r="V57" i="120"/>
  <c r="W57" i="120"/>
  <c r="X57" i="120"/>
  <c r="Y57" i="120"/>
  <c r="Z57" i="120"/>
  <c r="AA57" i="120"/>
  <c r="AB57" i="120"/>
  <c r="AC57" i="120"/>
  <c r="AD57" i="120"/>
  <c r="AE57" i="120"/>
  <c r="AF57" i="120"/>
  <c r="AG57" i="120"/>
  <c r="AH57" i="120"/>
  <c r="AI57" i="120"/>
  <c r="AJ57" i="120"/>
  <c r="AK57" i="120"/>
  <c r="AL57" i="120"/>
  <c r="AM57" i="120"/>
  <c r="AN57" i="120"/>
  <c r="AO57" i="120"/>
  <c r="AP57" i="120"/>
  <c r="AQ57" i="120"/>
  <c r="AR57" i="120"/>
  <c r="AS57" i="120"/>
  <c r="A58" i="120"/>
  <c r="K58" i="120"/>
  <c r="L58" i="120"/>
  <c r="M58" i="120"/>
  <c r="N58" i="120"/>
  <c r="O58" i="120"/>
  <c r="P58" i="120"/>
  <c r="Q58" i="120"/>
  <c r="R58" i="120"/>
  <c r="S58" i="120"/>
  <c r="T58" i="120"/>
  <c r="U58" i="120"/>
  <c r="V58" i="120"/>
  <c r="W58" i="120"/>
  <c r="X58" i="120"/>
  <c r="Y58" i="120"/>
  <c r="Z58" i="120"/>
  <c r="AA58" i="120"/>
  <c r="AB58" i="120"/>
  <c r="AC58" i="120"/>
  <c r="AD58" i="120"/>
  <c r="AE58" i="120"/>
  <c r="AF58" i="120"/>
  <c r="AG58" i="120"/>
  <c r="AH58" i="120"/>
  <c r="AI58" i="120"/>
  <c r="AJ58" i="120"/>
  <c r="AK58" i="120"/>
  <c r="AL58" i="120"/>
  <c r="AM58" i="120"/>
  <c r="AN58" i="120"/>
  <c r="AO58" i="120"/>
  <c r="AP58" i="120"/>
  <c r="AQ58" i="120"/>
  <c r="AR58" i="120"/>
  <c r="AS58" i="120"/>
  <c r="A59" i="120"/>
  <c r="K59" i="120"/>
  <c r="L59" i="120"/>
  <c r="M59" i="120"/>
  <c r="N59" i="120"/>
  <c r="O59" i="120"/>
  <c r="P59" i="120"/>
  <c r="Q59" i="120"/>
  <c r="R59" i="120"/>
  <c r="S59" i="120"/>
  <c r="T59" i="120"/>
  <c r="U59" i="120"/>
  <c r="V59" i="120"/>
  <c r="W59" i="120"/>
  <c r="X59" i="120"/>
  <c r="Y59" i="120"/>
  <c r="Z59" i="120"/>
  <c r="AA59" i="120"/>
  <c r="AB59" i="120"/>
  <c r="AC59" i="120"/>
  <c r="AD59" i="120"/>
  <c r="AE59" i="120"/>
  <c r="AF59" i="120"/>
  <c r="AG59" i="120"/>
  <c r="AH59" i="120"/>
  <c r="AI59" i="120"/>
  <c r="AJ59" i="120"/>
  <c r="AK59" i="120"/>
  <c r="AL59" i="120"/>
  <c r="AM59" i="120"/>
  <c r="AN59" i="120"/>
  <c r="AO59" i="120"/>
  <c r="AP59" i="120"/>
  <c r="AQ59" i="120"/>
  <c r="AR59" i="120"/>
  <c r="AS59" i="120"/>
  <c r="A60" i="120"/>
  <c r="K60" i="120"/>
  <c r="L60" i="120"/>
  <c r="M60" i="120"/>
  <c r="N60" i="120"/>
  <c r="O60" i="120"/>
  <c r="P60" i="120"/>
  <c r="Q60" i="120"/>
  <c r="R60" i="120"/>
  <c r="S60" i="120"/>
  <c r="T60" i="120"/>
  <c r="U60" i="120"/>
  <c r="V60" i="120"/>
  <c r="W60" i="120"/>
  <c r="X60" i="120"/>
  <c r="Y60" i="120"/>
  <c r="Z60" i="120"/>
  <c r="AA60" i="120"/>
  <c r="AB60" i="120"/>
  <c r="AC60" i="120"/>
  <c r="AD60" i="120"/>
  <c r="AE60" i="120"/>
  <c r="AF60" i="120"/>
  <c r="AG60" i="120"/>
  <c r="AH60" i="120"/>
  <c r="AI60" i="120"/>
  <c r="AJ60" i="120"/>
  <c r="AK60" i="120"/>
  <c r="AL60" i="120"/>
  <c r="AM60" i="120"/>
  <c r="AN60" i="120"/>
  <c r="AO60" i="120"/>
  <c r="AP60" i="120"/>
  <c r="AQ60" i="120"/>
  <c r="AR60" i="120"/>
  <c r="AS60" i="120"/>
  <c r="A61" i="120"/>
  <c r="K61" i="120"/>
  <c r="L61" i="120"/>
  <c r="M61" i="120"/>
  <c r="N61" i="120"/>
  <c r="O61" i="120"/>
  <c r="P61" i="120"/>
  <c r="Q61" i="120"/>
  <c r="R61" i="120"/>
  <c r="S61" i="120"/>
  <c r="T61" i="120"/>
  <c r="U61" i="120"/>
  <c r="V61" i="120"/>
  <c r="W61" i="120"/>
  <c r="X61" i="120"/>
  <c r="Y61" i="120"/>
  <c r="Z61" i="120"/>
  <c r="AA61" i="120"/>
  <c r="AB61" i="120"/>
  <c r="AC61" i="120"/>
  <c r="AD61" i="120"/>
  <c r="AE61" i="120"/>
  <c r="AF61" i="120"/>
  <c r="AG61" i="120"/>
  <c r="AH61" i="120"/>
  <c r="AI61" i="120"/>
  <c r="AJ61" i="120"/>
  <c r="AK61" i="120"/>
  <c r="AL61" i="120"/>
  <c r="AM61" i="120"/>
  <c r="AN61" i="120"/>
  <c r="AO61" i="120"/>
  <c r="AP61" i="120"/>
  <c r="AQ61" i="120"/>
  <c r="AR61" i="120"/>
  <c r="AS61" i="120"/>
  <c r="A62" i="120"/>
  <c r="K62" i="120"/>
  <c r="L62" i="120"/>
  <c r="M62" i="120"/>
  <c r="N62" i="120"/>
  <c r="O62" i="120"/>
  <c r="P62" i="120"/>
  <c r="Q62" i="120"/>
  <c r="R62" i="120"/>
  <c r="S62" i="120"/>
  <c r="T62" i="120"/>
  <c r="U62" i="120"/>
  <c r="V62" i="120"/>
  <c r="W62" i="120"/>
  <c r="X62" i="120"/>
  <c r="Y62" i="120"/>
  <c r="Z62" i="120"/>
  <c r="AA62" i="120"/>
  <c r="AB62" i="120"/>
  <c r="AC62" i="120"/>
  <c r="AD62" i="120"/>
  <c r="AE62" i="120"/>
  <c r="AF62" i="120"/>
  <c r="AG62" i="120"/>
  <c r="AH62" i="120"/>
  <c r="AI62" i="120"/>
  <c r="AJ62" i="120"/>
  <c r="AK62" i="120"/>
  <c r="AL62" i="120"/>
  <c r="AM62" i="120"/>
  <c r="AN62" i="120"/>
  <c r="AO62" i="120"/>
  <c r="AP62" i="120"/>
  <c r="AQ62" i="120"/>
  <c r="AR62" i="120"/>
  <c r="AS62" i="120"/>
  <c r="A63" i="120"/>
  <c r="K63" i="120"/>
  <c r="L63" i="120"/>
  <c r="M63" i="120"/>
  <c r="N63" i="120"/>
  <c r="O63" i="120"/>
  <c r="P63" i="120"/>
  <c r="Q63" i="120"/>
  <c r="R63" i="120"/>
  <c r="S63" i="120"/>
  <c r="T63" i="120"/>
  <c r="U63" i="120"/>
  <c r="V63" i="120"/>
  <c r="W63" i="120"/>
  <c r="X63" i="120"/>
  <c r="Y63" i="120"/>
  <c r="Z63" i="120"/>
  <c r="AA63" i="120"/>
  <c r="AB63" i="120"/>
  <c r="AC63" i="120"/>
  <c r="AD63" i="120"/>
  <c r="AE63" i="120"/>
  <c r="AF63" i="120"/>
  <c r="AG63" i="120"/>
  <c r="AH63" i="120"/>
  <c r="AI63" i="120"/>
  <c r="AJ63" i="120"/>
  <c r="AK63" i="120"/>
  <c r="AL63" i="120"/>
  <c r="AM63" i="120"/>
  <c r="AN63" i="120"/>
  <c r="AO63" i="120"/>
  <c r="AP63" i="120"/>
  <c r="AQ63" i="120"/>
  <c r="AR63" i="120"/>
  <c r="AS63" i="120"/>
  <c r="A64" i="120"/>
  <c r="A65" i="120"/>
  <c r="A66" i="120"/>
  <c r="A67" i="120"/>
  <c r="A68" i="120"/>
  <c r="A69" i="120"/>
  <c r="K69" i="120"/>
  <c r="K71" i="120" s="1"/>
  <c r="L69" i="120"/>
  <c r="L71" i="120" s="1"/>
  <c r="M69" i="120"/>
  <c r="M71" i="120" s="1"/>
  <c r="N69" i="120"/>
  <c r="O69" i="120"/>
  <c r="P69" i="120"/>
  <c r="Q69" i="120"/>
  <c r="R69" i="120"/>
  <c r="R71" i="120" s="1"/>
  <c r="S69" i="120"/>
  <c r="S71" i="120" s="1"/>
  <c r="T69" i="120"/>
  <c r="T71" i="120" s="1"/>
  <c r="U69" i="120"/>
  <c r="U71" i="120" s="1"/>
  <c r="V69" i="120"/>
  <c r="W69" i="120"/>
  <c r="X69" i="120"/>
  <c r="Y69" i="120"/>
  <c r="Z69" i="120"/>
  <c r="Z71" i="120" s="1"/>
  <c r="AA69" i="120"/>
  <c r="AA71" i="120" s="1"/>
  <c r="AB69" i="120"/>
  <c r="AB71" i="120" s="1"/>
  <c r="AC69" i="120"/>
  <c r="AC71" i="120" s="1"/>
  <c r="AD69" i="120"/>
  <c r="AE69" i="120"/>
  <c r="AF69" i="120"/>
  <c r="AG69" i="120"/>
  <c r="AH69" i="120"/>
  <c r="AH71" i="120" s="1"/>
  <c r="AI69" i="120"/>
  <c r="AI71" i="120" s="1"/>
  <c r="AJ69" i="120"/>
  <c r="AJ71" i="120" s="1"/>
  <c r="AK69" i="120"/>
  <c r="AK71" i="120" s="1"/>
  <c r="AL69" i="120"/>
  <c r="AM69" i="120"/>
  <c r="AN69" i="120"/>
  <c r="AO69" i="120"/>
  <c r="AP69" i="120"/>
  <c r="AP71" i="120" s="1"/>
  <c r="AQ69" i="120"/>
  <c r="AQ71" i="120" s="1"/>
  <c r="AR69" i="120"/>
  <c r="AR71" i="120" s="1"/>
  <c r="AS69" i="120"/>
  <c r="AS71" i="120" s="1"/>
  <c r="A70" i="120"/>
  <c r="K70" i="120"/>
  <c r="L70" i="120"/>
  <c r="M70" i="120"/>
  <c r="N70" i="120"/>
  <c r="O70" i="120"/>
  <c r="P70" i="120"/>
  <c r="Q70" i="120"/>
  <c r="R70" i="120"/>
  <c r="S70" i="120"/>
  <c r="T70" i="120"/>
  <c r="U70" i="120"/>
  <c r="V70" i="120"/>
  <c r="W70" i="120"/>
  <c r="X70" i="120"/>
  <c r="Y70" i="120"/>
  <c r="Z70" i="120"/>
  <c r="AA70" i="120"/>
  <c r="AB70" i="120"/>
  <c r="AC70" i="120"/>
  <c r="AD70" i="120"/>
  <c r="AE70" i="120"/>
  <c r="AF70" i="120"/>
  <c r="AG70" i="120"/>
  <c r="AH70" i="120"/>
  <c r="AI70" i="120"/>
  <c r="AJ70" i="120"/>
  <c r="AK70" i="120"/>
  <c r="AL70" i="120"/>
  <c r="AM70" i="120"/>
  <c r="AN70" i="120"/>
  <c r="AO70" i="120"/>
  <c r="AP70" i="120"/>
  <c r="AQ70" i="120"/>
  <c r="AR70" i="120"/>
  <c r="AS70" i="120"/>
  <c r="A71" i="120"/>
  <c r="F71" i="120"/>
  <c r="G71" i="120"/>
  <c r="H71" i="120"/>
  <c r="I71" i="120"/>
  <c r="N71" i="120"/>
  <c r="O71" i="120"/>
  <c r="P71" i="120"/>
  <c r="Q71" i="120"/>
  <c r="V71" i="120"/>
  <c r="W71" i="120"/>
  <c r="X71" i="120"/>
  <c r="Y71" i="120"/>
  <c r="AD71" i="120"/>
  <c r="AE71" i="120"/>
  <c r="AF71" i="120"/>
  <c r="AG71" i="120"/>
  <c r="AL71" i="120"/>
  <c r="AM71" i="120"/>
  <c r="AN71" i="120"/>
  <c r="AO71" i="120"/>
  <c r="AT71" i="120"/>
  <c r="AU71" i="120"/>
  <c r="AV71" i="120"/>
  <c r="AW71" i="120"/>
  <c r="AX71" i="120"/>
  <c r="AY71" i="120"/>
  <c r="AZ71" i="120"/>
  <c r="BA71" i="120"/>
  <c r="BB71" i="120"/>
  <c r="BC71" i="120"/>
  <c r="BD71" i="120"/>
  <c r="BE71" i="120"/>
  <c r="BF71" i="120"/>
  <c r="BG71" i="120"/>
  <c r="BH71" i="120"/>
  <c r="BI71" i="120"/>
  <c r="BJ71" i="120"/>
  <c r="BK71" i="120"/>
  <c r="BL71" i="120"/>
  <c r="BM71" i="120"/>
  <c r="BN71" i="120"/>
  <c r="BO71" i="120"/>
  <c r="BP71" i="120"/>
  <c r="BQ71" i="120"/>
  <c r="BR71" i="120"/>
  <c r="BS71" i="120"/>
  <c r="BT71" i="120"/>
  <c r="BU71" i="120"/>
  <c r="BV71" i="120"/>
  <c r="BW71" i="120"/>
  <c r="BX71" i="120"/>
  <c r="BY71" i="120"/>
  <c r="BZ71" i="120"/>
  <c r="CA71" i="120"/>
  <c r="CB71" i="120"/>
  <c r="CC71" i="120"/>
  <c r="CD71" i="120"/>
  <c r="CE71" i="120"/>
  <c r="CF71" i="120"/>
  <c r="CG71" i="120"/>
  <c r="CH71" i="120"/>
  <c r="CI71" i="120"/>
  <c r="CJ71" i="120"/>
  <c r="CK71" i="120"/>
  <c r="CL71" i="120"/>
  <c r="A72" i="120"/>
  <c r="A73" i="120"/>
  <c r="K73" i="120"/>
  <c r="L73" i="120"/>
  <c r="M73" i="120"/>
  <c r="N73" i="120"/>
  <c r="O73" i="120"/>
  <c r="P73" i="120"/>
  <c r="Q73" i="120"/>
  <c r="R73" i="120"/>
  <c r="S73" i="120"/>
  <c r="T73" i="120"/>
  <c r="U73" i="120"/>
  <c r="V73" i="120"/>
  <c r="W73" i="120"/>
  <c r="X73" i="120"/>
  <c r="Y73" i="120"/>
  <c r="Z73" i="120"/>
  <c r="AA73" i="120"/>
  <c r="AB73" i="120"/>
  <c r="AC73" i="120"/>
  <c r="AD73" i="120"/>
  <c r="AE73" i="120"/>
  <c r="AF73" i="120"/>
  <c r="AG73" i="120"/>
  <c r="AH73" i="120"/>
  <c r="AI73" i="120"/>
  <c r="AJ73" i="120"/>
  <c r="AK73" i="120"/>
  <c r="AL73" i="120"/>
  <c r="AM73" i="120"/>
  <c r="AN73" i="120"/>
  <c r="AO73" i="120"/>
  <c r="AP73" i="120"/>
  <c r="AQ73" i="120"/>
  <c r="AR73" i="120"/>
  <c r="AS73" i="120"/>
  <c r="A74" i="120"/>
  <c r="K74" i="120"/>
  <c r="L74" i="120"/>
  <c r="M74" i="120"/>
  <c r="N74" i="120"/>
  <c r="O74" i="120"/>
  <c r="P74" i="120"/>
  <c r="Q74" i="120"/>
  <c r="R74" i="120"/>
  <c r="S74" i="120"/>
  <c r="T74" i="120"/>
  <c r="U74" i="120"/>
  <c r="V74" i="120"/>
  <c r="W74" i="120"/>
  <c r="X74" i="120"/>
  <c r="Y74" i="120"/>
  <c r="Z74" i="120"/>
  <c r="AA74" i="120"/>
  <c r="AB74" i="120"/>
  <c r="AC74" i="120"/>
  <c r="AD74" i="120"/>
  <c r="AE74" i="120"/>
  <c r="AF74" i="120"/>
  <c r="AG74" i="120"/>
  <c r="AH74" i="120"/>
  <c r="AI74" i="120"/>
  <c r="AJ74" i="120"/>
  <c r="AK74" i="120"/>
  <c r="AL74" i="120"/>
  <c r="AM74" i="120"/>
  <c r="AN74" i="120"/>
  <c r="AO74" i="120"/>
  <c r="AP74" i="120"/>
  <c r="AQ74" i="120"/>
  <c r="AR74" i="120"/>
  <c r="AS74" i="120"/>
  <c r="A75" i="120"/>
  <c r="K75" i="120"/>
  <c r="L75" i="120"/>
  <c r="M75" i="120"/>
  <c r="N75" i="120"/>
  <c r="O75" i="120"/>
  <c r="P75" i="120"/>
  <c r="Q75" i="120"/>
  <c r="R75" i="120"/>
  <c r="S75" i="120"/>
  <c r="T75" i="120"/>
  <c r="U75" i="120"/>
  <c r="V75" i="120"/>
  <c r="W75" i="120"/>
  <c r="X75" i="120"/>
  <c r="Y75" i="120"/>
  <c r="Z75" i="120"/>
  <c r="AA75" i="120"/>
  <c r="AB75" i="120"/>
  <c r="AC75" i="120"/>
  <c r="AD75" i="120"/>
  <c r="AE75" i="120"/>
  <c r="AF75" i="120"/>
  <c r="AG75" i="120"/>
  <c r="AH75" i="120"/>
  <c r="AI75" i="120"/>
  <c r="AJ75" i="120"/>
  <c r="AK75" i="120"/>
  <c r="AL75" i="120"/>
  <c r="AM75" i="120"/>
  <c r="AN75" i="120"/>
  <c r="AO75" i="120"/>
  <c r="AP75" i="120"/>
  <c r="AQ75" i="120"/>
  <c r="AR75" i="120"/>
  <c r="AS75" i="120"/>
  <c r="A76" i="120"/>
  <c r="K76" i="120"/>
  <c r="L76" i="120"/>
  <c r="M76" i="120"/>
  <c r="N76" i="120"/>
  <c r="O76" i="120"/>
  <c r="P76" i="120"/>
  <c r="Q76" i="120"/>
  <c r="R76" i="120"/>
  <c r="S76" i="120"/>
  <c r="T76" i="120"/>
  <c r="U76" i="120"/>
  <c r="V76" i="120"/>
  <c r="W76" i="120"/>
  <c r="X76" i="120"/>
  <c r="Y76" i="120"/>
  <c r="Z76" i="120"/>
  <c r="AA76" i="120"/>
  <c r="AB76" i="120"/>
  <c r="AC76" i="120"/>
  <c r="AD76" i="120"/>
  <c r="AE76" i="120"/>
  <c r="AF76" i="120"/>
  <c r="AG76" i="120"/>
  <c r="AH76" i="120"/>
  <c r="AI76" i="120"/>
  <c r="AJ76" i="120"/>
  <c r="AK76" i="120"/>
  <c r="AL76" i="120"/>
  <c r="AM76" i="120"/>
  <c r="AN76" i="120"/>
  <c r="AO76" i="120"/>
  <c r="AP76" i="120"/>
  <c r="AQ76" i="120"/>
  <c r="AR76" i="120"/>
  <c r="AS76" i="120"/>
  <c r="A77" i="120"/>
  <c r="K77" i="120"/>
  <c r="L77" i="120"/>
  <c r="M77" i="120"/>
  <c r="N77" i="120"/>
  <c r="O77" i="120"/>
  <c r="P77" i="120"/>
  <c r="Q77" i="120"/>
  <c r="R77" i="120"/>
  <c r="S77" i="120"/>
  <c r="T77" i="120"/>
  <c r="U77" i="120"/>
  <c r="V77" i="120"/>
  <c r="W77" i="120"/>
  <c r="X77" i="120"/>
  <c r="Y77" i="120"/>
  <c r="Z77" i="120"/>
  <c r="AA77" i="120"/>
  <c r="AB77" i="120"/>
  <c r="AC77" i="120"/>
  <c r="AD77" i="120"/>
  <c r="AE77" i="120"/>
  <c r="AF77" i="120"/>
  <c r="AG77" i="120"/>
  <c r="AH77" i="120"/>
  <c r="AI77" i="120"/>
  <c r="AJ77" i="120"/>
  <c r="AK77" i="120"/>
  <c r="AL77" i="120"/>
  <c r="AM77" i="120"/>
  <c r="AN77" i="120"/>
  <c r="AO77" i="120"/>
  <c r="AP77" i="120"/>
  <c r="AQ77" i="120"/>
  <c r="AR77" i="120"/>
  <c r="AS77" i="120"/>
  <c r="A78" i="120"/>
  <c r="K78" i="120"/>
  <c r="L78" i="120"/>
  <c r="M78" i="120"/>
  <c r="N78" i="120"/>
  <c r="O78" i="120"/>
  <c r="P78" i="120"/>
  <c r="Q78" i="120"/>
  <c r="R78" i="120"/>
  <c r="S78" i="120"/>
  <c r="T78" i="120"/>
  <c r="U78" i="120"/>
  <c r="V78" i="120"/>
  <c r="W78" i="120"/>
  <c r="X78" i="120"/>
  <c r="Y78" i="120"/>
  <c r="Z78" i="120"/>
  <c r="AA78" i="120"/>
  <c r="AB78" i="120"/>
  <c r="AC78" i="120"/>
  <c r="AD78" i="120"/>
  <c r="AE78" i="120"/>
  <c r="AF78" i="120"/>
  <c r="AG78" i="120"/>
  <c r="AH78" i="120"/>
  <c r="AI78" i="120"/>
  <c r="AJ78" i="120"/>
  <c r="AK78" i="120"/>
  <c r="AL78" i="120"/>
  <c r="AM78" i="120"/>
  <c r="AN78" i="120"/>
  <c r="AO78" i="120"/>
  <c r="AP78" i="120"/>
  <c r="AQ78" i="120"/>
  <c r="AR78" i="120"/>
  <c r="AS78" i="120"/>
  <c r="A79" i="120"/>
  <c r="A80" i="120"/>
  <c r="F80" i="120"/>
  <c r="G80" i="120"/>
  <c r="I80" i="120"/>
  <c r="K80" i="120"/>
  <c r="K84" i="120" s="1"/>
  <c r="L80" i="120"/>
  <c r="L84" i="120" s="1"/>
  <c r="M80" i="120"/>
  <c r="M84" i="120" s="1"/>
  <c r="N80" i="120"/>
  <c r="N84" i="120" s="1"/>
  <c r="O80" i="120"/>
  <c r="O84" i="120" s="1"/>
  <c r="P80" i="120"/>
  <c r="P84" i="120" s="1"/>
  <c r="Q80" i="120"/>
  <c r="Q84" i="120" s="1"/>
  <c r="R80" i="120"/>
  <c r="R84" i="120" s="1"/>
  <c r="S80" i="120"/>
  <c r="S84" i="120" s="1"/>
  <c r="T80" i="120"/>
  <c r="T84" i="120" s="1"/>
  <c r="U80" i="120"/>
  <c r="U84" i="120" s="1"/>
  <c r="V80" i="120"/>
  <c r="V84" i="120" s="1"/>
  <c r="W80" i="120"/>
  <c r="W84" i="120" s="1"/>
  <c r="X80" i="120"/>
  <c r="X84" i="120" s="1"/>
  <c r="Y80" i="120"/>
  <c r="Y84" i="120" s="1"/>
  <c r="Z80" i="120"/>
  <c r="Z84" i="120" s="1"/>
  <c r="AA80" i="120"/>
  <c r="AA84" i="120" s="1"/>
  <c r="AB80" i="120"/>
  <c r="AB84" i="120" s="1"/>
  <c r="AC80" i="120"/>
  <c r="AC84" i="120" s="1"/>
  <c r="AD80" i="120"/>
  <c r="AD84" i="120" s="1"/>
  <c r="AF80" i="120"/>
  <c r="AF84" i="120" s="1"/>
  <c r="AG80" i="120"/>
  <c r="AG84" i="120" s="1"/>
  <c r="AH80" i="120"/>
  <c r="AH84" i="120" s="1"/>
  <c r="AI80" i="120"/>
  <c r="AI84" i="120" s="1"/>
  <c r="AJ80" i="120"/>
  <c r="AJ84" i="120" s="1"/>
  <c r="AK80" i="120"/>
  <c r="AK84" i="120" s="1"/>
  <c r="AL80" i="120"/>
  <c r="AL84" i="120" s="1"/>
  <c r="AM80" i="120"/>
  <c r="AM84" i="120" s="1"/>
  <c r="AN80" i="120"/>
  <c r="AN84" i="120" s="1"/>
  <c r="AO80" i="120"/>
  <c r="AO84" i="120" s="1"/>
  <c r="AP80" i="120"/>
  <c r="AP84" i="120" s="1"/>
  <c r="AQ80" i="120"/>
  <c r="AQ84" i="120" s="1"/>
  <c r="AR80" i="120"/>
  <c r="AR84" i="120" s="1"/>
  <c r="AS80" i="120"/>
  <c r="AS84" i="120" s="1"/>
  <c r="BT80" i="120"/>
  <c r="H80" i="120" s="1"/>
  <c r="A81" i="120"/>
  <c r="A82" i="120"/>
  <c r="A83" i="120"/>
  <c r="A84" i="120"/>
  <c r="A85" i="120"/>
  <c r="A86" i="120"/>
  <c r="A87" i="120"/>
  <c r="K87" i="120"/>
  <c r="L87" i="120"/>
  <c r="M87" i="120"/>
  <c r="N87" i="120"/>
  <c r="O87" i="120"/>
  <c r="P87" i="120"/>
  <c r="Q87" i="120"/>
  <c r="R87" i="120"/>
  <c r="S87" i="120"/>
  <c r="T87" i="120"/>
  <c r="U87" i="120"/>
  <c r="V87" i="120"/>
  <c r="W87" i="120"/>
  <c r="X87" i="120"/>
  <c r="Y87" i="120"/>
  <c r="Z87" i="120"/>
  <c r="AA87" i="120"/>
  <c r="AB87" i="120"/>
  <c r="AC87" i="120"/>
  <c r="AD87" i="120"/>
  <c r="AF87" i="120"/>
  <c r="AG87" i="120"/>
  <c r="AH87" i="120"/>
  <c r="AI87" i="120"/>
  <c r="AJ87" i="120"/>
  <c r="AK87" i="120"/>
  <c r="AL87" i="120"/>
  <c r="AM87" i="120"/>
  <c r="AN87" i="120"/>
  <c r="AO87" i="120"/>
  <c r="AP87" i="120"/>
  <c r="AQ87" i="120"/>
  <c r="AR87" i="120"/>
  <c r="AS87" i="120"/>
  <c r="A88" i="120"/>
  <c r="A89" i="120"/>
  <c r="K89" i="120"/>
  <c r="L89" i="120"/>
  <c r="M89" i="120"/>
  <c r="N89" i="120"/>
  <c r="O89" i="120"/>
  <c r="P89" i="120"/>
  <c r="Q89" i="120"/>
  <c r="R89" i="120"/>
  <c r="S89" i="120"/>
  <c r="T89" i="120"/>
  <c r="U89" i="120"/>
  <c r="V89" i="120"/>
  <c r="W89" i="120"/>
  <c r="X89" i="120"/>
  <c r="Y89" i="120"/>
  <c r="Z89" i="120"/>
  <c r="AA89" i="120"/>
  <c r="AB89" i="120"/>
  <c r="AC89" i="120"/>
  <c r="AD89" i="120"/>
  <c r="AE89" i="120"/>
  <c r="AF89" i="120"/>
  <c r="AG89" i="120"/>
  <c r="AH89" i="120"/>
  <c r="AI89" i="120"/>
  <c r="AJ89" i="120"/>
  <c r="AK89" i="120"/>
  <c r="AL89" i="120"/>
  <c r="AM89" i="120"/>
  <c r="AN89" i="120"/>
  <c r="AO89" i="120"/>
  <c r="AP89" i="120"/>
  <c r="AQ89" i="120"/>
  <c r="AR89" i="120"/>
  <c r="AS89" i="120"/>
  <c r="A90" i="120"/>
  <c r="K90" i="120"/>
  <c r="L90" i="120"/>
  <c r="M90" i="120"/>
  <c r="N90" i="120"/>
  <c r="O90" i="120"/>
  <c r="P90" i="120"/>
  <c r="Q90" i="120"/>
  <c r="R90" i="120"/>
  <c r="S90" i="120"/>
  <c r="T90" i="120"/>
  <c r="U90" i="120"/>
  <c r="V90" i="120"/>
  <c r="W90" i="120"/>
  <c r="X90" i="120"/>
  <c r="Y90" i="120"/>
  <c r="Z90" i="120"/>
  <c r="AA90" i="120"/>
  <c r="AB90" i="120"/>
  <c r="AC90" i="120"/>
  <c r="AD90" i="120"/>
  <c r="AE90" i="120"/>
  <c r="AF90" i="120"/>
  <c r="AG90" i="120"/>
  <c r="AH90" i="120"/>
  <c r="AI90" i="120"/>
  <c r="AJ90" i="120"/>
  <c r="AK90" i="120"/>
  <c r="AL90" i="120"/>
  <c r="AM90" i="120"/>
  <c r="AN90" i="120"/>
  <c r="AO90" i="120"/>
  <c r="AP90" i="120"/>
  <c r="AQ90" i="120"/>
  <c r="AR90" i="120"/>
  <c r="AS90" i="120"/>
  <c r="A91" i="120"/>
  <c r="K91" i="120"/>
  <c r="L91" i="120"/>
  <c r="M91" i="120"/>
  <c r="N91" i="120"/>
  <c r="O91" i="120"/>
  <c r="P91" i="120"/>
  <c r="Q91" i="120"/>
  <c r="R91" i="120"/>
  <c r="S91" i="120"/>
  <c r="T91" i="120"/>
  <c r="U91" i="120"/>
  <c r="V91" i="120"/>
  <c r="W91" i="120"/>
  <c r="X91" i="120"/>
  <c r="Y91" i="120"/>
  <c r="Z91" i="120"/>
  <c r="AA91" i="120"/>
  <c r="AB91" i="120"/>
  <c r="AC91" i="120"/>
  <c r="AD91" i="120"/>
  <c r="AE91" i="120"/>
  <c r="AF91" i="120"/>
  <c r="AG91" i="120"/>
  <c r="AH91" i="120"/>
  <c r="AI91" i="120"/>
  <c r="AJ91" i="120"/>
  <c r="AK91" i="120"/>
  <c r="AL91" i="120"/>
  <c r="AM91" i="120"/>
  <c r="AN91" i="120"/>
  <c r="AO91" i="120"/>
  <c r="AP91" i="120"/>
  <c r="AQ91" i="120"/>
  <c r="AR91" i="120"/>
  <c r="AS91" i="120"/>
  <c r="A92" i="120"/>
  <c r="K92" i="120"/>
  <c r="L92" i="120"/>
  <c r="M92" i="120"/>
  <c r="N92" i="120"/>
  <c r="O92" i="120"/>
  <c r="P92" i="120"/>
  <c r="Q92" i="120"/>
  <c r="R92" i="120"/>
  <c r="S92" i="120"/>
  <c r="T92" i="120"/>
  <c r="U92" i="120"/>
  <c r="V92" i="120"/>
  <c r="W92" i="120"/>
  <c r="X92" i="120"/>
  <c r="Y92" i="120"/>
  <c r="Z92" i="120"/>
  <c r="AA92" i="120"/>
  <c r="AB92" i="120"/>
  <c r="AC92" i="120"/>
  <c r="AD92" i="120"/>
  <c r="AE92" i="120"/>
  <c r="AF92" i="120"/>
  <c r="AG92" i="120"/>
  <c r="AH92" i="120"/>
  <c r="AI92" i="120"/>
  <c r="AJ92" i="120"/>
  <c r="AK92" i="120"/>
  <c r="AL92" i="120"/>
  <c r="AM92" i="120"/>
  <c r="AN92" i="120"/>
  <c r="AO92" i="120"/>
  <c r="AP92" i="120"/>
  <c r="AQ92" i="120"/>
  <c r="AR92" i="120"/>
  <c r="AS92" i="120"/>
  <c r="A93" i="120"/>
  <c r="K93" i="120"/>
  <c r="L93" i="120"/>
  <c r="M93" i="120"/>
  <c r="N93" i="120"/>
  <c r="O93" i="120"/>
  <c r="Q93" i="120"/>
  <c r="R93" i="120"/>
  <c r="S93" i="120"/>
  <c r="T93" i="120"/>
  <c r="U93" i="120"/>
  <c r="W93" i="120"/>
  <c r="X93" i="120"/>
  <c r="Y93" i="120"/>
  <c r="Z93" i="120"/>
  <c r="AA93" i="120"/>
  <c r="AB93" i="120"/>
  <c r="AC93" i="120"/>
  <c r="AD93" i="120"/>
  <c r="AE93" i="120"/>
  <c r="AF93" i="120"/>
  <c r="AG93" i="120"/>
  <c r="AH93" i="120"/>
  <c r="AI93" i="120"/>
  <c r="AJ93" i="120"/>
  <c r="AK93" i="120"/>
  <c r="AL93" i="120"/>
  <c r="AM93" i="120"/>
  <c r="AN93" i="120"/>
  <c r="AO93" i="120"/>
  <c r="AP93" i="120"/>
  <c r="AQ93" i="120"/>
  <c r="AR93" i="120"/>
  <c r="AS93" i="120"/>
  <c r="A94" i="120"/>
  <c r="A95" i="120"/>
  <c r="F95" i="120"/>
  <c r="F51" i="120" s="1"/>
  <c r="G95" i="120"/>
  <c r="G51" i="120" s="1"/>
  <c r="H95" i="120"/>
  <c r="H51" i="120" s="1"/>
  <c r="I95" i="120"/>
  <c r="I51" i="120" s="1"/>
  <c r="K95" i="120"/>
  <c r="L95" i="120"/>
  <c r="M95" i="120"/>
  <c r="N95" i="120"/>
  <c r="O95" i="120"/>
  <c r="P95" i="120"/>
  <c r="P51" i="120"/>
  <c r="Q95" i="120"/>
  <c r="R95" i="120"/>
  <c r="R51" i="120" s="1"/>
  <c r="S95" i="120"/>
  <c r="T95" i="120"/>
  <c r="U95" i="120"/>
  <c r="V95" i="120"/>
  <c r="W95" i="120"/>
  <c r="X95" i="120"/>
  <c r="X51" i="120" s="1"/>
  <c r="Y95" i="120"/>
  <c r="Y51" i="120" s="1"/>
  <c r="Z95" i="120"/>
  <c r="AA95" i="120"/>
  <c r="AA51" i="120"/>
  <c r="AB95" i="120"/>
  <c r="AC95" i="120"/>
  <c r="AD95" i="120"/>
  <c r="AE95" i="120"/>
  <c r="AE51" i="120" s="1"/>
  <c r="AF95" i="120"/>
  <c r="AG95" i="120"/>
  <c r="AH95" i="120"/>
  <c r="AI95" i="120"/>
  <c r="AJ95" i="120"/>
  <c r="AK95" i="120"/>
  <c r="AL95" i="120"/>
  <c r="AM95" i="120"/>
  <c r="AN95" i="120"/>
  <c r="AO95" i="120"/>
  <c r="AP95" i="120"/>
  <c r="AQ95" i="120"/>
  <c r="AR95" i="120"/>
  <c r="AS95" i="120"/>
  <c r="AS51" i="120"/>
  <c r="A96" i="120"/>
  <c r="F96" i="120"/>
  <c r="G96" i="120"/>
  <c r="H96" i="120"/>
  <c r="I96" i="120"/>
  <c r="K96" i="120"/>
  <c r="L96" i="120"/>
  <c r="M96" i="120"/>
  <c r="N96" i="120"/>
  <c r="O96" i="120"/>
  <c r="P96" i="120"/>
  <c r="Q96" i="120"/>
  <c r="R96" i="120"/>
  <c r="S96" i="120"/>
  <c r="T96" i="120"/>
  <c r="U96" i="120"/>
  <c r="V96" i="120"/>
  <c r="W96" i="120"/>
  <c r="X96" i="120"/>
  <c r="Y96" i="120"/>
  <c r="Z96" i="120"/>
  <c r="AA96" i="120"/>
  <c r="AB96" i="120"/>
  <c r="AC96" i="120"/>
  <c r="AD96" i="120"/>
  <c r="AE96" i="120"/>
  <c r="AF96" i="120"/>
  <c r="AG96" i="120"/>
  <c r="AH96" i="120"/>
  <c r="AI96" i="120"/>
  <c r="AJ96" i="120"/>
  <c r="AK96" i="120"/>
  <c r="AL96" i="120"/>
  <c r="AM96" i="120"/>
  <c r="AN96" i="120"/>
  <c r="AO96" i="120"/>
  <c r="AP96" i="120"/>
  <c r="AQ96" i="120"/>
  <c r="AR96" i="120"/>
  <c r="AS96" i="120"/>
  <c r="A97" i="120"/>
  <c r="K97" i="120"/>
  <c r="L97" i="120"/>
  <c r="M97" i="120"/>
  <c r="N97" i="120"/>
  <c r="O97" i="120"/>
  <c r="P97" i="120"/>
  <c r="P54" i="120"/>
  <c r="Q97" i="120"/>
  <c r="R97" i="120"/>
  <c r="R54" i="120" s="1"/>
  <c r="S97" i="120"/>
  <c r="T97" i="120"/>
  <c r="U97" i="120"/>
  <c r="V97" i="120"/>
  <c r="W97" i="120"/>
  <c r="X97" i="120"/>
  <c r="X54" i="120" s="1"/>
  <c r="Y97" i="120"/>
  <c r="Y54" i="120" s="1"/>
  <c r="Z97" i="120"/>
  <c r="AA97" i="120"/>
  <c r="AB97" i="120"/>
  <c r="AC97" i="120"/>
  <c r="AD97" i="120"/>
  <c r="AE97" i="120"/>
  <c r="AE54" i="120" s="1"/>
  <c r="AF97" i="120"/>
  <c r="AG97" i="120"/>
  <c r="AH97" i="120"/>
  <c r="AI97" i="120"/>
  <c r="AJ97" i="120"/>
  <c r="AK97" i="120"/>
  <c r="AL97" i="120"/>
  <c r="AM97" i="120"/>
  <c r="AN97" i="120"/>
  <c r="AO97" i="120"/>
  <c r="AP97" i="120"/>
  <c r="AQ97" i="120"/>
  <c r="AR97" i="120"/>
  <c r="AS97" i="120"/>
  <c r="A98" i="120"/>
  <c r="C98" i="120"/>
  <c r="K98" i="120"/>
  <c r="L98" i="120"/>
  <c r="M98" i="120"/>
  <c r="N98" i="120"/>
  <c r="O98" i="120"/>
  <c r="P98" i="120"/>
  <c r="Q98" i="120"/>
  <c r="R98" i="120"/>
  <c r="S98" i="120"/>
  <c r="T98" i="120"/>
  <c r="U98" i="120"/>
  <c r="V98" i="120"/>
  <c r="W98" i="120"/>
  <c r="X98" i="120"/>
  <c r="Y98" i="120"/>
  <c r="Z98" i="120"/>
  <c r="AA98" i="120"/>
  <c r="AB98" i="120"/>
  <c r="AC98" i="120"/>
  <c r="AD98" i="120"/>
  <c r="AE98" i="120"/>
  <c r="AF98" i="120"/>
  <c r="AG98" i="120"/>
  <c r="AH98" i="120"/>
  <c r="AI98" i="120"/>
  <c r="AJ98" i="120"/>
  <c r="AK98" i="120"/>
  <c r="AL98" i="120"/>
  <c r="AM98" i="120"/>
  <c r="AN98" i="120"/>
  <c r="AO98" i="120"/>
  <c r="AP98" i="120"/>
  <c r="AQ98" i="120"/>
  <c r="AR98" i="120"/>
  <c r="AS98" i="120"/>
  <c r="A99" i="120"/>
  <c r="A100" i="120"/>
  <c r="C100" i="120"/>
  <c r="K100" i="120"/>
  <c r="L100" i="120"/>
  <c r="M100" i="120"/>
  <c r="N100" i="120"/>
  <c r="O100" i="120"/>
  <c r="P100" i="120"/>
  <c r="Q100" i="120"/>
  <c r="R100" i="120"/>
  <c r="S100" i="120"/>
  <c r="T100" i="120"/>
  <c r="U100" i="120"/>
  <c r="V100" i="120"/>
  <c r="W100" i="120"/>
  <c r="X100" i="120"/>
  <c r="Y100" i="120"/>
  <c r="Z100" i="120"/>
  <c r="AA100" i="120"/>
  <c r="AB100" i="120"/>
  <c r="AC100" i="120"/>
  <c r="AD100" i="120"/>
  <c r="AE100" i="120"/>
  <c r="AF100" i="120"/>
  <c r="AG100" i="120"/>
  <c r="AH100" i="120"/>
  <c r="AI100" i="120"/>
  <c r="AJ100" i="120"/>
  <c r="AK100" i="120"/>
  <c r="AL100" i="120"/>
  <c r="AM100" i="120"/>
  <c r="AN100" i="120"/>
  <c r="AO100" i="120"/>
  <c r="AP100" i="120"/>
  <c r="AQ100" i="120"/>
  <c r="AR100" i="120"/>
  <c r="AS100" i="120"/>
  <c r="A101" i="120"/>
  <c r="A102" i="120"/>
  <c r="A103" i="120"/>
  <c r="K103" i="120"/>
  <c r="L103" i="120"/>
  <c r="M103" i="120"/>
  <c r="N103" i="120"/>
  <c r="O103" i="120"/>
  <c r="P103" i="120"/>
  <c r="Q103" i="120"/>
  <c r="R103" i="120"/>
  <c r="S103" i="120"/>
  <c r="T103" i="120"/>
  <c r="U103" i="120"/>
  <c r="V103" i="120"/>
  <c r="W103" i="120"/>
  <c r="X103" i="120"/>
  <c r="Y103" i="120"/>
  <c r="Z103" i="120"/>
  <c r="AA103" i="120"/>
  <c r="AB103" i="120"/>
  <c r="AC103" i="120"/>
  <c r="AD103" i="120"/>
  <c r="AE103" i="120"/>
  <c r="AF103" i="120"/>
  <c r="AG103" i="120"/>
  <c r="AH103" i="120"/>
  <c r="AI103" i="120"/>
  <c r="AJ103" i="120"/>
  <c r="AK103" i="120"/>
  <c r="AL103" i="120"/>
  <c r="AM103" i="120"/>
  <c r="AN103" i="120"/>
  <c r="AO103" i="120"/>
  <c r="AP103" i="120"/>
  <c r="AQ103" i="120"/>
  <c r="AR103" i="120"/>
  <c r="AS103" i="120"/>
  <c r="A104" i="120"/>
  <c r="K104" i="120"/>
  <c r="L104" i="120"/>
  <c r="M104" i="120"/>
  <c r="N104" i="120"/>
  <c r="O104" i="120"/>
  <c r="P104" i="120"/>
  <c r="Q104" i="120"/>
  <c r="R104" i="120"/>
  <c r="S104" i="120"/>
  <c r="T104" i="120"/>
  <c r="U104" i="120"/>
  <c r="V104" i="120"/>
  <c r="W104" i="120"/>
  <c r="X104" i="120"/>
  <c r="Y104" i="120"/>
  <c r="Z104" i="120"/>
  <c r="AA104" i="120"/>
  <c r="AB104" i="120"/>
  <c r="AC104" i="120"/>
  <c r="AD104" i="120"/>
  <c r="AE104" i="120"/>
  <c r="AF104" i="120"/>
  <c r="AG104" i="120"/>
  <c r="AH104" i="120"/>
  <c r="AI104" i="120"/>
  <c r="AJ104" i="120"/>
  <c r="AK104" i="120"/>
  <c r="AL104" i="120"/>
  <c r="AM104" i="120"/>
  <c r="AN104" i="120"/>
  <c r="AO104" i="120"/>
  <c r="AP104" i="120"/>
  <c r="AQ104" i="120"/>
  <c r="AR104" i="120"/>
  <c r="AS104" i="120"/>
  <c r="A105" i="120"/>
  <c r="K105" i="120"/>
  <c r="L105" i="120"/>
  <c r="M105" i="120"/>
  <c r="N105" i="120"/>
  <c r="O105" i="120"/>
  <c r="P105" i="120"/>
  <c r="Q105" i="120"/>
  <c r="R105" i="120"/>
  <c r="S105" i="120"/>
  <c r="T105" i="120"/>
  <c r="U105" i="120"/>
  <c r="V105" i="120"/>
  <c r="W105" i="120"/>
  <c r="X105" i="120"/>
  <c r="Y105" i="120"/>
  <c r="Z105" i="120"/>
  <c r="AA105" i="120"/>
  <c r="AB105" i="120"/>
  <c r="AC105" i="120"/>
  <c r="AD105" i="120"/>
  <c r="AE105" i="120"/>
  <c r="AF105" i="120"/>
  <c r="AG105" i="120"/>
  <c r="AH105" i="120"/>
  <c r="AI105" i="120"/>
  <c r="AJ105" i="120"/>
  <c r="AK105" i="120"/>
  <c r="AL105" i="120"/>
  <c r="AM105" i="120"/>
  <c r="AN105" i="120"/>
  <c r="AO105" i="120"/>
  <c r="AP105" i="120"/>
  <c r="AQ105" i="120"/>
  <c r="AR105" i="120"/>
  <c r="AS105" i="120"/>
  <c r="A106" i="120"/>
  <c r="K106" i="120"/>
  <c r="L106" i="120"/>
  <c r="M106" i="120"/>
  <c r="N106" i="120"/>
  <c r="O106" i="120"/>
  <c r="P106" i="120"/>
  <c r="Q106" i="120"/>
  <c r="R106" i="120"/>
  <c r="S106" i="120"/>
  <c r="T106" i="120"/>
  <c r="U106" i="120"/>
  <c r="V106" i="120"/>
  <c r="W106" i="120"/>
  <c r="X106" i="120"/>
  <c r="Y106" i="120"/>
  <c r="Z106" i="120"/>
  <c r="AA106" i="120"/>
  <c r="AB106" i="120"/>
  <c r="AC106" i="120"/>
  <c r="AD106" i="120"/>
  <c r="AE106" i="120"/>
  <c r="AF106" i="120"/>
  <c r="AG106" i="120"/>
  <c r="AH106" i="120"/>
  <c r="AI106" i="120"/>
  <c r="AJ106" i="120"/>
  <c r="AK106" i="120"/>
  <c r="AL106" i="120"/>
  <c r="AM106" i="120"/>
  <c r="AN106" i="120"/>
  <c r="AO106" i="120"/>
  <c r="AP106" i="120"/>
  <c r="AQ106" i="120"/>
  <c r="AR106" i="120"/>
  <c r="AS106" i="120"/>
  <c r="K117" i="120"/>
  <c r="L117" i="120"/>
  <c r="M117" i="120"/>
  <c r="N117" i="120"/>
  <c r="O117" i="120"/>
  <c r="P117" i="120"/>
  <c r="Q117" i="120"/>
  <c r="R117" i="120"/>
  <c r="S117" i="120"/>
  <c r="T117" i="120"/>
  <c r="U117" i="120"/>
  <c r="V117" i="120"/>
  <c r="W117" i="120"/>
  <c r="X117" i="120"/>
  <c r="Y117" i="120"/>
  <c r="Z117" i="120"/>
  <c r="AA117" i="120"/>
  <c r="AB117" i="120"/>
  <c r="AC117" i="120"/>
  <c r="AD117" i="120"/>
  <c r="AE117" i="120"/>
  <c r="AF117" i="120"/>
  <c r="AG117" i="120"/>
  <c r="AH117" i="120"/>
  <c r="AI117" i="120"/>
  <c r="AJ117" i="120"/>
  <c r="AK117" i="120"/>
  <c r="AL117" i="120"/>
  <c r="AM117" i="120"/>
  <c r="AN117" i="120"/>
  <c r="AO117" i="120"/>
  <c r="AP117" i="120"/>
  <c r="AQ117" i="120"/>
  <c r="AR117" i="120"/>
  <c r="AS117" i="120"/>
  <c r="K118" i="120"/>
  <c r="K21" i="120"/>
  <c r="L118" i="120"/>
  <c r="L21" i="120" s="1"/>
  <c r="M118" i="120"/>
  <c r="M21" i="120" s="1"/>
  <c r="N118" i="120"/>
  <c r="N21" i="120" s="1"/>
  <c r="O118" i="120"/>
  <c r="O21" i="120"/>
  <c r="P118" i="120"/>
  <c r="P21" i="120" s="1"/>
  <c r="Q118" i="120"/>
  <c r="Q21" i="120" s="1"/>
  <c r="R118" i="120"/>
  <c r="R21" i="120" s="1"/>
  <c r="S118" i="120"/>
  <c r="S21" i="120"/>
  <c r="T118" i="120"/>
  <c r="T21" i="120" s="1"/>
  <c r="U118" i="120"/>
  <c r="U21" i="120" s="1"/>
  <c r="V118" i="120"/>
  <c r="V21" i="120" s="1"/>
  <c r="W118" i="120"/>
  <c r="W21" i="120"/>
  <c r="X118" i="120"/>
  <c r="X21" i="120" s="1"/>
  <c r="Y118" i="120"/>
  <c r="Y21" i="120" s="1"/>
  <c r="Z118" i="120"/>
  <c r="Z21" i="120" s="1"/>
  <c r="AA118" i="120"/>
  <c r="AA21" i="120"/>
  <c r="AB118" i="120"/>
  <c r="AB21" i="120" s="1"/>
  <c r="AC118" i="120"/>
  <c r="AC21" i="120" s="1"/>
  <c r="AD118" i="120"/>
  <c r="AD21" i="120" s="1"/>
  <c r="AE118" i="120"/>
  <c r="AE21" i="120"/>
  <c r="AF118" i="120"/>
  <c r="AF21" i="120" s="1"/>
  <c r="AG118" i="120"/>
  <c r="AG21" i="120" s="1"/>
  <c r="AH118" i="120"/>
  <c r="AH21" i="120" s="1"/>
  <c r="AI118" i="120"/>
  <c r="AI21" i="120"/>
  <c r="AJ118" i="120"/>
  <c r="AJ21" i="120" s="1"/>
  <c r="AK118" i="120"/>
  <c r="AK21" i="120" s="1"/>
  <c r="AL118" i="120"/>
  <c r="AL21" i="120" s="1"/>
  <c r="AM118" i="120"/>
  <c r="AM21" i="120"/>
  <c r="AN118" i="120"/>
  <c r="AN21" i="120" s="1"/>
  <c r="AO118" i="120"/>
  <c r="AO21" i="120" s="1"/>
  <c r="AP118" i="120"/>
  <c r="AP21" i="120" s="1"/>
  <c r="AQ118" i="120"/>
  <c r="AQ21" i="120"/>
  <c r="AR118" i="120"/>
  <c r="AR21" i="120" s="1"/>
  <c r="AS118" i="120"/>
  <c r="AS21" i="120" s="1"/>
  <c r="F126" i="120"/>
  <c r="F127" i="120" s="1"/>
  <c r="G126" i="120"/>
  <c r="H126" i="120"/>
  <c r="H127" i="120" s="1"/>
  <c r="I126" i="120"/>
  <c r="I127" i="120" s="1"/>
  <c r="K126" i="120"/>
  <c r="K127" i="120" s="1"/>
  <c r="L126" i="120"/>
  <c r="M126" i="120"/>
  <c r="M127" i="120"/>
  <c r="N126" i="120"/>
  <c r="N127" i="120" s="1"/>
  <c r="O126" i="120"/>
  <c r="O127" i="120"/>
  <c r="P126" i="120"/>
  <c r="P127" i="120" s="1"/>
  <c r="Q126" i="120"/>
  <c r="Q127" i="120" s="1"/>
  <c r="R126" i="120"/>
  <c r="R127" i="120" s="1"/>
  <c r="S126" i="120"/>
  <c r="S127" i="120" s="1"/>
  <c r="T126" i="120"/>
  <c r="U126" i="120"/>
  <c r="U127" i="120"/>
  <c r="V126" i="120"/>
  <c r="V127" i="120" s="1"/>
  <c r="W126" i="120"/>
  <c r="W127" i="120" s="1"/>
  <c r="X126" i="120"/>
  <c r="X127" i="120" s="1"/>
  <c r="Y126" i="120"/>
  <c r="Y127" i="120"/>
  <c r="Z126" i="120"/>
  <c r="Z127" i="120" s="1"/>
  <c r="AA126" i="120"/>
  <c r="AA127" i="120"/>
  <c r="AB126" i="120"/>
  <c r="AB127" i="120" s="1"/>
  <c r="AC126" i="120"/>
  <c r="AC127" i="120" s="1"/>
  <c r="AD126" i="120"/>
  <c r="AE126" i="120"/>
  <c r="AE127" i="120" s="1"/>
  <c r="AF126" i="120"/>
  <c r="AG126" i="120"/>
  <c r="AG127" i="120" s="1"/>
  <c r="AH126" i="120"/>
  <c r="AH127" i="120" s="1"/>
  <c r="AI126" i="120"/>
  <c r="AI127" i="120" s="1"/>
  <c r="AJ126" i="120"/>
  <c r="AK126" i="120"/>
  <c r="AK127" i="120"/>
  <c r="AL126" i="120"/>
  <c r="AL127" i="120"/>
  <c r="AM126" i="120"/>
  <c r="AM127" i="120"/>
  <c r="AN126" i="120"/>
  <c r="AN127" i="120" s="1"/>
  <c r="AO126" i="120"/>
  <c r="AO127" i="120" s="1"/>
  <c r="AP126" i="120"/>
  <c r="AP127" i="120" s="1"/>
  <c r="AQ126" i="120"/>
  <c r="AQ127" i="120" s="1"/>
  <c r="AR126" i="120"/>
  <c r="AS126" i="120"/>
  <c r="AS127" i="120"/>
  <c r="G127" i="120"/>
  <c r="L127" i="120"/>
  <c r="T127" i="120"/>
  <c r="AD127" i="120"/>
  <c r="AF127" i="120"/>
  <c r="AJ127" i="120"/>
  <c r="AR127" i="120"/>
  <c r="AU127" i="120"/>
  <c r="AV127" i="120"/>
  <c r="AW127" i="120"/>
  <c r="AX127" i="120"/>
  <c r="AY127" i="120"/>
  <c r="AZ127" i="120"/>
  <c r="BA127" i="120"/>
  <c r="BB127" i="120"/>
  <c r="BC127" i="120"/>
  <c r="BD127" i="120"/>
  <c r="BE127" i="120"/>
  <c r="BF127" i="120"/>
  <c r="BG127" i="120"/>
  <c r="BH127" i="120"/>
  <c r="BI127" i="120"/>
  <c r="BJ127" i="120"/>
  <c r="BK127" i="120"/>
  <c r="BL127" i="120"/>
  <c r="BM127" i="120"/>
  <c r="BN127" i="120"/>
  <c r="BO127" i="120"/>
  <c r="BP127" i="120"/>
  <c r="BQ127" i="120"/>
  <c r="BR127" i="120"/>
  <c r="BS127" i="120"/>
  <c r="BT127" i="120"/>
  <c r="BU127" i="120"/>
  <c r="BV127" i="120"/>
  <c r="BW127" i="120"/>
  <c r="BX127" i="120"/>
  <c r="BY127" i="120"/>
  <c r="BZ127" i="120"/>
  <c r="CA127" i="120"/>
  <c r="CB127" i="120"/>
  <c r="CC127" i="120"/>
  <c r="CD127" i="120"/>
  <c r="CE127" i="120"/>
  <c r="CF127" i="120"/>
  <c r="CG127" i="120"/>
  <c r="CH127" i="120"/>
  <c r="CI127" i="120"/>
  <c r="CJ127" i="120"/>
  <c r="CK127" i="120"/>
  <c r="CL127" i="120"/>
  <c r="K2" i="124"/>
  <c r="G3" i="124"/>
  <c r="G4" i="124"/>
  <c r="G5" i="124"/>
  <c r="G6" i="124"/>
  <c r="G7" i="124"/>
  <c r="G8" i="124"/>
  <c r="G9" i="124"/>
  <c r="G10" i="124"/>
  <c r="G11" i="124"/>
  <c r="G13" i="124"/>
  <c r="A91" i="124"/>
  <c r="A92" i="124"/>
  <c r="A94" i="124"/>
  <c r="A95" i="124"/>
  <c r="A97" i="124"/>
  <c r="A98" i="124"/>
  <c r="A99" i="124"/>
  <c r="A100" i="124"/>
  <c r="A5" i="133"/>
  <c r="A6" i="133"/>
  <c r="A7" i="133"/>
  <c r="A8" i="133"/>
  <c r="A9" i="133"/>
  <c r="A10" i="133"/>
  <c r="A11" i="133"/>
  <c r="A12" i="133"/>
  <c r="A13" i="133"/>
  <c r="A14" i="133"/>
  <c r="A23" i="133"/>
  <c r="A24" i="133"/>
  <c r="A25" i="133"/>
  <c r="A26" i="133"/>
  <c r="A27" i="133"/>
  <c r="A28" i="133"/>
  <c r="A29" i="133"/>
  <c r="A30" i="133"/>
  <c r="A31" i="133"/>
  <c r="A32" i="133"/>
  <c r="A33" i="133"/>
  <c r="A34" i="133"/>
  <c r="A35" i="133"/>
  <c r="A36" i="133"/>
  <c r="A37" i="133"/>
  <c r="A38" i="133"/>
  <c r="A39" i="133"/>
  <c r="A40" i="133"/>
  <c r="A41" i="133"/>
  <c r="A42" i="133"/>
  <c r="A43" i="133"/>
  <c r="A44" i="133"/>
  <c r="A45" i="133"/>
  <c r="A46" i="133"/>
  <c r="A47" i="133"/>
  <c r="A48" i="133"/>
  <c r="A49" i="133"/>
  <c r="A50" i="133"/>
  <c r="A51" i="133"/>
  <c r="A52" i="133"/>
  <c r="A53" i="133"/>
  <c r="A54" i="133"/>
  <c r="A55" i="133"/>
  <c r="A56" i="133"/>
  <c r="A57" i="133"/>
  <c r="A58" i="133"/>
  <c r="A59" i="133"/>
  <c r="A60" i="133"/>
  <c r="A61" i="133"/>
  <c r="A62" i="133"/>
  <c r="A63" i="133"/>
  <c r="A64" i="133"/>
  <c r="A65" i="133"/>
  <c r="A72" i="133"/>
  <c r="A73" i="133"/>
  <c r="A74" i="133"/>
  <c r="A75" i="133"/>
  <c r="A76" i="133"/>
  <c r="A77" i="133"/>
  <c r="A78" i="133"/>
  <c r="A79" i="133"/>
  <c r="A80" i="133"/>
  <c r="A81" i="133"/>
  <c r="A82" i="133"/>
  <c r="A83" i="133"/>
  <c r="A84" i="133"/>
  <c r="A85" i="133"/>
  <c r="A86" i="133"/>
  <c r="A87" i="133"/>
  <c r="A88" i="133"/>
  <c r="A89" i="133"/>
  <c r="A90" i="133"/>
  <c r="A91" i="133"/>
  <c r="A92" i="133"/>
  <c r="A93" i="133"/>
  <c r="A94" i="133"/>
  <c r="A95" i="133"/>
  <c r="A96" i="133"/>
  <c r="A97" i="133"/>
  <c r="A98" i="133"/>
  <c r="A99" i="133"/>
  <c r="A100" i="133"/>
  <c r="A101" i="133"/>
  <c r="A102" i="133"/>
  <c r="A103" i="133"/>
  <c r="A104" i="133"/>
  <c r="A105" i="133"/>
  <c r="A106" i="133"/>
  <c r="A107" i="133"/>
  <c r="A108" i="133"/>
  <c r="A109" i="133"/>
  <c r="A110" i="133"/>
  <c r="I3" i="122"/>
  <c r="J3" i="122"/>
  <c r="L3" i="122"/>
  <c r="G4" i="122"/>
  <c r="I4" i="122"/>
  <c r="J4" i="122"/>
  <c r="L4" i="122"/>
  <c r="G5" i="122"/>
  <c r="I5" i="122"/>
  <c r="J5" i="122"/>
  <c r="L5" i="122"/>
  <c r="G6" i="122"/>
  <c r="I6" i="122"/>
  <c r="J6" i="122"/>
  <c r="L6" i="122"/>
  <c r="G7" i="122"/>
  <c r="I7" i="122"/>
  <c r="G8" i="122"/>
  <c r="I8" i="122"/>
  <c r="J8" i="122"/>
  <c r="I9" i="122"/>
  <c r="J9" i="122"/>
  <c r="G15" i="122"/>
  <c r="I10" i="122"/>
  <c r="J10" i="122"/>
  <c r="I11" i="122"/>
  <c r="J11" i="122"/>
  <c r="I12" i="122"/>
  <c r="J12" i="122"/>
  <c r="G13" i="122"/>
  <c r="I13" i="122"/>
  <c r="J13" i="122"/>
  <c r="I14" i="122"/>
  <c r="J14" i="122"/>
  <c r="I15" i="122"/>
  <c r="J15" i="122"/>
  <c r="I16" i="122"/>
  <c r="J16" i="122"/>
  <c r="I17" i="122"/>
  <c r="J17" i="122"/>
  <c r="I18" i="122"/>
  <c r="J18" i="122"/>
  <c r="I19" i="122"/>
  <c r="J19" i="122"/>
  <c r="G20" i="122"/>
  <c r="I20" i="122"/>
  <c r="J20" i="122"/>
  <c r="G21" i="122"/>
  <c r="I21" i="122"/>
  <c r="J21" i="122"/>
  <c r="G22" i="122"/>
  <c r="I22" i="122"/>
  <c r="J22" i="122"/>
  <c r="G23" i="122"/>
  <c r="I23" i="122"/>
  <c r="J23" i="122"/>
  <c r="G24" i="122"/>
  <c r="I24" i="122"/>
  <c r="J24" i="122"/>
  <c r="G25" i="122"/>
  <c r="I25" i="122"/>
  <c r="J25" i="122"/>
  <c r="G26" i="122"/>
  <c r="I26" i="122"/>
  <c r="J26" i="122"/>
  <c r="I27" i="122"/>
  <c r="J27" i="122"/>
  <c r="I28" i="122"/>
  <c r="J28" i="122"/>
  <c r="I29" i="122"/>
  <c r="J29" i="122"/>
  <c r="I30" i="122"/>
  <c r="J30" i="122"/>
  <c r="I31" i="122"/>
  <c r="J31" i="122"/>
  <c r="G32" i="122"/>
  <c r="I32" i="122"/>
  <c r="J32" i="122"/>
  <c r="G33" i="122"/>
  <c r="I33" i="122"/>
  <c r="J33" i="122"/>
  <c r="G34" i="122"/>
  <c r="I34" i="122"/>
  <c r="J34" i="122"/>
  <c r="G35" i="122"/>
  <c r="I35" i="122"/>
  <c r="J35" i="122"/>
  <c r="G36" i="122"/>
  <c r="I36" i="122"/>
  <c r="J36" i="122"/>
  <c r="I37" i="122"/>
  <c r="J37" i="122"/>
  <c r="G38" i="122"/>
  <c r="I38" i="122"/>
  <c r="J38" i="122"/>
  <c r="I39" i="122"/>
  <c r="J39" i="122"/>
  <c r="G40" i="122"/>
  <c r="I40" i="122"/>
  <c r="J40" i="122"/>
  <c r="I41" i="122"/>
  <c r="J41" i="122"/>
  <c r="G42" i="122"/>
  <c r="I42" i="122"/>
  <c r="J42" i="122"/>
  <c r="G43" i="122"/>
  <c r="I43" i="122"/>
  <c r="J43" i="122"/>
  <c r="I44" i="122"/>
  <c r="J44" i="122"/>
  <c r="I45" i="122"/>
  <c r="J45" i="122"/>
  <c r="I46" i="122"/>
  <c r="J46" i="122"/>
  <c r="I47" i="122"/>
  <c r="J47" i="122"/>
  <c r="I48" i="122"/>
  <c r="J48" i="122"/>
  <c r="I49" i="122"/>
  <c r="J49" i="122"/>
  <c r="I50" i="122"/>
  <c r="J50" i="122"/>
  <c r="I51" i="122"/>
  <c r="J51" i="122"/>
  <c r="I52" i="122"/>
  <c r="J52" i="122"/>
  <c r="I53" i="122"/>
  <c r="J53" i="122"/>
  <c r="G54" i="122"/>
  <c r="I54" i="122"/>
  <c r="J54" i="122"/>
  <c r="I55" i="122"/>
  <c r="J55" i="122"/>
  <c r="G56" i="122"/>
  <c r="I56" i="122"/>
  <c r="J56" i="122"/>
  <c r="I57" i="122"/>
  <c r="J57" i="122"/>
  <c r="G58" i="122"/>
  <c r="I58" i="122"/>
  <c r="J58" i="122"/>
  <c r="I59" i="122"/>
  <c r="J59" i="122"/>
  <c r="G60" i="122"/>
  <c r="I60" i="122"/>
  <c r="J60" i="122"/>
  <c r="I61" i="122"/>
  <c r="J61" i="122"/>
  <c r="E62" i="122"/>
  <c r="I62" i="122"/>
  <c r="J62" i="122"/>
  <c r="I63" i="122"/>
  <c r="J63" i="122"/>
  <c r="I64" i="122"/>
  <c r="J64" i="122"/>
  <c r="I65" i="122"/>
  <c r="J65" i="122"/>
  <c r="I66" i="122"/>
  <c r="J66" i="122"/>
  <c r="I67" i="122"/>
  <c r="J67" i="122"/>
  <c r="I68" i="122"/>
  <c r="J68" i="122"/>
  <c r="I69" i="122"/>
  <c r="J69" i="122"/>
  <c r="I70" i="122"/>
  <c r="J70" i="122"/>
  <c r="G71" i="122"/>
  <c r="I71" i="122"/>
  <c r="J71" i="122"/>
  <c r="I72" i="122"/>
  <c r="J72" i="122"/>
  <c r="G73" i="122"/>
  <c r="I73" i="122"/>
  <c r="J73" i="122"/>
  <c r="I74" i="122"/>
  <c r="J74" i="122"/>
  <c r="G75" i="122"/>
  <c r="I75" i="122"/>
  <c r="J75" i="122"/>
  <c r="I76" i="122"/>
  <c r="J76" i="122"/>
  <c r="I77" i="122"/>
  <c r="J77" i="122"/>
  <c r="I78" i="122"/>
  <c r="J78" i="122"/>
  <c r="I79" i="122"/>
  <c r="J79" i="122"/>
  <c r="I80" i="122"/>
  <c r="J80" i="122"/>
  <c r="I81" i="122"/>
  <c r="J81" i="122"/>
  <c r="I82" i="122"/>
  <c r="J82" i="122"/>
  <c r="I83" i="122"/>
  <c r="J83" i="122"/>
  <c r="I84" i="122"/>
  <c r="J84" i="122"/>
  <c r="I85" i="122"/>
  <c r="J85" i="122"/>
  <c r="I86" i="122"/>
  <c r="J86" i="122"/>
  <c r="I87" i="122"/>
  <c r="J87" i="122"/>
  <c r="A90" i="122"/>
  <c r="G14" i="134"/>
  <c r="I14" i="134"/>
  <c r="L14" i="134"/>
  <c r="N14" i="134"/>
  <c r="AD14" i="134"/>
  <c r="Y30" i="134"/>
  <c r="AA30" i="134"/>
  <c r="AE30" i="134"/>
  <c r="AS30" i="134"/>
  <c r="P33" i="134"/>
  <c r="R33" i="134"/>
  <c r="V33" i="134"/>
  <c r="X33" i="134"/>
  <c r="F14" i="134"/>
  <c r="H14" i="134"/>
  <c r="R30" i="134"/>
  <c r="X30" i="134"/>
  <c r="P127" i="134"/>
  <c r="P93" i="134"/>
  <c r="P50" i="134"/>
  <c r="R127" i="134"/>
  <c r="R93" i="134"/>
  <c r="R50" i="134"/>
  <c r="V127" i="134"/>
  <c r="V93" i="134"/>
  <c r="V50" i="134"/>
  <c r="X127" i="134"/>
  <c r="X93" i="134"/>
  <c r="X50" i="134"/>
  <c r="Y54" i="134"/>
  <c r="Y51" i="134"/>
  <c r="AA54" i="134"/>
  <c r="AA51" i="134"/>
  <c r="AE54" i="134"/>
  <c r="AE51" i="134"/>
  <c r="AS54" i="134"/>
  <c r="AS51" i="134"/>
  <c r="P51" i="134"/>
  <c r="R51" i="134"/>
  <c r="V51" i="134"/>
  <c r="X51" i="134"/>
  <c r="K127" i="134"/>
  <c r="M127" i="134"/>
  <c r="O127" i="134"/>
  <c r="Q127" i="134"/>
  <c r="S127" i="134"/>
  <c r="U127" i="134"/>
  <c r="W127" i="134"/>
  <c r="Y127" i="134"/>
  <c r="AA127" i="134"/>
  <c r="AC127" i="134"/>
  <c r="AE127" i="134"/>
  <c r="AG127" i="134"/>
  <c r="AI127" i="134"/>
  <c r="AK127" i="134"/>
  <c r="AM127" i="134"/>
  <c r="AO127" i="134"/>
  <c r="AQ127" i="134"/>
  <c r="AS127" i="134"/>
  <c r="Y50" i="134"/>
  <c r="AA50" i="134"/>
  <c r="AE50" i="134"/>
  <c r="AS50" i="134"/>
  <c r="CL80" i="120"/>
  <c r="CL82" i="120" s="1"/>
  <c r="AE80" i="120"/>
  <c r="AE84" i="120" s="1"/>
  <c r="X31" i="120"/>
  <c r="P31" i="120"/>
  <c r="AE31" i="120"/>
  <c r="AA31" i="120"/>
  <c r="AS30" i="120"/>
  <c r="Y30" i="120"/>
  <c r="CJ107" i="125"/>
  <c r="CH107" i="125"/>
  <c r="CF107" i="125"/>
  <c r="CD107" i="125"/>
  <c r="CB107" i="125"/>
  <c r="BZ107" i="125"/>
  <c r="BX107" i="125"/>
  <c r="BV107" i="125"/>
  <c r="BR107" i="125"/>
  <c r="BP107" i="125"/>
  <c r="BL107" i="125"/>
  <c r="BF107" i="125"/>
  <c r="BD107" i="125"/>
  <c r="BB107" i="125"/>
  <c r="AX107" i="125"/>
  <c r="AV107" i="125"/>
  <c r="CL107" i="125"/>
  <c r="CK107" i="125"/>
  <c r="CG107" i="125"/>
  <c r="CA107" i="125"/>
  <c r="BW107" i="125"/>
  <c r="BS107" i="125"/>
  <c r="BO107" i="125"/>
  <c r="BM107" i="125"/>
  <c r="BK107" i="125"/>
  <c r="AS50" i="125"/>
  <c r="AE50" i="125"/>
  <c r="AA50" i="125"/>
  <c r="Y50" i="125"/>
  <c r="AJ97" i="127"/>
  <c r="AJ96" i="127"/>
  <c r="AJ95" i="127"/>
  <c r="AS50" i="127"/>
  <c r="AE50" i="127"/>
  <c r="AA50" i="127"/>
  <c r="Y50" i="127"/>
  <c r="CE31" i="127"/>
  <c r="AL31" i="127" s="1"/>
  <c r="CC31" i="127"/>
  <c r="AO31" i="127"/>
  <c r="CA31" i="127"/>
  <c r="AF31" i="127" s="1"/>
  <c r="BY31" i="127"/>
  <c r="AJ31" i="127" s="1"/>
  <c r="BW31" i="127"/>
  <c r="AI31" i="127" s="1"/>
  <c r="BU31" i="127"/>
  <c r="AD31" i="127"/>
  <c r="BS31" i="127"/>
  <c r="AE31" i="127" s="1"/>
  <c r="BQ31" i="127"/>
  <c r="AA31" i="127" s="1"/>
  <c r="BE31" i="127"/>
  <c r="O31" i="127" s="1"/>
  <c r="BC31" i="127"/>
  <c r="U31" i="127"/>
  <c r="AY31" i="127"/>
  <c r="L31" i="127" s="1"/>
  <c r="AW31" i="127"/>
  <c r="N31" i="127" s="1"/>
  <c r="AU31" i="127"/>
  <c r="Q31" i="127" s="1"/>
  <c r="P24" i="127"/>
  <c r="V24" i="127"/>
  <c r="AE24" i="130"/>
  <c r="X53" i="131"/>
  <c r="CE31" i="131"/>
  <c r="AL31" i="131" s="1"/>
  <c r="CC31" i="131"/>
  <c r="AO31" i="131" s="1"/>
  <c r="CA31" i="131"/>
  <c r="AF31" i="131"/>
  <c r="BY31" i="131"/>
  <c r="AJ31" i="131" s="1"/>
  <c r="BW31" i="131"/>
  <c r="AI31" i="131" s="1"/>
  <c r="BU31" i="131"/>
  <c r="AD31" i="131" s="1"/>
  <c r="BS31" i="131"/>
  <c r="BQ31" i="131"/>
  <c r="AA31" i="131" s="1"/>
  <c r="BG31" i="131"/>
  <c r="BE31" i="131"/>
  <c r="O31" i="131" s="1"/>
  <c r="BC31" i="131"/>
  <c r="U31" i="131"/>
  <c r="AY31" i="131"/>
  <c r="L31" i="131"/>
  <c r="AW31" i="131"/>
  <c r="N31" i="131"/>
  <c r="AU31" i="131"/>
  <c r="Q31" i="131" s="1"/>
  <c r="AS127" i="132"/>
  <c r="AQ127" i="132"/>
  <c r="AO127" i="132"/>
  <c r="AO31" i="132"/>
  <c r="AM127" i="132"/>
  <c r="AK127" i="132"/>
  <c r="AI127" i="132"/>
  <c r="AI31" i="132" s="1"/>
  <c r="AG127" i="132"/>
  <c r="AG31" i="132" s="1"/>
  <c r="AE127" i="132"/>
  <c r="AC127" i="132"/>
  <c r="AA127" i="132"/>
  <c r="Y127" i="132"/>
  <c r="W127" i="132"/>
  <c r="W31" i="132"/>
  <c r="U127" i="132"/>
  <c r="S127" i="132"/>
  <c r="Q127" i="132"/>
  <c r="Q31" i="132" s="1"/>
  <c r="O127" i="132"/>
  <c r="O31" i="132" s="1"/>
  <c r="M127" i="132"/>
  <c r="K127" i="132"/>
  <c r="K31" i="132" s="1"/>
  <c r="X51" i="132"/>
  <c r="V51" i="132"/>
  <c r="R51" i="132"/>
  <c r="P51" i="132"/>
  <c r="BO53" i="132"/>
  <c r="BM53" i="132"/>
  <c r="Z53" i="132"/>
  <c r="BK53" i="132"/>
  <c r="X53" i="132"/>
  <c r="Y31" i="132"/>
  <c r="AP127" i="132"/>
  <c r="AN127" i="132"/>
  <c r="AH127" i="132"/>
  <c r="AB127" i="132"/>
  <c r="X127" i="132"/>
  <c r="V127" i="132"/>
  <c r="T127" i="132"/>
  <c r="T31" i="132" s="1"/>
  <c r="R127" i="132"/>
  <c r="P127" i="132"/>
  <c r="R53" i="132"/>
  <c r="BU107" i="125"/>
  <c r="BY107" i="125"/>
  <c r="CC107" i="125"/>
  <c r="CI107" i="125"/>
  <c r="K14" i="134"/>
  <c r="O14" i="134"/>
  <c r="U14" i="134"/>
  <c r="AB14" i="134"/>
  <c r="P54" i="134"/>
  <c r="AE14" i="134"/>
  <c r="BL107" i="134"/>
  <c r="P14" i="135"/>
  <c r="M14" i="135"/>
  <c r="S14" i="135"/>
  <c r="P30" i="135"/>
  <c r="R30" i="135"/>
  <c r="V30" i="135"/>
  <c r="X30" i="135"/>
  <c r="Y32" i="135"/>
  <c r="Y33" i="135"/>
  <c r="AA32" i="135"/>
  <c r="AA33" i="135" s="1"/>
  <c r="AE32" i="135"/>
  <c r="AE33" i="135" s="1"/>
  <c r="AS32" i="135"/>
  <c r="AS33" i="135" s="1"/>
  <c r="Y93" i="135"/>
  <c r="Y50" i="135"/>
  <c r="AA93" i="135"/>
  <c r="AA50" i="135"/>
  <c r="AE93" i="135"/>
  <c r="AE50" i="135"/>
  <c r="AS93" i="135"/>
  <c r="AS50" i="135"/>
  <c r="V51" i="135"/>
  <c r="Y30" i="135"/>
  <c r="AA30" i="135"/>
  <c r="AE30" i="135"/>
  <c r="AS30" i="135"/>
  <c r="P127" i="135"/>
  <c r="P93" i="135"/>
  <c r="R127" i="135"/>
  <c r="R93" i="135"/>
  <c r="V127" i="135"/>
  <c r="V93" i="135"/>
  <c r="X127" i="135"/>
  <c r="X93" i="135"/>
  <c r="Y54" i="135"/>
  <c r="Y51" i="135"/>
  <c r="AA54" i="135"/>
  <c r="AA51" i="135"/>
  <c r="AE54" i="135"/>
  <c r="AE51" i="135"/>
  <c r="AS54" i="135"/>
  <c r="AS51" i="135"/>
  <c r="P50" i="135"/>
  <c r="R50" i="135"/>
  <c r="V50" i="135"/>
  <c r="X50" i="135"/>
  <c r="P51" i="135"/>
  <c r="R51" i="135"/>
  <c r="X51" i="135"/>
  <c r="L52" i="135"/>
  <c r="L53" i="135" s="1"/>
  <c r="N52" i="135"/>
  <c r="N53" i="135" s="1"/>
  <c r="P52" i="135"/>
  <c r="V52" i="135"/>
  <c r="V53" i="135" s="1"/>
  <c r="X52" i="135"/>
  <c r="X53" i="135" s="1"/>
  <c r="AB52" i="135"/>
  <c r="AB53" i="135" s="1"/>
  <c r="AH52" i="135"/>
  <c r="AH53" i="135" s="1"/>
  <c r="AN52" i="135"/>
  <c r="AN53" i="135" s="1"/>
  <c r="AP52" i="135"/>
  <c r="AP53" i="135" s="1"/>
  <c r="K127" i="135"/>
  <c r="M127" i="135"/>
  <c r="O127" i="135"/>
  <c r="Q127" i="135"/>
  <c r="S127" i="135"/>
  <c r="U127" i="135"/>
  <c r="W127" i="135"/>
  <c r="Y127" i="135"/>
  <c r="AA127" i="135"/>
  <c r="AC127" i="135"/>
  <c r="AE127" i="135"/>
  <c r="AG127" i="135"/>
  <c r="AI127" i="135"/>
  <c r="AK127" i="135"/>
  <c r="AM127" i="135"/>
  <c r="AO127" i="135"/>
  <c r="AQ127" i="135"/>
  <c r="AS127" i="135"/>
  <c r="L14" i="136"/>
  <c r="N14" i="136"/>
  <c r="Z14" i="136"/>
  <c r="Y30" i="136"/>
  <c r="AA30" i="136"/>
  <c r="AE30" i="136"/>
  <c r="AS30" i="136"/>
  <c r="P32" i="136"/>
  <c r="P33" i="136" s="1"/>
  <c r="R32" i="136"/>
  <c r="R33" i="136" s="1"/>
  <c r="V32" i="136"/>
  <c r="V33" i="136" s="1"/>
  <c r="X32" i="136"/>
  <c r="X33" i="136" s="1"/>
  <c r="P93" i="136"/>
  <c r="P50" i="136"/>
  <c r="R127" i="136"/>
  <c r="R93" i="136"/>
  <c r="R50" i="136"/>
  <c r="V127" i="136"/>
  <c r="V93" i="136"/>
  <c r="V50" i="136"/>
  <c r="X127" i="136"/>
  <c r="X93" i="136"/>
  <c r="X50" i="136"/>
  <c r="Y54" i="136"/>
  <c r="Y51" i="136"/>
  <c r="AA54" i="136"/>
  <c r="AA51" i="136"/>
  <c r="AE54" i="136"/>
  <c r="AE51" i="136"/>
  <c r="AS54" i="136"/>
  <c r="AS51" i="136"/>
  <c r="P30" i="136"/>
  <c r="R30" i="136"/>
  <c r="V30" i="136"/>
  <c r="X30" i="136"/>
  <c r="Y93" i="136"/>
  <c r="Y50" i="136"/>
  <c r="AA93" i="136"/>
  <c r="AA50" i="136"/>
  <c r="AE93" i="136"/>
  <c r="AE50" i="136"/>
  <c r="AS93" i="136"/>
  <c r="AS50" i="136"/>
  <c r="P54" i="136"/>
  <c r="P51" i="136"/>
  <c r="R54" i="136"/>
  <c r="R51" i="136"/>
  <c r="V54" i="136"/>
  <c r="V51" i="136"/>
  <c r="X54" i="136"/>
  <c r="X51" i="136"/>
  <c r="L52" i="136"/>
  <c r="L53" i="136" s="1"/>
  <c r="N52" i="136"/>
  <c r="N53" i="136" s="1"/>
  <c r="AB52" i="136"/>
  <c r="AB53" i="136" s="1"/>
  <c r="AH52" i="136"/>
  <c r="AH53" i="136" s="1"/>
  <c r="AN52" i="136"/>
  <c r="AN53" i="136" s="1"/>
  <c r="AP52" i="136"/>
  <c r="AP53" i="136" s="1"/>
  <c r="CL80" i="136"/>
  <c r="K127" i="136"/>
  <c r="M127" i="136"/>
  <c r="O127" i="136"/>
  <c r="Q127" i="136"/>
  <c r="S127" i="136"/>
  <c r="U127" i="136"/>
  <c r="W127" i="136"/>
  <c r="Y127" i="136"/>
  <c r="AA127" i="136"/>
  <c r="AC127" i="136"/>
  <c r="AE127" i="136"/>
  <c r="AG127" i="136"/>
  <c r="AI127" i="136"/>
  <c r="AK127" i="136"/>
  <c r="AM127" i="136"/>
  <c r="AO127" i="136"/>
  <c r="AQ127" i="136"/>
  <c r="AS127" i="136"/>
  <c r="L127" i="136"/>
  <c r="N127" i="136"/>
  <c r="P127" i="136"/>
  <c r="AR127" i="136"/>
  <c r="AG14" i="135"/>
  <c r="AB14" i="136"/>
  <c r="AG14" i="136"/>
  <c r="AM14" i="136"/>
  <c r="AO14" i="136"/>
  <c r="AQ14" i="136"/>
  <c r="BK107" i="136"/>
  <c r="AL14" i="135"/>
  <c r="T14" i="135"/>
  <c r="K14" i="135"/>
  <c r="N14" i="135"/>
  <c r="Q14" i="135"/>
  <c r="U14" i="135"/>
  <c r="Z14" i="135"/>
  <c r="AC14" i="135"/>
  <c r="AI14" i="135"/>
  <c r="AO14" i="135"/>
  <c r="CF107" i="135"/>
  <c r="AQ21" i="134"/>
  <c r="AO21" i="134"/>
  <c r="X21" i="134"/>
  <c r="AR71" i="136"/>
  <c r="AP71" i="136"/>
  <c r="AN71" i="136"/>
  <c r="AL71" i="136"/>
  <c r="AJ71" i="136"/>
  <c r="AH71" i="136"/>
  <c r="AF71" i="136"/>
  <c r="AD71" i="136"/>
  <c r="AB71" i="136"/>
  <c r="Z71" i="136"/>
  <c r="X71" i="136"/>
  <c r="V71" i="136"/>
  <c r="U71" i="136"/>
  <c r="T71" i="136"/>
  <c r="R71" i="136"/>
  <c r="P71" i="136"/>
  <c r="O71" i="136"/>
  <c r="N71" i="136"/>
  <c r="M71" i="136"/>
  <c r="L71" i="136"/>
  <c r="K71" i="136"/>
  <c r="G71" i="138"/>
  <c r="I71" i="138"/>
  <c r="L71" i="138"/>
  <c r="N71" i="138"/>
  <c r="P71" i="138"/>
  <c r="T71" i="138"/>
  <c r="V71" i="138"/>
  <c r="X71" i="138"/>
  <c r="Z71" i="138"/>
  <c r="AB71" i="138"/>
  <c r="AD71" i="138"/>
  <c r="AF71" i="138"/>
  <c r="AH71" i="138"/>
  <c r="AJ71" i="138"/>
  <c r="AL71" i="138"/>
  <c r="AN71" i="138"/>
  <c r="AP71" i="138"/>
  <c r="AR71" i="138"/>
  <c r="H71" i="138"/>
  <c r="K71" i="138"/>
  <c r="M71" i="138"/>
  <c r="O71" i="138"/>
  <c r="S71" i="138"/>
  <c r="U71" i="138"/>
  <c r="W71" i="138"/>
  <c r="Y71" i="138"/>
  <c r="AA71" i="138"/>
  <c r="AC71" i="138"/>
  <c r="AE71" i="138"/>
  <c r="AG71" i="138"/>
  <c r="AI71" i="138"/>
  <c r="AK71" i="138"/>
  <c r="AM71" i="138"/>
  <c r="AO71" i="138"/>
  <c r="AQ71" i="138"/>
  <c r="AS71" i="138"/>
  <c r="CF107" i="138"/>
  <c r="F71" i="138"/>
  <c r="R71" i="138"/>
  <c r="BO107" i="138"/>
  <c r="X21" i="138"/>
  <c r="BG107" i="138"/>
  <c r="U21" i="138"/>
  <c r="P30" i="138"/>
  <c r="R30" i="138"/>
  <c r="V30" i="138"/>
  <c r="X30" i="138"/>
  <c r="Y32" i="138"/>
  <c r="Y33" i="138" s="1"/>
  <c r="AA32" i="138"/>
  <c r="AA33" i="138"/>
  <c r="AE32" i="138"/>
  <c r="AE33" i="138" s="1"/>
  <c r="AS32" i="138"/>
  <c r="AS33" i="138" s="1"/>
  <c r="Y50" i="138"/>
  <c r="AA50" i="138"/>
  <c r="AE50" i="138"/>
  <c r="AS50" i="138"/>
  <c r="Y51" i="138"/>
  <c r="AA51" i="138"/>
  <c r="AE51" i="138"/>
  <c r="AS51" i="138"/>
  <c r="BH107" i="138"/>
  <c r="AB52" i="138"/>
  <c r="AB53" i="138" s="1"/>
  <c r="AH52" i="138"/>
  <c r="AH53" i="138" s="1"/>
  <c r="AP52" i="138"/>
  <c r="AP53" i="138" s="1"/>
  <c r="AN52" i="138"/>
  <c r="AN53" i="138" s="1"/>
  <c r="Y30" i="138"/>
  <c r="AA30" i="138"/>
  <c r="AE30" i="138"/>
  <c r="AS30" i="138"/>
  <c r="P50" i="138"/>
  <c r="R50" i="138"/>
  <c r="V50" i="138"/>
  <c r="X50" i="138"/>
  <c r="P51" i="138"/>
  <c r="R51" i="138"/>
  <c r="V51" i="138"/>
  <c r="X51" i="138"/>
  <c r="K127" i="138"/>
  <c r="M127" i="138"/>
  <c r="O127" i="138"/>
  <c r="Q127" i="138"/>
  <c r="S127" i="138"/>
  <c r="U127" i="138"/>
  <c r="W127" i="138"/>
  <c r="Y127" i="138"/>
  <c r="AA127" i="138"/>
  <c r="AC127" i="138"/>
  <c r="AE127" i="138"/>
  <c r="AG127" i="138"/>
  <c r="AI127" i="138"/>
  <c r="AK127" i="138"/>
  <c r="AM127" i="138"/>
  <c r="AO127" i="138"/>
  <c r="AQ127" i="138"/>
  <c r="AS127" i="138"/>
  <c r="L127" i="138"/>
  <c r="N127" i="138"/>
  <c r="P127" i="138"/>
  <c r="R127" i="138"/>
  <c r="T127" i="138"/>
  <c r="V127" i="138"/>
  <c r="X127" i="138"/>
  <c r="Z127" i="138"/>
  <c r="AB127" i="138"/>
  <c r="AD127" i="138"/>
  <c r="AF127" i="138"/>
  <c r="AH127" i="138"/>
  <c r="AJ127" i="138"/>
  <c r="AL127" i="138"/>
  <c r="AN127" i="138"/>
  <c r="AP127" i="138"/>
  <c r="AR127" i="138"/>
  <c r="Y44" i="130"/>
  <c r="R44" i="130"/>
  <c r="AS44" i="127"/>
  <c r="Y44" i="127"/>
  <c r="X44" i="127"/>
  <c r="P44" i="127"/>
  <c r="V44" i="125"/>
  <c r="BI107" i="125"/>
  <c r="P44" i="125"/>
  <c r="R54" i="125"/>
  <c r="Q54" i="125"/>
  <c r="Q51" i="125"/>
  <c r="Z51" i="134"/>
  <c r="X54" i="134"/>
  <c r="R54" i="134"/>
  <c r="Q51" i="134"/>
  <c r="Q54" i="134"/>
  <c r="Q54" i="135"/>
  <c r="Q51" i="136"/>
  <c r="Q51" i="138"/>
  <c r="Q54" i="136"/>
  <c r="N51" i="134"/>
  <c r="AH51" i="134"/>
  <c r="AK71" i="136"/>
  <c r="AC71" i="136"/>
  <c r="AG71" i="136"/>
  <c r="Y71" i="136"/>
  <c r="S71" i="136"/>
  <c r="AQ71" i="136"/>
  <c r="AS71" i="136"/>
  <c r="AA71" i="136"/>
  <c r="AQ71" i="135"/>
  <c r="AN71" i="135"/>
  <c r="AS71" i="135"/>
  <c r="AP71" i="135"/>
  <c r="AO71" i="135"/>
  <c r="AH71" i="135"/>
  <c r="AE71" i="135"/>
  <c r="AB71" i="135"/>
  <c r="AA71" i="135"/>
  <c r="V71" i="135"/>
  <c r="X71" i="135"/>
  <c r="K71" i="135"/>
  <c r="O71" i="135"/>
  <c r="M71" i="135"/>
  <c r="U71" i="135"/>
  <c r="T71" i="135"/>
  <c r="P71" i="135"/>
  <c r="L71" i="135"/>
  <c r="N71" i="135"/>
  <c r="R71" i="135"/>
  <c r="AA14" i="140"/>
  <c r="AE14" i="140"/>
  <c r="R14" i="140"/>
  <c r="X14" i="140"/>
  <c r="Y14" i="140"/>
  <c r="AS14" i="140"/>
  <c r="Q44" i="140"/>
  <c r="U44" i="140"/>
  <c r="Y44" i="140"/>
  <c r="AC44" i="140"/>
  <c r="AG44" i="140"/>
  <c r="AK44" i="140"/>
  <c r="AS47" i="140"/>
  <c r="R54" i="140"/>
  <c r="AA54" i="140"/>
  <c r="BO107" i="140"/>
  <c r="V54" i="140"/>
  <c r="P32" i="140"/>
  <c r="P33" i="140" s="1"/>
  <c r="X32" i="140"/>
  <c r="X33" i="140" s="1"/>
  <c r="AS93" i="140"/>
  <c r="AS30" i="140"/>
  <c r="AS50" i="140"/>
  <c r="N65" i="140"/>
  <c r="N67" i="140" s="1"/>
  <c r="AD65" i="140"/>
  <c r="AD67" i="140" s="1"/>
  <c r="H65" i="140"/>
  <c r="H67" i="140" s="1"/>
  <c r="I65" i="140"/>
  <c r="I67" i="140" s="1"/>
  <c r="AO65" i="140"/>
  <c r="AO67" i="140" s="1"/>
  <c r="L12" i="140"/>
  <c r="AF12" i="140"/>
  <c r="AR12" i="140"/>
  <c r="BL107" i="140"/>
  <c r="AA30" i="140"/>
  <c r="Y54" i="140"/>
  <c r="Y51" i="140"/>
  <c r="AS54" i="140"/>
  <c r="AS51" i="140"/>
  <c r="V32" i="140"/>
  <c r="V33" i="140" s="1"/>
  <c r="P51" i="140"/>
  <c r="M12" i="140"/>
  <c r="Q12" i="140"/>
  <c r="Y12" i="140"/>
  <c r="AC12" i="140"/>
  <c r="AK12" i="140"/>
  <c r="AS12" i="140"/>
  <c r="BI107" i="140"/>
  <c r="BU107" i="140"/>
  <c r="CK107" i="140"/>
  <c r="V30" i="140"/>
  <c r="AA32" i="140"/>
  <c r="AA33" i="140" s="1"/>
  <c r="AE32" i="140"/>
  <c r="AE33" i="140" s="1"/>
  <c r="BC107" i="140"/>
  <c r="R32" i="140"/>
  <c r="R33" i="140" s="1"/>
  <c r="R30" i="140"/>
  <c r="Y93" i="140"/>
  <c r="Y50" i="140"/>
  <c r="X51" i="140"/>
  <c r="X65" i="140"/>
  <c r="X67" i="140" s="1"/>
  <c r="G65" i="140"/>
  <c r="G67" i="140" s="1"/>
  <c r="AL12" i="140"/>
  <c r="BZ107" i="140"/>
  <c r="CH107" i="140"/>
  <c r="AB52" i="140"/>
  <c r="AB53" i="140" s="1"/>
  <c r="AC52" i="140"/>
  <c r="AN52" i="140"/>
  <c r="AN53" i="140" s="1"/>
  <c r="R93" i="140"/>
  <c r="V93" i="140"/>
  <c r="N127" i="140"/>
  <c r="R127" i="140"/>
  <c r="V127" i="140"/>
  <c r="Z127" i="140"/>
  <c r="AD127" i="140"/>
  <c r="AH127" i="140"/>
  <c r="AL127" i="140"/>
  <c r="AP127" i="140"/>
  <c r="T52" i="140"/>
  <c r="T53" i="140" s="1"/>
  <c r="AF52" i="140"/>
  <c r="AF53" i="140" s="1"/>
  <c r="AR52" i="140"/>
  <c r="AR53" i="140" s="1"/>
  <c r="P93" i="140"/>
  <c r="P127" i="140"/>
  <c r="X93" i="140"/>
  <c r="X127" i="140"/>
  <c r="AA127" i="140"/>
  <c r="M127" i="140"/>
  <c r="Q127" i="140"/>
  <c r="U127" i="140"/>
  <c r="Y127" i="140"/>
  <c r="AC127" i="140"/>
  <c r="AG127" i="140"/>
  <c r="AK127" i="140"/>
  <c r="AO127" i="140"/>
  <c r="AS127" i="140"/>
  <c r="AE127" i="140"/>
  <c r="BH107" i="125"/>
  <c r="P52" i="125"/>
  <c r="AZ107" i="125"/>
  <c r="AC52" i="125"/>
  <c r="P50" i="125"/>
  <c r="P30" i="125"/>
  <c r="Y31" i="125"/>
  <c r="V31" i="130"/>
  <c r="AE31" i="125"/>
  <c r="AE32" i="125"/>
  <c r="AE33" i="125" s="1"/>
  <c r="Y52" i="125"/>
  <c r="X44" i="125"/>
  <c r="X54" i="125"/>
  <c r="X30" i="125"/>
  <c r="R31" i="125"/>
  <c r="R32" i="125"/>
  <c r="R33" i="125" s="1"/>
  <c r="Q52" i="138"/>
  <c r="Q53" i="138" s="1"/>
  <c r="Q52" i="136"/>
  <c r="Q53" i="136" s="1"/>
  <c r="Q52" i="135"/>
  <c r="Q53" i="135" s="1"/>
  <c r="V30" i="127"/>
  <c r="BZ53" i="131"/>
  <c r="AH53" i="131" s="1"/>
  <c r="BW53" i="131"/>
  <c r="AI53" i="131" s="1"/>
  <c r="Y53" i="131"/>
  <c r="AH24" i="131"/>
  <c r="BZ31" i="131"/>
  <c r="AH31" i="131" s="1"/>
  <c r="BT31" i="131"/>
  <c r="AE31" i="131" s="1"/>
  <c r="AE24" i="131"/>
  <c r="Y31" i="131"/>
  <c r="Y32" i="131"/>
  <c r="Y33" i="131" s="1"/>
  <c r="BP53" i="132"/>
  <c r="AB53" i="132" s="1"/>
  <c r="BJ31" i="138"/>
  <c r="V31" i="138" s="1"/>
  <c r="BJ31" i="136"/>
  <c r="BJ31" i="135"/>
  <c r="V31" i="135" s="1"/>
  <c r="BJ31" i="134"/>
  <c r="BJ107" i="134"/>
  <c r="V24" i="132"/>
  <c r="V31" i="132" s="1"/>
  <c r="BJ31" i="132"/>
  <c r="BJ31" i="131"/>
  <c r="AK7" i="132"/>
  <c r="CB14" i="132"/>
  <c r="AK14" i="132"/>
  <c r="R30" i="127"/>
  <c r="AE27" i="130"/>
  <c r="R24" i="130"/>
  <c r="P71" i="131"/>
  <c r="CB53" i="131"/>
  <c r="AK53" i="131" s="1"/>
  <c r="AY53" i="131"/>
  <c r="L53" i="131"/>
  <c r="AV53" i="131"/>
  <c r="S53" i="131" s="1"/>
  <c r="Y30" i="131"/>
  <c r="V50" i="131"/>
  <c r="V30" i="131"/>
  <c r="R30" i="131"/>
  <c r="R50" i="131"/>
  <c r="CI31" i="131"/>
  <c r="AR31" i="131" s="1"/>
  <c r="BX53" i="132"/>
  <c r="AC53" i="132" s="1"/>
  <c r="BR53" i="132"/>
  <c r="W53" i="132" s="1"/>
  <c r="BF53" i="132"/>
  <c r="K53" i="132" s="1"/>
  <c r="BR31" i="138"/>
  <c r="W31" i="138" s="1"/>
  <c r="BR31" i="136"/>
  <c r="BR31" i="135"/>
  <c r="W31" i="135" s="1"/>
  <c r="BR31" i="132"/>
  <c r="BR31" i="134"/>
  <c r="AR7" i="132"/>
  <c r="CI14" i="132"/>
  <c r="AR14" i="132" s="1"/>
  <c r="W24" i="127"/>
  <c r="V50" i="130"/>
  <c r="CG31" i="130"/>
  <c r="AS31" i="130"/>
  <c r="BM31" i="130"/>
  <c r="Z31" i="130"/>
  <c r="AU31" i="130"/>
  <c r="Q31" i="130" s="1"/>
  <c r="R27" i="130"/>
  <c r="V24" i="130"/>
  <c r="R54" i="131"/>
  <c r="R51" i="131"/>
  <c r="AA71" i="131"/>
  <c r="AS53" i="131"/>
  <c r="AX53" i="131"/>
  <c r="R53" i="131"/>
  <c r="AE53" i="131"/>
  <c r="AE93" i="131"/>
  <c r="AE50" i="131"/>
  <c r="Y93" i="131"/>
  <c r="R31" i="131"/>
  <c r="CA53" i="132"/>
  <c r="AF53" i="132" s="1"/>
  <c r="CA31" i="138"/>
  <c r="AF31" i="138" s="1"/>
  <c r="CA31" i="135"/>
  <c r="CA31" i="136"/>
  <c r="CA107" i="136" s="1"/>
  <c r="CA31" i="134"/>
  <c r="AF31" i="134" s="1"/>
  <c r="AF24" i="132"/>
  <c r="AF31" i="132"/>
  <c r="BU31" i="138"/>
  <c r="AD31" i="138" s="1"/>
  <c r="BU31" i="135"/>
  <c r="BU31" i="136"/>
  <c r="AD24" i="132"/>
  <c r="AD31" i="132" s="1"/>
  <c r="BU31" i="134"/>
  <c r="AD31" i="134"/>
  <c r="Q14" i="134"/>
  <c r="R32" i="127"/>
  <c r="R33" i="127" s="1"/>
  <c r="AS50" i="130"/>
  <c r="CI31" i="130"/>
  <c r="AR31" i="130"/>
  <c r="BD31" i="130"/>
  <c r="M31" i="130"/>
  <c r="AW31" i="130"/>
  <c r="N31" i="130"/>
  <c r="AE28" i="130"/>
  <c r="AE26" i="130"/>
  <c r="X54" i="131"/>
  <c r="X51" i="131"/>
  <c r="V53" i="131"/>
  <c r="BF53" i="131"/>
  <c r="K53" i="131" s="1"/>
  <c r="P53" i="131"/>
  <c r="AS53" i="132"/>
  <c r="CF53" i="132"/>
  <c r="AS50" i="132"/>
  <c r="AS30" i="132"/>
  <c r="AS93" i="132"/>
  <c r="AY31" i="138"/>
  <c r="L31" i="138" s="1"/>
  <c r="AY31" i="135"/>
  <c r="L31" i="135"/>
  <c r="AY31" i="136"/>
  <c r="L31" i="136" s="1"/>
  <c r="L24" i="132"/>
  <c r="L31" i="132" s="1"/>
  <c r="AY31" i="134"/>
  <c r="AV31" i="138"/>
  <c r="AV31" i="136"/>
  <c r="S31" i="136" s="1"/>
  <c r="AV31" i="135"/>
  <c r="S31" i="135" s="1"/>
  <c r="S24" i="132"/>
  <c r="S31" i="132" s="1"/>
  <c r="AV31" i="132"/>
  <c r="AV31" i="131"/>
  <c r="S31" i="131" s="1"/>
  <c r="AV31" i="134"/>
  <c r="BD14" i="132"/>
  <c r="M14" i="132" s="1"/>
  <c r="M7" i="132"/>
  <c r="Z127" i="134"/>
  <c r="AH14" i="135"/>
  <c r="X71" i="132"/>
  <c r="P53" i="132"/>
  <c r="Y30" i="132"/>
  <c r="Y50" i="132"/>
  <c r="CL31" i="136"/>
  <c r="CL31" i="138"/>
  <c r="CL31" i="135"/>
  <c r="CL107" i="135" s="1"/>
  <c r="CI31" i="138"/>
  <c r="AR31" i="138"/>
  <c r="CI31" i="135"/>
  <c r="CI107" i="135" s="1"/>
  <c r="CI31" i="136"/>
  <c r="CI107" i="136" s="1"/>
  <c r="AR31" i="136"/>
  <c r="BZ31" i="138"/>
  <c r="BZ107" i="138" s="1"/>
  <c r="BZ31" i="136"/>
  <c r="AH31" i="136" s="1"/>
  <c r="BZ31" i="135"/>
  <c r="AH31" i="135" s="1"/>
  <c r="AH24" i="132"/>
  <c r="AH31" i="132" s="1"/>
  <c r="BT31" i="138"/>
  <c r="BT107" i="138" s="1"/>
  <c r="BT31" i="136"/>
  <c r="BT31" i="134"/>
  <c r="BN31" i="138"/>
  <c r="BN107" i="138"/>
  <c r="BN31" i="135"/>
  <c r="Y31" i="135"/>
  <c r="BN31" i="136"/>
  <c r="BN107" i="136" s="1"/>
  <c r="Y31" i="136"/>
  <c r="BN31" i="134"/>
  <c r="BI31" i="136"/>
  <c r="X31" i="136" s="1"/>
  <c r="BI31" i="138"/>
  <c r="BI107" i="138" s="1"/>
  <c r="X31" i="138"/>
  <c r="BI31" i="135"/>
  <c r="X31" i="135"/>
  <c r="X24" i="132"/>
  <c r="X31" i="132"/>
  <c r="BA31" i="138"/>
  <c r="BA107" i="138"/>
  <c r="BA31" i="136"/>
  <c r="BA107" i="136"/>
  <c r="BA31" i="135"/>
  <c r="BA31" i="134"/>
  <c r="BA107" i="134" s="1"/>
  <c r="AX31" i="138"/>
  <c r="R31" i="138" s="1"/>
  <c r="AX107" i="138"/>
  <c r="AX31" i="136"/>
  <c r="AX31" i="135"/>
  <c r="R31" i="135" s="1"/>
  <c r="AX31" i="134"/>
  <c r="AX107" i="134" s="1"/>
  <c r="G31" i="138"/>
  <c r="G31" i="136"/>
  <c r="G31" i="134"/>
  <c r="AI14" i="134"/>
  <c r="CJ107" i="134"/>
  <c r="BI31" i="134"/>
  <c r="CI31" i="134"/>
  <c r="AR31" i="134" s="1"/>
  <c r="BN107" i="135"/>
  <c r="G31" i="135"/>
  <c r="AR14" i="136"/>
  <c r="M52" i="136"/>
  <c r="M53" i="136" s="1"/>
  <c r="O54" i="136"/>
  <c r="BE107" i="136"/>
  <c r="CH31" i="131"/>
  <c r="AM31" i="131" s="1"/>
  <c r="BM31" i="131"/>
  <c r="Z31" i="131" s="1"/>
  <c r="AS54" i="132"/>
  <c r="AE30" i="132"/>
  <c r="X30" i="132"/>
  <c r="AE27" i="132"/>
  <c r="CK31" i="138"/>
  <c r="AQ31" i="138" s="1"/>
  <c r="CK31" i="136"/>
  <c r="CK31" i="135"/>
  <c r="CK107" i="135" s="1"/>
  <c r="CK31" i="134"/>
  <c r="CK107" i="134" s="1"/>
  <c r="AQ31" i="134"/>
  <c r="CH31" i="136"/>
  <c r="AM31" i="136"/>
  <c r="CH31" i="138"/>
  <c r="CH107" i="138" s="1"/>
  <c r="CH31" i="135"/>
  <c r="CH107" i="135" s="1"/>
  <c r="CH31" i="134"/>
  <c r="AM31" i="134"/>
  <c r="AM24" i="132"/>
  <c r="AM31" i="132"/>
  <c r="CB31" i="138"/>
  <c r="CB31" i="136"/>
  <c r="AK31" i="136" s="1"/>
  <c r="CB31" i="135"/>
  <c r="AK31" i="135" s="1"/>
  <c r="AK24" i="132"/>
  <c r="AK31" i="132" s="1"/>
  <c r="BW31" i="136"/>
  <c r="AI31" i="136" s="1"/>
  <c r="BW31" i="138"/>
  <c r="BW107" i="138" s="1"/>
  <c r="AI31" i="138"/>
  <c r="BW31" i="135"/>
  <c r="AE24" i="132"/>
  <c r="AE31" i="132" s="1"/>
  <c r="BQ31" i="138"/>
  <c r="AA31" i="138" s="1"/>
  <c r="BQ31" i="135"/>
  <c r="AA31" i="135" s="1"/>
  <c r="BQ107" i="135"/>
  <c r="BQ31" i="136"/>
  <c r="BQ31" i="134"/>
  <c r="AA31" i="134" s="1"/>
  <c r="BM31" i="138"/>
  <c r="BM31" i="136"/>
  <c r="BM31" i="135"/>
  <c r="Z31" i="135" s="1"/>
  <c r="Z24" i="132"/>
  <c r="BC31" i="135"/>
  <c r="U31" i="135" s="1"/>
  <c r="BC31" i="136"/>
  <c r="U31" i="136" s="1"/>
  <c r="BC31" i="138"/>
  <c r="U31" i="138" s="1"/>
  <c r="P24" i="132"/>
  <c r="P31" i="132" s="1"/>
  <c r="AU31" i="138"/>
  <c r="Q31" i="138" s="1"/>
  <c r="AU31" i="136"/>
  <c r="Q31" i="136" s="1"/>
  <c r="AU31" i="134"/>
  <c r="Q31" i="134"/>
  <c r="F31" i="138"/>
  <c r="F31" i="135"/>
  <c r="F31" i="136"/>
  <c r="BU107" i="134"/>
  <c r="X31" i="134"/>
  <c r="BZ31" i="134"/>
  <c r="AH31" i="134" s="1"/>
  <c r="BE107" i="135"/>
  <c r="O14" i="135"/>
  <c r="W14" i="135"/>
  <c r="AU31" i="135"/>
  <c r="AC14" i="136"/>
  <c r="P54" i="132"/>
  <c r="CH53" i="132"/>
  <c r="AM53" i="132" s="1"/>
  <c r="CJ31" i="138"/>
  <c r="AN31" i="138" s="1"/>
  <c r="CJ31" i="136"/>
  <c r="AN31" i="136"/>
  <c r="CJ31" i="135"/>
  <c r="AN31" i="135" s="1"/>
  <c r="AN24" i="132"/>
  <c r="CG31" i="138"/>
  <c r="CG31" i="136"/>
  <c r="AS31" i="136"/>
  <c r="CG31" i="135"/>
  <c r="AS31" i="135"/>
  <c r="CD31" i="138"/>
  <c r="AP31" i="138" s="1"/>
  <c r="CD31" i="136"/>
  <c r="AP31" i="136" s="1"/>
  <c r="CD31" i="135"/>
  <c r="AP31" i="135" s="1"/>
  <c r="CD31" i="134"/>
  <c r="AP31" i="134" s="1"/>
  <c r="BY31" i="138"/>
  <c r="AJ31" i="138" s="1"/>
  <c r="BY31" i="135"/>
  <c r="AJ31" i="135" s="1"/>
  <c r="BY31" i="134"/>
  <c r="AJ31" i="134" s="1"/>
  <c r="BV31" i="138"/>
  <c r="BV107" i="138" s="1"/>
  <c r="BV31" i="136"/>
  <c r="BV107" i="136" s="1"/>
  <c r="AG31" i="136"/>
  <c r="BV31" i="135"/>
  <c r="AG31" i="135"/>
  <c r="BV31" i="134"/>
  <c r="AG31" i="134"/>
  <c r="BP31" i="138"/>
  <c r="BP31" i="136"/>
  <c r="AB31" i="136" s="1"/>
  <c r="AB24" i="132"/>
  <c r="AB31" i="132" s="1"/>
  <c r="BF31" i="138"/>
  <c r="K31" i="138" s="1"/>
  <c r="BF31" i="136"/>
  <c r="K31" i="136"/>
  <c r="BF31" i="135"/>
  <c r="BF31" i="134"/>
  <c r="K31" i="134" s="1"/>
  <c r="AZ31" i="138"/>
  <c r="AZ31" i="136"/>
  <c r="AZ107" i="136"/>
  <c r="AZ31" i="135"/>
  <c r="P31" i="135" s="1"/>
  <c r="AT31" i="138"/>
  <c r="AT31" i="136"/>
  <c r="R31" i="136" s="1"/>
  <c r="R24" i="132"/>
  <c r="R31" i="132"/>
  <c r="I31" i="136"/>
  <c r="I31" i="138"/>
  <c r="BH107" i="134"/>
  <c r="BO107" i="134"/>
  <c r="BV107" i="134"/>
  <c r="I31" i="134"/>
  <c r="AT31" i="134"/>
  <c r="AT107" i="134" s="1"/>
  <c r="BC31" i="134"/>
  <c r="U31" i="134" s="1"/>
  <c r="BP31" i="134"/>
  <c r="BP107" i="134" s="1"/>
  <c r="CL31" i="134"/>
  <c r="AS14" i="135"/>
  <c r="AY107" i="135"/>
  <c r="L14" i="135"/>
  <c r="BL107" i="135"/>
  <c r="BP31" i="135"/>
  <c r="AB31" i="135" s="1"/>
  <c r="CE31" i="138"/>
  <c r="CE31" i="136"/>
  <c r="AL31" i="136" s="1"/>
  <c r="CE31" i="135"/>
  <c r="AL31" i="135" s="1"/>
  <c r="CC31" i="138"/>
  <c r="CC31" i="136"/>
  <c r="AO31" i="136"/>
  <c r="BX31" i="138"/>
  <c r="AC31" i="138" s="1"/>
  <c r="BX31" i="136"/>
  <c r="AC31" i="136" s="1"/>
  <c r="BX31" i="135"/>
  <c r="AC31" i="135" s="1"/>
  <c r="BS31" i="138"/>
  <c r="AE31" i="138" s="1"/>
  <c r="BS31" i="135"/>
  <c r="BS31" i="136"/>
  <c r="BS107" i="136" s="1"/>
  <c r="BD31" i="138"/>
  <c r="BD31" i="136"/>
  <c r="M31" i="136" s="1"/>
  <c r="BB31" i="138"/>
  <c r="BB107" i="138" s="1"/>
  <c r="BB31" i="136"/>
  <c r="T31" i="136"/>
  <c r="AW31" i="136"/>
  <c r="AW107" i="136" s="1"/>
  <c r="AW31" i="138"/>
  <c r="N31" i="138" s="1"/>
  <c r="AW31" i="135"/>
  <c r="N31" i="135" s="1"/>
  <c r="H31" i="138"/>
  <c r="H31" i="135"/>
  <c r="H31" i="136"/>
  <c r="BX31" i="134"/>
  <c r="BX107" i="134" s="1"/>
  <c r="T71" i="134"/>
  <c r="AB71" i="134"/>
  <c r="AJ71" i="134"/>
  <c r="AR71" i="134"/>
  <c r="AT107" i="135"/>
  <c r="AW107" i="135"/>
  <c r="AZ107" i="135"/>
  <c r="BK107" i="135"/>
  <c r="BY107" i="135"/>
  <c r="BO107" i="135"/>
  <c r="AA52" i="135"/>
  <c r="AA53" i="135" s="1"/>
  <c r="BA107" i="135"/>
  <c r="BB107" i="136"/>
  <c r="BF107" i="136"/>
  <c r="BJ107" i="136"/>
  <c r="M30" i="136"/>
  <c r="BH107" i="136"/>
  <c r="AR14" i="135"/>
  <c r="AS47" i="135"/>
  <c r="M52" i="135"/>
  <c r="M53" i="135" s="1"/>
  <c r="Y52" i="135"/>
  <c r="AK52" i="135"/>
  <c r="AK53" i="135" s="1"/>
  <c r="CG107" i="135"/>
  <c r="S14" i="136"/>
  <c r="BP107" i="136"/>
  <c r="CF107" i="136"/>
  <c r="AN14" i="136"/>
  <c r="CJ107" i="136"/>
  <c r="BI107" i="135"/>
  <c r="P54" i="135"/>
  <c r="K52" i="135"/>
  <c r="K53" i="135" s="1"/>
  <c r="AE52" i="135"/>
  <c r="AE53" i="135" s="1"/>
  <c r="AG52" i="135"/>
  <c r="AG53" i="135" s="1"/>
  <c r="CC107" i="136"/>
  <c r="CK107" i="136"/>
  <c r="AC52" i="136"/>
  <c r="AK52" i="136"/>
  <c r="AK53" i="136" s="1"/>
  <c r="Q14" i="138"/>
  <c r="BS107" i="138"/>
  <c r="AS14" i="136"/>
  <c r="AX107" i="136"/>
  <c r="CH107" i="136"/>
  <c r="V31" i="136"/>
  <c r="AR52" i="136"/>
  <c r="AR53" i="136" s="1"/>
  <c r="AJ52" i="136"/>
  <c r="AJ53" i="136" s="1"/>
  <c r="CG107" i="136"/>
  <c r="Z127" i="136"/>
  <c r="AH127" i="136"/>
  <c r="AP127" i="136"/>
  <c r="BQ107" i="138"/>
  <c r="N12" i="138"/>
  <c r="BK107" i="138"/>
  <c r="BU107" i="138"/>
  <c r="AD12" i="138"/>
  <c r="CI107" i="138"/>
  <c r="AR12" i="138"/>
  <c r="X14" i="138"/>
  <c r="AE14" i="138"/>
  <c r="AA12" i="138"/>
  <c r="BE107" i="138"/>
  <c r="AJ12" i="138"/>
  <c r="Y14" i="138"/>
  <c r="Y31" i="138"/>
  <c r="U52" i="138"/>
  <c r="U53" i="138" s="1"/>
  <c r="Z52" i="138"/>
  <c r="Z53" i="138" s="1"/>
  <c r="AD52" i="138"/>
  <c r="AD53" i="138" s="1"/>
  <c r="AR52" i="138"/>
  <c r="AR53" i="138" s="1"/>
  <c r="L44" i="136"/>
  <c r="P44" i="136"/>
  <c r="T44" i="136"/>
  <c r="X44" i="136"/>
  <c r="AB44" i="136"/>
  <c r="AF44" i="136"/>
  <c r="AJ44" i="136"/>
  <c r="AN44" i="136"/>
  <c r="AR44" i="136"/>
  <c r="M44" i="135"/>
  <c r="Q44" i="135"/>
  <c r="U44" i="135"/>
  <c r="Y44" i="135"/>
  <c r="AC44" i="135"/>
  <c r="AG44" i="135"/>
  <c r="AK44" i="135"/>
  <c r="AO44" i="135"/>
  <c r="AS44" i="135"/>
  <c r="N44" i="134"/>
  <c r="R44" i="134"/>
  <c r="V44" i="134"/>
  <c r="Z44" i="134"/>
  <c r="AD44" i="134"/>
  <c r="AH44" i="134"/>
  <c r="AL44" i="134"/>
  <c r="AP44" i="134"/>
  <c r="AT107" i="138"/>
  <c r="BL107" i="138"/>
  <c r="M44" i="136"/>
  <c r="Q44" i="136"/>
  <c r="U44" i="136"/>
  <c r="Y44" i="136"/>
  <c r="AC44" i="136"/>
  <c r="AG44" i="136"/>
  <c r="AK44" i="136"/>
  <c r="AO44" i="136"/>
  <c r="AS44" i="136"/>
  <c r="N44" i="135"/>
  <c r="R44" i="135"/>
  <c r="V44" i="135"/>
  <c r="Z44" i="135"/>
  <c r="AD44" i="135"/>
  <c r="AH44" i="135"/>
  <c r="AL44" i="135"/>
  <c r="AP44" i="135"/>
  <c r="K44" i="134"/>
  <c r="O44" i="134"/>
  <c r="S44" i="134"/>
  <c r="W44" i="134"/>
  <c r="AA44" i="134"/>
  <c r="AE44" i="134"/>
  <c r="AI44" i="134"/>
  <c r="AM44" i="134"/>
  <c r="AQ44" i="134"/>
  <c r="N44" i="136"/>
  <c r="R44" i="136"/>
  <c r="V44" i="136"/>
  <c r="Z44" i="136"/>
  <c r="AD44" i="136"/>
  <c r="AH44" i="136"/>
  <c r="AL44" i="136"/>
  <c r="AP44" i="136"/>
  <c r="L44" i="134"/>
  <c r="P44" i="134"/>
  <c r="T44" i="134"/>
  <c r="X44" i="134"/>
  <c r="AB44" i="134"/>
  <c r="AF44" i="134"/>
  <c r="AJ44" i="134"/>
  <c r="AN44" i="134"/>
  <c r="AR44" i="134"/>
  <c r="AK52" i="138"/>
  <c r="AK53" i="138" s="1"/>
  <c r="L44" i="135"/>
  <c r="P44" i="135"/>
  <c r="T44" i="135"/>
  <c r="X44" i="135"/>
  <c r="AB44" i="135"/>
  <c r="AF44" i="135"/>
  <c r="AJ44" i="135"/>
  <c r="AN44" i="135"/>
  <c r="AR44" i="135"/>
  <c r="AL31" i="138"/>
  <c r="CE107" i="138"/>
  <c r="BC107" i="138"/>
  <c r="BQ107" i="136"/>
  <c r="AA31" i="136"/>
  <c r="AI31" i="135"/>
  <c r="BW107" i="135"/>
  <c r="CB107" i="135"/>
  <c r="CH107" i="134"/>
  <c r="BT107" i="134"/>
  <c r="S31" i="134"/>
  <c r="BZ107" i="134"/>
  <c r="W31" i="134"/>
  <c r="BR107" i="138"/>
  <c r="BY107" i="136"/>
  <c r="N31" i="136"/>
  <c r="M31" i="138"/>
  <c r="BD107" i="138"/>
  <c r="AO31" i="138"/>
  <c r="CC107" i="138"/>
  <c r="AS31" i="138"/>
  <c r="CG107" i="138"/>
  <c r="CJ107" i="138"/>
  <c r="BC107" i="136"/>
  <c r="Z31" i="136"/>
  <c r="BM107" i="136"/>
  <c r="AQ31" i="135"/>
  <c r="CE107" i="136"/>
  <c r="BZ107" i="135"/>
  <c r="AY107" i="136"/>
  <c r="AD31" i="136"/>
  <c r="BU107" i="136"/>
  <c r="BJ107" i="135"/>
  <c r="AY107" i="125"/>
  <c r="AE31" i="136"/>
  <c r="K31" i="135"/>
  <c r="BF107" i="135"/>
  <c r="Z31" i="138"/>
  <c r="BM107" i="138"/>
  <c r="BW107" i="136"/>
  <c r="AK31" i="138"/>
  <c r="CB107" i="138"/>
  <c r="AM31" i="138"/>
  <c r="AQ31" i="136"/>
  <c r="P31" i="136"/>
  <c r="AH31" i="138"/>
  <c r="BM107" i="135"/>
  <c r="S31" i="138"/>
  <c r="AV107" i="138"/>
  <c r="AU107" i="134"/>
  <c r="AD31" i="135"/>
  <c r="BU107" i="135"/>
  <c r="AF31" i="136"/>
  <c r="BV107" i="135"/>
  <c r="AC31" i="134"/>
  <c r="T31" i="138"/>
  <c r="BS107" i="135"/>
  <c r="AB31" i="138"/>
  <c r="BP107" i="138"/>
  <c r="AG31" i="138"/>
  <c r="AU107" i="135"/>
  <c r="Q31" i="135"/>
  <c r="BQ107" i="134"/>
  <c r="BI107" i="136"/>
  <c r="CL107" i="138"/>
  <c r="L31" i="134"/>
  <c r="AF31" i="135"/>
  <c r="CA107" i="135"/>
  <c r="W31" i="136"/>
  <c r="BR107" i="136"/>
  <c r="BJ107" i="138"/>
  <c r="AE65" i="140"/>
  <c r="AE67" i="140" s="1"/>
  <c r="P65" i="140"/>
  <c r="P67" i="140" s="1"/>
  <c r="AA50" i="140"/>
  <c r="AE50" i="140"/>
  <c r="BX107" i="140"/>
  <c r="BY107" i="140"/>
  <c r="AY107" i="140"/>
  <c r="BE107" i="140"/>
  <c r="BV107" i="140"/>
  <c r="CD107" i="140"/>
  <c r="CA107" i="140"/>
  <c r="O52" i="140"/>
  <c r="O53" i="140" s="1"/>
  <c r="AG52" i="140"/>
  <c r="AG53" i="140" s="1"/>
  <c r="AP52" i="140"/>
  <c r="AP53" i="140" s="1"/>
  <c r="AD71" i="140"/>
  <c r="AF71" i="140"/>
  <c r="AR71" i="140"/>
  <c r="P14" i="140"/>
  <c r="V12" i="140"/>
  <c r="X12" i="140"/>
  <c r="BK107" i="140"/>
  <c r="S52" i="140"/>
  <c r="S53" i="140" s="1"/>
  <c r="CI107" i="140"/>
  <c r="AE54" i="140"/>
  <c r="G71" i="140"/>
  <c r="R71" i="140"/>
  <c r="T71" i="140"/>
  <c r="V71" i="140"/>
  <c r="X71" i="140"/>
  <c r="Z71" i="140"/>
  <c r="AJ71" i="140"/>
  <c r="AL71" i="140"/>
  <c r="AN71" i="140"/>
  <c r="F71" i="140"/>
  <c r="M71" i="140"/>
  <c r="S71" i="140"/>
  <c r="W71" i="140"/>
  <c r="AI71" i="140"/>
  <c r="AM71" i="140"/>
  <c r="AS71" i="140"/>
  <c r="W107" i="140"/>
  <c r="R12" i="140"/>
  <c r="BA107" i="140"/>
  <c r="AE12" i="140"/>
  <c r="CJ107" i="140"/>
  <c r="V14" i="140"/>
  <c r="X31" i="140"/>
  <c r="Z52" i="140"/>
  <c r="Z53" i="140" s="1"/>
  <c r="AL52" i="140"/>
  <c r="AL53" i="140" s="1"/>
  <c r="G63" i="122"/>
  <c r="P71" i="140"/>
  <c r="Q71" i="140"/>
  <c r="U71" i="140"/>
  <c r="AG71" i="140"/>
  <c r="AK71" i="140"/>
  <c r="I71" i="140"/>
  <c r="AH71" i="140"/>
  <c r="AP71" i="140"/>
  <c r="P12" i="140"/>
  <c r="BH107" i="140"/>
  <c r="G9" i="122"/>
  <c r="CF107" i="140"/>
  <c r="P30" i="140"/>
  <c r="AS32" i="140"/>
  <c r="AS33" i="140" s="1"/>
  <c r="N52" i="140"/>
  <c r="N53" i="140" s="1"/>
  <c r="R52" i="140"/>
  <c r="R53" i="140" s="1"/>
  <c r="AD52" i="140"/>
  <c r="AD53" i="140" s="1"/>
  <c r="AH52" i="140"/>
  <c r="AH53" i="140" s="1"/>
  <c r="AJ52" i="140"/>
  <c r="AJ53" i="140" s="1"/>
  <c r="AM52" i="140"/>
  <c r="AM53" i="140" s="1"/>
  <c r="L52" i="140"/>
  <c r="L53" i="140" s="1"/>
  <c r="L21" i="140"/>
  <c r="T21" i="140"/>
  <c r="AF21" i="140"/>
  <c r="AN21" i="140"/>
  <c r="G66" i="122"/>
  <c r="CL71" i="140"/>
  <c r="H71" i="140"/>
  <c r="Y71" i="140"/>
  <c r="AO71" i="140"/>
  <c r="F30" i="140"/>
  <c r="Y53" i="132"/>
  <c r="G74" i="122"/>
  <c r="G72" i="122"/>
  <c r="AE71" i="140"/>
  <c r="AB71" i="140"/>
  <c r="AN65" i="132"/>
  <c r="AN67" i="132"/>
  <c r="I65" i="132"/>
  <c r="I67" i="132"/>
  <c r="AJ65" i="132"/>
  <c r="AJ67" i="132"/>
  <c r="AC65" i="132"/>
  <c r="AC67" i="132"/>
  <c r="H65" i="132"/>
  <c r="H67" i="132"/>
  <c r="AD65" i="132"/>
  <c r="AD67" i="132"/>
  <c r="G65" i="132"/>
  <c r="G67" i="132"/>
  <c r="K65" i="132"/>
  <c r="K67" i="132" s="1"/>
  <c r="N65" i="132"/>
  <c r="N67" i="132" s="1"/>
  <c r="F65" i="132"/>
  <c r="F67" i="132" s="1"/>
  <c r="S65" i="132"/>
  <c r="S67" i="132" s="1"/>
  <c r="F67" i="134"/>
  <c r="F82" i="141"/>
  <c r="G82" i="141"/>
  <c r="I82" i="141"/>
  <c r="L82" i="141"/>
  <c r="T82" i="141"/>
  <c r="X82" i="141"/>
  <c r="AB82" i="141"/>
  <c r="AF82" i="141"/>
  <c r="AJ82" i="141"/>
  <c r="AN82" i="141"/>
  <c r="AR82" i="141"/>
  <c r="Y14" i="141"/>
  <c r="AA14" i="141"/>
  <c r="AE14" i="141"/>
  <c r="AS14" i="141"/>
  <c r="P14" i="141"/>
  <c r="R14" i="141"/>
  <c r="V14" i="141"/>
  <c r="X14" i="141"/>
  <c r="AS30" i="141"/>
  <c r="AU31" i="141"/>
  <c r="Q31" i="141"/>
  <c r="AU30" i="141"/>
  <c r="Q30" i="141"/>
  <c r="N23" i="141"/>
  <c r="AW31" i="141"/>
  <c r="N31" i="141" s="1"/>
  <c r="AW30" i="141"/>
  <c r="N30" i="141" s="1"/>
  <c r="L23" i="141"/>
  <c r="AY31" i="141"/>
  <c r="L31" i="141"/>
  <c r="AY30" i="141"/>
  <c r="L30" i="141"/>
  <c r="P23" i="141"/>
  <c r="BA31" i="141"/>
  <c r="BA107" i="141" s="1"/>
  <c r="BA30" i="141"/>
  <c r="BC31" i="141"/>
  <c r="U31" i="141" s="1"/>
  <c r="BC30" i="141"/>
  <c r="U30" i="141" s="1"/>
  <c r="BE31" i="141"/>
  <c r="O31" i="141" s="1"/>
  <c r="BE30" i="141"/>
  <c r="O30" i="141" s="1"/>
  <c r="V23" i="141"/>
  <c r="BG31" i="141"/>
  <c r="BG30" i="141"/>
  <c r="BG107" i="141" s="1"/>
  <c r="X23" i="141"/>
  <c r="X30" i="141" s="1"/>
  <c r="BI31" i="141"/>
  <c r="X31" i="141" s="1"/>
  <c r="BI30" i="141"/>
  <c r="BK31" i="141"/>
  <c r="BK30" i="141"/>
  <c r="BK107" i="141" s="1"/>
  <c r="Z23" i="141"/>
  <c r="BM31" i="141"/>
  <c r="Z31" i="141" s="1"/>
  <c r="BM30" i="141"/>
  <c r="Z30" i="141" s="1"/>
  <c r="BO31" i="141"/>
  <c r="BO30" i="141"/>
  <c r="BQ31" i="141"/>
  <c r="BQ107" i="141" s="1"/>
  <c r="BQ30" i="141"/>
  <c r="BS31" i="141"/>
  <c r="BS30" i="141"/>
  <c r="BS107" i="141" s="1"/>
  <c r="AD23" i="141"/>
  <c r="BU31" i="141"/>
  <c r="AD31" i="141" s="1"/>
  <c r="BU30" i="141"/>
  <c r="AD30" i="141" s="1"/>
  <c r="BW31" i="141"/>
  <c r="AI31" i="141" s="1"/>
  <c r="BW30" i="141"/>
  <c r="AI30" i="141" s="1"/>
  <c r="AJ23" i="141"/>
  <c r="BY31" i="141"/>
  <c r="AJ31" i="141"/>
  <c r="BY30" i="141"/>
  <c r="AJ30" i="141"/>
  <c r="AF23" i="141"/>
  <c r="CA31" i="141"/>
  <c r="AF31" i="141" s="1"/>
  <c r="CA30" i="141"/>
  <c r="AF30" i="141" s="1"/>
  <c r="CC31" i="141"/>
  <c r="AO31" i="141" s="1"/>
  <c r="CC30" i="141"/>
  <c r="AO30" i="141" s="1"/>
  <c r="AL23" i="141"/>
  <c r="CE31" i="141"/>
  <c r="AL31" i="141"/>
  <c r="CE30" i="141"/>
  <c r="CE107" i="141" s="1"/>
  <c r="AL30" i="141"/>
  <c r="CG31" i="141"/>
  <c r="CG30" i="141"/>
  <c r="AR23" i="141"/>
  <c r="CI31" i="141"/>
  <c r="AR31" i="141" s="1"/>
  <c r="CI30" i="141"/>
  <c r="AR30" i="141" s="1"/>
  <c r="CK31" i="141"/>
  <c r="AQ31" i="141" s="1"/>
  <c r="CK30" i="141"/>
  <c r="AQ30" i="141" s="1"/>
  <c r="K12" i="141"/>
  <c r="M12" i="141"/>
  <c r="S12" i="141"/>
  <c r="W12" i="141"/>
  <c r="W107" i="141"/>
  <c r="Y12" i="141"/>
  <c r="AC12" i="141"/>
  <c r="AE12" i="141"/>
  <c r="AG12" i="141"/>
  <c r="AK12" i="141"/>
  <c r="AS12" i="141"/>
  <c r="AU107" i="141"/>
  <c r="AW107" i="141"/>
  <c r="BI107" i="141"/>
  <c r="BU107" i="141"/>
  <c r="BY107" i="141"/>
  <c r="CG107" i="141"/>
  <c r="CK107" i="141"/>
  <c r="F31" i="141"/>
  <c r="F30" i="141"/>
  <c r="H31" i="141"/>
  <c r="H30" i="141"/>
  <c r="O23" i="141"/>
  <c r="AA23" i="141"/>
  <c r="AA30" i="141" s="1"/>
  <c r="AI23" i="141"/>
  <c r="AO23" i="141"/>
  <c r="AQ23" i="141"/>
  <c r="AS32" i="141"/>
  <c r="AS33" i="141" s="1"/>
  <c r="P32" i="141"/>
  <c r="P33" i="141" s="1"/>
  <c r="R32" i="141"/>
  <c r="R33" i="141" s="1"/>
  <c r="X32" i="141"/>
  <c r="X33" i="141" s="1"/>
  <c r="P127" i="141"/>
  <c r="P93" i="141"/>
  <c r="P50" i="141"/>
  <c r="R127" i="141"/>
  <c r="R93" i="141"/>
  <c r="R50" i="141"/>
  <c r="V127" i="141"/>
  <c r="V93" i="141"/>
  <c r="V50" i="141"/>
  <c r="X127" i="141"/>
  <c r="X93" i="141"/>
  <c r="X50" i="141"/>
  <c r="Y54" i="141"/>
  <c r="Y51" i="141"/>
  <c r="AA54" i="141"/>
  <c r="AA51" i="141"/>
  <c r="AE54" i="141"/>
  <c r="AE51" i="141"/>
  <c r="Y50" i="141"/>
  <c r="AA50" i="141"/>
  <c r="AE50" i="141"/>
  <c r="K67" i="141"/>
  <c r="M67" i="141"/>
  <c r="O67" i="141"/>
  <c r="Q67" i="141"/>
  <c r="S67" i="141"/>
  <c r="U67" i="141"/>
  <c r="W67" i="141"/>
  <c r="Y67" i="141"/>
  <c r="AA67" i="141"/>
  <c r="AC67" i="141"/>
  <c r="AE67" i="141"/>
  <c r="AG67" i="141"/>
  <c r="AI67" i="141"/>
  <c r="AK67" i="141"/>
  <c r="AM67" i="141"/>
  <c r="AO67" i="141"/>
  <c r="AQ67" i="141"/>
  <c r="AS67" i="141"/>
  <c r="G30" i="141"/>
  <c r="I30" i="141"/>
  <c r="R30" i="141"/>
  <c r="AV30" i="141"/>
  <c r="S30" i="141"/>
  <c r="AX30" i="141"/>
  <c r="AZ30" i="141"/>
  <c r="BB30" i="141"/>
  <c r="T30" i="141"/>
  <c r="BD30" i="141"/>
  <c r="M30" i="141" s="1"/>
  <c r="BF30" i="141"/>
  <c r="K30" i="141"/>
  <c r="BH30" i="141"/>
  <c r="BH107" i="141" s="1"/>
  <c r="BJ30" i="141"/>
  <c r="BL30" i="141"/>
  <c r="BL107" i="141"/>
  <c r="BN30" i="141"/>
  <c r="BP30" i="141"/>
  <c r="AB30" i="141"/>
  <c r="BR30" i="141"/>
  <c r="W30" i="141" s="1"/>
  <c r="BT30" i="141"/>
  <c r="BV30" i="141"/>
  <c r="AG30" i="141"/>
  <c r="BX30" i="141"/>
  <c r="AC30" i="141"/>
  <c r="BZ30" i="141"/>
  <c r="AH30" i="141"/>
  <c r="CB30" i="141"/>
  <c r="AK30" i="141"/>
  <c r="CD30" i="141"/>
  <c r="AP30" i="141"/>
  <c r="CF30" i="141"/>
  <c r="CH30" i="141"/>
  <c r="AM30" i="141"/>
  <c r="CJ30" i="141"/>
  <c r="AN30" i="141"/>
  <c r="CF31" i="141"/>
  <c r="AS31" i="141"/>
  <c r="AS93" i="141"/>
  <c r="AS50" i="141"/>
  <c r="P51" i="141"/>
  <c r="P54" i="141"/>
  <c r="R51" i="141"/>
  <c r="R54" i="141"/>
  <c r="V51" i="141"/>
  <c r="V54" i="141"/>
  <c r="X51" i="141"/>
  <c r="X54" i="141"/>
  <c r="L67" i="141"/>
  <c r="N67" i="141"/>
  <c r="P67" i="141"/>
  <c r="R67" i="141"/>
  <c r="T67" i="141"/>
  <c r="V67" i="141"/>
  <c r="X67" i="141"/>
  <c r="Z67" i="141"/>
  <c r="AB67" i="141"/>
  <c r="AD67" i="141"/>
  <c r="AF67" i="141"/>
  <c r="AH67" i="141"/>
  <c r="AJ67" i="141"/>
  <c r="AL67" i="141"/>
  <c r="AN67" i="141"/>
  <c r="AP67" i="141"/>
  <c r="AR67" i="141"/>
  <c r="H82" i="141"/>
  <c r="K82" i="141"/>
  <c r="M82" i="141"/>
  <c r="O82" i="141"/>
  <c r="Q82" i="141"/>
  <c r="S82" i="141"/>
  <c r="U82" i="141"/>
  <c r="W82" i="141"/>
  <c r="Y82" i="141"/>
  <c r="AA82" i="141"/>
  <c r="AC82" i="141"/>
  <c r="AE82" i="141"/>
  <c r="AG82" i="141"/>
  <c r="AI82" i="141"/>
  <c r="AK82" i="141"/>
  <c r="AM82" i="141"/>
  <c r="AO82" i="141"/>
  <c r="AQ82" i="141"/>
  <c r="AS82" i="141"/>
  <c r="K127" i="141"/>
  <c r="M127" i="141"/>
  <c r="O127" i="141"/>
  <c r="Q127" i="141"/>
  <c r="S127" i="141"/>
  <c r="U127" i="141"/>
  <c r="W127" i="141"/>
  <c r="Y127" i="141"/>
  <c r="AA127" i="141"/>
  <c r="AC127" i="141"/>
  <c r="AE127" i="141"/>
  <c r="AG127" i="141"/>
  <c r="AI127" i="141"/>
  <c r="AK127" i="141"/>
  <c r="AM127" i="141"/>
  <c r="AO127" i="141"/>
  <c r="AQ127" i="141"/>
  <c r="AS127" i="141"/>
  <c r="V30" i="141"/>
  <c r="AA31" i="141"/>
  <c r="P30" i="141"/>
  <c r="I14" i="141"/>
  <c r="H14" i="141"/>
  <c r="G14" i="141"/>
  <c r="F14" i="141"/>
  <c r="AR84" i="127"/>
  <c r="AR82" i="127"/>
  <c r="AP84" i="127"/>
  <c r="AP82" i="127"/>
  <c r="AN84" i="127"/>
  <c r="AN82" i="127"/>
  <c r="AL84" i="127"/>
  <c r="AL82" i="127"/>
  <c r="AJ84" i="127"/>
  <c r="AJ82" i="127"/>
  <c r="AH84" i="127"/>
  <c r="AH82" i="127"/>
  <c r="AF84" i="127"/>
  <c r="AF82" i="127"/>
  <c r="AD84" i="127"/>
  <c r="AD82" i="127"/>
  <c r="AB84" i="127"/>
  <c r="AB82" i="127"/>
  <c r="Z84" i="127"/>
  <c r="Z82" i="127"/>
  <c r="X84" i="127"/>
  <c r="X82" i="127"/>
  <c r="V84" i="127"/>
  <c r="V82" i="127"/>
  <c r="T84" i="127"/>
  <c r="T82" i="127"/>
  <c r="R84" i="127"/>
  <c r="R82" i="127"/>
  <c r="P84" i="127"/>
  <c r="P82" i="127"/>
  <c r="N84" i="127"/>
  <c r="N82" i="127"/>
  <c r="L84" i="127"/>
  <c r="L82" i="127"/>
  <c r="AS84" i="127"/>
  <c r="AS82" i="127"/>
  <c r="AQ84" i="127"/>
  <c r="AQ82" i="127"/>
  <c r="AO84" i="127"/>
  <c r="AO82" i="127"/>
  <c r="AM84" i="127"/>
  <c r="AM82" i="127"/>
  <c r="AK84" i="127"/>
  <c r="AK82" i="127"/>
  <c r="AI84" i="127"/>
  <c r="AI82" i="127"/>
  <c r="AG84" i="127"/>
  <c r="AG82" i="127"/>
  <c r="AE84" i="127"/>
  <c r="AE82" i="127"/>
  <c r="AC84" i="127"/>
  <c r="AC82" i="127"/>
  <c r="AA84" i="127"/>
  <c r="AA82" i="127"/>
  <c r="Y84" i="127"/>
  <c r="Y82" i="127"/>
  <c r="W84" i="127"/>
  <c r="W82" i="127"/>
  <c r="U84" i="127"/>
  <c r="U82" i="127"/>
  <c r="S84" i="127"/>
  <c r="S82" i="127"/>
  <c r="Q84" i="127"/>
  <c r="Q82" i="127"/>
  <c r="O84" i="127"/>
  <c r="O82" i="127"/>
  <c r="M84" i="127"/>
  <c r="M82" i="127"/>
  <c r="K84" i="127"/>
  <c r="K82" i="127"/>
  <c r="AS82" i="130"/>
  <c r="AQ82" i="130"/>
  <c r="AO82" i="130"/>
  <c r="AM82" i="130"/>
  <c r="AK84" i="130"/>
  <c r="AK82" i="130"/>
  <c r="AI84" i="130"/>
  <c r="AI82" i="130"/>
  <c r="AG84" i="130"/>
  <c r="AG82" i="130"/>
  <c r="AE84" i="130"/>
  <c r="AE82" i="130"/>
  <c r="AC84" i="130"/>
  <c r="AC82" i="130"/>
  <c r="AA84" i="130"/>
  <c r="AA82" i="130"/>
  <c r="Y84" i="130"/>
  <c r="Y82" i="130"/>
  <c r="W84" i="130"/>
  <c r="W82" i="130"/>
  <c r="U84" i="130"/>
  <c r="U82" i="130"/>
  <c r="S84" i="130"/>
  <c r="S82" i="130"/>
  <c r="P84" i="130"/>
  <c r="P82" i="130"/>
  <c r="N84" i="130"/>
  <c r="N82" i="130"/>
  <c r="L84" i="130"/>
  <c r="L82" i="130"/>
  <c r="AR82" i="130"/>
  <c r="AP82" i="130"/>
  <c r="AN82" i="130"/>
  <c r="AL84" i="130"/>
  <c r="AL82" i="130"/>
  <c r="AJ84" i="130"/>
  <c r="AJ82" i="130"/>
  <c r="AH84" i="130"/>
  <c r="AH82" i="130"/>
  <c r="AF84" i="130"/>
  <c r="AF82" i="130"/>
  <c r="AD84" i="130"/>
  <c r="AD82" i="130"/>
  <c r="AB84" i="130"/>
  <c r="AB82" i="130"/>
  <c r="Z84" i="130"/>
  <c r="Z82" i="130"/>
  <c r="X84" i="130"/>
  <c r="X82" i="130"/>
  <c r="V84" i="130"/>
  <c r="V82" i="130"/>
  <c r="T84" i="130"/>
  <c r="T82" i="130"/>
  <c r="R84" i="130"/>
  <c r="R82" i="130"/>
  <c r="O84" i="130"/>
  <c r="O82" i="130"/>
  <c r="M84" i="130"/>
  <c r="M82" i="130"/>
  <c r="K84" i="130"/>
  <c r="K82" i="130"/>
  <c r="X14" i="134"/>
  <c r="V14" i="134"/>
  <c r="CL107" i="134"/>
  <c r="Y31" i="134"/>
  <c r="BN107" i="134"/>
  <c r="Y14" i="134"/>
  <c r="AA14" i="134"/>
  <c r="BC107" i="134"/>
  <c r="BI107" i="134"/>
  <c r="AY107" i="134"/>
  <c r="N127" i="134"/>
  <c r="AH127" i="134"/>
  <c r="AP127" i="134"/>
  <c r="L67" i="134"/>
  <c r="N67" i="134"/>
  <c r="P67" i="134"/>
  <c r="R67" i="134"/>
  <c r="T67" i="134"/>
  <c r="V67" i="134"/>
  <c r="X67" i="134"/>
  <c r="Z67" i="134"/>
  <c r="AB67" i="134"/>
  <c r="AD67" i="134"/>
  <c r="AF67" i="134"/>
  <c r="AH67" i="134"/>
  <c r="AJ67" i="134"/>
  <c r="AL67" i="134"/>
  <c r="AN67" i="134"/>
  <c r="AP67" i="134"/>
  <c r="AR67" i="134"/>
  <c r="BR107" i="134"/>
  <c r="AV107" i="134"/>
  <c r="CA107" i="134"/>
  <c r="V31" i="134"/>
  <c r="V30" i="134"/>
  <c r="P30" i="134"/>
  <c r="K67" i="134"/>
  <c r="M67" i="134"/>
  <c r="O67" i="134"/>
  <c r="Q67" i="134"/>
  <c r="S67" i="134"/>
  <c r="U67" i="134"/>
  <c r="W67" i="134"/>
  <c r="Y67" i="134"/>
  <c r="AA67" i="134"/>
  <c r="AC67" i="134"/>
  <c r="AE67" i="134"/>
  <c r="AG67" i="134"/>
  <c r="AI67" i="134"/>
  <c r="AK67" i="134"/>
  <c r="AM67" i="134"/>
  <c r="AO67" i="134"/>
  <c r="AQ67" i="134"/>
  <c r="AS67" i="134"/>
  <c r="G82" i="134"/>
  <c r="G84" i="134"/>
  <c r="G107" i="134" s="1"/>
  <c r="I84" i="134"/>
  <c r="I82" i="134"/>
  <c r="L82" i="134"/>
  <c r="L84" i="134"/>
  <c r="N82" i="134"/>
  <c r="N84" i="134"/>
  <c r="P84" i="134"/>
  <c r="P82" i="134"/>
  <c r="R84" i="134"/>
  <c r="R82" i="134"/>
  <c r="T82" i="134"/>
  <c r="T84" i="134"/>
  <c r="V84" i="134"/>
  <c r="V82" i="134"/>
  <c r="X84" i="134"/>
  <c r="X82" i="134"/>
  <c r="Z84" i="134"/>
  <c r="Z82" i="134"/>
  <c r="AB82" i="134"/>
  <c r="AB84" i="134"/>
  <c r="AD82" i="134"/>
  <c r="AD84" i="134"/>
  <c r="AF84" i="134"/>
  <c r="AF82" i="134"/>
  <c r="AH84" i="134"/>
  <c r="AH82" i="134"/>
  <c r="AJ82" i="134"/>
  <c r="AJ84" i="134"/>
  <c r="AL84" i="134"/>
  <c r="AL82" i="134"/>
  <c r="AN84" i="134"/>
  <c r="AN82" i="134"/>
  <c r="AP84" i="134"/>
  <c r="AP82" i="134"/>
  <c r="AR84" i="134"/>
  <c r="AR82" i="134"/>
  <c r="F82" i="134"/>
  <c r="F84" i="134"/>
  <c r="H82" i="134"/>
  <c r="H84" i="134"/>
  <c r="K82" i="134"/>
  <c r="K84" i="134"/>
  <c r="M82" i="134"/>
  <c r="M84" i="134"/>
  <c r="O82" i="134"/>
  <c r="O84" i="134"/>
  <c r="Q82" i="134"/>
  <c r="Q84" i="134"/>
  <c r="S82" i="134"/>
  <c r="S84" i="134"/>
  <c r="U84" i="134"/>
  <c r="U82" i="134"/>
  <c r="W82" i="134"/>
  <c r="W84" i="134"/>
  <c r="Y84" i="134"/>
  <c r="Y82" i="134"/>
  <c r="AA84" i="134"/>
  <c r="AA82" i="134"/>
  <c r="AC82" i="134"/>
  <c r="AC84" i="134"/>
  <c r="AE84" i="134"/>
  <c r="AE82" i="134"/>
  <c r="AG84" i="134"/>
  <c r="AG82" i="134"/>
  <c r="AI82" i="134"/>
  <c r="AI84" i="134"/>
  <c r="AK82" i="134"/>
  <c r="AK84" i="134"/>
  <c r="AM82" i="134"/>
  <c r="AM84" i="134"/>
  <c r="AO82" i="134"/>
  <c r="AO84" i="134"/>
  <c r="AQ82" i="134"/>
  <c r="AQ84" i="134"/>
  <c r="AS84" i="134"/>
  <c r="AS82" i="134"/>
  <c r="AR82" i="131"/>
  <c r="AR84" i="131"/>
  <c r="AP84" i="131"/>
  <c r="AP82" i="131"/>
  <c r="AN82" i="131"/>
  <c r="AN84" i="131"/>
  <c r="AL84" i="131"/>
  <c r="AL82" i="131"/>
  <c r="AJ82" i="131"/>
  <c r="AJ84" i="131"/>
  <c r="AH84" i="131"/>
  <c r="AH82" i="131"/>
  <c r="AF82" i="131"/>
  <c r="AF84" i="131"/>
  <c r="AD82" i="131"/>
  <c r="AD84" i="131"/>
  <c r="AB82" i="131"/>
  <c r="AB84" i="131"/>
  <c r="Z84" i="131"/>
  <c r="Z82" i="131"/>
  <c r="X84" i="131"/>
  <c r="X82" i="131"/>
  <c r="V84" i="131"/>
  <c r="V82" i="131"/>
  <c r="T82" i="131"/>
  <c r="T84" i="131"/>
  <c r="R84" i="131"/>
  <c r="R82" i="131"/>
  <c r="P84" i="131"/>
  <c r="P82" i="131"/>
  <c r="N84" i="131"/>
  <c r="N82" i="131"/>
  <c r="L82" i="131"/>
  <c r="L84" i="131"/>
  <c r="AS84" i="131"/>
  <c r="AS82" i="131"/>
  <c r="AQ82" i="131"/>
  <c r="AQ84" i="131"/>
  <c r="AO84" i="131"/>
  <c r="AO82" i="131"/>
  <c r="AM82" i="131"/>
  <c r="AM84" i="131"/>
  <c r="AK84" i="131"/>
  <c r="AK82" i="131"/>
  <c r="AI82" i="131"/>
  <c r="AI84" i="131"/>
  <c r="AG84" i="131"/>
  <c r="AG82" i="131"/>
  <c r="AE84" i="131"/>
  <c r="AE82" i="131"/>
  <c r="AC82" i="131"/>
  <c r="AC84" i="131"/>
  <c r="AA84" i="131"/>
  <c r="AA82" i="131"/>
  <c r="Y84" i="131"/>
  <c r="Y82" i="131"/>
  <c r="W82" i="131"/>
  <c r="W84" i="131"/>
  <c r="U84" i="131"/>
  <c r="U82" i="131"/>
  <c r="S82" i="131"/>
  <c r="S84" i="131"/>
  <c r="Q82" i="131"/>
  <c r="Q84" i="131"/>
  <c r="O82" i="131"/>
  <c r="O84" i="131"/>
  <c r="M82" i="131"/>
  <c r="M84" i="131"/>
  <c r="K82" i="131"/>
  <c r="K84" i="131"/>
  <c r="AS50" i="131"/>
  <c r="AS30" i="131"/>
  <c r="AA30" i="131"/>
  <c r="P30" i="131"/>
  <c r="P67" i="131"/>
  <c r="CJ31" i="131"/>
  <c r="AN31" i="131" s="1"/>
  <c r="X30" i="131"/>
  <c r="P24" i="131"/>
  <c r="BA31" i="131"/>
  <c r="P31" i="131" s="1"/>
  <c r="BB31" i="131"/>
  <c r="T31" i="131"/>
  <c r="T24" i="131"/>
  <c r="F14" i="142"/>
  <c r="H14" i="142"/>
  <c r="Y14" i="142"/>
  <c r="AA14" i="142"/>
  <c r="AE14" i="142"/>
  <c r="AS14" i="142"/>
  <c r="G14" i="142"/>
  <c r="I14" i="142"/>
  <c r="P14" i="142"/>
  <c r="R14" i="142"/>
  <c r="V14" i="142"/>
  <c r="X14" i="142"/>
  <c r="H12" i="142"/>
  <c r="BA31" i="142"/>
  <c r="BA30" i="142"/>
  <c r="BA107" i="142"/>
  <c r="BC31" i="142"/>
  <c r="U31" i="142" s="1"/>
  <c r="BC30" i="142"/>
  <c r="U30" i="142"/>
  <c r="BE31" i="142"/>
  <c r="O31" i="142" s="1"/>
  <c r="BE30" i="142"/>
  <c r="O30" i="142"/>
  <c r="V32" i="142"/>
  <c r="V33" i="142" s="1"/>
  <c r="BG31" i="142"/>
  <c r="BG30" i="142"/>
  <c r="BG107" i="142" s="1"/>
  <c r="BI31" i="142"/>
  <c r="BI107" i="142" s="1"/>
  <c r="BI30" i="142"/>
  <c r="BK31" i="142"/>
  <c r="BK30" i="142"/>
  <c r="BK107" i="142" s="1"/>
  <c r="BM31" i="142"/>
  <c r="Z31" i="142" s="1"/>
  <c r="BM30" i="142"/>
  <c r="Z30" i="142"/>
  <c r="BO31" i="142"/>
  <c r="BO107" i="142" s="1"/>
  <c r="BO30" i="142"/>
  <c r="AA32" i="142"/>
  <c r="AA33" i="142" s="1"/>
  <c r="BQ31" i="142"/>
  <c r="BQ30" i="142"/>
  <c r="BQ107" i="142" s="1"/>
  <c r="BS31" i="142"/>
  <c r="BS30" i="142"/>
  <c r="BU31" i="142"/>
  <c r="AD31" i="142" s="1"/>
  <c r="BU30" i="142"/>
  <c r="AD30" i="142" s="1"/>
  <c r="BW31" i="142"/>
  <c r="AI31" i="142" s="1"/>
  <c r="BW30" i="142"/>
  <c r="AI30" i="142" s="1"/>
  <c r="BY31" i="142"/>
  <c r="AJ31" i="142" s="1"/>
  <c r="BY30" i="142"/>
  <c r="AJ30" i="142" s="1"/>
  <c r="CA31" i="142"/>
  <c r="AF31" i="142" s="1"/>
  <c r="CA30" i="142"/>
  <c r="AF30" i="142" s="1"/>
  <c r="CC31" i="142"/>
  <c r="AO31" i="142" s="1"/>
  <c r="CC30" i="142"/>
  <c r="AO30" i="142" s="1"/>
  <c r="CE31" i="142"/>
  <c r="AL31" i="142" s="1"/>
  <c r="CE30" i="142"/>
  <c r="AL30" i="142" s="1"/>
  <c r="CG31" i="142"/>
  <c r="CG30" i="142"/>
  <c r="CG107" i="142" s="1"/>
  <c r="CI31" i="142"/>
  <c r="AR31" i="142"/>
  <c r="CI30" i="142"/>
  <c r="AR30" i="142" s="1"/>
  <c r="CK31" i="142"/>
  <c r="AQ31" i="142"/>
  <c r="CK30" i="142"/>
  <c r="AQ30" i="142" s="1"/>
  <c r="F30" i="142"/>
  <c r="H30" i="142"/>
  <c r="AA30" i="142"/>
  <c r="AU30" i="142"/>
  <c r="Q30" i="142" s="1"/>
  <c r="AY30" i="142"/>
  <c r="L30" i="142" s="1"/>
  <c r="P30" i="142"/>
  <c r="V30" i="142"/>
  <c r="X30" i="142"/>
  <c r="AT31" i="142"/>
  <c r="AT30" i="142"/>
  <c r="AT107" i="142" s="1"/>
  <c r="AV31" i="142"/>
  <c r="S31" i="142" s="1"/>
  <c r="AV30" i="142"/>
  <c r="S30" i="142" s="1"/>
  <c r="AX31" i="142"/>
  <c r="AX30" i="142"/>
  <c r="AX107" i="142"/>
  <c r="P32" i="142"/>
  <c r="P33" i="142" s="1"/>
  <c r="AZ31" i="142"/>
  <c r="P31" i="142"/>
  <c r="AZ30" i="142"/>
  <c r="AZ107" i="142" s="1"/>
  <c r="BB31" i="142"/>
  <c r="T31" i="142"/>
  <c r="BB30" i="142"/>
  <c r="T30" i="142" s="1"/>
  <c r="BD31" i="142"/>
  <c r="M31" i="142"/>
  <c r="BD30" i="142"/>
  <c r="BD107" i="142" s="1"/>
  <c r="BF31" i="142"/>
  <c r="K31" i="142"/>
  <c r="BF30" i="142"/>
  <c r="K30" i="142" s="1"/>
  <c r="X32" i="142"/>
  <c r="X33" i="142"/>
  <c r="BH31" i="142"/>
  <c r="BH30" i="142"/>
  <c r="BJ31" i="142"/>
  <c r="V31" i="142" s="1"/>
  <c r="BJ30" i="142"/>
  <c r="BJ107" i="142"/>
  <c r="BL31" i="142"/>
  <c r="BL30" i="142"/>
  <c r="BL107" i="142" s="1"/>
  <c r="BN31" i="142"/>
  <c r="BN30" i="142"/>
  <c r="BN107" i="142" s="1"/>
  <c r="BP31" i="142"/>
  <c r="AB31" i="142"/>
  <c r="BP30" i="142"/>
  <c r="AB30" i="142" s="1"/>
  <c r="BR31" i="142"/>
  <c r="W31" i="142"/>
  <c r="BR30" i="142"/>
  <c r="BR107" i="142" s="1"/>
  <c r="BT31" i="142"/>
  <c r="BT30" i="142"/>
  <c r="BT107" i="142" s="1"/>
  <c r="BV31" i="142"/>
  <c r="AG31" i="142" s="1"/>
  <c r="BV30" i="142"/>
  <c r="AG30" i="142" s="1"/>
  <c r="BX31" i="142"/>
  <c r="AC31" i="142" s="1"/>
  <c r="BX30" i="142"/>
  <c r="AC30" i="142" s="1"/>
  <c r="BZ31" i="142"/>
  <c r="AH31" i="142" s="1"/>
  <c r="BZ30" i="142"/>
  <c r="AH30" i="142" s="1"/>
  <c r="CB31" i="142"/>
  <c r="AK31" i="142" s="1"/>
  <c r="CB30" i="142"/>
  <c r="AK30" i="142" s="1"/>
  <c r="CD31" i="142"/>
  <c r="AP31" i="142" s="1"/>
  <c r="CD30" i="142"/>
  <c r="AP30" i="142" s="1"/>
  <c r="CF31" i="142"/>
  <c r="CF30" i="142"/>
  <c r="CF107" i="142" s="1"/>
  <c r="CH31" i="142"/>
  <c r="AM31" i="142" s="1"/>
  <c r="CH30" i="142"/>
  <c r="AM30" i="142" s="1"/>
  <c r="CJ31" i="142"/>
  <c r="AN31" i="142" s="1"/>
  <c r="CJ30" i="142"/>
  <c r="AN30" i="142" s="1"/>
  <c r="G30" i="142"/>
  <c r="I30" i="142"/>
  <c r="AW30" i="142"/>
  <c r="N30" i="142" s="1"/>
  <c r="P42" i="142"/>
  <c r="P51" i="142" s="1"/>
  <c r="R42" i="142"/>
  <c r="R51" i="142" s="1"/>
  <c r="X42" i="142"/>
  <c r="X51" i="142"/>
  <c r="Y50" i="142"/>
  <c r="AA50" i="142"/>
  <c r="AE50" i="142"/>
  <c r="AS50" i="142"/>
  <c r="Y51" i="142"/>
  <c r="AA51" i="142"/>
  <c r="AE51" i="142"/>
  <c r="AS51" i="142"/>
  <c r="K67" i="142"/>
  <c r="M67" i="142"/>
  <c r="O67" i="142"/>
  <c r="Q67" i="142"/>
  <c r="S67" i="142"/>
  <c r="U67" i="142"/>
  <c r="W67" i="142"/>
  <c r="Y67" i="142"/>
  <c r="AA67" i="142"/>
  <c r="AC67" i="142"/>
  <c r="AE67" i="142"/>
  <c r="AG67" i="142"/>
  <c r="AI67" i="142"/>
  <c r="AK67" i="142"/>
  <c r="AM67" i="142"/>
  <c r="AO67" i="142"/>
  <c r="AQ67" i="142"/>
  <c r="AS67" i="142"/>
  <c r="P127" i="142"/>
  <c r="P93" i="142"/>
  <c r="R127" i="142"/>
  <c r="R93" i="142"/>
  <c r="V127" i="142"/>
  <c r="V93" i="142"/>
  <c r="X127" i="142"/>
  <c r="X93" i="142"/>
  <c r="P50" i="142"/>
  <c r="R50" i="142"/>
  <c r="V50" i="142"/>
  <c r="X50" i="142"/>
  <c r="V51" i="142"/>
  <c r="L67" i="142"/>
  <c r="N67" i="142"/>
  <c r="P67" i="142"/>
  <c r="R67" i="142"/>
  <c r="T67" i="142"/>
  <c r="V67" i="142"/>
  <c r="X67" i="142"/>
  <c r="Z67" i="142"/>
  <c r="AB67" i="142"/>
  <c r="AD67" i="142"/>
  <c r="AF67" i="142"/>
  <c r="AH67" i="142"/>
  <c r="AJ67" i="142"/>
  <c r="AL67" i="142"/>
  <c r="AN67" i="142"/>
  <c r="AP67" i="142"/>
  <c r="AR67" i="142"/>
  <c r="F84" i="142"/>
  <c r="H84" i="142"/>
  <c r="K84" i="142"/>
  <c r="M84" i="142"/>
  <c r="O84" i="142"/>
  <c r="Q84" i="142"/>
  <c r="S84" i="142"/>
  <c r="U84" i="142"/>
  <c r="W84" i="142"/>
  <c r="Y84" i="142"/>
  <c r="AA84" i="142"/>
  <c r="AC84" i="142"/>
  <c r="AE84" i="142"/>
  <c r="AG84" i="142"/>
  <c r="AI84" i="142"/>
  <c r="AK84" i="142"/>
  <c r="AM84" i="142"/>
  <c r="AO84" i="142"/>
  <c r="AQ84" i="142"/>
  <c r="AS84" i="142"/>
  <c r="K127" i="142"/>
  <c r="M127" i="142"/>
  <c r="O127" i="142"/>
  <c r="Q127" i="142"/>
  <c r="S127" i="142"/>
  <c r="U127" i="142"/>
  <c r="W127" i="142"/>
  <c r="Y127" i="142"/>
  <c r="AA127" i="142"/>
  <c r="AC127" i="142"/>
  <c r="AE127" i="142"/>
  <c r="AG127" i="142"/>
  <c r="AI127" i="142"/>
  <c r="AK127" i="142"/>
  <c r="AM127" i="142"/>
  <c r="AO127" i="142"/>
  <c r="AQ127" i="142"/>
  <c r="AS127" i="142"/>
  <c r="X54" i="142"/>
  <c r="CJ107" i="142"/>
  <c r="CA107" i="142"/>
  <c r="R54" i="142"/>
  <c r="CH107" i="142"/>
  <c r="BM107" i="142"/>
  <c r="O21" i="142"/>
  <c r="CL84" i="142"/>
  <c r="CL82" i="142"/>
  <c r="I84" i="142"/>
  <c r="N84" i="142"/>
  <c r="R84" i="142"/>
  <c r="V84" i="142"/>
  <c r="Z84" i="142"/>
  <c r="AD84" i="142"/>
  <c r="AH84" i="142"/>
  <c r="AL84" i="142"/>
  <c r="AP84" i="142"/>
  <c r="F82" i="142"/>
  <c r="Z5" i="124"/>
  <c r="AA66" i="124"/>
  <c r="AA14" i="124"/>
  <c r="Z27" i="124"/>
  <c r="AC27" i="124"/>
  <c r="AB4" i="124"/>
  <c r="Z42" i="124"/>
  <c r="AB39" i="124"/>
  <c r="AA67" i="124"/>
  <c r="AC5" i="124"/>
  <c r="AB33" i="124"/>
  <c r="AB79" i="124"/>
  <c r="AB27" i="124"/>
  <c r="AC84" i="124"/>
  <c r="AB21" i="124"/>
  <c r="AB11" i="124"/>
  <c r="AC39" i="124"/>
  <c r="AA84" i="124"/>
  <c r="AB20" i="124"/>
  <c r="AA17" i="124"/>
  <c r="AA81" i="124"/>
  <c r="AA79" i="124"/>
  <c r="Z54" i="124"/>
  <c r="AC70" i="124"/>
  <c r="AB86" i="124"/>
  <c r="AB5" i="124"/>
  <c r="AC11" i="124"/>
  <c r="AA62" i="124"/>
  <c r="AB29" i="124"/>
  <c r="AC67" i="124"/>
  <c r="AA70" i="124"/>
  <c r="Z39" i="124"/>
  <c r="Z81" i="124"/>
  <c r="AA4" i="124"/>
  <c r="AB17" i="124"/>
  <c r="AC29" i="124"/>
  <c r="AA42" i="124"/>
  <c r="Z29" i="124"/>
  <c r="AB54" i="124"/>
  <c r="AC32" i="124"/>
  <c r="AB42" i="124"/>
  <c r="Z33" i="124"/>
  <c r="AC18" i="124"/>
  <c r="AA33" i="124"/>
  <c r="AC42" i="124"/>
  <c r="AC62" i="124"/>
  <c r="AC33" i="124"/>
  <c r="Z79" i="124"/>
  <c r="AB14" i="124"/>
  <c r="Z86" i="124"/>
  <c r="AB32" i="124"/>
  <c r="AB18" i="124"/>
  <c r="AA39" i="124"/>
  <c r="Z11" i="124"/>
  <c r="AA5" i="124"/>
  <c r="AC20" i="124"/>
  <c r="Z21" i="124"/>
  <c r="AB84" i="124"/>
  <c r="AB62" i="124"/>
  <c r="Z14" i="124"/>
  <c r="AA86" i="124"/>
  <c r="AC86" i="124"/>
  <c r="AB70" i="124"/>
  <c r="AA21" i="124"/>
  <c r="Z66" i="124"/>
  <c r="AC4" i="124"/>
  <c r="Z62" i="124"/>
  <c r="Z18" i="124"/>
  <c r="AC21" i="124"/>
  <c r="AB81" i="124"/>
  <c r="AC77" i="124"/>
  <c r="AB67" i="124"/>
  <c r="AA54" i="124"/>
  <c r="AA32" i="124"/>
  <c r="Z32" i="124"/>
  <c r="AC54" i="124"/>
  <c r="AA20" i="124"/>
  <c r="AC14" i="124"/>
  <c r="AA18" i="124"/>
  <c r="Z4" i="124"/>
  <c r="AB66" i="124"/>
  <c r="AC66" i="124"/>
  <c r="AB77" i="124"/>
  <c r="AA77" i="124"/>
  <c r="AC17" i="124"/>
  <c r="Z84" i="124"/>
  <c r="Z17" i="124"/>
  <c r="Z70" i="124"/>
  <c r="AA11" i="124"/>
  <c r="AA27" i="124"/>
  <c r="AA29" i="124"/>
  <c r="Z20" i="124"/>
  <c r="Z67" i="124"/>
  <c r="Z77" i="124"/>
  <c r="V53" i="137" l="1"/>
  <c r="V52" i="137"/>
  <c r="V51" i="137"/>
  <c r="V50" i="137"/>
  <c r="V49" i="137"/>
  <c r="V46" i="137"/>
  <c r="V45" i="137"/>
  <c r="V44" i="137"/>
  <c r="V43" i="137"/>
  <c r="V42" i="137"/>
  <c r="V41" i="137"/>
  <c r="V58" i="137"/>
  <c r="V57" i="137"/>
  <c r="V56" i="137"/>
  <c r="V55" i="137"/>
  <c r="V54" i="137"/>
  <c r="V48" i="137"/>
  <c r="V47" i="137"/>
  <c r="V62" i="137"/>
  <c r="V61" i="137"/>
  <c r="V60" i="137"/>
  <c r="V59" i="137"/>
  <c r="U54" i="137"/>
  <c r="U58" i="137"/>
  <c r="U49" i="137"/>
  <c r="U41" i="137"/>
  <c r="U43" i="137"/>
  <c r="U56" i="137"/>
  <c r="U48" i="137"/>
  <c r="U55" i="137"/>
  <c r="U57" i="137"/>
  <c r="U46" i="137"/>
  <c r="U62" i="137"/>
  <c r="U45" i="137"/>
  <c r="U53" i="137"/>
  <c r="U59" i="137"/>
  <c r="U61" i="137"/>
  <c r="U44" i="137"/>
  <c r="U51" i="137"/>
  <c r="U60" i="137"/>
  <c r="U52" i="137"/>
  <c r="U50" i="137"/>
  <c r="U42" i="137"/>
  <c r="U47" i="137"/>
  <c r="J2" i="122"/>
  <c r="D1" i="122" s="1"/>
  <c r="AN107" i="143"/>
  <c r="F107" i="143"/>
  <c r="T55" i="137"/>
  <c r="T62" i="137"/>
  <c r="T74" i="137"/>
  <c r="T54" i="137"/>
  <c r="T46" i="137"/>
  <c r="T52" i="137"/>
  <c r="T59" i="137"/>
  <c r="T43" i="137"/>
  <c r="T61" i="137"/>
  <c r="T73" i="137"/>
  <c r="T53" i="137"/>
  <c r="T45" i="137"/>
  <c r="T60" i="137"/>
  <c r="T44" i="137"/>
  <c r="T51" i="137"/>
  <c r="T56" i="137"/>
  <c r="T58" i="137"/>
  <c r="T50" i="137"/>
  <c r="T42" i="137"/>
  <c r="T57" i="137"/>
  <c r="T49" i="137"/>
  <c r="T41" i="137"/>
  <c r="T48" i="137"/>
  <c r="T47" i="137"/>
  <c r="S41" i="137"/>
  <c r="B65" i="137"/>
  <c r="S62" i="137"/>
  <c r="S61" i="137"/>
  <c r="S74" i="137"/>
  <c r="S73" i="137"/>
  <c r="S60" i="137"/>
  <c r="S59" i="137"/>
  <c r="S58" i="137"/>
  <c r="S57" i="137"/>
  <c r="S56" i="137"/>
  <c r="S55" i="137"/>
  <c r="S54" i="137"/>
  <c r="S53" i="137"/>
  <c r="S52" i="137"/>
  <c r="S51" i="137"/>
  <c r="S50" i="137"/>
  <c r="S49" i="137"/>
  <c r="S48" i="137"/>
  <c r="S47" i="137"/>
  <c r="S46" i="137"/>
  <c r="S45" i="137"/>
  <c r="S44" i="137"/>
  <c r="S43" i="137"/>
  <c r="S42" i="137"/>
  <c r="K107" i="143"/>
  <c r="AH107" i="143"/>
  <c r="Q107" i="143"/>
  <c r="AI107" i="143"/>
  <c r="AM107" i="143"/>
  <c r="W107" i="143"/>
  <c r="AJ107" i="143"/>
  <c r="BP107" i="143"/>
  <c r="Z107" i="143"/>
  <c r="R31" i="143"/>
  <c r="BU107" i="143"/>
  <c r="AW107" i="143"/>
  <c r="CI107" i="143"/>
  <c r="AQ107" i="143"/>
  <c r="AK107" i="143"/>
  <c r="S107" i="143"/>
  <c r="AP107" i="143"/>
  <c r="U107" i="143"/>
  <c r="AO107" i="143"/>
  <c r="T107" i="143"/>
  <c r="R32" i="143"/>
  <c r="R33" i="143" s="1"/>
  <c r="AD107" i="143"/>
  <c r="M107" i="143"/>
  <c r="V32" i="143"/>
  <c r="V33" i="143" s="1"/>
  <c r="Y31" i="143"/>
  <c r="Y107" i="143" s="1"/>
  <c r="O107" i="143"/>
  <c r="CF107" i="143"/>
  <c r="AR107" i="143"/>
  <c r="N107" i="143"/>
  <c r="AB107" i="143"/>
  <c r="AL107" i="143"/>
  <c r="BH107" i="143"/>
  <c r="AF107" i="143"/>
  <c r="V31" i="143"/>
  <c r="V107" i="143" s="1"/>
  <c r="L107" i="143"/>
  <c r="CE107" i="143"/>
  <c r="G107" i="143"/>
  <c r="H107" i="143"/>
  <c r="CC107" i="143"/>
  <c r="AV107" i="143"/>
  <c r="AC107" i="143"/>
  <c r="AT107" i="143"/>
  <c r="AE107" i="143"/>
  <c r="AA31" i="143"/>
  <c r="AA107" i="143" s="1"/>
  <c r="CH107" i="143"/>
  <c r="BW107" i="143"/>
  <c r="CA107" i="143"/>
  <c r="BC107" i="143"/>
  <c r="BZ107" i="143"/>
  <c r="CK107" i="143"/>
  <c r="X31" i="143"/>
  <c r="X30" i="143"/>
  <c r="X107" i="143" s="1"/>
  <c r="BR107" i="143"/>
  <c r="BS107" i="143"/>
  <c r="AU107" i="143"/>
  <c r="BX107" i="143"/>
  <c r="BY107" i="143"/>
  <c r="AY107" i="143"/>
  <c r="P31" i="143"/>
  <c r="P30" i="143"/>
  <c r="P107" i="143" s="1"/>
  <c r="BB107" i="143"/>
  <c r="BM107" i="143"/>
  <c r="AS30" i="143"/>
  <c r="AS31" i="143"/>
  <c r="BE107" i="143"/>
  <c r="BU107" i="142"/>
  <c r="CC107" i="142"/>
  <c r="BC107" i="142"/>
  <c r="R31" i="134"/>
  <c r="AU107" i="136"/>
  <c r="V54" i="120"/>
  <c r="AE50" i="120"/>
  <c r="V31" i="120"/>
  <c r="AU107" i="125"/>
  <c r="AS54" i="125"/>
  <c r="AA54" i="127"/>
  <c r="X93" i="127"/>
  <c r="P93" i="127"/>
  <c r="V27" i="127"/>
  <c r="CK107" i="142"/>
  <c r="W30" i="142"/>
  <c r="BH107" i="142"/>
  <c r="M30" i="142"/>
  <c r="BS107" i="142"/>
  <c r="AA31" i="142"/>
  <c r="BM107" i="141"/>
  <c r="AB31" i="134"/>
  <c r="P31" i="138"/>
  <c r="AX107" i="135"/>
  <c r="P93" i="120"/>
  <c r="V50" i="120"/>
  <c r="AS31" i="120"/>
  <c r="V54" i="125"/>
  <c r="V50" i="125"/>
  <c r="AE14" i="125"/>
  <c r="AA71" i="127"/>
  <c r="R67" i="127"/>
  <c r="R50" i="127"/>
  <c r="BB107" i="142"/>
  <c r="BX107" i="138"/>
  <c r="BF107" i="138"/>
  <c r="V31" i="131"/>
  <c r="Y14" i="120"/>
  <c r="P14" i="125"/>
  <c r="V31" i="127"/>
  <c r="BE107" i="141"/>
  <c r="V93" i="120"/>
  <c r="AE14" i="120"/>
  <c r="BQ107" i="125"/>
  <c r="AE44" i="127"/>
  <c r="AE67" i="127"/>
  <c r="AE30" i="127"/>
  <c r="K24" i="127"/>
  <c r="CI107" i="142"/>
  <c r="X31" i="142"/>
  <c r="BP107" i="142"/>
  <c r="BO107" i="141"/>
  <c r="CJ107" i="135"/>
  <c r="CD107" i="138"/>
  <c r="AM31" i="135"/>
  <c r="CD107" i="136"/>
  <c r="P30" i="120"/>
  <c r="BF107" i="142"/>
  <c r="BE107" i="142"/>
  <c r="BZ107" i="142"/>
  <c r="BX107" i="142"/>
  <c r="I107" i="134"/>
  <c r="CC107" i="141"/>
  <c r="BP107" i="135"/>
  <c r="AC53" i="136"/>
  <c r="BC107" i="135"/>
  <c r="AN31" i="132"/>
  <c r="AR31" i="135"/>
  <c r="V14" i="120"/>
  <c r="AA54" i="120"/>
  <c r="Y31" i="120"/>
  <c r="AE54" i="127"/>
  <c r="P54" i="127"/>
  <c r="V51" i="127"/>
  <c r="AG24" i="127"/>
  <c r="BV31" i="127"/>
  <c r="AG31" i="127" s="1"/>
  <c r="CG31" i="127"/>
  <c r="AS31" i="127" s="1"/>
  <c r="R28" i="127"/>
  <c r="Y93" i="130"/>
  <c r="AA44" i="130"/>
  <c r="BX31" i="130"/>
  <c r="AC31" i="130" s="1"/>
  <c r="V26" i="130"/>
  <c r="Y51" i="132"/>
  <c r="BQ31" i="140"/>
  <c r="BQ107" i="140" s="1"/>
  <c r="AA24" i="132"/>
  <c r="AA31" i="132" s="1"/>
  <c r="V44" i="127"/>
  <c r="R44" i="127"/>
  <c r="BX31" i="127"/>
  <c r="AC31" i="127" s="1"/>
  <c r="Y31" i="127"/>
  <c r="V54" i="130"/>
  <c r="P93" i="130"/>
  <c r="CE31" i="130"/>
  <c r="AL31" i="130" s="1"/>
  <c r="BI31" i="130"/>
  <c r="X31" i="130" s="1"/>
  <c r="V51" i="131"/>
  <c r="CK31" i="131"/>
  <c r="AQ31" i="131" s="1"/>
  <c r="AE71" i="127"/>
  <c r="Y30" i="127"/>
  <c r="BB31" i="127"/>
  <c r="T31" i="127" s="1"/>
  <c r="R26" i="127"/>
  <c r="V71" i="130"/>
  <c r="CD31" i="130"/>
  <c r="AP31" i="130" s="1"/>
  <c r="P24" i="130"/>
  <c r="Y71" i="131"/>
  <c r="CG31" i="131"/>
  <c r="AS31" i="131" s="1"/>
  <c r="X31" i="131"/>
  <c r="X32" i="131"/>
  <c r="X33" i="131" s="1"/>
  <c r="AJ31" i="132"/>
  <c r="R54" i="130"/>
  <c r="Y71" i="130"/>
  <c r="AS71" i="130"/>
  <c r="Y30" i="130"/>
  <c r="CK31" i="130"/>
  <c r="AQ31" i="130" s="1"/>
  <c r="CC31" i="130"/>
  <c r="AO31" i="130" s="1"/>
  <c r="BF31" i="130"/>
  <c r="K31" i="130" s="1"/>
  <c r="P27" i="130"/>
  <c r="R31" i="130"/>
  <c r="P54" i="131"/>
  <c r="Y51" i="131"/>
  <c r="AY31" i="132"/>
  <c r="V30" i="132"/>
  <c r="V50" i="132"/>
  <c r="V93" i="132"/>
  <c r="I31" i="135"/>
  <c r="I31" i="131"/>
  <c r="P31" i="130"/>
  <c r="P51" i="131"/>
  <c r="BU31" i="132"/>
  <c r="BQ31" i="132"/>
  <c r="AW31" i="132"/>
  <c r="K21" i="132"/>
  <c r="H71" i="132"/>
  <c r="AE21" i="134"/>
  <c r="AM21" i="134"/>
  <c r="X71" i="134"/>
  <c r="AK71" i="134"/>
  <c r="R14" i="136"/>
  <c r="CI31" i="132"/>
  <c r="AQ21" i="132"/>
  <c r="AI21" i="132"/>
  <c r="AA21" i="132"/>
  <c r="S21" i="132"/>
  <c r="V54" i="132"/>
  <c r="P71" i="132"/>
  <c r="Y71" i="132"/>
  <c r="AA30" i="132"/>
  <c r="AR24" i="132"/>
  <c r="CA14" i="132"/>
  <c r="AF14" i="132" s="1"/>
  <c r="AS14" i="132"/>
  <c r="AE7" i="132"/>
  <c r="K71" i="134"/>
  <c r="Y71" i="134"/>
  <c r="AL71" i="134"/>
  <c r="BH107" i="135"/>
  <c r="Q71" i="135"/>
  <c r="AR31" i="132"/>
  <c r="AZ14" i="132"/>
  <c r="AM71" i="134"/>
  <c r="Y71" i="135"/>
  <c r="M21" i="136"/>
  <c r="U21" i="136"/>
  <c r="AK21" i="136"/>
  <c r="AS21" i="136"/>
  <c r="AS107" i="136" s="1"/>
  <c r="AS51" i="132"/>
  <c r="AJ24" i="132"/>
  <c r="CH14" i="132"/>
  <c r="AM14" i="132" s="1"/>
  <c r="AA14" i="132"/>
  <c r="P14" i="134"/>
  <c r="S71" i="134"/>
  <c r="AA71" i="134"/>
  <c r="P71" i="134"/>
  <c r="AN71" i="134"/>
  <c r="S71" i="135"/>
  <c r="CG14" i="132"/>
  <c r="BX14" i="132"/>
  <c r="AC14" i="132" s="1"/>
  <c r="BP14" i="132"/>
  <c r="AB14" i="132" s="1"/>
  <c r="BK107" i="134"/>
  <c r="CF107" i="134"/>
  <c r="AS71" i="132"/>
  <c r="N31" i="132"/>
  <c r="AW14" i="132"/>
  <c r="N14" i="132" s="1"/>
  <c r="Y14" i="132"/>
  <c r="AE26" i="132"/>
  <c r="AE14" i="132"/>
  <c r="P14" i="132"/>
  <c r="AF127" i="134"/>
  <c r="W71" i="134"/>
  <c r="L71" i="134"/>
  <c r="BW67" i="132"/>
  <c r="AI65" i="132"/>
  <c r="CE67" i="132"/>
  <c r="AL65" i="132"/>
  <c r="AP127" i="141"/>
  <c r="BP54" i="141"/>
  <c r="AB54" i="141" s="1"/>
  <c r="AB42" i="141"/>
  <c r="CF54" i="141"/>
  <c r="CF107" i="141" s="1"/>
  <c r="AS42" i="141"/>
  <c r="AC71" i="135"/>
  <c r="R12" i="138"/>
  <c r="L21" i="138"/>
  <c r="T21" i="138"/>
  <c r="Q71" i="138"/>
  <c r="Z44" i="138"/>
  <c r="AP44" i="138"/>
  <c r="N71" i="140"/>
  <c r="H12" i="141"/>
  <c r="H107" i="141" s="1"/>
  <c r="CL84" i="130"/>
  <c r="Q44" i="138"/>
  <c r="V44" i="140"/>
  <c r="O71" i="140"/>
  <c r="AK71" i="135"/>
  <c r="AS47" i="136"/>
  <c r="AE71" i="136"/>
  <c r="G71" i="136"/>
  <c r="N21" i="138"/>
  <c r="AB21" i="138"/>
  <c r="AJ21" i="138"/>
  <c r="AR21" i="138"/>
  <c r="AS47" i="138"/>
  <c r="AX30" i="140"/>
  <c r="AQ44" i="140"/>
  <c r="CI67" i="130"/>
  <c r="H65" i="130"/>
  <c r="H67" i="130" s="1"/>
  <c r="BT67" i="130"/>
  <c r="AE65" i="130"/>
  <c r="AE67" i="130" s="1"/>
  <c r="AO65" i="130"/>
  <c r="AO67" i="130" s="1"/>
  <c r="CC67" i="130"/>
  <c r="N65" i="125"/>
  <c r="F65" i="125"/>
  <c r="F67" i="125" s="1"/>
  <c r="AK84" i="141"/>
  <c r="AC21" i="138"/>
  <c r="AK21" i="138"/>
  <c r="AS21" i="138"/>
  <c r="Y44" i="138"/>
  <c r="AL23" i="140"/>
  <c r="AD44" i="140"/>
  <c r="AP44" i="141"/>
  <c r="R84" i="141"/>
  <c r="R82" i="141"/>
  <c r="F12" i="141"/>
  <c r="F107" i="141" s="1"/>
  <c r="AY54" i="141"/>
  <c r="L54" i="141" s="1"/>
  <c r="L42" i="141"/>
  <c r="AN42" i="141"/>
  <c r="CJ54" i="141"/>
  <c r="AN54" i="141" s="1"/>
  <c r="V44" i="138"/>
  <c r="CA67" i="132"/>
  <c r="AF65" i="132"/>
  <c r="H71" i="141"/>
  <c r="X14" i="136"/>
  <c r="Q21" i="138"/>
  <c r="AG44" i="138"/>
  <c r="AA12" i="140"/>
  <c r="R21" i="140"/>
  <c r="Y23" i="140"/>
  <c r="AF23" i="140"/>
  <c r="BG30" i="140"/>
  <c r="BG107" i="140" s="1"/>
  <c r="BR67" i="132"/>
  <c r="H65" i="125"/>
  <c r="H67" i="125" s="1"/>
  <c r="BT67" i="125"/>
  <c r="BT107" i="125" s="1"/>
  <c r="AE65" i="125"/>
  <c r="AE67" i="125" s="1"/>
  <c r="I65" i="125"/>
  <c r="I67" i="125" s="1"/>
  <c r="AO65" i="125"/>
  <c r="AO67" i="125" s="1"/>
  <c r="R44" i="141"/>
  <c r="Y14" i="136"/>
  <c r="Q71" i="136"/>
  <c r="X54" i="138"/>
  <c r="AE54" i="138"/>
  <c r="AG23" i="140"/>
  <c r="AM44" i="140"/>
  <c r="F65" i="130"/>
  <c r="F67" i="130" s="1"/>
  <c r="S65" i="130"/>
  <c r="S67" i="130" s="1"/>
  <c r="AV67" i="130"/>
  <c r="AN65" i="130"/>
  <c r="AN67" i="130" s="1"/>
  <c r="CJ67" i="130"/>
  <c r="CE67" i="125"/>
  <c r="CE107" i="125" s="1"/>
  <c r="AL65" i="125"/>
  <c r="Y23" i="141"/>
  <c r="AE23" i="141"/>
  <c r="K71" i="142"/>
  <c r="S71" i="142"/>
  <c r="N44" i="140"/>
  <c r="R53" i="127"/>
  <c r="Z53" i="127"/>
  <c r="AH53" i="127"/>
  <c r="AP53" i="127"/>
  <c r="I12" i="141"/>
  <c r="AS47" i="141"/>
  <c r="L71" i="141"/>
  <c r="T71" i="141"/>
  <c r="AB71" i="141"/>
  <c r="AJ71" i="141"/>
  <c r="AR71" i="141"/>
  <c r="Q84" i="141"/>
  <c r="AD84" i="141"/>
  <c r="AM84" i="141"/>
  <c r="CL82" i="127"/>
  <c r="L82" i="142"/>
  <c r="T82" i="142"/>
  <c r="AB82" i="142"/>
  <c r="AJ82" i="142"/>
  <c r="AR82" i="142"/>
  <c r="O127" i="140"/>
  <c r="AB127" i="140"/>
  <c r="AJ127" i="140"/>
  <c r="AR127" i="140"/>
  <c r="O44" i="140"/>
  <c r="AL44" i="140"/>
  <c r="Q84" i="140"/>
  <c r="Y84" i="140"/>
  <c r="AG84" i="140"/>
  <c r="AO84" i="140"/>
  <c r="K53" i="127"/>
  <c r="S53" i="127"/>
  <c r="AA53" i="127"/>
  <c r="AI53" i="127"/>
  <c r="AQ53" i="127"/>
  <c r="G12" i="141"/>
  <c r="N82" i="141"/>
  <c r="S84" i="141"/>
  <c r="AF84" i="141"/>
  <c r="AN84" i="141"/>
  <c r="CL84" i="127"/>
  <c r="R23" i="142"/>
  <c r="N71" i="142"/>
  <c r="O53" i="130"/>
  <c r="W53" i="130"/>
  <c r="AE53" i="130"/>
  <c r="AM53" i="130"/>
  <c r="X12" i="141"/>
  <c r="M21" i="141"/>
  <c r="U21" i="141"/>
  <c r="AC21" i="141"/>
  <c r="AK21" i="141"/>
  <c r="AS21" i="141"/>
  <c r="N127" i="141"/>
  <c r="N71" i="141"/>
  <c r="V71" i="141"/>
  <c r="AD71" i="141"/>
  <c r="AL71" i="141"/>
  <c r="V84" i="141"/>
  <c r="T84" i="141"/>
  <c r="AG84" i="141"/>
  <c r="AO84" i="141"/>
  <c r="O71" i="142"/>
  <c r="N82" i="142"/>
  <c r="V82" i="142"/>
  <c r="AD82" i="142"/>
  <c r="AL82" i="142"/>
  <c r="U82" i="142"/>
  <c r="W127" i="140"/>
  <c r="AM127" i="140"/>
  <c r="W44" i="140"/>
  <c r="T84" i="140"/>
  <c r="AB84" i="140"/>
  <c r="AJ84" i="140"/>
  <c r="AR84" i="140"/>
  <c r="P71" i="141"/>
  <c r="X71" i="141"/>
  <c r="AF71" i="141"/>
  <c r="AN71" i="141"/>
  <c r="AE84" i="141"/>
  <c r="AD82" i="141"/>
  <c r="AL82" i="141"/>
  <c r="L84" i="141"/>
  <c r="W84" i="141"/>
  <c r="AI84" i="141"/>
  <c r="AQ84" i="141"/>
  <c r="Y23" i="142"/>
  <c r="AS23" i="142"/>
  <c r="AF127" i="140"/>
  <c r="AN127" i="140"/>
  <c r="K44" i="140"/>
  <c r="U84" i="140"/>
  <c r="AC84" i="140"/>
  <c r="AK84" i="140"/>
  <c r="AS84" i="140"/>
  <c r="O53" i="127"/>
  <c r="W53" i="127"/>
  <c r="AE53" i="127"/>
  <c r="AM53" i="127"/>
  <c r="R53" i="130"/>
  <c r="Z53" i="130"/>
  <c r="AH53" i="130"/>
  <c r="AP53" i="130"/>
  <c r="P21" i="141"/>
  <c r="X21" i="141"/>
  <c r="AF21" i="141"/>
  <c r="AN21" i="141"/>
  <c r="Q71" i="141"/>
  <c r="Y71" i="141"/>
  <c r="AG71" i="141"/>
  <c r="AO71" i="141"/>
  <c r="I84" i="141"/>
  <c r="M84" i="141"/>
  <c r="Z84" i="141"/>
  <c r="AJ84" i="141"/>
  <c r="AR84" i="141"/>
  <c r="CL82" i="130"/>
  <c r="AE23" i="142"/>
  <c r="AE31" i="142" s="1"/>
  <c r="R71" i="142"/>
  <c r="Y53" i="142"/>
  <c r="Y53" i="141"/>
  <c r="Y53" i="125"/>
  <c r="Y53" i="134"/>
  <c r="Y107" i="134" s="1"/>
  <c r="AC53" i="142"/>
  <c r="AC53" i="141"/>
  <c r="AC53" i="125"/>
  <c r="AC53" i="134"/>
  <c r="AC107" i="134" s="1"/>
  <c r="P53" i="142"/>
  <c r="P107" i="142" s="1"/>
  <c r="P53" i="125"/>
  <c r="P53" i="134"/>
  <c r="BY107" i="142"/>
  <c r="BV107" i="142"/>
  <c r="CD107" i="142"/>
  <c r="CE107" i="142"/>
  <c r="AV107" i="142"/>
  <c r="CB107" i="142"/>
  <c r="P54" i="142"/>
  <c r="CD107" i="134"/>
  <c r="V32" i="141"/>
  <c r="V33" i="141" s="1"/>
  <c r="AA32" i="141"/>
  <c r="AA33" i="141" s="1"/>
  <c r="CI107" i="141"/>
  <c r="CA107" i="141"/>
  <c r="BW107" i="141"/>
  <c r="BC107" i="141"/>
  <c r="AY107" i="138"/>
  <c r="CK107" i="138"/>
  <c r="BY107" i="134"/>
  <c r="BF107" i="134"/>
  <c r="CI107" i="134"/>
  <c r="CB107" i="136"/>
  <c r="BX107" i="136"/>
  <c r="CA107" i="138"/>
  <c r="CE107" i="135"/>
  <c r="BX107" i="135"/>
  <c r="AZ107" i="138"/>
  <c r="BY107" i="138"/>
  <c r="AW107" i="138"/>
  <c r="AU107" i="138"/>
  <c r="CD107" i="135"/>
  <c r="AV107" i="136"/>
  <c r="Y53" i="135"/>
  <c r="BD107" i="136"/>
  <c r="BZ107" i="136"/>
  <c r="BR107" i="135"/>
  <c r="AV107" i="135"/>
  <c r="P53" i="135"/>
  <c r="Q54" i="142"/>
  <c r="Q54" i="141"/>
  <c r="Q54" i="140"/>
  <c r="AQ53" i="142"/>
  <c r="AQ53" i="141"/>
  <c r="AQ107" i="141" s="1"/>
  <c r="AQ53" i="125"/>
  <c r="AQ53" i="134"/>
  <c r="AQ107" i="134" s="1"/>
  <c r="AR53" i="142"/>
  <c r="AR53" i="125"/>
  <c r="AR53" i="134"/>
  <c r="AR107" i="134" s="1"/>
  <c r="AS53" i="142"/>
  <c r="AS53" i="125"/>
  <c r="AS53" i="134"/>
  <c r="AP53" i="142"/>
  <c r="AP53" i="141"/>
  <c r="AP53" i="125"/>
  <c r="AP53" i="134"/>
  <c r="AP107" i="134" s="1"/>
  <c r="AF53" i="142"/>
  <c r="AF53" i="125"/>
  <c r="AF53" i="134"/>
  <c r="AF107" i="134" s="1"/>
  <c r="AJ53" i="142"/>
  <c r="AJ53" i="141"/>
  <c r="AJ53" i="125"/>
  <c r="AJ53" i="134"/>
  <c r="AJ107" i="134" s="1"/>
  <c r="AD53" i="142"/>
  <c r="AD53" i="141"/>
  <c r="AD107" i="141" s="1"/>
  <c r="AD53" i="125"/>
  <c r="AD53" i="134"/>
  <c r="AD107" i="134" s="1"/>
  <c r="W53" i="142"/>
  <c r="W53" i="141"/>
  <c r="W53" i="125"/>
  <c r="W53" i="134"/>
  <c r="W107" i="134" s="1"/>
  <c r="AA53" i="142"/>
  <c r="AA53" i="141"/>
  <c r="AA53" i="125"/>
  <c r="AA53" i="134"/>
  <c r="AA107" i="134" s="1"/>
  <c r="V53" i="142"/>
  <c r="V53" i="141"/>
  <c r="V53" i="125"/>
  <c r="V53" i="134"/>
  <c r="V107" i="134" s="1"/>
  <c r="M53" i="142"/>
  <c r="M107" i="142" s="1"/>
  <c r="M53" i="125"/>
  <c r="M53" i="134"/>
  <c r="R53" i="142"/>
  <c r="R53" i="141"/>
  <c r="R53" i="125"/>
  <c r="R53" i="134"/>
  <c r="R107" i="134" s="1"/>
  <c r="S53" i="142"/>
  <c r="S107" i="142" s="1"/>
  <c r="S53" i="141"/>
  <c r="S53" i="125"/>
  <c r="S53" i="134"/>
  <c r="S107" i="134" s="1"/>
  <c r="AG53" i="142"/>
  <c r="AG53" i="141"/>
  <c r="AG53" i="125"/>
  <c r="AG53" i="134"/>
  <c r="AG107" i="134" s="1"/>
  <c r="Q53" i="125"/>
  <c r="Q53" i="134"/>
  <c r="Q107" i="134" s="1"/>
  <c r="AS30" i="125"/>
  <c r="AA30" i="125"/>
  <c r="AS30" i="127"/>
  <c r="AA30" i="127"/>
  <c r="V50" i="127"/>
  <c r="P30" i="127"/>
  <c r="P31" i="127"/>
  <c r="AC53" i="140"/>
  <c r="CL82" i="136"/>
  <c r="CL107" i="136" s="1"/>
  <c r="CL84" i="136"/>
  <c r="BT84" i="120"/>
  <c r="BT82" i="120"/>
  <c r="AN53" i="142"/>
  <c r="AN53" i="125"/>
  <c r="AN53" i="134"/>
  <c r="AN107" i="134" s="1"/>
  <c r="AM53" i="142"/>
  <c r="AM53" i="125"/>
  <c r="AM53" i="134"/>
  <c r="AM107" i="134" s="1"/>
  <c r="AL53" i="142"/>
  <c r="AL53" i="125"/>
  <c r="AL53" i="134"/>
  <c r="AO53" i="142"/>
  <c r="AO53" i="141"/>
  <c r="AO107" i="141" s="1"/>
  <c r="AO53" i="125"/>
  <c r="AO53" i="134"/>
  <c r="AH53" i="142"/>
  <c r="AH53" i="125"/>
  <c r="AH53" i="134"/>
  <c r="AH107" i="134" s="1"/>
  <c r="AI53" i="142"/>
  <c r="AI53" i="125"/>
  <c r="AI53" i="134"/>
  <c r="AE53" i="142"/>
  <c r="AE53" i="125"/>
  <c r="AE53" i="134"/>
  <c r="AB53" i="142"/>
  <c r="AB53" i="125"/>
  <c r="AB53" i="134"/>
  <c r="AB107" i="134" s="1"/>
  <c r="Z53" i="142"/>
  <c r="Z53" i="141"/>
  <c r="Z107" i="141" s="1"/>
  <c r="Z53" i="125"/>
  <c r="Z53" i="134"/>
  <c r="X53" i="142"/>
  <c r="X53" i="125"/>
  <c r="K53" i="142"/>
  <c r="K107" i="142" s="1"/>
  <c r="K53" i="125"/>
  <c r="K53" i="134"/>
  <c r="K107" i="134" s="1"/>
  <c r="T53" i="142"/>
  <c r="T107" i="142" s="1"/>
  <c r="T53" i="125"/>
  <c r="T53" i="134"/>
  <c r="L53" i="142"/>
  <c r="L53" i="125"/>
  <c r="L53" i="134"/>
  <c r="L107" i="134" s="1"/>
  <c r="N53" i="142"/>
  <c r="N53" i="125"/>
  <c r="N53" i="134"/>
  <c r="AK53" i="142"/>
  <c r="AK53" i="125"/>
  <c r="AK53" i="134"/>
  <c r="U53" i="142"/>
  <c r="U107" i="142" s="1"/>
  <c r="U53" i="141"/>
  <c r="U53" i="125"/>
  <c r="U53" i="134"/>
  <c r="U107" i="134" s="1"/>
  <c r="O53" i="142"/>
  <c r="O107" i="142" s="1"/>
  <c r="O53" i="125"/>
  <c r="O53" i="134"/>
  <c r="O107" i="134" s="1"/>
  <c r="Q51" i="142"/>
  <c r="Q51" i="141"/>
  <c r="Q51" i="140"/>
  <c r="AS47" i="132"/>
  <c r="AL127" i="132"/>
  <c r="AL31" i="132" s="1"/>
  <c r="Z127" i="132"/>
  <c r="Z31" i="132" s="1"/>
  <c r="AA82" i="132"/>
  <c r="AA84" i="132"/>
  <c r="Y82" i="132"/>
  <c r="Y84" i="132"/>
  <c r="W84" i="132"/>
  <c r="W82" i="132"/>
  <c r="U82" i="132"/>
  <c r="U84" i="132"/>
  <c r="S82" i="132"/>
  <c r="S84" i="132"/>
  <c r="Q84" i="132"/>
  <c r="Q82" i="132"/>
  <c r="O82" i="132"/>
  <c r="O84" i="132"/>
  <c r="M82" i="132"/>
  <c r="M84" i="132"/>
  <c r="K82" i="132"/>
  <c r="K84" i="132"/>
  <c r="CL31" i="142"/>
  <c r="CL31" i="141"/>
  <c r="CL107" i="141" s="1"/>
  <c r="CL31" i="140"/>
  <c r="CL107" i="140" s="1"/>
  <c r="CG31" i="140"/>
  <c r="CG31" i="134"/>
  <c r="AS31" i="134" s="1"/>
  <c r="AS107" i="134" s="1"/>
  <c r="AP24" i="132"/>
  <c r="AP31" i="132" s="1"/>
  <c r="CB31" i="134"/>
  <c r="CB31" i="140"/>
  <c r="BT31" i="140"/>
  <c r="BT107" i="140" s="1"/>
  <c r="BT31" i="135"/>
  <c r="BR31" i="141"/>
  <c r="BR31" i="140"/>
  <c r="BM31" i="140"/>
  <c r="BM31" i="134"/>
  <c r="BF31" i="141"/>
  <c r="BF31" i="140"/>
  <c r="U24" i="132"/>
  <c r="U31" i="132" s="1"/>
  <c r="AV31" i="141"/>
  <c r="AV31" i="140"/>
  <c r="AU31" i="142"/>
  <c r="Q31" i="142" s="1"/>
  <c r="AU31" i="140"/>
  <c r="AT31" i="141"/>
  <c r="AT107" i="141" s="1"/>
  <c r="AT31" i="140"/>
  <c r="R31" i="140" s="1"/>
  <c r="AQ24" i="132"/>
  <c r="AQ31" i="132" s="1"/>
  <c r="AC24" i="132"/>
  <c r="AC31" i="132" s="1"/>
  <c r="H31" i="142"/>
  <c r="H107" i="142" s="1"/>
  <c r="H31" i="140"/>
  <c r="H31" i="134"/>
  <c r="H107" i="134" s="1"/>
  <c r="F31" i="142"/>
  <c r="F107" i="142" s="1"/>
  <c r="F31" i="134"/>
  <c r="F107" i="134" s="1"/>
  <c r="Z7" i="132"/>
  <c r="AY14" i="132"/>
  <c r="L14" i="132" s="1"/>
  <c r="AT107" i="140"/>
  <c r="AX107" i="140"/>
  <c r="AA31" i="140"/>
  <c r="F31" i="140"/>
  <c r="AM24" i="127"/>
  <c r="AS30" i="130"/>
  <c r="AA30" i="130"/>
  <c r="V30" i="130"/>
  <c r="P30" i="130"/>
  <c r="CA31" i="132"/>
  <c r="BY31" i="132"/>
  <c r="Z84" i="132"/>
  <c r="Z82" i="132"/>
  <c r="X84" i="132"/>
  <c r="X82" i="132"/>
  <c r="V82" i="132"/>
  <c r="V84" i="132"/>
  <c r="T84" i="132"/>
  <c r="T82" i="132"/>
  <c r="R84" i="132"/>
  <c r="R82" i="132"/>
  <c r="P82" i="132"/>
  <c r="P84" i="132"/>
  <c r="N84" i="132"/>
  <c r="N82" i="132"/>
  <c r="L84" i="132"/>
  <c r="L82" i="132"/>
  <c r="CE31" i="140"/>
  <c r="CE31" i="134"/>
  <c r="AL31" i="134" s="1"/>
  <c r="AL107" i="134" s="1"/>
  <c r="CC31" i="134"/>
  <c r="AO31" i="134" s="1"/>
  <c r="AO107" i="134" s="1"/>
  <c r="CC31" i="140"/>
  <c r="CC31" i="135"/>
  <c r="BW31" i="140"/>
  <c r="BW31" i="134"/>
  <c r="BS31" i="140"/>
  <c r="BS31" i="134"/>
  <c r="AE31" i="134" s="1"/>
  <c r="AE107" i="134" s="1"/>
  <c r="BP31" i="141"/>
  <c r="BP31" i="140"/>
  <c r="BN31" i="141"/>
  <c r="BN107" i="141" s="1"/>
  <c r="BN31" i="140"/>
  <c r="Y31" i="140" s="1"/>
  <c r="BJ31" i="141"/>
  <c r="BJ107" i="141" s="1"/>
  <c r="BJ31" i="140"/>
  <c r="BD31" i="141"/>
  <c r="BD31" i="140"/>
  <c r="BD31" i="134"/>
  <c r="BD31" i="135"/>
  <c r="M31" i="135" s="1"/>
  <c r="BB31" i="141"/>
  <c r="BB31" i="140"/>
  <c r="BB31" i="134"/>
  <c r="BB31" i="135"/>
  <c r="AZ31" i="141"/>
  <c r="AZ31" i="140"/>
  <c r="AZ107" i="140" s="1"/>
  <c r="AZ31" i="134"/>
  <c r="AW31" i="140"/>
  <c r="AW31" i="134"/>
  <c r="AS24" i="132"/>
  <c r="AS31" i="132" s="1"/>
  <c r="M24" i="132"/>
  <c r="M31" i="132" s="1"/>
  <c r="I31" i="142"/>
  <c r="I107" i="142" s="1"/>
  <c r="I31" i="141"/>
  <c r="I107" i="141" s="1"/>
  <c r="I31" i="140"/>
  <c r="G31" i="142"/>
  <c r="G107" i="142" s="1"/>
  <c r="G31" i="140"/>
  <c r="CE107" i="134"/>
  <c r="BN107" i="140"/>
  <c r="X14" i="135"/>
  <c r="O53" i="135"/>
  <c r="S53" i="135"/>
  <c r="U53" i="135"/>
  <c r="Z53" i="135"/>
  <c r="AD53" i="135"/>
  <c r="AI53" i="135"/>
  <c r="AM53" i="135"/>
  <c r="AO53" i="135"/>
  <c r="AS53" i="135"/>
  <c r="F84" i="135"/>
  <c r="F82" i="135"/>
  <c r="F107" i="135" s="1"/>
  <c r="H84" i="135"/>
  <c r="H82" i="135"/>
  <c r="H107" i="135" s="1"/>
  <c r="K84" i="135"/>
  <c r="K82" i="135"/>
  <c r="M84" i="135"/>
  <c r="M82" i="135"/>
  <c r="O84" i="135"/>
  <c r="O82" i="135"/>
  <c r="Q84" i="135"/>
  <c r="Q82" i="135"/>
  <c r="S84" i="135"/>
  <c r="S82" i="135"/>
  <c r="U84" i="135"/>
  <c r="U82" i="135"/>
  <c r="W84" i="135"/>
  <c r="W82" i="135"/>
  <c r="Y84" i="135"/>
  <c r="Y82" i="135"/>
  <c r="AA84" i="135"/>
  <c r="AA82" i="135"/>
  <c r="AC84" i="135"/>
  <c r="AC82" i="135"/>
  <c r="AE84" i="135"/>
  <c r="AE82" i="135"/>
  <c r="AG84" i="135"/>
  <c r="AG82" i="135"/>
  <c r="AI84" i="135"/>
  <c r="AI82" i="135"/>
  <c r="AK84" i="135"/>
  <c r="AK82" i="135"/>
  <c r="AM84" i="135"/>
  <c r="AM82" i="135"/>
  <c r="AO84" i="135"/>
  <c r="AO82" i="135"/>
  <c r="AQ84" i="135"/>
  <c r="AQ82" i="135"/>
  <c r="AS84" i="135"/>
  <c r="AS82" i="135"/>
  <c r="K53" i="136"/>
  <c r="S53" i="136"/>
  <c r="U53" i="136"/>
  <c r="AD53" i="136"/>
  <c r="AG53" i="136"/>
  <c r="AM53" i="136"/>
  <c r="R53" i="136"/>
  <c r="W53" i="136"/>
  <c r="AO53" i="136"/>
  <c r="BT82" i="136"/>
  <c r="BT107" i="136" s="1"/>
  <c r="BT84" i="136"/>
  <c r="AT107" i="136"/>
  <c r="L53" i="138"/>
  <c r="N53" i="138"/>
  <c r="S53" i="138"/>
  <c r="AF53" i="138"/>
  <c r="AI53" i="138"/>
  <c r="AL53" i="138"/>
  <c r="AO53" i="138"/>
  <c r="T53" i="138"/>
  <c r="G84" i="138"/>
  <c r="G82" i="138"/>
  <c r="G107" i="138" s="1"/>
  <c r="I84" i="138"/>
  <c r="I82" i="138"/>
  <c r="I107" i="138" s="1"/>
  <c r="L84" i="138"/>
  <c r="L82" i="138"/>
  <c r="N84" i="138"/>
  <c r="N82" i="138"/>
  <c r="P84" i="138"/>
  <c r="P82" i="138"/>
  <c r="R84" i="138"/>
  <c r="R82" i="138"/>
  <c r="T84" i="138"/>
  <c r="T82" i="138"/>
  <c r="V84" i="138"/>
  <c r="V82" i="138"/>
  <c r="X84" i="138"/>
  <c r="X82" i="138"/>
  <c r="Z84" i="138"/>
  <c r="Z82" i="138"/>
  <c r="AB84" i="138"/>
  <c r="AB82" i="138"/>
  <c r="AD84" i="138"/>
  <c r="AD82" i="138"/>
  <c r="AF84" i="138"/>
  <c r="AF82" i="138"/>
  <c r="AH84" i="138"/>
  <c r="AH82" i="138"/>
  <c r="AJ84" i="138"/>
  <c r="AJ82" i="138"/>
  <c r="AL84" i="138"/>
  <c r="AL82" i="138"/>
  <c r="AN84" i="138"/>
  <c r="AN82" i="138"/>
  <c r="AP84" i="138"/>
  <c r="AP82" i="138"/>
  <c r="AR84" i="138"/>
  <c r="AR82" i="138"/>
  <c r="K53" i="140"/>
  <c r="Q53" i="140"/>
  <c r="AI53" i="140"/>
  <c r="U53" i="140"/>
  <c r="AK53" i="140"/>
  <c r="S67" i="140"/>
  <c r="Y67" i="140"/>
  <c r="AC67" i="140"/>
  <c r="AG67" i="140"/>
  <c r="AK67" i="140"/>
  <c r="AN67" i="140"/>
  <c r="Q67" i="140"/>
  <c r="L67" i="140"/>
  <c r="O67" i="140"/>
  <c r="V67" i="140"/>
  <c r="AA67" i="140"/>
  <c r="AJ67" i="140"/>
  <c r="AP67" i="140"/>
  <c r="AM67" i="140"/>
  <c r="H84" i="140"/>
  <c r="H82" i="140"/>
  <c r="K84" i="140"/>
  <c r="K82" i="140"/>
  <c r="M84" i="140"/>
  <c r="M82" i="140"/>
  <c r="AE53" i="140"/>
  <c r="Y53" i="140"/>
  <c r="V53" i="140"/>
  <c r="AS53" i="138"/>
  <c r="AA53" i="138"/>
  <c r="X53" i="138"/>
  <c r="P53" i="138"/>
  <c r="P107" i="138" s="1"/>
  <c r="AE53" i="136"/>
  <c r="Y53" i="136"/>
  <c r="V53" i="136"/>
  <c r="X53" i="134"/>
  <c r="X107" i="134" s="1"/>
  <c r="L53" i="120"/>
  <c r="N53" i="120"/>
  <c r="P53" i="120"/>
  <c r="R53" i="120"/>
  <c r="T53" i="120"/>
  <c r="V53" i="120"/>
  <c r="X53" i="120"/>
  <c r="Z53" i="120"/>
  <c r="AB53" i="120"/>
  <c r="AD53" i="120"/>
  <c r="AF53" i="120"/>
  <c r="AH53" i="120"/>
  <c r="AJ53" i="120"/>
  <c r="AL53" i="120"/>
  <c r="AN53" i="120"/>
  <c r="AP53" i="120"/>
  <c r="AR53" i="120"/>
  <c r="K67" i="135"/>
  <c r="M67" i="135"/>
  <c r="M107" i="135" s="1"/>
  <c r="O67" i="135"/>
  <c r="Q67" i="135"/>
  <c r="S67" i="135"/>
  <c r="U67" i="135"/>
  <c r="W67" i="135"/>
  <c r="Y67" i="135"/>
  <c r="AA67" i="135"/>
  <c r="AC67" i="135"/>
  <c r="AE67" i="135"/>
  <c r="AG67" i="135"/>
  <c r="AG107" i="135" s="1"/>
  <c r="AI67" i="135"/>
  <c r="AI107" i="135" s="1"/>
  <c r="AK67" i="135"/>
  <c r="AK107" i="135" s="1"/>
  <c r="AM67" i="135"/>
  <c r="AO67" i="135"/>
  <c r="AQ67" i="135"/>
  <c r="AS67" i="135"/>
  <c r="K67" i="136"/>
  <c r="M67" i="136"/>
  <c r="O67" i="136"/>
  <c r="Q67" i="136"/>
  <c r="S67" i="136"/>
  <c r="U67" i="136"/>
  <c r="W67" i="136"/>
  <c r="Y67" i="136"/>
  <c r="AA67" i="136"/>
  <c r="AC67" i="136"/>
  <c r="AE67" i="136"/>
  <c r="AG67" i="136"/>
  <c r="AI67" i="136"/>
  <c r="AK67" i="136"/>
  <c r="AM67" i="136"/>
  <c r="AO67" i="136"/>
  <c r="AQ67" i="136"/>
  <c r="AS67" i="136"/>
  <c r="L67" i="138"/>
  <c r="N67" i="138"/>
  <c r="P67" i="138"/>
  <c r="R67" i="138"/>
  <c r="T67" i="138"/>
  <c r="V67" i="138"/>
  <c r="X67" i="138"/>
  <c r="Z67" i="138"/>
  <c r="Z107" i="138" s="1"/>
  <c r="AB67" i="138"/>
  <c r="AB107" i="138" s="1"/>
  <c r="AD67" i="138"/>
  <c r="AD107" i="138" s="1"/>
  <c r="AF67" i="138"/>
  <c r="AH67" i="138"/>
  <c r="AH107" i="138" s="1"/>
  <c r="AJ67" i="138"/>
  <c r="AL67" i="138"/>
  <c r="AN67" i="138"/>
  <c r="AN107" i="138" s="1"/>
  <c r="AP67" i="138"/>
  <c r="AP107" i="138" s="1"/>
  <c r="AR67" i="138"/>
  <c r="AR107" i="138" s="1"/>
  <c r="K67" i="120"/>
  <c r="M67" i="120"/>
  <c r="O67" i="120"/>
  <c r="Q67" i="120"/>
  <c r="S67" i="120"/>
  <c r="U67" i="120"/>
  <c r="W67" i="120"/>
  <c r="K107" i="135"/>
  <c r="O107" i="135"/>
  <c r="Q107" i="135"/>
  <c r="V14" i="135"/>
  <c r="AA107" i="135"/>
  <c r="R53" i="135"/>
  <c r="T53" i="135"/>
  <c r="W53" i="135"/>
  <c r="W107" i="135" s="1"/>
  <c r="AC53" i="135"/>
  <c r="AC107" i="135" s="1"/>
  <c r="AF53" i="135"/>
  <c r="AL53" i="135"/>
  <c r="AQ53" i="135"/>
  <c r="AQ107" i="135" s="1"/>
  <c r="AJ53" i="135"/>
  <c r="AR53" i="135"/>
  <c r="G84" i="135"/>
  <c r="G82" i="135"/>
  <c r="I84" i="135"/>
  <c r="I82" i="135"/>
  <c r="L84" i="135"/>
  <c r="L82" i="135"/>
  <c r="N84" i="135"/>
  <c r="N82" i="135"/>
  <c r="P84" i="135"/>
  <c r="P82" i="135"/>
  <c r="R84" i="135"/>
  <c r="R82" i="135"/>
  <c r="T84" i="135"/>
  <c r="T82" i="135"/>
  <c r="V84" i="135"/>
  <c r="V82" i="135"/>
  <c r="X84" i="135"/>
  <c r="X82" i="135"/>
  <c r="Z84" i="135"/>
  <c r="Z82" i="135"/>
  <c r="AB84" i="135"/>
  <c r="AB82" i="135"/>
  <c r="AD84" i="135"/>
  <c r="AD82" i="135"/>
  <c r="AF84" i="135"/>
  <c r="AF82" i="135"/>
  <c r="AH84" i="135"/>
  <c r="AH82" i="135"/>
  <c r="AJ84" i="135"/>
  <c r="AJ82" i="135"/>
  <c r="AL84" i="135"/>
  <c r="AL82" i="135"/>
  <c r="AN84" i="135"/>
  <c r="AN82" i="135"/>
  <c r="AP84" i="135"/>
  <c r="AP82" i="135"/>
  <c r="AR84" i="135"/>
  <c r="AR82" i="135"/>
  <c r="O53" i="136"/>
  <c r="T53" i="136"/>
  <c r="Z53" i="136"/>
  <c r="AF53" i="136"/>
  <c r="AL53" i="136"/>
  <c r="AQ53" i="136"/>
  <c r="AI53" i="136"/>
  <c r="K53" i="138"/>
  <c r="M53" i="138"/>
  <c r="O53" i="138"/>
  <c r="R53" i="138"/>
  <c r="R107" i="138" s="1"/>
  <c r="W53" i="138"/>
  <c r="AG53" i="138"/>
  <c r="AJ53" i="138"/>
  <c r="AJ107" i="138" s="1"/>
  <c r="AM53" i="138"/>
  <c r="AQ53" i="138"/>
  <c r="AC53" i="138"/>
  <c r="F84" i="138"/>
  <c r="F82" i="138"/>
  <c r="F107" i="138" s="1"/>
  <c r="H84" i="138"/>
  <c r="H82" i="138"/>
  <c r="K84" i="138"/>
  <c r="K82" i="138"/>
  <c r="M84" i="138"/>
  <c r="M82" i="138"/>
  <c r="O84" i="138"/>
  <c r="O82" i="138"/>
  <c r="Q84" i="138"/>
  <c r="Q82" i="138"/>
  <c r="S84" i="138"/>
  <c r="S82" i="138"/>
  <c r="U84" i="138"/>
  <c r="U82" i="138"/>
  <c r="W84" i="138"/>
  <c r="W82" i="138"/>
  <c r="Y84" i="138"/>
  <c r="Y82" i="138"/>
  <c r="AA84" i="138"/>
  <c r="AA82" i="138"/>
  <c r="AC84" i="138"/>
  <c r="AC82" i="138"/>
  <c r="AE84" i="138"/>
  <c r="AE82" i="138"/>
  <c r="AG84" i="138"/>
  <c r="AG82" i="138"/>
  <c r="AI84" i="138"/>
  <c r="AI82" i="138"/>
  <c r="AK84" i="138"/>
  <c r="AK82" i="138"/>
  <c r="AM84" i="138"/>
  <c r="AM82" i="138"/>
  <c r="AO84" i="138"/>
  <c r="AO82" i="138"/>
  <c r="AQ84" i="138"/>
  <c r="AQ82" i="138"/>
  <c r="AS84" i="138"/>
  <c r="AS82" i="138"/>
  <c r="W53" i="140"/>
  <c r="AQ53" i="140"/>
  <c r="M53" i="140"/>
  <c r="AO53" i="140"/>
  <c r="M67" i="140"/>
  <c r="T67" i="140"/>
  <c r="AB67" i="140"/>
  <c r="AF67" i="140"/>
  <c r="AI67" i="140"/>
  <c r="AL67" i="140"/>
  <c r="AR67" i="140"/>
  <c r="R67" i="140"/>
  <c r="U67" i="140"/>
  <c r="K67" i="140"/>
  <c r="Z67" i="140"/>
  <c r="W67" i="140"/>
  <c r="AH67" i="140"/>
  <c r="AS67" i="140"/>
  <c r="AQ67" i="140"/>
  <c r="I84" i="140"/>
  <c r="I82" i="140"/>
  <c r="L84" i="140"/>
  <c r="L82" i="140"/>
  <c r="N84" i="140"/>
  <c r="N82" i="140"/>
  <c r="AS53" i="140"/>
  <c r="AA53" i="140"/>
  <c r="X53" i="140"/>
  <c r="P53" i="140"/>
  <c r="AE53" i="138"/>
  <c r="Y53" i="138"/>
  <c r="V53" i="138"/>
  <c r="V107" i="138" s="1"/>
  <c r="AS53" i="136"/>
  <c r="AA53" i="136"/>
  <c r="X53" i="136"/>
  <c r="P53" i="136"/>
  <c r="K53" i="120"/>
  <c r="M53" i="120"/>
  <c r="O53" i="120"/>
  <c r="Q53" i="120"/>
  <c r="S53" i="120"/>
  <c r="U53" i="120"/>
  <c r="W53" i="120"/>
  <c r="Y53" i="120"/>
  <c r="AA53" i="120"/>
  <c r="AC53" i="120"/>
  <c r="AE53" i="120"/>
  <c r="AG53" i="120"/>
  <c r="AI53" i="120"/>
  <c r="AK53" i="120"/>
  <c r="AM53" i="120"/>
  <c r="AO53" i="120"/>
  <c r="AQ53" i="120"/>
  <c r="AS53" i="120"/>
  <c r="L67" i="135"/>
  <c r="L107" i="135" s="1"/>
  <c r="N67" i="135"/>
  <c r="N107" i="135" s="1"/>
  <c r="P67" i="135"/>
  <c r="R67" i="135"/>
  <c r="T67" i="135"/>
  <c r="V67" i="135"/>
  <c r="X67" i="135"/>
  <c r="X107" i="135" s="1"/>
  <c r="Z67" i="135"/>
  <c r="AB67" i="135"/>
  <c r="AB107" i="135" s="1"/>
  <c r="AD67" i="135"/>
  <c r="AF67" i="135"/>
  <c r="AH67" i="135"/>
  <c r="AH107" i="135" s="1"/>
  <c r="AJ67" i="135"/>
  <c r="AL67" i="135"/>
  <c r="AN67" i="135"/>
  <c r="AN107" i="135" s="1"/>
  <c r="AP67" i="135"/>
  <c r="AP107" i="135" s="1"/>
  <c r="AR67" i="135"/>
  <c r="AR107" i="135" s="1"/>
  <c r="L67" i="136"/>
  <c r="N67" i="136"/>
  <c r="P67" i="136"/>
  <c r="R67" i="136"/>
  <c r="T67" i="136"/>
  <c r="V67" i="136"/>
  <c r="X67" i="136"/>
  <c r="Z67" i="136"/>
  <c r="AB67" i="136"/>
  <c r="AD67" i="136"/>
  <c r="AF67" i="136"/>
  <c r="AH67" i="136"/>
  <c r="AJ67" i="136"/>
  <c r="AL67" i="136"/>
  <c r="AN67" i="136"/>
  <c r="AP67" i="136"/>
  <c r="AR67" i="136"/>
  <c r="K67" i="138"/>
  <c r="M67" i="138"/>
  <c r="O67" i="138"/>
  <c r="Q67" i="138"/>
  <c r="Q107" i="138" s="1"/>
  <c r="S67" i="138"/>
  <c r="U67" i="138"/>
  <c r="U107" i="138" s="1"/>
  <c r="W67" i="138"/>
  <c r="Y67" i="138"/>
  <c r="AA67" i="138"/>
  <c r="AC67" i="138"/>
  <c r="AE67" i="138"/>
  <c r="AG67" i="138"/>
  <c r="AI67" i="138"/>
  <c r="AK67" i="138"/>
  <c r="AK107" i="138" s="1"/>
  <c r="AM67" i="138"/>
  <c r="AO67" i="138"/>
  <c r="AQ67" i="138"/>
  <c r="AS67" i="138"/>
  <c r="L67" i="120"/>
  <c r="N67" i="120"/>
  <c r="P67" i="120"/>
  <c r="R67" i="120"/>
  <c r="T67" i="120"/>
  <c r="V67" i="120"/>
  <c r="Y67" i="120"/>
  <c r="AA67" i="120"/>
  <c r="AC67" i="120"/>
  <c r="AE67" i="120"/>
  <c r="AG67" i="120"/>
  <c r="AI67" i="120"/>
  <c r="AK67" i="120"/>
  <c r="AM67" i="120"/>
  <c r="AO67" i="120"/>
  <c r="AQ67" i="120"/>
  <c r="AS67" i="120"/>
  <c r="L67" i="125"/>
  <c r="N67" i="125"/>
  <c r="P67" i="125"/>
  <c r="R67" i="125"/>
  <c r="T67" i="125"/>
  <c r="V67" i="125"/>
  <c r="X67" i="125"/>
  <c r="Z67" i="125"/>
  <c r="AB67" i="125"/>
  <c r="AD67" i="125"/>
  <c r="AF67" i="125"/>
  <c r="AH67" i="125"/>
  <c r="AJ67" i="125"/>
  <c r="AL67" i="125"/>
  <c r="AN67" i="125"/>
  <c r="AP67" i="125"/>
  <c r="AR67" i="125"/>
  <c r="M67" i="132"/>
  <c r="P67" i="132"/>
  <c r="R67" i="132"/>
  <c r="U67" i="132"/>
  <c r="X67" i="132"/>
  <c r="Z67" i="132"/>
  <c r="AB67" i="132"/>
  <c r="AF67" i="132"/>
  <c r="AH67" i="132"/>
  <c r="AL67" i="132"/>
  <c r="AO67" i="132"/>
  <c r="AQ67" i="132"/>
  <c r="W67" i="132"/>
  <c r="AJ107" i="141"/>
  <c r="G31" i="141"/>
  <c r="G107" i="141" s="1"/>
  <c r="R31" i="141"/>
  <c r="R107" i="141" s="1"/>
  <c r="AX31" i="141"/>
  <c r="AX107" i="141" s="1"/>
  <c r="BT31" i="141"/>
  <c r="BT107" i="141" s="1"/>
  <c r="BV31" i="141"/>
  <c r="BX31" i="141"/>
  <c r="BZ31" i="141"/>
  <c r="CB31" i="141"/>
  <c r="CD31" i="141"/>
  <c r="CH31" i="141"/>
  <c r="CJ31" i="141"/>
  <c r="L53" i="141"/>
  <c r="L107" i="141" s="1"/>
  <c r="N53" i="141"/>
  <c r="N107" i="141" s="1"/>
  <c r="P53" i="141"/>
  <c r="AE53" i="141"/>
  <c r="AI53" i="141"/>
  <c r="AI107" i="141" s="1"/>
  <c r="AK53" i="141"/>
  <c r="AM53" i="141"/>
  <c r="AS53" i="141"/>
  <c r="G82" i="140"/>
  <c r="P82" i="140"/>
  <c r="R82" i="140"/>
  <c r="T82" i="140"/>
  <c r="V82" i="140"/>
  <c r="X82" i="140"/>
  <c r="Z82" i="140"/>
  <c r="AB82" i="140"/>
  <c r="AD82" i="140"/>
  <c r="AD107" i="140" s="1"/>
  <c r="AF82" i="140"/>
  <c r="AH82" i="140"/>
  <c r="AJ82" i="140"/>
  <c r="AL82" i="140"/>
  <c r="AN82" i="140"/>
  <c r="AP82" i="140"/>
  <c r="AR82" i="140"/>
  <c r="X67" i="120"/>
  <c r="Z67" i="120"/>
  <c r="AB67" i="120"/>
  <c r="AD67" i="120"/>
  <c r="AF67" i="120"/>
  <c r="AH67" i="120"/>
  <c r="AJ67" i="120"/>
  <c r="AL67" i="120"/>
  <c r="AN67" i="120"/>
  <c r="AP67" i="120"/>
  <c r="AR67" i="120"/>
  <c r="L67" i="132"/>
  <c r="O67" i="132"/>
  <c r="Q67" i="132"/>
  <c r="T67" i="132"/>
  <c r="V67" i="132"/>
  <c r="Y67" i="132"/>
  <c r="AA67" i="132"/>
  <c r="AE67" i="132"/>
  <c r="AG67" i="132"/>
  <c r="AI67" i="132"/>
  <c r="AM67" i="132"/>
  <c r="AP67" i="132"/>
  <c r="AR67" i="132"/>
  <c r="AK67" i="132"/>
  <c r="AS67" i="132"/>
  <c r="U107" i="141"/>
  <c r="K53" i="141"/>
  <c r="M53" i="141"/>
  <c r="O53" i="141"/>
  <c r="O107" i="141" s="1"/>
  <c r="Q53" i="141"/>
  <c r="T53" i="141"/>
  <c r="X53" i="141"/>
  <c r="X107" i="141" s="1"/>
  <c r="AB53" i="141"/>
  <c r="AF53" i="141"/>
  <c r="AF107" i="141" s="1"/>
  <c r="AH53" i="141"/>
  <c r="AL53" i="141"/>
  <c r="AL107" i="141" s="1"/>
  <c r="AN53" i="141"/>
  <c r="AR53" i="141"/>
  <c r="AR107" i="141" s="1"/>
  <c r="F82" i="140"/>
  <c r="O82" i="140"/>
  <c r="Q82" i="140"/>
  <c r="S82" i="140"/>
  <c r="U82" i="140"/>
  <c r="W82" i="140"/>
  <c r="Y82" i="140"/>
  <c r="AA82" i="140"/>
  <c r="AC82" i="140"/>
  <c r="AE82" i="140"/>
  <c r="AG82" i="140"/>
  <c r="AI82" i="140"/>
  <c r="AK82" i="140"/>
  <c r="AM82" i="140"/>
  <c r="AO82" i="140"/>
  <c r="AQ82" i="140"/>
  <c r="AS82" i="140"/>
  <c r="P84" i="141"/>
  <c r="G82" i="136"/>
  <c r="I82" i="136"/>
  <c r="L82" i="136"/>
  <c r="N82" i="136"/>
  <c r="P82" i="136"/>
  <c r="R82" i="136"/>
  <c r="T82" i="136"/>
  <c r="V82" i="136"/>
  <c r="X82" i="136"/>
  <c r="Z82" i="136"/>
  <c r="AB82" i="136"/>
  <c r="AD82" i="136"/>
  <c r="AF82" i="136"/>
  <c r="AH82" i="136"/>
  <c r="AJ82" i="136"/>
  <c r="AL82" i="136"/>
  <c r="AN82" i="136"/>
  <c r="AP82" i="136"/>
  <c r="AR82" i="136"/>
  <c r="F84" i="136"/>
  <c r="H84" i="136"/>
  <c r="F82" i="120"/>
  <c r="H82" i="120"/>
  <c r="K82" i="120"/>
  <c r="M82" i="120"/>
  <c r="O82" i="120"/>
  <c r="Q82" i="120"/>
  <c r="S82" i="120"/>
  <c r="U82" i="120"/>
  <c r="W82" i="120"/>
  <c r="Y82" i="120"/>
  <c r="AA82" i="120"/>
  <c r="AC82" i="120"/>
  <c r="AE82" i="120"/>
  <c r="AG82" i="120"/>
  <c r="AI82" i="120"/>
  <c r="AK82" i="120"/>
  <c r="AM82" i="120"/>
  <c r="AO82" i="120"/>
  <c r="AQ82" i="120"/>
  <c r="AS82" i="120"/>
  <c r="G84" i="120"/>
  <c r="I84" i="120"/>
  <c r="AC23" i="141"/>
  <c r="AG23" i="141"/>
  <c r="AK23" i="141"/>
  <c r="AN23" i="141"/>
  <c r="F82" i="136"/>
  <c r="F107" i="136" s="1"/>
  <c r="H82" i="136"/>
  <c r="H107" i="136" s="1"/>
  <c r="K82" i="136"/>
  <c r="M82" i="136"/>
  <c r="O82" i="136"/>
  <c r="Q82" i="136"/>
  <c r="S82" i="136"/>
  <c r="U82" i="136"/>
  <c r="W82" i="136"/>
  <c r="Y82" i="136"/>
  <c r="AA82" i="136"/>
  <c r="AC82" i="136"/>
  <c r="AE82" i="136"/>
  <c r="AG82" i="136"/>
  <c r="AI82" i="136"/>
  <c r="AK82" i="136"/>
  <c r="AM82" i="136"/>
  <c r="AO82" i="136"/>
  <c r="AQ82" i="136"/>
  <c r="AS82" i="136"/>
  <c r="G84" i="136"/>
  <c r="I84" i="136"/>
  <c r="G82" i="120"/>
  <c r="I82" i="120"/>
  <c r="L82" i="120"/>
  <c r="N82" i="120"/>
  <c r="P82" i="120"/>
  <c r="R82" i="120"/>
  <c r="T82" i="120"/>
  <c r="V82" i="120"/>
  <c r="X82" i="120"/>
  <c r="Z82" i="120"/>
  <c r="AB82" i="120"/>
  <c r="AD82" i="120"/>
  <c r="AF82" i="120"/>
  <c r="AH82" i="120"/>
  <c r="AJ82" i="120"/>
  <c r="AL82" i="120"/>
  <c r="AN82" i="120"/>
  <c r="AP82" i="120"/>
  <c r="AR82" i="120"/>
  <c r="F84" i="120"/>
  <c r="H84" i="120"/>
  <c r="CL84" i="120"/>
  <c r="G82" i="125"/>
  <c r="G107" i="125" s="1"/>
  <c r="I82" i="125"/>
  <c r="I107" i="125" s="1"/>
  <c r="L82" i="125"/>
  <c r="N82" i="125"/>
  <c r="P82" i="125"/>
  <c r="R82" i="125"/>
  <c r="T82" i="125"/>
  <c r="V82" i="125"/>
  <c r="X82" i="125"/>
  <c r="Z82" i="125"/>
  <c r="AB82" i="125"/>
  <c r="AD82" i="125"/>
  <c r="AF82" i="125"/>
  <c r="AH82" i="125"/>
  <c r="AJ82" i="125"/>
  <c r="AL82" i="125"/>
  <c r="AN82" i="125"/>
  <c r="AP82" i="125"/>
  <c r="AR82" i="125"/>
  <c r="AB82" i="132"/>
  <c r="AD82" i="132"/>
  <c r="AF82" i="132"/>
  <c r="AH82" i="132"/>
  <c r="AJ82" i="132"/>
  <c r="AL82" i="132"/>
  <c r="AN82" i="132"/>
  <c r="AP82" i="132"/>
  <c r="AR82" i="132"/>
  <c r="G84" i="132"/>
  <c r="I84" i="132"/>
  <c r="AM84" i="130"/>
  <c r="AO84" i="130"/>
  <c r="AQ84" i="130"/>
  <c r="AS84" i="130"/>
  <c r="AW31" i="142"/>
  <c r="N31" i="142" s="1"/>
  <c r="AY31" i="142"/>
  <c r="F82" i="125"/>
  <c r="F107" i="125" s="1"/>
  <c r="H82" i="125"/>
  <c r="H107" i="125" s="1"/>
  <c r="K82" i="125"/>
  <c r="M82" i="125"/>
  <c r="M107" i="125" s="1"/>
  <c r="O82" i="125"/>
  <c r="Q82" i="125"/>
  <c r="Q107" i="125" s="1"/>
  <c r="S82" i="125"/>
  <c r="S107" i="125" s="1"/>
  <c r="U82" i="125"/>
  <c r="W82" i="125"/>
  <c r="W107" i="125" s="1"/>
  <c r="Y82" i="125"/>
  <c r="Y107" i="125" s="1"/>
  <c r="AA82" i="125"/>
  <c r="AA107" i="125" s="1"/>
  <c r="AC82" i="125"/>
  <c r="AC107" i="125" s="1"/>
  <c r="AE82" i="125"/>
  <c r="AG82" i="125"/>
  <c r="AG107" i="125" s="1"/>
  <c r="AI82" i="125"/>
  <c r="AK82" i="125"/>
  <c r="AM82" i="125"/>
  <c r="AO82" i="125"/>
  <c r="AQ82" i="125"/>
  <c r="AQ107" i="125" s="1"/>
  <c r="AS82" i="125"/>
  <c r="AS107" i="125" s="1"/>
  <c r="AC82" i="132"/>
  <c r="AE82" i="132"/>
  <c r="AG82" i="132"/>
  <c r="AI82" i="132"/>
  <c r="AK82" i="132"/>
  <c r="AM82" i="132"/>
  <c r="AO82" i="132"/>
  <c r="AQ82" i="132"/>
  <c r="AS82" i="132"/>
  <c r="F84" i="132"/>
  <c r="H84" i="132"/>
  <c r="AN84" i="130"/>
  <c r="AP84" i="130"/>
  <c r="AR84" i="130"/>
  <c r="AB84" i="132"/>
  <c r="BW107" i="142"/>
  <c r="E88" i="122"/>
  <c r="E87" i="122"/>
  <c r="E20" i="122"/>
  <c r="E4" i="122"/>
  <c r="E89" i="122"/>
  <c r="E86" i="122"/>
  <c r="E84" i="122"/>
  <c r="E42" i="122"/>
  <c r="E38" i="122"/>
  <c r="E32" i="122"/>
  <c r="E23" i="122"/>
  <c r="E9" i="122"/>
  <c r="E5" i="122"/>
  <c r="E17" i="122"/>
  <c r="N23" i="142"/>
  <c r="N107" i="142" s="1"/>
  <c r="AS47" i="142"/>
  <c r="Q53" i="142"/>
  <c r="CL71" i="142"/>
  <c r="V71" i="142"/>
  <c r="X71" i="142"/>
  <c r="Z71" i="142"/>
  <c r="AB71" i="142"/>
  <c r="AD71" i="142"/>
  <c r="AF71" i="142"/>
  <c r="AH71" i="142"/>
  <c r="AJ71" i="142"/>
  <c r="AJ107" i="142" s="1"/>
  <c r="AL71" i="142"/>
  <c r="AN71" i="142"/>
  <c r="AP71" i="142"/>
  <c r="AR71" i="142"/>
  <c r="AR107" i="142" s="1"/>
  <c r="AN82" i="142"/>
  <c r="AP82" i="142"/>
  <c r="W71" i="142"/>
  <c r="Y71" i="142"/>
  <c r="AA71" i="142"/>
  <c r="AC71" i="142"/>
  <c r="AE71" i="142"/>
  <c r="AG71" i="142"/>
  <c r="AI71" i="142"/>
  <c r="AK71" i="142"/>
  <c r="AM71" i="142"/>
  <c r="AO71" i="142"/>
  <c r="AQ71" i="142"/>
  <c r="AS71" i="142"/>
  <c r="D68" i="124"/>
  <c r="D62" i="124"/>
  <c r="D66" i="124"/>
  <c r="C66" i="124"/>
  <c r="D67" i="124"/>
  <c r="C67" i="124"/>
  <c r="C68" i="124"/>
  <c r="C64" i="124"/>
  <c r="D64" i="124"/>
  <c r="D63" i="124"/>
  <c r="V65" i="137" l="1"/>
  <c r="U65" i="137"/>
  <c r="D2" i="122"/>
  <c r="C1" i="124" s="1"/>
  <c r="B3" i="137" s="1"/>
  <c r="T65" i="137"/>
  <c r="S65" i="137"/>
  <c r="AS107" i="143"/>
  <c r="R107" i="143"/>
  <c r="AP107" i="125"/>
  <c r="Z107" i="125"/>
  <c r="AH107" i="136"/>
  <c r="X107" i="136"/>
  <c r="AA107" i="140"/>
  <c r="W107" i="138"/>
  <c r="AF107" i="136"/>
  <c r="AC107" i="136"/>
  <c r="M107" i="136"/>
  <c r="AE107" i="136"/>
  <c r="AJ107" i="140"/>
  <c r="AO107" i="138"/>
  <c r="U107" i="136"/>
  <c r="Z107" i="135"/>
  <c r="BS107" i="134"/>
  <c r="O107" i="125"/>
  <c r="AK107" i="142"/>
  <c r="AO107" i="125"/>
  <c r="AM107" i="142"/>
  <c r="Y107" i="135"/>
  <c r="R30" i="142"/>
  <c r="R32" i="142"/>
  <c r="R33" i="142" s="1"/>
  <c r="Y30" i="141"/>
  <c r="Y32" i="141"/>
  <c r="Y33" i="141" s="1"/>
  <c r="Y30" i="140"/>
  <c r="Y32" i="140"/>
  <c r="Y33" i="140" s="1"/>
  <c r="AN107" i="125"/>
  <c r="X107" i="125"/>
  <c r="AA107" i="136"/>
  <c r="Z107" i="136"/>
  <c r="G107" i="135"/>
  <c r="S107" i="136"/>
  <c r="U107" i="135"/>
  <c r="AF107" i="142"/>
  <c r="AS54" i="141"/>
  <c r="AS51" i="141"/>
  <c r="AL107" i="125"/>
  <c r="V107" i="125"/>
  <c r="N107" i="136"/>
  <c r="AH107" i="140"/>
  <c r="T107" i="136"/>
  <c r="R107" i="135"/>
  <c r="AI107" i="138"/>
  <c r="AO107" i="136"/>
  <c r="K107" i="136"/>
  <c r="S107" i="135"/>
  <c r="AI107" i="125"/>
  <c r="AO107" i="142"/>
  <c r="AD107" i="142"/>
  <c r="AS32" i="142"/>
  <c r="AS33" i="142" s="1"/>
  <c r="AS30" i="142"/>
  <c r="AS107" i="142" s="1"/>
  <c r="R31" i="142"/>
  <c r="AJ107" i="125"/>
  <c r="T107" i="125"/>
  <c r="AR107" i="136"/>
  <c r="AB107" i="136"/>
  <c r="L107" i="136"/>
  <c r="AF107" i="140"/>
  <c r="O107" i="136"/>
  <c r="AJ107" i="135"/>
  <c r="AA107" i="138"/>
  <c r="O107" i="140"/>
  <c r="AF107" i="138"/>
  <c r="W107" i="136"/>
  <c r="AS107" i="135"/>
  <c r="F107" i="140"/>
  <c r="Q107" i="142"/>
  <c r="U107" i="125"/>
  <c r="K107" i="125"/>
  <c r="AI107" i="142"/>
  <c r="AN107" i="142"/>
  <c r="P107" i="135"/>
  <c r="Y30" i="142"/>
  <c r="Y32" i="142"/>
  <c r="Y33" i="142" s="1"/>
  <c r="Y31" i="142"/>
  <c r="G107" i="136"/>
  <c r="AH107" i="125"/>
  <c r="R107" i="125"/>
  <c r="AP107" i="136"/>
  <c r="Y107" i="138"/>
  <c r="AQ107" i="138"/>
  <c r="K107" i="138"/>
  <c r="V107" i="135"/>
  <c r="AK107" i="136"/>
  <c r="AS107" i="138"/>
  <c r="S107" i="138"/>
  <c r="R107" i="136"/>
  <c r="AE30" i="142"/>
  <c r="AE107" i="142" s="1"/>
  <c r="AE32" i="142"/>
  <c r="AE33" i="142" s="1"/>
  <c r="AF107" i="125"/>
  <c r="P107" i="125"/>
  <c r="AN107" i="136"/>
  <c r="AE107" i="138"/>
  <c r="AM107" i="138"/>
  <c r="AI107" i="136"/>
  <c r="AL107" i="135"/>
  <c r="N107" i="138"/>
  <c r="AM107" i="136"/>
  <c r="AM107" i="135"/>
  <c r="AB107" i="142"/>
  <c r="AL107" i="142"/>
  <c r="AP107" i="142"/>
  <c r="AC107" i="142"/>
  <c r="AS107" i="141"/>
  <c r="AD107" i="125"/>
  <c r="N107" i="125"/>
  <c r="AQ107" i="136"/>
  <c r="AF107" i="135"/>
  <c r="Q107" i="136"/>
  <c r="V107" i="136"/>
  <c r="L107" i="138"/>
  <c r="AG107" i="136"/>
  <c r="X107" i="142"/>
  <c r="AH107" i="142"/>
  <c r="V107" i="142"/>
  <c r="W107" i="142"/>
  <c r="AS31" i="142"/>
  <c r="AY107" i="141"/>
  <c r="AR107" i="125"/>
  <c r="AB107" i="125"/>
  <c r="L107" i="125"/>
  <c r="P107" i="136"/>
  <c r="X107" i="140"/>
  <c r="AG107" i="138"/>
  <c r="AL107" i="136"/>
  <c r="Y107" i="136"/>
  <c r="T107" i="138"/>
  <c r="AD107" i="136"/>
  <c r="AD107" i="135"/>
  <c r="CC107" i="134"/>
  <c r="AK107" i="125"/>
  <c r="AE107" i="125"/>
  <c r="AM107" i="125"/>
  <c r="AG107" i="142"/>
  <c r="R107" i="142"/>
  <c r="AQ107" i="142"/>
  <c r="AE30" i="141"/>
  <c r="AE32" i="141"/>
  <c r="AE33" i="141" s="1"/>
  <c r="E16" i="122"/>
  <c r="E25" i="122"/>
  <c r="E34" i="122"/>
  <c r="E72" i="122"/>
  <c r="E7" i="122"/>
  <c r="E6" i="122"/>
  <c r="E36" i="122"/>
  <c r="E40" i="122"/>
  <c r="E64" i="122"/>
  <c r="E70" i="122"/>
  <c r="E74" i="122"/>
  <c r="E24" i="122"/>
  <c r="E33" i="122"/>
  <c r="E39" i="122"/>
  <c r="E56" i="122"/>
  <c r="E60" i="122"/>
  <c r="E66" i="122"/>
  <c r="E71" i="122"/>
  <c r="E75" i="122"/>
  <c r="L31" i="142"/>
  <c r="L107" i="142" s="1"/>
  <c r="AY107" i="142"/>
  <c r="AM31" i="141"/>
  <c r="AM107" i="141" s="1"/>
  <c r="CH107" i="141"/>
  <c r="AK31" i="141"/>
  <c r="AK107" i="141" s="1"/>
  <c r="CB107" i="141"/>
  <c r="AC31" i="141"/>
  <c r="AC107" i="141" s="1"/>
  <c r="BX107" i="141"/>
  <c r="AR107" i="140"/>
  <c r="O107" i="138"/>
  <c r="AP107" i="140"/>
  <c r="U107" i="140"/>
  <c r="AL107" i="138"/>
  <c r="G107" i="140"/>
  <c r="I107" i="140"/>
  <c r="N31" i="140"/>
  <c r="N107" i="140" s="1"/>
  <c r="AW107" i="140"/>
  <c r="T31" i="135"/>
  <c r="T107" i="135" s="1"/>
  <c r="BB107" i="135"/>
  <c r="T31" i="140"/>
  <c r="T107" i="140" s="1"/>
  <c r="BB107" i="140"/>
  <c r="M31" i="140"/>
  <c r="M107" i="140" s="1"/>
  <c r="BD107" i="140"/>
  <c r="V31" i="140"/>
  <c r="V107" i="140" s="1"/>
  <c r="BJ107" i="140"/>
  <c r="Y107" i="140"/>
  <c r="AB31" i="140"/>
  <c r="AB107" i="140" s="1"/>
  <c r="BP107" i="140"/>
  <c r="AI31" i="134"/>
  <c r="AI107" i="134" s="1"/>
  <c r="BW107" i="134"/>
  <c r="AO31" i="135"/>
  <c r="AO107" i="135" s="1"/>
  <c r="CC107" i="135"/>
  <c r="AL31" i="140"/>
  <c r="AL107" i="140" s="1"/>
  <c r="CE107" i="140"/>
  <c r="P31" i="140"/>
  <c r="P107" i="140" s="1"/>
  <c r="H107" i="140"/>
  <c r="R107" i="140"/>
  <c r="Q31" i="140"/>
  <c r="Q107" i="140" s="1"/>
  <c r="AU107" i="140"/>
  <c r="S31" i="140"/>
  <c r="S107" i="140" s="1"/>
  <c r="AV107" i="140"/>
  <c r="K31" i="141"/>
  <c r="BF107" i="141"/>
  <c r="Z31" i="140"/>
  <c r="Z107" i="140" s="1"/>
  <c r="BM107" i="140"/>
  <c r="W31" i="141"/>
  <c r="BR107" i="141"/>
  <c r="AK31" i="134"/>
  <c r="AK107" i="134" s="1"/>
  <c r="CB107" i="134"/>
  <c r="CL107" i="142"/>
  <c r="Q107" i="141"/>
  <c r="C2" i="124"/>
  <c r="E2" i="124" s="1"/>
  <c r="Y31" i="141"/>
  <c r="Y107" i="141" s="1"/>
  <c r="AE31" i="141"/>
  <c r="V31" i="141"/>
  <c r="V107" i="141" s="1"/>
  <c r="E67" i="122"/>
  <c r="E8" i="122"/>
  <c r="E15" i="122"/>
  <c r="E22" i="122"/>
  <c r="E26" i="122"/>
  <c r="E35" i="122"/>
  <c r="E43" i="122"/>
  <c r="E54" i="122"/>
  <c r="E58" i="122"/>
  <c r="E63" i="122"/>
  <c r="E73" i="122"/>
  <c r="E13" i="122"/>
  <c r="I107" i="136"/>
  <c r="AN31" i="141"/>
  <c r="AN107" i="141" s="1"/>
  <c r="CJ107" i="141"/>
  <c r="AP31" i="141"/>
  <c r="AP107" i="141" s="1"/>
  <c r="CD107" i="141"/>
  <c r="AH31" i="141"/>
  <c r="AH107" i="141" s="1"/>
  <c r="BZ107" i="141"/>
  <c r="AG31" i="141"/>
  <c r="AG107" i="141" s="1"/>
  <c r="BV107" i="141"/>
  <c r="AJ107" i="136"/>
  <c r="AQ107" i="140"/>
  <c r="H107" i="138"/>
  <c r="AC107" i="138"/>
  <c r="M107" i="138"/>
  <c r="I107" i="135"/>
  <c r="X107" i="138"/>
  <c r="AM107" i="140"/>
  <c r="L107" i="140"/>
  <c r="AN107" i="140"/>
  <c r="AG107" i="140"/>
  <c r="N31" i="134"/>
  <c r="N107" i="134" s="1"/>
  <c r="AW107" i="134"/>
  <c r="AZ107" i="134"/>
  <c r="P31" i="134"/>
  <c r="P107" i="134" s="1"/>
  <c r="P31" i="141"/>
  <c r="P107" i="141" s="1"/>
  <c r="AZ107" i="141"/>
  <c r="T31" i="134"/>
  <c r="T107" i="134" s="1"/>
  <c r="BB107" i="134"/>
  <c r="T31" i="141"/>
  <c r="T107" i="141" s="1"/>
  <c r="BB107" i="141"/>
  <c r="M31" i="134"/>
  <c r="M107" i="134" s="1"/>
  <c r="BD107" i="134"/>
  <c r="M31" i="141"/>
  <c r="M107" i="141" s="1"/>
  <c r="BD107" i="141"/>
  <c r="AB31" i="141"/>
  <c r="AB107" i="141" s="1"/>
  <c r="BP107" i="141"/>
  <c r="BS107" i="140"/>
  <c r="AE31" i="140"/>
  <c r="AE107" i="140" s="1"/>
  <c r="AI31" i="140"/>
  <c r="AI107" i="140" s="1"/>
  <c r="BW107" i="140"/>
  <c r="AO31" i="140"/>
  <c r="AO107" i="140" s="1"/>
  <c r="CC107" i="140"/>
  <c r="BD107" i="135"/>
  <c r="S31" i="141"/>
  <c r="S107" i="141" s="1"/>
  <c r="AV107" i="141"/>
  <c r="K31" i="140"/>
  <c r="K107" i="140" s="1"/>
  <c r="BF107" i="140"/>
  <c r="Z31" i="134"/>
  <c r="Z107" i="134" s="1"/>
  <c r="BM107" i="134"/>
  <c r="W31" i="140"/>
  <c r="BR107" i="140"/>
  <c r="BT107" i="135"/>
  <c r="AE31" i="135"/>
  <c r="AE107" i="135" s="1"/>
  <c r="AK31" i="140"/>
  <c r="AK107" i="140" s="1"/>
  <c r="CB107" i="140"/>
  <c r="CG107" i="140"/>
  <c r="AS31" i="140"/>
  <c r="AS107" i="140" s="1"/>
  <c r="CG107" i="134"/>
  <c r="Z107" i="142"/>
  <c r="D2" i="124"/>
  <c r="AC107" i="140"/>
  <c r="AA107" i="142"/>
  <c r="AU107" i="142"/>
  <c r="AW107" i="142"/>
  <c r="AA107" i="141"/>
  <c r="O21" i="124"/>
  <c r="D41" i="124"/>
  <c r="Y17" i="124"/>
  <c r="X79" i="124"/>
  <c r="T4" i="124"/>
  <c r="V79" i="124"/>
  <c r="U84" i="124"/>
  <c r="T86" i="124"/>
  <c r="T27" i="124"/>
  <c r="S14" i="124"/>
  <c r="C5" i="124"/>
  <c r="C21" i="124"/>
  <c r="C58" i="124"/>
  <c r="P62" i="124"/>
  <c r="Y18" i="124"/>
  <c r="R21" i="124"/>
  <c r="U81" i="124"/>
  <c r="C46" i="124"/>
  <c r="M77" i="124"/>
  <c r="Y29" i="124"/>
  <c r="O11" i="124"/>
  <c r="R77" i="124"/>
  <c r="Q54" i="124"/>
  <c r="Q4" i="124"/>
  <c r="O42" i="124"/>
  <c r="X17" i="124"/>
  <c r="Q70" i="124"/>
  <c r="C56" i="124"/>
  <c r="S21" i="124"/>
  <c r="U70" i="124"/>
  <c r="C18" i="124"/>
  <c r="Y4" i="124"/>
  <c r="T54" i="124"/>
  <c r="O86" i="124"/>
  <c r="N84" i="124"/>
  <c r="N67" i="124"/>
  <c r="D28" i="124"/>
  <c r="C38" i="124"/>
  <c r="S4" i="124"/>
  <c r="D78" i="124"/>
  <c r="U5" i="124"/>
  <c r="C32" i="124"/>
  <c r="M29" i="124"/>
  <c r="X33" i="124"/>
  <c r="W11" i="124"/>
  <c r="S27" i="124"/>
  <c r="D60" i="124"/>
  <c r="D36" i="124"/>
  <c r="C28" i="124"/>
  <c r="T21" i="124"/>
  <c r="O66" i="124"/>
  <c r="Y20" i="124"/>
  <c r="M81" i="124"/>
  <c r="P4" i="124"/>
  <c r="U17" i="124"/>
  <c r="C78" i="124"/>
  <c r="D6" i="124"/>
  <c r="P42" i="124"/>
  <c r="V21" i="124"/>
  <c r="U39" i="124"/>
  <c r="C72" i="124"/>
  <c r="X32" i="124"/>
  <c r="D38" i="124"/>
  <c r="C79" i="124"/>
  <c r="W66" i="124"/>
  <c r="C57" i="124"/>
  <c r="C33" i="124"/>
  <c r="W81" i="124"/>
  <c r="N70" i="124"/>
  <c r="V17" i="124"/>
  <c r="N14" i="124"/>
  <c r="M54" i="124"/>
  <c r="U11" i="124"/>
  <c r="N39" i="124"/>
  <c r="Q21" i="124"/>
  <c r="C87" i="124"/>
  <c r="D24" i="124"/>
  <c r="Q27" i="124"/>
  <c r="C89" i="124"/>
  <c r="C49" i="124"/>
  <c r="C4" i="124"/>
  <c r="D7" i="124"/>
  <c r="P79" i="124"/>
  <c r="Y33" i="124"/>
  <c r="C20" i="124"/>
  <c r="N21" i="124"/>
  <c r="X54" i="124"/>
  <c r="Q39" i="124"/>
  <c r="O39" i="124"/>
  <c r="R18" i="124"/>
  <c r="W14" i="124"/>
  <c r="U32" i="124"/>
  <c r="D50" i="124"/>
  <c r="Q42" i="124"/>
  <c r="C81" i="124"/>
  <c r="V18" i="124"/>
  <c r="Y11" i="124"/>
  <c r="P29" i="124"/>
  <c r="V54" i="124"/>
  <c r="P21" i="124"/>
  <c r="D46" i="124"/>
  <c r="D87" i="124"/>
  <c r="O62" i="124"/>
  <c r="W39" i="124"/>
  <c r="R84" i="124"/>
  <c r="Y81" i="124"/>
  <c r="P32" i="124"/>
  <c r="V5" i="124"/>
  <c r="M62" i="124"/>
  <c r="W5" i="124"/>
  <c r="S17" i="124"/>
  <c r="C88" i="124"/>
  <c r="Y86" i="124"/>
  <c r="D48" i="124"/>
  <c r="O29" i="124"/>
  <c r="C10" i="124"/>
  <c r="X14" i="124"/>
  <c r="S54" i="124"/>
  <c r="Q77" i="124"/>
  <c r="Y32" i="124"/>
  <c r="Y84" i="124"/>
  <c r="C60" i="124"/>
  <c r="D86" i="124"/>
  <c r="D33" i="124"/>
  <c r="P14" i="124"/>
  <c r="C70" i="124"/>
  <c r="D56" i="124"/>
  <c r="W18" i="124"/>
  <c r="O54" i="124"/>
  <c r="S84" i="124"/>
  <c r="V20" i="124"/>
  <c r="M66" i="124"/>
  <c r="O70" i="124"/>
  <c r="Q33" i="124"/>
  <c r="D47" i="124"/>
  <c r="C23" i="124"/>
  <c r="C15" i="124"/>
  <c r="W70" i="124"/>
  <c r="D70" i="124"/>
  <c r="S18" i="124"/>
  <c r="Y62" i="124"/>
  <c r="V33" i="124"/>
  <c r="R32" i="124"/>
  <c r="M33" i="124"/>
  <c r="P33" i="124"/>
  <c r="D80" i="124"/>
  <c r="R42" i="124"/>
  <c r="D84" i="124"/>
  <c r="N86" i="124"/>
  <c r="D13" i="124"/>
  <c r="C27" i="124"/>
  <c r="V29" i="124"/>
  <c r="N79" i="124"/>
  <c r="C74" i="124"/>
  <c r="S62" i="124"/>
  <c r="W29" i="124"/>
  <c r="N18" i="124"/>
  <c r="Y54" i="124"/>
  <c r="O14" i="124"/>
  <c r="V67" i="124"/>
  <c r="C53" i="124"/>
  <c r="M20" i="124"/>
  <c r="D77" i="124"/>
  <c r="C29" i="124"/>
  <c r="C40" i="124"/>
  <c r="T33" i="124"/>
  <c r="X5" i="124"/>
  <c r="C63" i="124"/>
  <c r="C84" i="124"/>
  <c r="D53" i="124"/>
  <c r="R29" i="124"/>
  <c r="D88" i="124"/>
  <c r="D32" i="124"/>
  <c r="D18" i="124"/>
  <c r="M32" i="124"/>
  <c r="R81" i="124"/>
  <c r="X39" i="124"/>
  <c r="T66" i="124"/>
  <c r="C24" i="124"/>
  <c r="N27" i="124"/>
  <c r="S32" i="124"/>
  <c r="S79" i="124"/>
  <c r="C30" i="124"/>
  <c r="R66" i="124"/>
  <c r="P70" i="124"/>
  <c r="P66" i="124"/>
  <c r="T17" i="124"/>
  <c r="S42" i="124"/>
  <c r="R33" i="124"/>
  <c r="N4" i="124"/>
  <c r="M11" i="124"/>
  <c r="M4" i="124"/>
  <c r="N77" i="124"/>
  <c r="M86" i="124"/>
  <c r="O84" i="124"/>
  <c r="O79" i="124"/>
  <c r="U62" i="124"/>
  <c r="P54" i="124"/>
  <c r="D44" i="124"/>
  <c r="D26" i="124"/>
  <c r="R4" i="124"/>
  <c r="W33" i="124"/>
  <c r="D30" i="124"/>
  <c r="D35" i="124"/>
  <c r="O81" i="124"/>
  <c r="X66" i="124"/>
  <c r="O20" i="124"/>
  <c r="O5" i="124"/>
  <c r="D17" i="124"/>
  <c r="M70" i="124"/>
  <c r="T32" i="124"/>
  <c r="N66" i="124"/>
  <c r="C59" i="124"/>
  <c r="N20" i="124"/>
  <c r="R67" i="124"/>
  <c r="O18" i="124"/>
  <c r="C9" i="124"/>
  <c r="D55" i="124"/>
  <c r="W84" i="124"/>
  <c r="T70" i="124"/>
  <c r="P11" i="124"/>
  <c r="D54" i="124"/>
  <c r="Y5" i="124"/>
  <c r="C77" i="124"/>
  <c r="D34" i="124"/>
  <c r="W32" i="124"/>
  <c r="D8" i="124"/>
  <c r="D79" i="124"/>
  <c r="O77" i="124"/>
  <c r="Y27" i="124"/>
  <c r="D57" i="124"/>
  <c r="P27" i="124"/>
  <c r="U79" i="124"/>
  <c r="U18" i="124"/>
  <c r="T18" i="124"/>
  <c r="T81" i="124"/>
  <c r="C35" i="124"/>
  <c r="D29" i="124"/>
  <c r="C39" i="124"/>
  <c r="D5" i="124"/>
  <c r="N33" i="124"/>
  <c r="M5" i="124"/>
  <c r="C14" i="124"/>
  <c r="D72" i="124"/>
  <c r="M39" i="124"/>
  <c r="D58" i="124"/>
  <c r="Q67" i="124"/>
  <c r="X67" i="124"/>
  <c r="D10" i="124"/>
  <c r="W21" i="124"/>
  <c r="M27" i="124"/>
  <c r="W42" i="124"/>
  <c r="V32" i="124"/>
  <c r="T42" i="124"/>
  <c r="M18" i="124"/>
  <c r="M21" i="124"/>
  <c r="R11" i="124"/>
  <c r="R17" i="124"/>
  <c r="D20" i="124"/>
  <c r="X77" i="124"/>
  <c r="W20" i="124"/>
  <c r="P39" i="124"/>
  <c r="C47" i="124"/>
  <c r="X81" i="124"/>
  <c r="S20" i="124"/>
  <c r="T20" i="124"/>
  <c r="Y21" i="124"/>
  <c r="V84" i="124"/>
  <c r="W62" i="124"/>
  <c r="Q5" i="124"/>
  <c r="T77" i="124"/>
  <c r="U29" i="124"/>
  <c r="D25" i="124"/>
  <c r="S29" i="124"/>
  <c r="X20" i="124"/>
  <c r="V11" i="124"/>
  <c r="Q84" i="124"/>
  <c r="Y42" i="124"/>
  <c r="R20" i="124"/>
  <c r="S5" i="124"/>
  <c r="T11" i="124"/>
  <c r="D51" i="124"/>
  <c r="M17" i="124"/>
  <c r="V39" i="124"/>
  <c r="S67" i="124"/>
  <c r="U20" i="124"/>
  <c r="C8" i="124"/>
  <c r="C45" i="124"/>
  <c r="V27" i="124"/>
  <c r="U27" i="124"/>
  <c r="X11" i="124"/>
  <c r="S33" i="124"/>
  <c r="X62" i="124"/>
  <c r="Y77" i="124"/>
  <c r="R27" i="124"/>
  <c r="Q62" i="124"/>
  <c r="S11" i="124"/>
  <c r="X18" i="124"/>
  <c r="S81" i="124"/>
  <c r="X27" i="124"/>
  <c r="D11" i="124"/>
  <c r="D59" i="124"/>
  <c r="R54" i="124"/>
  <c r="O32" i="124"/>
  <c r="U42" i="124"/>
  <c r="P77" i="124"/>
  <c r="Q18" i="124"/>
  <c r="V14" i="124"/>
  <c r="Y39" i="124"/>
  <c r="C13" i="124"/>
  <c r="D22" i="124"/>
  <c r="U77" i="124"/>
  <c r="C42" i="124"/>
  <c r="C26" i="124"/>
  <c r="X84" i="124"/>
  <c r="P18" i="124"/>
  <c r="P17" i="124"/>
  <c r="V42" i="124"/>
  <c r="N42" i="124"/>
  <c r="W67" i="124"/>
  <c r="C36" i="124"/>
  <c r="O4" i="124"/>
  <c r="D73" i="124"/>
  <c r="V81" i="124"/>
  <c r="D15" i="124"/>
  <c r="T79" i="124"/>
  <c r="C22" i="124"/>
  <c r="W86" i="124"/>
  <c r="C41" i="124"/>
  <c r="X29" i="124"/>
  <c r="N62" i="124"/>
  <c r="D45" i="124"/>
  <c r="D49" i="124"/>
  <c r="U14" i="124"/>
  <c r="T29" i="124"/>
  <c r="O27" i="124"/>
  <c r="D39" i="124"/>
  <c r="D43" i="124"/>
  <c r="O17" i="124"/>
  <c r="T5" i="124"/>
  <c r="D27" i="124"/>
  <c r="N11" i="124"/>
  <c r="C34" i="124"/>
  <c r="Q66" i="124"/>
  <c r="R14" i="124"/>
  <c r="C44" i="124"/>
  <c r="C62" i="124"/>
  <c r="R70" i="124"/>
  <c r="C71" i="124"/>
  <c r="C51" i="124"/>
  <c r="X42" i="124"/>
  <c r="D81" i="124"/>
  <c r="T39" i="124"/>
  <c r="V86" i="124"/>
  <c r="V62" i="124"/>
  <c r="W79" i="124"/>
  <c r="P86" i="124"/>
  <c r="Q81" i="124"/>
  <c r="C16" i="124"/>
  <c r="X70" i="124"/>
  <c r="D89" i="124"/>
  <c r="D75" i="124"/>
  <c r="W4" i="124"/>
  <c r="D23" i="124"/>
  <c r="W77" i="124"/>
  <c r="N81" i="124"/>
  <c r="W54" i="124"/>
  <c r="C50" i="124"/>
  <c r="U21" i="124"/>
  <c r="X21" i="124"/>
  <c r="V4" i="124"/>
  <c r="R39" i="124"/>
  <c r="D14" i="124"/>
  <c r="U66" i="124"/>
  <c r="D42" i="124"/>
  <c r="X4" i="124"/>
  <c r="R62" i="124"/>
  <c r="M79" i="124"/>
  <c r="U4" i="124"/>
  <c r="C6" i="124"/>
  <c r="U54" i="124"/>
  <c r="R79" i="124"/>
  <c r="D16" i="124"/>
  <c r="N32" i="124"/>
  <c r="C73" i="124"/>
  <c r="M42" i="124"/>
  <c r="M84" i="124"/>
  <c r="S77" i="124"/>
  <c r="P84" i="124"/>
  <c r="C43" i="124"/>
  <c r="Y79" i="124"/>
  <c r="D74" i="124"/>
  <c r="N5" i="124"/>
  <c r="P81" i="124"/>
  <c r="P20" i="124"/>
  <c r="U33" i="124"/>
  <c r="D9" i="124"/>
  <c r="W27" i="124"/>
  <c r="U67" i="124"/>
  <c r="O67" i="124"/>
  <c r="S66" i="124"/>
  <c r="W17" i="124"/>
  <c r="M67" i="124"/>
  <c r="Q79" i="124"/>
  <c r="V66" i="124"/>
  <c r="S39" i="124"/>
  <c r="T67" i="124"/>
  <c r="C48" i="124"/>
  <c r="D4" i="124"/>
  <c r="C17" i="124"/>
  <c r="Q86" i="124"/>
  <c r="D21" i="124"/>
  <c r="V77" i="124"/>
  <c r="Q11" i="124"/>
  <c r="S86" i="124"/>
  <c r="T84" i="124"/>
  <c r="U86" i="124"/>
  <c r="T62" i="124"/>
  <c r="Q14" i="124"/>
  <c r="N54" i="124"/>
  <c r="Y67" i="124"/>
  <c r="P67" i="124"/>
  <c r="D40" i="124"/>
  <c r="Y14" i="124"/>
  <c r="P5" i="124"/>
  <c r="D71" i="124"/>
  <c r="Q32" i="124"/>
  <c r="T14" i="124"/>
  <c r="C80" i="124"/>
  <c r="R5" i="124"/>
  <c r="V70" i="124"/>
  <c r="Q17" i="124"/>
  <c r="Y70" i="124"/>
  <c r="X86" i="124"/>
  <c r="C11" i="124"/>
  <c r="C7" i="124"/>
  <c r="C86" i="124"/>
  <c r="C55" i="124"/>
  <c r="O33" i="124"/>
  <c r="S70" i="124"/>
  <c r="C75" i="124"/>
  <c r="C54" i="124"/>
  <c r="Q29" i="124"/>
  <c r="Y66" i="124"/>
  <c r="N17" i="124"/>
  <c r="C25" i="124"/>
  <c r="Q20" i="124"/>
  <c r="R86" i="124"/>
  <c r="N29" i="124"/>
  <c r="M14" i="124"/>
  <c r="G73" i="137" l="1"/>
  <c r="Y107" i="142"/>
  <c r="AE107" i="141"/>
  <c r="E27" i="124"/>
  <c r="E11" i="124"/>
  <c r="E80" i="124"/>
  <c r="E45" i="124"/>
  <c r="E73" i="124"/>
  <c r="E14" i="124"/>
  <c r="E40" i="124"/>
  <c r="E62" i="124"/>
  <c r="E89" i="124"/>
  <c r="E29" i="124"/>
  <c r="E44" i="124"/>
  <c r="E42" i="124"/>
  <c r="E17" i="124"/>
  <c r="E53" i="124"/>
  <c r="E24" i="124"/>
  <c r="E15" i="124"/>
  <c r="E68" i="124"/>
  <c r="E35" i="124"/>
  <c r="E33" i="124"/>
  <c r="E59" i="124"/>
  <c r="E63" i="124"/>
  <c r="E16" i="124"/>
  <c r="E71" i="124"/>
  <c r="E38" i="124"/>
  <c r="E72" i="124"/>
  <c r="E28" i="124"/>
  <c r="E10" i="124"/>
  <c r="E36" i="124"/>
  <c r="E79" i="124"/>
  <c r="E88" i="124"/>
  <c r="E87" i="124"/>
  <c r="E23" i="124"/>
  <c r="E70" i="124"/>
  <c r="E74" i="124"/>
  <c r="E46" i="124"/>
  <c r="E43" i="124"/>
  <c r="E13" i="124"/>
  <c r="O61" i="137"/>
  <c r="F42" i="137"/>
  <c r="F56" i="137"/>
  <c r="I46" i="137"/>
  <c r="M57" i="137"/>
  <c r="F58" i="137"/>
  <c r="F47" i="137"/>
  <c r="F62" i="137"/>
  <c r="G55" i="137"/>
  <c r="P53" i="137"/>
  <c r="K43" i="137"/>
  <c r="O56" i="137"/>
  <c r="H44" i="137"/>
  <c r="F61" i="137"/>
  <c r="J57" i="137"/>
  <c r="G43" i="137"/>
  <c r="P61" i="137"/>
  <c r="P55" i="137"/>
  <c r="O55" i="137"/>
  <c r="M47" i="137"/>
  <c r="F52" i="137"/>
  <c r="J61" i="137"/>
  <c r="J53" i="137"/>
  <c r="P51" i="137"/>
  <c r="P50" i="137"/>
  <c r="N59" i="137"/>
  <c r="N42" i="137"/>
  <c r="Q42" i="137"/>
  <c r="K59" i="137"/>
  <c r="L41" i="137"/>
  <c r="E81" i="124"/>
  <c r="E47" i="124"/>
  <c r="E30" i="124"/>
  <c r="E21" i="124"/>
  <c r="E39" i="124"/>
  <c r="E57" i="124"/>
  <c r="E48" i="124"/>
  <c r="E20" i="124"/>
  <c r="E8" i="124"/>
  <c r="E60" i="124"/>
  <c r="E22" i="124"/>
  <c r="E25" i="124"/>
  <c r="E55" i="124"/>
  <c r="E49" i="124"/>
  <c r="E41" i="124"/>
  <c r="E77" i="124"/>
  <c r="E56" i="124"/>
  <c r="E86" i="124"/>
  <c r="E58" i="124"/>
  <c r="E26" i="124"/>
  <c r="E67" i="124"/>
  <c r="E75" i="124"/>
  <c r="E50" i="124"/>
  <c r="E6" i="124"/>
  <c r="E54" i="124"/>
  <c r="E51" i="124"/>
  <c r="E66" i="124"/>
  <c r="E34" i="124"/>
  <c r="E32" i="124"/>
  <c r="E64" i="124"/>
  <c r="E5" i="124"/>
  <c r="E84" i="124"/>
  <c r="E4" i="124"/>
  <c r="E78" i="124"/>
  <c r="E7" i="124"/>
  <c r="E18" i="124"/>
  <c r="E9" i="124"/>
  <c r="P49" i="137"/>
  <c r="N51" i="137"/>
  <c r="H55" i="137"/>
  <c r="F74" i="137"/>
  <c r="N48" i="137"/>
  <c r="H59" i="137"/>
  <c r="G42" i="137"/>
  <c r="N55" i="137"/>
  <c r="L47" i="137"/>
  <c r="R51" i="137"/>
  <c r="G48" i="137"/>
  <c r="I41" i="137"/>
  <c r="H43" i="137"/>
  <c r="O42" i="137"/>
  <c r="Q54" i="137"/>
  <c r="P56" i="137"/>
  <c r="Q44" i="137"/>
  <c r="L52" i="137"/>
  <c r="H57" i="137"/>
  <c r="I56" i="137"/>
  <c r="H45" i="137"/>
  <c r="F41" i="137"/>
  <c r="L55" i="137"/>
  <c r="P45" i="137"/>
  <c r="O52" i="137"/>
  <c r="N44" i="137"/>
  <c r="P58" i="137"/>
  <c r="L59" i="137"/>
  <c r="P52" i="137"/>
  <c r="L43" i="137"/>
  <c r="I52" i="137"/>
  <c r="J44" i="137"/>
  <c r="P44" i="137"/>
  <c r="J50" i="137"/>
  <c r="R62" i="137"/>
  <c r="I51" i="137"/>
  <c r="G46" i="137"/>
  <c r="I74" i="137"/>
  <c r="R48" i="137"/>
  <c r="Q50" i="137"/>
  <c r="H42" i="137"/>
  <c r="Q41" i="137"/>
  <c r="O46" i="137"/>
  <c r="M49" i="137"/>
  <c r="I53" i="137"/>
  <c r="P48" i="137"/>
  <c r="N60" i="137"/>
  <c r="O53" i="137"/>
  <c r="H49" i="137"/>
  <c r="J43" i="137"/>
  <c r="N46" i="137"/>
  <c r="H48" i="137"/>
  <c r="R59" i="137"/>
  <c r="R49" i="137"/>
  <c r="P57" i="137"/>
  <c r="R55" i="137"/>
  <c r="Q57" i="137"/>
  <c r="O74" i="137"/>
  <c r="M74" i="137"/>
  <c r="R58" i="137"/>
  <c r="O54" i="137"/>
  <c r="F44" i="137"/>
  <c r="K58" i="137"/>
  <c r="H46" i="137"/>
  <c r="N57" i="137"/>
  <c r="F57" i="137"/>
  <c r="F55" i="137"/>
  <c r="L58" i="137"/>
  <c r="L61" i="137"/>
  <c r="Q60" i="137"/>
  <c r="O44" i="137"/>
  <c r="Q43" i="137"/>
  <c r="Q53" i="137"/>
  <c r="H60" i="137"/>
  <c r="K47" i="137"/>
  <c r="L56" i="137"/>
  <c r="O43" i="137"/>
  <c r="L46" i="137"/>
  <c r="F46" i="137"/>
  <c r="N41" i="137"/>
  <c r="R54" i="137"/>
  <c r="H47" i="137"/>
  <c r="I54" i="137"/>
  <c r="K54" i="137"/>
  <c r="K42" i="137"/>
  <c r="P59" i="137"/>
  <c r="J41" i="137"/>
  <c r="N50" i="137"/>
  <c r="P73" i="137"/>
  <c r="K46" i="137"/>
  <c r="H61" i="137"/>
  <c r="L62" i="137"/>
  <c r="K49" i="137"/>
  <c r="L57" i="137"/>
  <c r="P43" i="137"/>
  <c r="G54" i="137"/>
  <c r="R43" i="137"/>
  <c r="O60" i="137"/>
  <c r="L42" i="137"/>
  <c r="H62" i="137"/>
  <c r="G58" i="137"/>
  <c r="L74" i="137"/>
  <c r="Q45" i="137"/>
  <c r="L51" i="137"/>
  <c r="G49" i="137"/>
  <c r="O62" i="137"/>
  <c r="G50" i="137"/>
  <c r="H54" i="137"/>
  <c r="J62" i="137"/>
  <c r="K60" i="137"/>
  <c r="J55" i="137"/>
  <c r="K41" i="137"/>
  <c r="M58" i="137"/>
  <c r="O50" i="137"/>
  <c r="M52" i="137"/>
  <c r="O45" i="137"/>
  <c r="N56" i="137"/>
  <c r="H74" i="137"/>
  <c r="Q49" i="137"/>
  <c r="N45" i="137"/>
  <c r="G51" i="137"/>
  <c r="R60" i="137"/>
  <c r="G57" i="137"/>
  <c r="K73" i="137"/>
  <c r="L73" i="137"/>
  <c r="O57" i="137"/>
  <c r="N52" i="137"/>
  <c r="J48" i="137"/>
  <c r="Q74" i="137"/>
  <c r="K48" i="137"/>
  <c r="N43" i="137"/>
  <c r="I50" i="137"/>
  <c r="L45" i="137"/>
  <c r="R61" i="137"/>
  <c r="G60" i="137"/>
  <c r="Q62" i="137"/>
  <c r="Q48" i="137"/>
  <c r="G47" i="137"/>
  <c r="J58" i="137"/>
  <c r="F54" i="137"/>
  <c r="K44" i="137"/>
  <c r="J42" i="137"/>
  <c r="M43" i="137"/>
  <c r="L50" i="137"/>
  <c r="J51" i="137"/>
  <c r="K53" i="137"/>
  <c r="N54" i="137"/>
  <c r="M45" i="137"/>
  <c r="J74" i="137"/>
  <c r="R44" i="137"/>
  <c r="F60" i="137"/>
  <c r="N61" i="137"/>
  <c r="G53" i="137"/>
  <c r="R45" i="137"/>
  <c r="P74" i="137"/>
  <c r="P46" i="137"/>
  <c r="I73" i="137"/>
  <c r="J45" i="137"/>
  <c r="H52" i="137"/>
  <c r="O58" i="137"/>
  <c r="O49" i="137"/>
  <c r="R42" i="137"/>
  <c r="M41" i="137"/>
  <c r="K52" i="137"/>
  <c r="R74" i="137"/>
  <c r="J59" i="137"/>
  <c r="Q52" i="137"/>
  <c r="J60" i="137"/>
  <c r="K56" i="137"/>
  <c r="R46" i="137"/>
  <c r="M48" i="137"/>
  <c r="M51" i="137"/>
  <c r="G59" i="137"/>
  <c r="Q46" i="137"/>
  <c r="M42" i="137"/>
  <c r="N62" i="137"/>
  <c r="O47" i="137"/>
  <c r="J46" i="137"/>
  <c r="G61" i="137"/>
  <c r="H41" i="137"/>
  <c r="N58" i="137"/>
  <c r="F49" i="137"/>
  <c r="Q61" i="137"/>
  <c r="M73" i="137"/>
  <c r="Q55" i="137"/>
  <c r="K57" i="137"/>
  <c r="K45" i="137"/>
  <c r="O41" i="137"/>
  <c r="L44" i="137"/>
  <c r="H56" i="137"/>
  <c r="I58" i="137"/>
  <c r="I62" i="137"/>
  <c r="J73" i="137"/>
  <c r="I47" i="137"/>
  <c r="P60" i="137"/>
  <c r="K74" i="137"/>
  <c r="R47" i="137"/>
  <c r="L48" i="137"/>
  <c r="O48" i="137"/>
  <c r="R53" i="137"/>
  <c r="Q51" i="137"/>
  <c r="L49" i="137"/>
  <c r="I49" i="137"/>
  <c r="G56" i="137"/>
  <c r="H51" i="137"/>
  <c r="O51" i="137"/>
  <c r="L60" i="137"/>
  <c r="R57" i="137"/>
  <c r="I45" i="137"/>
  <c r="I48" i="137"/>
  <c r="M54" i="137"/>
  <c r="G62" i="137"/>
  <c r="H50" i="137"/>
  <c r="M62" i="137"/>
  <c r="Q56" i="137"/>
  <c r="N49" i="137"/>
  <c r="J52" i="137"/>
  <c r="F73" i="137"/>
  <c r="G45" i="137"/>
  <c r="N73" i="137"/>
  <c r="I55" i="137"/>
  <c r="K55" i="137"/>
  <c r="L54" i="137"/>
  <c r="F45" i="137"/>
  <c r="I44" i="137"/>
  <c r="H53" i="137"/>
  <c r="M61" i="137"/>
  <c r="K50" i="137"/>
  <c r="Q47" i="137"/>
  <c r="P47" i="137"/>
  <c r="Q73" i="137"/>
  <c r="R50" i="137"/>
  <c r="J54" i="137"/>
  <c r="N53" i="137"/>
  <c r="K62" i="137"/>
  <c r="F53" i="137"/>
  <c r="I60" i="137"/>
  <c r="L53" i="137"/>
  <c r="J49" i="137"/>
  <c r="J56" i="137"/>
  <c r="I42" i="137"/>
  <c r="Q58" i="137"/>
  <c r="P41" i="137"/>
  <c r="P42" i="137"/>
  <c r="I43" i="137"/>
  <c r="M46" i="137"/>
  <c r="R56" i="137"/>
  <c r="G41" i="137"/>
  <c r="F48" i="137"/>
  <c r="R52" i="137"/>
  <c r="R41" i="137"/>
  <c r="F59" i="137"/>
  <c r="M56" i="137"/>
  <c r="M53" i="137"/>
  <c r="M50" i="137"/>
  <c r="H73" i="137"/>
  <c r="M60" i="137"/>
  <c r="I61" i="137"/>
  <c r="N74" i="137"/>
  <c r="K51" i="137"/>
  <c r="F50" i="137"/>
  <c r="P54" i="137"/>
  <c r="Q59" i="137"/>
  <c r="R73" i="137"/>
  <c r="O59" i="137"/>
  <c r="M44" i="137"/>
  <c r="N47" i="137"/>
  <c r="K61" i="137"/>
  <c r="G44" i="137"/>
  <c r="I57" i="137"/>
  <c r="I59" i="137"/>
  <c r="M55" i="137"/>
  <c r="F51" i="137"/>
  <c r="F43" i="137"/>
  <c r="G74" i="137"/>
  <c r="P62" i="137"/>
  <c r="O73" i="137"/>
  <c r="J47" i="137"/>
  <c r="M59" i="137"/>
  <c r="G52" i="137"/>
  <c r="H58" i="137"/>
  <c r="O65" i="137" l="1"/>
  <c r="P65" i="137"/>
  <c r="H65" i="137"/>
  <c r="K65" i="137"/>
  <c r="I65" i="137"/>
  <c r="R65" i="137"/>
  <c r="L65" i="137"/>
  <c r="F65" i="137"/>
  <c r="N65" i="137"/>
  <c r="M65" i="137"/>
  <c r="G65" i="137"/>
  <c r="J65" i="137"/>
  <c r="Q65" i="137"/>
  <c r="F31" i="144"/>
  <c r="F107" i="144" l="1"/>
  <c r="H31" i="144"/>
  <c r="G31" i="144"/>
  <c r="I31" i="144"/>
  <c r="H30" i="144"/>
  <c r="I30" i="144"/>
  <c r="G30" i="144"/>
  <c r="H107" i="144" l="1"/>
  <c r="I107" i="144"/>
  <c r="G107" i="144"/>
</calcChain>
</file>

<file path=xl/comments1.xml><?xml version="1.0" encoding="utf-8"?>
<comments xmlns="http://schemas.openxmlformats.org/spreadsheetml/2006/main">
  <authors>
    <author>Mueller, Richard (LEL-SG)</author>
    <author>MuellerR</author>
    <author>Müller, Richard (LEL)</author>
    <author>Stock, Martina (LEL-SG)</author>
  </authors>
  <commentList>
    <comment ref="A4" authorId="0" shapeId="0">
      <text>
        <r>
          <rPr>
            <sz val="8"/>
            <color indexed="81"/>
            <rFont val="Tahoma"/>
            <family val="2"/>
          </rPr>
          <t>Mit Stand 31.12.2016 wurde die Flächenerhebung nach Art der tatsächlichen Nutzung erstmals bundeseinheitlich in der neuen ALKIS-Nomenklatur veröffentlicht. Ein direkter Vergleich mit den bisher in ALB-Nomenklatur dargestellten Daten ist nicht möglich.</t>
        </r>
        <r>
          <rPr>
            <sz val="9"/>
            <color indexed="81"/>
            <rFont val="Segoe UI"/>
            <family val="2"/>
          </rPr>
          <t xml:space="preserve">
</t>
        </r>
      </text>
    </comment>
    <comment ref="A14" authorId="1" shapeId="0">
      <text>
        <r>
          <rPr>
            <sz val="8"/>
            <color indexed="81"/>
            <rFont val="Tahoma"/>
            <family val="2"/>
          </rPr>
          <t>Bezogen auf alle zivilen Erwerbspersonen</t>
        </r>
      </text>
    </comment>
    <comment ref="A16" authorId="1"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A48" authorId="1" shapeId="0">
      <text>
        <r>
          <rPr>
            <sz val="8"/>
            <color indexed="81"/>
            <rFont val="Tahoma"/>
            <family val="2"/>
          </rPr>
          <t xml:space="preserve">Milchleistung aus Statistik Milcherzeugung für das Jahr 2010 auf Kreisebene nicht verfügbar.
</t>
        </r>
      </text>
    </comment>
    <comment ref="A51" authorId="1" shapeId="0">
      <text>
        <r>
          <rPr>
            <sz val="8"/>
            <color indexed="81"/>
            <rFont val="Tahoma"/>
            <family val="2"/>
          </rPr>
          <t xml:space="preserve">Anzahl Milchkühe aus Statistik Milcherzeugung für das Jahr 2010 auf Kreisebene  nicht verfügbar .
</t>
        </r>
      </text>
    </comment>
    <comment ref="A53" authorId="1" shapeId="0">
      <text>
        <r>
          <rPr>
            <sz val="8"/>
            <color indexed="81"/>
            <rFont val="Tahoma"/>
            <family val="2"/>
          </rPr>
          <t>Einzelne Naturschutzgebiete erstrecken sich über mehrere Kreise und Regionen. Die Anzahl/Fläche der NSG auf Regions- oder Regierungsbezirksebene ist deswegen nicht gleich der Summe der Anzahl/Fläche der NSG in den Kreisen.</t>
        </r>
      </text>
    </comment>
    <comment ref="A55" authorId="1" shapeId="0">
      <text>
        <r>
          <rPr>
            <sz val="8"/>
            <color indexed="81"/>
            <rFont val="Tahoma"/>
            <family val="2"/>
          </rPr>
          <t>Fauna = Tierwelt, 
Flora = Pflanzenwelt, Habitat = Lebensraum</t>
        </r>
      </text>
    </comment>
    <comment ref="A57" authorId="1" shapeId="0">
      <text>
        <r>
          <rPr>
            <sz val="8"/>
            <color indexed="81"/>
            <rFont val="Tahoma"/>
            <family val="2"/>
          </rPr>
          <t>Special Protected Areas (SPA) = Vogelschutzgebiete</t>
        </r>
      </text>
    </comment>
    <comment ref="A62" authorId="2" shapeId="0">
      <text>
        <r>
          <rPr>
            <b/>
            <sz val="8"/>
            <color indexed="81"/>
            <rFont val="Tahoma"/>
            <family val="2"/>
          </rPr>
          <t xml:space="preserve">bis 2018: </t>
        </r>
        <r>
          <rPr>
            <sz val="8"/>
            <color indexed="81"/>
            <rFont val="Tahoma"/>
            <family val="2"/>
          </rPr>
          <t xml:space="preserve">
Benachteiligte Agrarzone - vollständig,
Berggebiet - teilweise
Berggebiet - vollständig
Kleines Gebiet - vollständig
</t>
        </r>
        <r>
          <rPr>
            <b/>
            <sz val="8"/>
            <color indexed="81"/>
            <rFont val="Tahoma"/>
            <family val="2"/>
          </rPr>
          <t>ab 2019:</t>
        </r>
        <r>
          <rPr>
            <sz val="8"/>
            <color indexed="81"/>
            <rFont val="Tahoma"/>
            <family val="2"/>
          </rPr>
          <t xml:space="preserve">
Benachteiligte Agrarzone - vollständig,
Berggebiet - vollständig</t>
        </r>
      </text>
    </comment>
    <comment ref="A65" authorId="3" shapeId="0">
      <text>
        <r>
          <rPr>
            <sz val="8"/>
            <color indexed="81"/>
            <rFont val="Tahoma"/>
            <family val="2"/>
          </rPr>
          <t>Betriebe mit Merkmal FAKT-Beibehaltung &gt;=5 ha</t>
        </r>
      </text>
    </comment>
    <comment ref="E66" authorId="1" shapeId="0">
      <text>
        <r>
          <rPr>
            <sz val="8"/>
            <color indexed="81"/>
            <rFont val="Tahoma"/>
            <family val="2"/>
          </rPr>
          <t>Anteil an allen lw. Betrieben ab 5 ha LF
im Gebiet</t>
        </r>
      </text>
    </comment>
    <comment ref="E67" authorId="1" shapeId="0">
      <text>
        <r>
          <rPr>
            <sz val="8"/>
            <color indexed="81"/>
            <rFont val="Tahoma"/>
            <family val="2"/>
          </rPr>
          <t xml:space="preserve">Anteil an allen lw. Flächen im Gebiet
</t>
        </r>
      </text>
    </comment>
    <comment ref="E69" authorId="1" shapeId="0">
      <text>
        <r>
          <rPr>
            <sz val="8"/>
            <color indexed="81"/>
            <rFont val="Tahoma"/>
            <family val="2"/>
          </rPr>
          <t>Anteil an allen lw. Betrieben &gt; 0 ha LF
im Gebiet</t>
        </r>
      </text>
    </comment>
    <comment ref="A73" authorId="3" shapeId="0">
      <text>
        <r>
          <rPr>
            <sz val="8"/>
            <color indexed="81"/>
            <rFont val="Tahoma"/>
            <family val="2"/>
          </rPr>
          <t>bis 2019 Bennenung Weideviehbetriebe</t>
        </r>
      </text>
    </comment>
  </commentList>
</comments>
</file>

<file path=xl/comments10.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List>
</comments>
</file>

<file path=xl/comments11.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List>
</comments>
</file>

<file path=xl/comments12.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List>
</comments>
</file>

<file path=xl/comments13.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4.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31.12.2010</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 ref="B96" authorId="0" shapeId="0">
      <text>
        <r>
          <rPr>
            <sz val="8"/>
            <color indexed="81"/>
            <rFont val="Tahoma"/>
            <family val="2"/>
          </rPr>
          <t xml:space="preserve">Bundesanstalt für Landwirtschaft und Ernährung, Bonn
</t>
        </r>
      </text>
    </comment>
  </commentList>
</comments>
</file>

<file path=xl/comments15.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C41" authorId="0" shapeId="0">
      <text>
        <r>
          <rPr>
            <b/>
            <sz val="8"/>
            <color indexed="81"/>
            <rFont val="Tahoma"/>
            <family val="2"/>
          </rPr>
          <t>MuellerR:</t>
        </r>
        <r>
          <rPr>
            <sz val="8"/>
            <color indexed="81"/>
            <rFont val="Tahoma"/>
            <family val="2"/>
          </rPr>
          <t xml:space="preserve">
HIT Nov 2009</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6.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31.12.2008</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C41" authorId="0" shapeId="0">
      <text>
        <r>
          <rPr>
            <b/>
            <sz val="8"/>
            <color indexed="81"/>
            <rFont val="Tahoma"/>
            <family val="2"/>
          </rPr>
          <t>MuellerR:</t>
        </r>
        <r>
          <rPr>
            <sz val="8"/>
            <color indexed="81"/>
            <rFont val="Tahoma"/>
            <family val="2"/>
          </rPr>
          <t xml:space="preserve">
HIT Nov 2008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7.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8.xml><?xml version="1.0" encoding="utf-8"?>
<comments xmlns="http://schemas.openxmlformats.org/spreadsheetml/2006/main">
  <authors>
    <author>MuellerR</author>
    <author>Müller, Richard (LEL)</author>
  </authors>
  <commentList>
    <comment ref="B6" authorId="0" shapeId="0">
      <text>
        <r>
          <rPr>
            <b/>
            <sz val="8"/>
            <color indexed="81"/>
            <rFont val="Tahoma"/>
            <family val="2"/>
          </rPr>
          <t>MuellerR:</t>
        </r>
        <r>
          <rPr>
            <sz val="8"/>
            <color indexed="81"/>
            <rFont val="Tahoma"/>
            <family val="2"/>
          </rPr>
          <t xml:space="preserve">
Die Daten der Kreise wurden ermittelt, indem die Werte der Mittelbereich aufsummiert und bereinigt um die Stadtkreise berechnet wurden. Die Daten der Stadtkreise sind aus dem Jahr 2000.</t>
        </r>
      </text>
    </comment>
    <comment ref="AT7" authorId="0" shapeId="0">
      <text>
        <r>
          <rPr>
            <b/>
            <sz val="8"/>
            <color indexed="81"/>
            <rFont val="Tahoma"/>
            <family val="2"/>
          </rPr>
          <t>Stand: 21.12.2000</t>
        </r>
        <r>
          <rPr>
            <sz val="8"/>
            <color indexed="81"/>
            <rFont val="Tahoma"/>
            <family val="2"/>
          </rPr>
          <t xml:space="preserve">
</t>
        </r>
      </text>
    </comment>
    <comment ref="AZ7" authorId="0" shapeId="0">
      <text>
        <r>
          <rPr>
            <b/>
            <sz val="8"/>
            <color indexed="81"/>
            <rFont val="Tahoma"/>
            <family val="2"/>
          </rPr>
          <t>Stand: 21.12.2000</t>
        </r>
        <r>
          <rPr>
            <sz val="8"/>
            <color indexed="81"/>
            <rFont val="Tahoma"/>
            <family val="2"/>
          </rPr>
          <t xml:space="preserve">
</t>
        </r>
      </text>
    </comment>
    <comment ref="BG7" authorId="0" shapeId="0">
      <text>
        <r>
          <rPr>
            <b/>
            <sz val="8"/>
            <color indexed="81"/>
            <rFont val="Tahoma"/>
            <family val="2"/>
          </rPr>
          <t>Stand: 21.12.2000</t>
        </r>
        <r>
          <rPr>
            <sz val="8"/>
            <color indexed="81"/>
            <rFont val="Tahoma"/>
            <family val="2"/>
          </rPr>
          <t xml:space="preserve">
</t>
        </r>
      </text>
    </comment>
    <comment ref="BH7" authorId="0" shapeId="0">
      <text>
        <r>
          <rPr>
            <b/>
            <sz val="8"/>
            <color indexed="81"/>
            <rFont val="Tahoma"/>
            <family val="2"/>
          </rPr>
          <t>Stand: 21.12.2000</t>
        </r>
        <r>
          <rPr>
            <sz val="8"/>
            <color indexed="81"/>
            <rFont val="Tahoma"/>
            <family val="2"/>
          </rPr>
          <t xml:space="preserve">
</t>
        </r>
      </text>
    </comment>
    <comment ref="BK7" authorId="0" shapeId="0">
      <text>
        <r>
          <rPr>
            <b/>
            <sz val="8"/>
            <color indexed="81"/>
            <rFont val="Tahoma"/>
            <family val="2"/>
          </rPr>
          <t>Stand: 21.12.2000</t>
        </r>
        <r>
          <rPr>
            <sz val="8"/>
            <color indexed="81"/>
            <rFont val="Tahoma"/>
            <family val="2"/>
          </rPr>
          <t xml:space="preserve">
</t>
        </r>
      </text>
    </comment>
    <comment ref="BL7" authorId="0" shapeId="0">
      <text>
        <r>
          <rPr>
            <b/>
            <sz val="8"/>
            <color indexed="81"/>
            <rFont val="Tahoma"/>
            <family val="2"/>
          </rPr>
          <t>Stand: 21.12.2000</t>
        </r>
        <r>
          <rPr>
            <sz val="8"/>
            <color indexed="81"/>
            <rFont val="Tahoma"/>
            <family val="2"/>
          </rPr>
          <t xml:space="preserve">
</t>
        </r>
      </text>
    </comment>
    <comment ref="BO7" authorId="0" shapeId="0">
      <text>
        <r>
          <rPr>
            <b/>
            <sz val="8"/>
            <color indexed="81"/>
            <rFont val="Tahoma"/>
            <family val="2"/>
          </rPr>
          <t>Stand: 21.12.2000</t>
        </r>
        <r>
          <rPr>
            <sz val="8"/>
            <color indexed="81"/>
            <rFont val="Tahoma"/>
            <family val="2"/>
          </rPr>
          <t xml:space="preserve">
</t>
        </r>
      </text>
    </comment>
    <comment ref="BS7" authorId="0" shapeId="0">
      <text>
        <r>
          <rPr>
            <b/>
            <sz val="8"/>
            <color indexed="81"/>
            <rFont val="Tahoma"/>
            <family val="2"/>
          </rPr>
          <t>Stand: 21.12.2000</t>
        </r>
        <r>
          <rPr>
            <sz val="8"/>
            <color indexed="81"/>
            <rFont val="Tahoma"/>
            <family val="2"/>
          </rPr>
          <t xml:space="preserve">
</t>
        </r>
      </text>
    </comment>
    <comment ref="CF7" authorId="0" shapeId="0">
      <text>
        <r>
          <rPr>
            <b/>
            <sz val="8"/>
            <color indexed="81"/>
            <rFont val="Tahoma"/>
            <family val="2"/>
          </rPr>
          <t>Stand: 21.12.2000</t>
        </r>
        <r>
          <rPr>
            <sz val="8"/>
            <color indexed="81"/>
            <rFont val="Tahoma"/>
            <family val="2"/>
          </rPr>
          <t xml:space="preserve">
</t>
        </r>
      </text>
    </commen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31.12.2001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9.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6" authorId="1" shapeId="0">
      <text>
        <r>
          <rPr>
            <b/>
            <sz val="8"/>
            <color indexed="81"/>
            <rFont val="Tahoma"/>
            <family val="2"/>
          </rPr>
          <t xml:space="preserve">Quelle: 
Erwerbstätige am Arbeitsort in den Stadt- und Landkreisen
Baden-Württembergs 1991 bis 2021
Statistische Berichte vom 31.01.2023
Statistisches Landesamt Baden-Württemberg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8" authorId="2" shapeId="0">
      <text>
        <r>
          <rPr>
            <b/>
            <sz val="9"/>
            <color indexed="81"/>
            <rFont val="Segoe UI"/>
            <family val="2"/>
          </rPr>
          <t xml:space="preserve">Quelle: 
Erwerbstätige am Arbeitsort in den Stadt- und Landkreisen
Baden-Württembergs 1991 bis 2021
Statistische Berichte vom 31.01.2023
Statistisches Landesamt Baden-Württemberg
</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20"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21" authorId="2" shapeId="0">
      <text>
        <r>
          <rPr>
            <b/>
            <sz val="9"/>
            <color indexed="81"/>
            <rFont val="Segoe UI"/>
            <family val="2"/>
          </rPr>
          <t xml:space="preserve">Quelle: 
Erwerbstätige am Arbeitsort in den Stadt- und Landkreisen
Baden-Württembergs 1991 bis 2020
Statistische Berichte vom 01.08.2022
Statistisches Landesamt Baden-Württemberg
</t>
        </r>
      </text>
    </comment>
    <comment ref="BK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O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CF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51" authorId="2" shapeId="0">
      <text>
        <r>
          <rPr>
            <b/>
            <sz val="9"/>
            <color indexed="81"/>
            <rFont val="Segoe UI"/>
            <family val="2"/>
          </rPr>
          <t>Stock, Martina (LEL-SG):</t>
        </r>
        <r>
          <rPr>
            <sz val="9"/>
            <color indexed="81"/>
            <rFont val="Segoe UI"/>
            <family val="2"/>
          </rPr>
          <t xml:space="preserve">
2020: Berechnungsgrundlage sind Daten des Statistischen Landesamtes sowie der BLE</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
(Einzelne Schutzgebiete erstrecken sich über mehrere Kreise und Regionen. Die Anzahl der Schutzgebiete der
Regionen bzw. des Regierungsbezirks entspricht deswegen nicht der Summe der Anzahl der Schutzgebiete Seite)</t>
        </r>
      </text>
    </comment>
    <comment ref="B56" authorId="1" shapeId="0">
      <text>
        <r>
          <rPr>
            <sz val="8"/>
            <color indexed="81"/>
            <rFont val="Tahoma"/>
            <family val="2"/>
          </rPr>
          <t>Stand 19.08.2021
Quelle: Abruf bei LUBW Baden-Württemberg</t>
        </r>
      </text>
    </comment>
    <comment ref="B58" authorId="1" shapeId="0">
      <text>
        <r>
          <rPr>
            <sz val="8"/>
            <color indexed="81"/>
            <rFont val="Tahoma"/>
            <family val="2"/>
          </rPr>
          <t>Stand 19.08.2021Stand 19.08.2021
Quelle: Abruf bei LUBW Baden-Württemberg</t>
        </r>
      </text>
    </comment>
    <comment ref="B60" authorId="1" shapeId="0">
      <text>
        <r>
          <rPr>
            <sz val="8"/>
            <color indexed="81"/>
            <rFont val="Tahoma"/>
            <family val="2"/>
          </rPr>
          <t>Stand 19.08.2021
Quelle: Abruf bei LUBW Baden-Württemberg</t>
        </r>
      </text>
    </comment>
    <comment ref="P60" authorId="2" shapeId="0">
      <text>
        <r>
          <rPr>
            <b/>
            <sz val="9"/>
            <color indexed="81"/>
            <rFont val="Segoe UI"/>
            <family val="2"/>
          </rPr>
          <t>Stock, Martina (LEL-SG):</t>
        </r>
        <r>
          <rPr>
            <sz val="9"/>
            <color indexed="81"/>
            <rFont val="Segoe UI"/>
            <family val="2"/>
          </rPr>
          <t xml:space="preserve">
nur HN Land
</t>
        </r>
      </text>
    </comment>
    <comment ref="AA60" authorId="2" shapeId="0">
      <text>
        <r>
          <rPr>
            <b/>
            <sz val="9"/>
            <color indexed="81"/>
            <rFont val="Segoe UI"/>
            <family val="2"/>
          </rPr>
          <t>Stock, Martina (LEL-SG):</t>
        </r>
        <r>
          <rPr>
            <sz val="9"/>
            <color indexed="81"/>
            <rFont val="Segoe UI"/>
            <family val="2"/>
          </rPr>
          <t xml:space="preserve">
Nur Enzkreis</t>
        </r>
      </text>
    </comment>
    <comment ref="P61" authorId="2" shapeId="0">
      <text>
        <r>
          <rPr>
            <b/>
            <sz val="9"/>
            <color indexed="81"/>
            <rFont val="Segoe UI"/>
            <family val="2"/>
          </rPr>
          <t>Stock, Martina (LEL-SG):</t>
        </r>
        <r>
          <rPr>
            <sz val="9"/>
            <color indexed="81"/>
            <rFont val="Segoe UI"/>
            <family val="2"/>
          </rPr>
          <t xml:space="preserve">
nur HN  Land</t>
        </r>
      </text>
    </comment>
    <comment ref="AA61" authorId="2" shapeId="0">
      <text>
        <r>
          <rPr>
            <b/>
            <sz val="9"/>
            <color indexed="81"/>
            <rFont val="Segoe UI"/>
            <family val="2"/>
          </rPr>
          <t>Stock, Martina (LEL-SG):</t>
        </r>
        <r>
          <rPr>
            <sz val="9"/>
            <color indexed="81"/>
            <rFont val="Segoe UI"/>
            <family val="2"/>
          </rPr>
          <t xml:space="preserve">
nur Enzkreis
</t>
        </r>
      </text>
    </comment>
    <comment ref="B62" authorId="1" shapeId="0">
      <text>
        <r>
          <rPr>
            <sz val="8"/>
            <color indexed="81"/>
            <rFont val="Tahoma"/>
            <family val="2"/>
          </rPr>
          <t>Stand: 20.08.2021
Quelle: Abruf beim Statistischen Landesamt Baden-Württemberg
1) Da einzelne Schutzgebiete in mehreren Kreisen liegen, kommt es zu Mehrfachzählungen, welche eine Aggregation auf Regions- und Regierungsbezirksebene ausschließen.</t>
        </r>
      </text>
    </comment>
    <comment ref="B65" authorId="1" shapeId="0">
      <text>
        <r>
          <rPr>
            <sz val="8"/>
            <color indexed="81"/>
            <rFont val="Tahoma"/>
            <family val="2"/>
          </rPr>
          <t>Neuabgrenzung 2019
- Berggebiete
- natürlich benachteiligte Gebiete
- spezifisch benachteiligte Gebiete</t>
        </r>
      </text>
    </comment>
    <comment ref="B69" authorId="1" shapeId="0">
      <text>
        <r>
          <rPr>
            <sz val="8"/>
            <color indexed="81"/>
            <rFont val="Tahoma"/>
            <family val="2"/>
          </rPr>
          <t xml:space="preserve">GA 2022,  Betriebe mit Merkmal FAKT-Beibehaltung &gt;=5 ha
</t>
        </r>
      </text>
    </comment>
    <comment ref="B70" authorId="1" shapeId="0">
      <text>
        <r>
          <rPr>
            <sz val="8"/>
            <color indexed="81"/>
            <rFont val="Tahoma"/>
            <family val="2"/>
          </rPr>
          <t>GA 2022
,  Betriebe mit Merkmal FAKT-Beibehaltung &gt;=5 ha</t>
        </r>
      </text>
    </comment>
  </commentList>
</comments>
</file>

<file path=xl/comments2.xml><?xml version="1.0" encoding="utf-8"?>
<comments xmlns="http://schemas.openxmlformats.org/spreadsheetml/2006/main">
  <authors>
    <author>Mueller, Richard (LEL-SG)</author>
    <author>MuellerR</author>
    <author>Stock, Martina (LEL-SG)</author>
  </authors>
  <commentList>
    <comment ref="A4" authorId="0" shapeId="0">
      <text>
        <r>
          <rPr>
            <sz val="8"/>
            <color indexed="81"/>
            <rFont val="Tahoma"/>
            <family val="2"/>
          </rPr>
          <t>Mit Stand 31.12.2016 wurde die Flächenerhebung nach Art der tatsächlichen Nutzung erstmals bundeseinheitlich in der neuen ALKIS-Nomenklatur veröffentlicht. Ein direkter Vergleich mit den bisher in ALB-Nomenklatur dargestellten Daten ist nicht möglich.</t>
        </r>
        <r>
          <rPr>
            <sz val="9"/>
            <color indexed="81"/>
            <rFont val="Segoe UI"/>
            <family val="2"/>
          </rPr>
          <t xml:space="preserve">
</t>
        </r>
      </text>
    </comment>
    <comment ref="A14" authorId="1" shapeId="0">
      <text>
        <r>
          <rPr>
            <sz val="8"/>
            <color indexed="81"/>
            <rFont val="Tahoma"/>
            <family val="2"/>
          </rPr>
          <t>Bezogen auf alle zivilen Erwerbspersonen</t>
        </r>
      </text>
    </comment>
    <comment ref="A16" authorId="1" shapeId="0">
      <text>
        <r>
          <rPr>
            <sz val="8"/>
            <color indexed="81"/>
            <rFont val="Tahoma"/>
            <family val="2"/>
          </rPr>
          <t xml:space="preserve">Sozialversicherungspflichtige Beschäftigte Arbeitnehmer am Arbeitsort (jährlich am 30.6.) 
Zahlen nur bedingt vergleichbar, da ab 2008 eine neue Systemmatik der Wirtschaftszweige eingeführt wurde. Z.B. Dienstleistungen, Garten- und Landschaftsbau, Weinherstellung u.a. zählen ab 2008 nicht mehr zum Wirtschaftszweig Land- und Forstwirtschaft.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A28" authorId="1" shapeId="0">
      <text>
        <r>
          <rPr>
            <sz val="8"/>
            <color indexed="81"/>
            <rFont val="Tahoma"/>
            <family val="2"/>
          </rPr>
          <t>Bei Auswahl des Jahres 2001 gilt als Bezugsjahr zur Berechnung der Änderung das Jahr 1991.</t>
        </r>
      </text>
    </comment>
    <comment ref="A48" authorId="1" shapeId="0">
      <text>
        <r>
          <rPr>
            <sz val="8"/>
            <color indexed="81"/>
            <rFont val="Tahoma"/>
            <family val="2"/>
          </rPr>
          <t xml:space="preserve">Milchleistung aus Statistik Milcherzeugung für das Jahr 2010 auf Kreisebene nicht verfügbar.
</t>
        </r>
      </text>
    </comment>
    <comment ref="A50" authorId="1" shapeId="0">
      <text>
        <r>
          <rPr>
            <sz val="8"/>
            <color indexed="81"/>
            <rFont val="Tahoma"/>
            <family val="2"/>
          </rPr>
          <t>Bei Auswahl des Jahres 2001gilt als Bezugsjahr zur Berechnung der Änderung das Jahr 1991.</t>
        </r>
      </text>
    </comment>
    <comment ref="A51" authorId="1" shapeId="0">
      <text>
        <r>
          <rPr>
            <sz val="8"/>
            <color indexed="81"/>
            <rFont val="Tahoma"/>
            <family val="2"/>
          </rPr>
          <t>Bei Auswahl des Jahres 2001gilt als Bezugsjahr zur Berechnung der Änderung das Jahr 1991.
Anzahl Milchkühe aus Statistik Milcherzeugung für das Jahr 2010 auf Kreisebene  nicht verfügbar .</t>
        </r>
      </text>
    </comment>
    <comment ref="A53" authorId="1" shapeId="0">
      <text>
        <r>
          <rPr>
            <sz val="8"/>
            <color indexed="81"/>
            <rFont val="Tahoma"/>
            <family val="2"/>
          </rPr>
          <t>Einzelne Naturschutzgebiete erstrecken sich über mehrere Kreise und Regionen. Die Anzahl/Fläche der NSG auf Regions- oder Regierungsbezirksebene ist deswegen nicht gleich der Summe der Anzahl/Fläche der NSG in den Kreisen.</t>
        </r>
      </text>
    </comment>
    <comment ref="A55" authorId="1" shapeId="0">
      <text>
        <r>
          <rPr>
            <sz val="8"/>
            <color indexed="81"/>
            <rFont val="Tahoma"/>
            <family val="2"/>
          </rPr>
          <t>bis 2010: Landschaftsschutzgebiete;
ab 2011: FFH-Gebiete
Fauna = Tierwelt, 
Flora = Pflanzenwelt, Habitat = Lebensraum</t>
        </r>
      </text>
    </comment>
    <comment ref="A57" authorId="1" shapeId="0">
      <text>
        <r>
          <rPr>
            <sz val="8"/>
            <color indexed="81"/>
            <rFont val="Tahoma"/>
            <family val="2"/>
          </rPr>
          <t>bis 2010: Naturdenkmale, flächenhaft
ab 2011: Vogelschutzgebiete
Special Protected Areas (SPA) = Vogelschutzgebiete</t>
        </r>
      </text>
    </comment>
    <comment ref="C62" authorId="1" shapeId="0">
      <text>
        <r>
          <rPr>
            <sz val="8"/>
            <color indexed="81"/>
            <rFont val="Tahoma"/>
            <family val="2"/>
          </rPr>
          <t>kalkuliert</t>
        </r>
      </text>
    </comment>
    <comment ref="D62" authorId="1" shapeId="0">
      <text>
        <r>
          <rPr>
            <sz val="8"/>
            <color indexed="81"/>
            <rFont val="Tahoma"/>
            <family val="2"/>
          </rPr>
          <t>kalkuliert</t>
        </r>
      </text>
    </comment>
    <comment ref="A66" authorId="1" shapeId="0">
      <text>
        <r>
          <rPr>
            <sz val="8"/>
            <color indexed="81"/>
            <rFont val="Tahoma"/>
            <family val="2"/>
          </rPr>
          <t xml:space="preserve">Daten nur bedingt vergleichbar aufgrund der unterschiedlichen Erfassungsgrenzen bis 2009 und ab 2010.
</t>
        </r>
      </text>
    </comment>
    <comment ref="A73" authorId="2" shapeId="0">
      <text>
        <r>
          <rPr>
            <sz val="8"/>
            <color indexed="81"/>
            <rFont val="Tahoma"/>
            <family val="2"/>
          </rPr>
          <t>bis 2019 Bennenung Weideviehbetriebe</t>
        </r>
      </text>
    </comment>
  </commentList>
</comments>
</file>

<file path=xl/comments20.xml><?xml version="1.0" encoding="utf-8"?>
<comments xmlns="http://schemas.openxmlformats.org/spreadsheetml/2006/main">
  <authors>
    <author>MuellerR</author>
    <author>Müller, Richard (LEL)</author>
    <author>Stock, Martina (LEL-SG)</author>
  </authors>
  <commentList>
    <comment ref="B6" authorId="0" shapeId="0">
      <text>
        <r>
          <rPr>
            <sz val="8"/>
            <color indexed="81"/>
            <rFont val="Tahoma"/>
            <family val="2"/>
          </rPr>
          <t>Die Daten der Kreise wurden ermittelt, indem die Werte der Mittelbereich aufsummiert und bereinigt um die Stadtkreise berechnet wurden. Die Daten der Stadtkreise sind aus dem Jahr 2000.</t>
        </r>
      </text>
    </comment>
    <comment ref="B8" authorId="0" shapeId="0">
      <text>
        <r>
          <rPr>
            <sz val="8"/>
            <color indexed="81"/>
            <rFont val="Tahoma"/>
            <family val="2"/>
          </rPr>
          <t xml:space="preserve">Summe aus Gebäude- und Freifläche, Betriebsfläche ohne Abbauland, Erholungsfläche, Verkehrsfläche, Friedhof.
</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6" authorId="0" shapeId="0">
      <text>
        <r>
          <rPr>
            <sz val="8"/>
            <color indexed="81"/>
            <rFont val="Tahoma"/>
            <family val="2"/>
          </rPr>
          <t>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Benachteiligte Agrarzone - vollständig,
Berggebiet - teilweise
Berggebiet - vollständig
Kleines Gebiet - vollständig
</t>
        </r>
      </text>
    </comment>
    <comment ref="B79" authorId="2" shapeId="0">
      <text>
        <r>
          <rPr>
            <sz val="9"/>
            <color indexed="81"/>
            <rFont val="Segoe UI"/>
            <family val="2"/>
          </rPr>
          <t xml:space="preserve">bis 2019: Benennung mit Weideviehbetrieb </t>
        </r>
      </text>
    </comment>
  </commentList>
</comments>
</file>

<file path=xl/comments3.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6" authorId="1" shapeId="0">
      <text>
        <r>
          <rPr>
            <b/>
            <sz val="8"/>
            <color indexed="81"/>
            <rFont val="Tahoma"/>
            <family val="2"/>
          </rPr>
          <t xml:space="preserve">Jahresdurchschnitt
Quelle: Statistische Berichte vom 12.05.2021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20"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21"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K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O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CF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51" authorId="2" shapeId="0">
      <text>
        <r>
          <rPr>
            <b/>
            <sz val="9"/>
            <color indexed="81"/>
            <rFont val="Segoe UI"/>
            <family val="2"/>
          </rPr>
          <t>Stock, Martina (LEL-SG):</t>
        </r>
        <r>
          <rPr>
            <sz val="9"/>
            <color indexed="81"/>
            <rFont val="Segoe UI"/>
            <family val="2"/>
          </rPr>
          <t xml:space="preserve">
2020: Berechnungsgrundlage sind Daten des Statistischen Landesamtes sowie der BLE</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
(Einzelne Schutzgebiete erstrecken sich über mehrere Kreise und Regionen. Die Anzahl der Schutzgebiete der
Regionen bzw. des Regierungsbezirks entspricht deswegen nicht der Summe der Anzahl der Schutzgebiete Seite)</t>
        </r>
      </text>
    </comment>
    <comment ref="B56" authorId="1" shapeId="0">
      <text>
        <r>
          <rPr>
            <sz val="8"/>
            <color indexed="81"/>
            <rFont val="Tahoma"/>
            <family val="2"/>
          </rPr>
          <t>Stand 19.08.2021
Quelle: Abruf bei LUBW Baden-Württemberg</t>
        </r>
      </text>
    </comment>
    <comment ref="B58" authorId="1" shapeId="0">
      <text>
        <r>
          <rPr>
            <sz val="8"/>
            <color indexed="81"/>
            <rFont val="Tahoma"/>
            <family val="2"/>
          </rPr>
          <t>Stand 19.08.2021Stand 19.08.2021
Quelle: Abruf bei LUBW Baden-Württemberg</t>
        </r>
      </text>
    </comment>
    <comment ref="B60" authorId="1" shapeId="0">
      <text>
        <r>
          <rPr>
            <sz val="8"/>
            <color indexed="81"/>
            <rFont val="Tahoma"/>
            <family val="2"/>
          </rPr>
          <t>Stand 19.08.2021
Quelle: Abruf bei LUBW Baden-Württemberg</t>
        </r>
      </text>
    </comment>
    <comment ref="P60" authorId="2" shapeId="0">
      <text>
        <r>
          <rPr>
            <b/>
            <sz val="9"/>
            <color indexed="81"/>
            <rFont val="Segoe UI"/>
            <family val="2"/>
          </rPr>
          <t>Stock, Martina (LEL-SG):</t>
        </r>
        <r>
          <rPr>
            <sz val="9"/>
            <color indexed="81"/>
            <rFont val="Segoe UI"/>
            <family val="2"/>
          </rPr>
          <t xml:space="preserve">
nur HN Land
</t>
        </r>
      </text>
    </comment>
    <comment ref="AA60" authorId="2" shapeId="0">
      <text>
        <r>
          <rPr>
            <b/>
            <sz val="9"/>
            <color indexed="81"/>
            <rFont val="Segoe UI"/>
            <family val="2"/>
          </rPr>
          <t>Stock, Martina (LEL-SG):</t>
        </r>
        <r>
          <rPr>
            <sz val="9"/>
            <color indexed="81"/>
            <rFont val="Segoe UI"/>
            <family val="2"/>
          </rPr>
          <t xml:space="preserve">
Nur Enzkreis</t>
        </r>
      </text>
    </comment>
    <comment ref="P61" authorId="2" shapeId="0">
      <text>
        <r>
          <rPr>
            <b/>
            <sz val="9"/>
            <color indexed="81"/>
            <rFont val="Segoe UI"/>
            <family val="2"/>
          </rPr>
          <t>Stock, Martina (LEL-SG):</t>
        </r>
        <r>
          <rPr>
            <sz val="9"/>
            <color indexed="81"/>
            <rFont val="Segoe UI"/>
            <family val="2"/>
          </rPr>
          <t xml:space="preserve">
nur HN  Land</t>
        </r>
      </text>
    </comment>
    <comment ref="AA61" authorId="2" shapeId="0">
      <text>
        <r>
          <rPr>
            <b/>
            <sz val="9"/>
            <color indexed="81"/>
            <rFont val="Segoe UI"/>
            <family val="2"/>
          </rPr>
          <t>Stock, Martina (LEL-SG):</t>
        </r>
        <r>
          <rPr>
            <sz val="9"/>
            <color indexed="81"/>
            <rFont val="Segoe UI"/>
            <family val="2"/>
          </rPr>
          <t xml:space="preserve">
nur Enzkreis
</t>
        </r>
      </text>
    </comment>
    <comment ref="B62" authorId="1" shapeId="0">
      <text>
        <r>
          <rPr>
            <sz val="8"/>
            <color indexed="81"/>
            <rFont val="Tahoma"/>
            <family val="2"/>
          </rPr>
          <t>Stand: 20.08.2021
Quelle: Abruf beim Statistischen Landesamt Baden-Württemberg
1) Da einzelne Schutzgebiete in mehreren Kreisen liegen, kommt es zu Mehrfachzählungen, welche eine Aggregation auf Regions- und Regierungsbezirksebene ausschließen.</t>
        </r>
      </text>
    </comment>
    <comment ref="B65" authorId="1" shapeId="0">
      <text>
        <r>
          <rPr>
            <sz val="8"/>
            <color indexed="81"/>
            <rFont val="Tahoma"/>
            <family val="2"/>
          </rPr>
          <t>Neuabgrenzung 2019
- Berggebiete
- natürlich benachteiligte Gebiete
- spezifisch benachteiligte Gebiete</t>
        </r>
      </text>
    </comment>
    <comment ref="B69" authorId="1" shapeId="0">
      <text>
        <r>
          <rPr>
            <sz val="8"/>
            <color indexed="81"/>
            <rFont val="Tahoma"/>
            <family val="2"/>
          </rPr>
          <t xml:space="preserve">GA 20221,  Betriebe mit Merkmal FAKT-Beibehaltung &gt;=5 ha
</t>
        </r>
      </text>
    </comment>
    <comment ref="B70" authorId="1" shapeId="0">
      <text>
        <r>
          <rPr>
            <sz val="8"/>
            <color indexed="81"/>
            <rFont val="Tahoma"/>
            <family val="2"/>
          </rPr>
          <t>GA 20221,  Betriebe mit Merkmal FAKT-Beibehaltung &gt;=5 ha</t>
        </r>
      </text>
    </comment>
  </commentList>
</comments>
</file>

<file path=xl/comments4.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6" authorId="1" shapeId="0">
      <text>
        <r>
          <rPr>
            <b/>
            <sz val="8"/>
            <color indexed="81"/>
            <rFont val="Tahoma"/>
            <family val="2"/>
          </rPr>
          <t xml:space="preserve">Jahresdurchschnitt
Quelle: Statistische Berichte vom 12.05.2021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20"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21"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K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O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CF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51" authorId="2" shapeId="0">
      <text>
        <r>
          <rPr>
            <b/>
            <sz val="9"/>
            <color indexed="81"/>
            <rFont val="Segoe UI"/>
            <family val="2"/>
          </rPr>
          <t>Stock, Martina (LEL-SG):</t>
        </r>
        <r>
          <rPr>
            <sz val="9"/>
            <color indexed="81"/>
            <rFont val="Segoe UI"/>
            <family val="2"/>
          </rPr>
          <t xml:space="preserve">
2020: Berechnungsgrundlage sind Daten des Statistischen Landesamtes sowie der BLE</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
(Einzelne Schutzgebiete erstrecken sich über mehrere Kreise und Regionen. Die Anzahl der Schutzgebiete der
Regionen bzw. des Regierungsbezirks entspricht deswegen nicht der Summe der Anzahl der Schutzgebiete Seite)</t>
        </r>
      </text>
    </comment>
    <comment ref="B56" authorId="1" shapeId="0">
      <text>
        <r>
          <rPr>
            <sz val="8"/>
            <color indexed="81"/>
            <rFont val="Tahoma"/>
            <family val="2"/>
          </rPr>
          <t>Stand 19.08.2021
Quelle: Abruf bei LUBW Baden-Württemberg</t>
        </r>
      </text>
    </comment>
    <comment ref="B58" authorId="1" shapeId="0">
      <text>
        <r>
          <rPr>
            <sz val="8"/>
            <color indexed="81"/>
            <rFont val="Tahoma"/>
            <family val="2"/>
          </rPr>
          <t>Stand 19.08.2021Stand 19.08.2021
Quelle: Abruf bei LUBW Baden-Württemberg</t>
        </r>
      </text>
    </comment>
    <comment ref="B60" authorId="1" shapeId="0">
      <text>
        <r>
          <rPr>
            <sz val="8"/>
            <color indexed="81"/>
            <rFont val="Tahoma"/>
            <family val="2"/>
          </rPr>
          <t>Stand 19.08.2021
Quelle: Abruf bei LUBW Baden-Württemberg</t>
        </r>
      </text>
    </comment>
    <comment ref="P60" authorId="2" shapeId="0">
      <text>
        <r>
          <rPr>
            <b/>
            <sz val="9"/>
            <color indexed="81"/>
            <rFont val="Segoe UI"/>
            <family val="2"/>
          </rPr>
          <t>Stock, Martina (LEL-SG):</t>
        </r>
        <r>
          <rPr>
            <sz val="9"/>
            <color indexed="81"/>
            <rFont val="Segoe UI"/>
            <family val="2"/>
          </rPr>
          <t xml:space="preserve">
nur HN Land
</t>
        </r>
      </text>
    </comment>
    <comment ref="AA60" authorId="2" shapeId="0">
      <text>
        <r>
          <rPr>
            <b/>
            <sz val="9"/>
            <color indexed="81"/>
            <rFont val="Segoe UI"/>
            <family val="2"/>
          </rPr>
          <t>Stock, Martina (LEL-SG):</t>
        </r>
        <r>
          <rPr>
            <sz val="9"/>
            <color indexed="81"/>
            <rFont val="Segoe UI"/>
            <family val="2"/>
          </rPr>
          <t xml:space="preserve">
Nur Enzkreis</t>
        </r>
      </text>
    </comment>
    <comment ref="P61" authorId="2" shapeId="0">
      <text>
        <r>
          <rPr>
            <b/>
            <sz val="9"/>
            <color indexed="81"/>
            <rFont val="Segoe UI"/>
            <family val="2"/>
          </rPr>
          <t>Stock, Martina (LEL-SG):</t>
        </r>
        <r>
          <rPr>
            <sz val="9"/>
            <color indexed="81"/>
            <rFont val="Segoe UI"/>
            <family val="2"/>
          </rPr>
          <t xml:space="preserve">
nur HN  Land</t>
        </r>
      </text>
    </comment>
    <comment ref="AA61" authorId="2" shapeId="0">
      <text>
        <r>
          <rPr>
            <b/>
            <sz val="9"/>
            <color indexed="81"/>
            <rFont val="Segoe UI"/>
            <family val="2"/>
          </rPr>
          <t>Stock, Martina (LEL-SG):</t>
        </r>
        <r>
          <rPr>
            <sz val="9"/>
            <color indexed="81"/>
            <rFont val="Segoe UI"/>
            <family val="2"/>
          </rPr>
          <t xml:space="preserve">
nur Enzkreis
</t>
        </r>
      </text>
    </comment>
    <comment ref="B62" authorId="1" shapeId="0">
      <text>
        <r>
          <rPr>
            <sz val="8"/>
            <color indexed="81"/>
            <rFont val="Tahoma"/>
            <family val="2"/>
          </rPr>
          <t>Stand: 20.08.2021
Quelle: Abruf beim Statistischen Landesamt Baden-Württemberg
1) Da einzelne Schutzgebiete in mehreren Kreisen liegen, kommt es zu Mehrfachzählungen, welche eine Aggregation auf Regions- und Regierungsbezirksebene ausschließen.</t>
        </r>
      </text>
    </comment>
    <comment ref="B65" authorId="1" shapeId="0">
      <text>
        <r>
          <rPr>
            <sz val="8"/>
            <color indexed="81"/>
            <rFont val="Tahoma"/>
            <family val="2"/>
          </rPr>
          <t>Neuabgrenzung 2019
- Berggebiete
- natürlich benachteiligte Gebiete
- spezifisch benachteiligte Gebiete</t>
        </r>
      </text>
    </comment>
    <comment ref="B69" authorId="1" shapeId="0">
      <text>
        <r>
          <rPr>
            <sz val="8"/>
            <color indexed="81"/>
            <rFont val="Tahoma"/>
            <family val="2"/>
          </rPr>
          <t xml:space="preserve">GA 2020, Betriebe mit Merkmal "FAKT-Ökobetrieb" --&gt; 
</t>
        </r>
      </text>
    </comment>
    <comment ref="B70" authorId="1" shapeId="0">
      <text>
        <r>
          <rPr>
            <sz val="8"/>
            <color indexed="81"/>
            <rFont val="Tahoma"/>
            <family val="2"/>
          </rPr>
          <t>GA 2014, Betriebe mit Merkmal "FAKT-Ökobetrieb"</t>
        </r>
      </text>
    </comment>
  </commentList>
</comments>
</file>

<file path=xl/comments5.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31.12.2017</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0" authorId="1" shapeId="0">
      <text>
        <r>
          <rPr>
            <b/>
            <sz val="8"/>
            <color indexed="81"/>
            <rFont val="Tahoma"/>
            <family val="2"/>
          </rPr>
          <t>Müller, Richard (LEL):</t>
        </r>
        <r>
          <rPr>
            <sz val="8"/>
            <color indexed="81"/>
            <rFont val="Tahoma"/>
            <family val="2"/>
          </rPr>
          <t xml:space="preserve">
berechnet LEL Abt. 4</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56" authorId="1" shapeId="0">
      <text>
        <r>
          <rPr>
            <sz val="8"/>
            <color indexed="81"/>
            <rFont val="Tahoma"/>
            <family val="2"/>
          </rPr>
          <t>Stand 01.04.2019</t>
        </r>
      </text>
    </comment>
    <comment ref="B58" authorId="1" shapeId="0">
      <text>
        <r>
          <rPr>
            <sz val="8"/>
            <color indexed="81"/>
            <rFont val="Tahoma"/>
            <family val="2"/>
          </rPr>
          <t>Stand 01.04.2019</t>
        </r>
      </text>
    </comment>
    <comment ref="B60" authorId="1" shapeId="0">
      <text>
        <r>
          <rPr>
            <sz val="8"/>
            <color indexed="81"/>
            <rFont val="Tahoma"/>
            <family val="2"/>
          </rPr>
          <t>Stand 01.04.2019</t>
        </r>
      </text>
    </comment>
    <comment ref="B62" authorId="1" shapeId="0">
      <text>
        <r>
          <rPr>
            <sz val="8"/>
            <color indexed="81"/>
            <rFont val="Tahoma"/>
            <family val="2"/>
          </rPr>
          <t>Stand: 25.03.2019</t>
        </r>
      </text>
    </comment>
    <comment ref="B65" authorId="1" shapeId="0">
      <text>
        <r>
          <rPr>
            <sz val="8"/>
            <color indexed="81"/>
            <rFont val="Tahoma"/>
            <family val="2"/>
          </rPr>
          <t xml:space="preserve">Ben. Agrarzone - vollständig, Berggebiet - teilweise, 
Berggebiet - vollständig, 
Kleines Gebiet - vollständig
</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"FAKT-Ökobetrieb"
</t>
        </r>
      </text>
    </comment>
    <comment ref="B70" authorId="1" shapeId="0">
      <text>
        <r>
          <rPr>
            <sz val="8"/>
            <color indexed="81"/>
            <rFont val="Tahoma"/>
            <family val="2"/>
          </rPr>
          <t>GA 2014, Betriebe mit Merkmal "FAKT-Ökobetrieb"</t>
        </r>
      </text>
    </comment>
    <comment ref="F87" authorId="1" shapeId="0">
      <text>
        <r>
          <rPr>
            <sz val="8"/>
            <color indexed="81"/>
            <rFont val="Tahoma"/>
            <family val="2"/>
          </rPr>
          <t>2016: keine Daten verfügbar</t>
        </r>
      </text>
    </comment>
  </commentList>
</comments>
</file>

<file path=xl/comments6.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31.12.2017</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0" authorId="1" shapeId="0">
      <text>
        <r>
          <rPr>
            <b/>
            <sz val="8"/>
            <color indexed="81"/>
            <rFont val="Tahoma"/>
            <family val="2"/>
          </rPr>
          <t>Müller, Richard (LEL):</t>
        </r>
        <r>
          <rPr>
            <sz val="8"/>
            <color indexed="81"/>
            <rFont val="Tahoma"/>
            <family val="2"/>
          </rPr>
          <t xml:space="preserve">
berechnet LEL Abt. 4</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56" authorId="1" shapeId="0">
      <text>
        <r>
          <rPr>
            <sz val="8"/>
            <color indexed="81"/>
            <rFont val="Tahoma"/>
            <family val="2"/>
          </rPr>
          <t>Stand 01.04.2019</t>
        </r>
      </text>
    </comment>
    <comment ref="B58" authorId="1" shapeId="0">
      <text>
        <r>
          <rPr>
            <sz val="8"/>
            <color indexed="81"/>
            <rFont val="Tahoma"/>
            <family val="2"/>
          </rPr>
          <t>Stand 01.04.2019</t>
        </r>
      </text>
    </comment>
    <comment ref="B60" authorId="1" shapeId="0">
      <text>
        <r>
          <rPr>
            <sz val="8"/>
            <color indexed="81"/>
            <rFont val="Tahoma"/>
            <family val="2"/>
          </rPr>
          <t>Stand 01.04.2019</t>
        </r>
      </text>
    </comment>
    <comment ref="B62" authorId="1" shapeId="0">
      <text>
        <r>
          <rPr>
            <sz val="8"/>
            <color indexed="81"/>
            <rFont val="Tahoma"/>
            <family val="2"/>
          </rPr>
          <t>Stand: 25.03.2019</t>
        </r>
      </text>
    </comment>
    <comment ref="B65" authorId="1" shapeId="0">
      <text>
        <r>
          <rPr>
            <sz val="8"/>
            <color indexed="81"/>
            <rFont val="Tahoma"/>
            <family val="2"/>
          </rPr>
          <t xml:space="preserve">Ben. Agrarzone - vollständig, Berggebiet - teilweise, 
Berggebiet - vollständig, 
Kleines Gebiet - vollständig
</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 ref="F87" authorId="1" shapeId="0">
      <text>
        <r>
          <rPr>
            <sz val="8"/>
            <color indexed="81"/>
            <rFont val="Tahoma"/>
            <family val="2"/>
          </rPr>
          <t>2016: keine Daten verfügbar</t>
        </r>
      </text>
    </comment>
  </commentList>
</comments>
</file>

<file path=xl/comments7.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0" authorId="1" shapeId="0">
      <text>
        <r>
          <rPr>
            <b/>
            <sz val="8"/>
            <color indexed="81"/>
            <rFont val="Tahoma"/>
            <family val="2"/>
          </rPr>
          <t>Müller, Richard (LEL):</t>
        </r>
        <r>
          <rPr>
            <sz val="8"/>
            <color indexed="81"/>
            <rFont val="Tahoma"/>
            <family val="2"/>
          </rPr>
          <t xml:space="preserve">
berechnet LEL Abt. 4</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 ref="F87" authorId="1" shapeId="0">
      <text>
        <r>
          <rPr>
            <sz val="8"/>
            <color indexed="81"/>
            <rFont val="Tahoma"/>
            <family val="2"/>
          </rPr>
          <t>2016: keine Daten verfügbar</t>
        </r>
      </text>
    </comment>
  </commentList>
</comments>
</file>

<file path=xl/comments8.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0" authorId="1" shapeId="0">
      <text>
        <r>
          <rPr>
            <b/>
            <sz val="8"/>
            <color indexed="81"/>
            <rFont val="Tahoma"/>
            <family val="2"/>
          </rPr>
          <t>Müller, Richard (LEL):</t>
        </r>
        <r>
          <rPr>
            <sz val="8"/>
            <color indexed="81"/>
            <rFont val="Tahoma"/>
            <family val="2"/>
          </rPr>
          <t xml:space="preserve">
berechnet LEL Abt. 4</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List>
</comments>
</file>

<file path=xl/comments9.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List>
</comments>
</file>

<file path=xl/sharedStrings.xml><?xml version="1.0" encoding="utf-8"?>
<sst xmlns="http://schemas.openxmlformats.org/spreadsheetml/2006/main" count="13426" uniqueCount="498">
  <si>
    <t>Landwirtschaftsfläche</t>
  </si>
  <si>
    <t>ha</t>
  </si>
  <si>
    <t>Wasserfläche</t>
  </si>
  <si>
    <t>%</t>
  </si>
  <si>
    <t>50 bis unter 100 ha</t>
  </si>
  <si>
    <t>100 und mehr ha LF</t>
  </si>
  <si>
    <t>Dauergrünland</t>
  </si>
  <si>
    <t>Tiere</t>
  </si>
  <si>
    <t>darunter Zuchtsauen</t>
  </si>
  <si>
    <t>kg/Jahr</t>
  </si>
  <si>
    <t>t</t>
  </si>
  <si>
    <t>Personen</t>
  </si>
  <si>
    <t>Pers./km²</t>
  </si>
  <si>
    <t>Anzahl</t>
  </si>
  <si>
    <t>darunter Milchkühe</t>
  </si>
  <si>
    <t>Calw</t>
  </si>
  <si>
    <t>Anteil</t>
  </si>
  <si>
    <t>Württemberg</t>
  </si>
  <si>
    <t>Baden-</t>
  </si>
  <si>
    <t>Durchschnittsbestand Mastschweine</t>
  </si>
  <si>
    <t>Durchschnittsbestand Milchkühe</t>
  </si>
  <si>
    <t>GV/100 ha LF</t>
  </si>
  <si>
    <t>Kreis</t>
  </si>
  <si>
    <t>Sigmaringen</t>
  </si>
  <si>
    <t>Biberach</t>
  </si>
  <si>
    <t>Schwäbisch Hall</t>
  </si>
  <si>
    <t>Göppingen</t>
  </si>
  <si>
    <t>Ortenaukreis</t>
  </si>
  <si>
    <t>Ravensburg</t>
  </si>
  <si>
    <t>Tübingen</t>
  </si>
  <si>
    <t>Reutlingen</t>
  </si>
  <si>
    <t>Waldshut</t>
  </si>
  <si>
    <t>Lörrach</t>
  </si>
  <si>
    <t>Konstanz</t>
  </si>
  <si>
    <t>Tuttlingen</t>
  </si>
  <si>
    <t>Rottweil</t>
  </si>
  <si>
    <t>Emmendingen</t>
  </si>
  <si>
    <t>Freudenstadt</t>
  </si>
  <si>
    <t>Ostalbkreis</t>
  </si>
  <si>
    <t>Heidenheim</t>
  </si>
  <si>
    <t>Enzkreis</t>
  </si>
  <si>
    <t>–</t>
  </si>
  <si>
    <t>Dienstbezirk</t>
  </si>
  <si>
    <t>Rems-Murr-Kreis</t>
  </si>
  <si>
    <t>Hohenlohekreis</t>
  </si>
  <si>
    <t>Main-Tauber-Kreis</t>
  </si>
  <si>
    <t>Neckar-Odenwald-Kreis</t>
  </si>
  <si>
    <t>Rhein-Neckar-Kreis</t>
  </si>
  <si>
    <t>Schwarzwald-Baar-Kreis</t>
  </si>
  <si>
    <t>Zollernalbkreis</t>
  </si>
  <si>
    <t>Alb-Donau-Kreis</t>
  </si>
  <si>
    <t>Bodenseekreis</t>
  </si>
  <si>
    <t>der Unteren Landwirtschaftsbehörden</t>
  </si>
  <si>
    <t>Baden-Württemberg</t>
  </si>
  <si>
    <t xml:space="preserve"> Naturschutzgebiete</t>
  </si>
  <si>
    <t xml:space="preserve"> Landschaftsschutzgebiete</t>
  </si>
  <si>
    <t xml:space="preserve"> Wasserschutzgebiete</t>
  </si>
  <si>
    <t xml:space="preserve"> Landesdurchschnitt</t>
  </si>
  <si>
    <t>-</t>
  </si>
  <si>
    <t>ha LF</t>
  </si>
  <si>
    <t>Bodenfläche (Flächenerhebung) insg.</t>
  </si>
  <si>
    <t xml:space="preserve">Bevölkerungsdichte </t>
  </si>
  <si>
    <t>Anteil der Land- und Forstwirtschaft</t>
  </si>
  <si>
    <t>darunter Land- und Forstwirtschaft</t>
  </si>
  <si>
    <t>Bruttowertschöpfung insgesamt</t>
  </si>
  <si>
    <t>Wohnbevölkerung</t>
  </si>
  <si>
    <t>Landwirtschaftliche Betriebsstruktur</t>
  </si>
  <si>
    <t>Ø Betriebsgröße (Betriebe ab 2 ha LF)</t>
  </si>
  <si>
    <t>im Nebenerwerb</t>
  </si>
  <si>
    <t>Bodennutzung</t>
  </si>
  <si>
    <t xml:space="preserve">Landwirtschaftlich genutzte Fläche (LF)   </t>
  </si>
  <si>
    <t xml:space="preserve">Landwirtschaftlich gen. Fläche (LF)   </t>
  </si>
  <si>
    <t>davon Ackerland</t>
  </si>
  <si>
    <t xml:space="preserve">Rinder    </t>
  </si>
  <si>
    <t>Schweine</t>
  </si>
  <si>
    <t>Schafe</t>
  </si>
  <si>
    <t>Großvieheinheiten</t>
  </si>
  <si>
    <t>Milchkühe</t>
  </si>
  <si>
    <t>1) Summe aus Gebäude-, Betriebs-, Erholungs- und Verkehrsfläche</t>
  </si>
  <si>
    <t xml:space="preserve"> Daten aus dem Gemeinsamen Antrag</t>
  </si>
  <si>
    <t xml:space="preserve">Benachteiligte Gebiete </t>
  </si>
  <si>
    <t>Ökobetriebe</t>
  </si>
  <si>
    <t>Landwirtschaftl. Betriebe (ab 2 ha LF)</t>
  </si>
  <si>
    <t>Betriebswirtschaftliche Ausrichtung</t>
  </si>
  <si>
    <t>Ackerbaubetriebe</t>
  </si>
  <si>
    <t>Gartenbaubetriebe</t>
  </si>
  <si>
    <t>Dauerkulturbetriebe</t>
  </si>
  <si>
    <t>Weideviehbetriebe</t>
  </si>
  <si>
    <t>Veredlungsbetriebe</t>
  </si>
  <si>
    <t>Verbundbetriebe</t>
  </si>
  <si>
    <t>Antragsteller</t>
  </si>
  <si>
    <t>Strukturdaten Landwirtschaft</t>
  </si>
  <si>
    <t>Milchleistung</t>
  </si>
  <si>
    <t>Milchanlieferung an die Molkereien</t>
  </si>
  <si>
    <t>im benachteiligten Gebiet</t>
  </si>
  <si>
    <t>Milchertrag</t>
  </si>
  <si>
    <t>an Molkereien geliefert</t>
  </si>
  <si>
    <t xml:space="preserve">Flächennutzung und Bevölkerung </t>
  </si>
  <si>
    <t>Viehhaltung</t>
  </si>
  <si>
    <t>S</t>
  </si>
  <si>
    <t>SKR</t>
  </si>
  <si>
    <t>LKR</t>
  </si>
  <si>
    <t>LB</t>
  </si>
  <si>
    <t>BB</t>
  </si>
  <si>
    <t>ES</t>
  </si>
  <si>
    <t>GP</t>
  </si>
  <si>
    <t>WN</t>
  </si>
  <si>
    <t>HN</t>
  </si>
  <si>
    <t>KÜN</t>
  </si>
  <si>
    <t>SHA</t>
  </si>
  <si>
    <t>TBB</t>
  </si>
  <si>
    <t>HDH</t>
  </si>
  <si>
    <t>BAD</t>
  </si>
  <si>
    <t>RA</t>
  </si>
  <si>
    <t>KA</t>
  </si>
  <si>
    <t>HD</t>
  </si>
  <si>
    <t>MA</t>
  </si>
  <si>
    <t>MOS</t>
  </si>
  <si>
    <t>PF</t>
  </si>
  <si>
    <t>CW</t>
  </si>
  <si>
    <t>FDS</t>
  </si>
  <si>
    <t>FR</t>
  </si>
  <si>
    <t>EM</t>
  </si>
  <si>
    <t>OG</t>
  </si>
  <si>
    <t>RW</t>
  </si>
  <si>
    <t>VS</t>
  </si>
  <si>
    <t>TUT</t>
  </si>
  <si>
    <t>KN</t>
  </si>
  <si>
    <t>LÖ</t>
  </si>
  <si>
    <t>WT</t>
  </si>
  <si>
    <t>RT</t>
  </si>
  <si>
    <t>TÜ</t>
  </si>
  <si>
    <t>BL</t>
  </si>
  <si>
    <t>UL</t>
  </si>
  <si>
    <t>BC</t>
  </si>
  <si>
    <t>FN</t>
  </si>
  <si>
    <t>RV</t>
  </si>
  <si>
    <t>SIG</t>
  </si>
  <si>
    <t>RP</t>
  </si>
  <si>
    <t>Land</t>
  </si>
  <si>
    <t>BW</t>
  </si>
  <si>
    <t>Heilbronn (S)</t>
  </si>
  <si>
    <t>Heilbronn (L)</t>
  </si>
  <si>
    <t>Stuttgart (S)</t>
  </si>
  <si>
    <t>Baden-Baden (S)</t>
  </si>
  <si>
    <t>Karlsruhe (S)</t>
  </si>
  <si>
    <t>Karlsruhe (L)</t>
  </si>
  <si>
    <t>Heidelberg (S)</t>
  </si>
  <si>
    <t>Mannheim (S)</t>
  </si>
  <si>
    <t>Pforzheim (S)</t>
  </si>
  <si>
    <t>Freiburg (S)</t>
  </si>
  <si>
    <t>Ulm (S)</t>
  </si>
  <si>
    <t>Stuttgart (RP)</t>
  </si>
  <si>
    <t>Karlsruhe (RP)</t>
  </si>
  <si>
    <t>Freiburg (RP)</t>
  </si>
  <si>
    <t>Tübingen (RP)</t>
  </si>
  <si>
    <t>ULB</t>
  </si>
  <si>
    <t>Ellwangen</t>
  </si>
  <si>
    <t>Backnang</t>
  </si>
  <si>
    <t>Bad Mergentheim</t>
  </si>
  <si>
    <t>Öhringen</t>
  </si>
  <si>
    <t>Ilshofen</t>
  </si>
  <si>
    <t>Horb</t>
  </si>
  <si>
    <t>Buchen</t>
  </si>
  <si>
    <t>Donaueschingen</t>
  </si>
  <si>
    <t>Offenburg</t>
  </si>
  <si>
    <t>Stockach</t>
  </si>
  <si>
    <t>Balingen</t>
  </si>
  <si>
    <t>Münsingen</t>
  </si>
  <si>
    <t>Friedrichshafen</t>
  </si>
  <si>
    <t>Betriebsinhaber im Haupterwerb</t>
  </si>
  <si>
    <t>Ludwigsburg (L)</t>
  </si>
  <si>
    <t>Böblingen (L)</t>
  </si>
  <si>
    <t>Esslingen (L)</t>
  </si>
  <si>
    <t>Göppingen (L)</t>
  </si>
  <si>
    <t>Heidenheim (L)</t>
  </si>
  <si>
    <t>Rastatt (L)</t>
  </si>
  <si>
    <t>Calw (L)</t>
  </si>
  <si>
    <t>Emmendingen (L)</t>
  </si>
  <si>
    <t>Rottweil (L)</t>
  </si>
  <si>
    <t>Tuttlingen (L)</t>
  </si>
  <si>
    <t>Lörrach (L)</t>
  </si>
  <si>
    <t>Waldshut (L)</t>
  </si>
  <si>
    <t>Tübingen (L)</t>
  </si>
  <si>
    <t>Biberach (L)</t>
  </si>
  <si>
    <t>Ravensburg (L)</t>
  </si>
  <si>
    <t>Sigmaringen (L)</t>
  </si>
  <si>
    <t>gelbes Feld = berechnetes Feld</t>
  </si>
  <si>
    <t>EUR/ha</t>
  </si>
  <si>
    <t>Landwirtschaftlicher Grundstücksmarkt</t>
  </si>
  <si>
    <t>Hektarerträge</t>
  </si>
  <si>
    <t>Getreide insg. (ohne Körnermais)</t>
  </si>
  <si>
    <t>dt/ha</t>
  </si>
  <si>
    <t>Zuckerrüben</t>
  </si>
  <si>
    <t>Winterraps</t>
  </si>
  <si>
    <t>Silomais</t>
  </si>
  <si>
    <t>Vergleich mit Landes-Ø</t>
  </si>
  <si>
    <t xml:space="preserve"> Naturdenkmale, flächenhaft</t>
  </si>
  <si>
    <t>Landesdurchschnitt</t>
  </si>
  <si>
    <t>Breisgau-Hoch-schwarzwald</t>
  </si>
  <si>
    <t>Erwerbstätige (am Arbeitsort) insg.</t>
  </si>
  <si>
    <t>aktualisiert</t>
  </si>
  <si>
    <t>Waldfläche</t>
  </si>
  <si>
    <t>Übrige Nutzungsarten</t>
  </si>
  <si>
    <t>Nürtingen</t>
  </si>
  <si>
    <t>Landesanstalt für Umwelt, Messungen und Naturschutz (LUBW), Schutzgebietsverzeichnis 2010</t>
  </si>
  <si>
    <t>Landesamt für Geoinformation und Landentwicklung (LGL) - Abteilung Geodatenzentrum (GDZ), Gemeinsamer Antrag 2009</t>
  </si>
  <si>
    <t>2) Bezogen auf alle zivilen Erwerbspersonen</t>
  </si>
  <si>
    <r>
      <t xml:space="preserve"> Schutzgebiete </t>
    </r>
    <r>
      <rPr>
        <b/>
        <vertAlign val="superscript"/>
        <sz val="10"/>
        <rFont val="Arial"/>
        <family val="2"/>
      </rPr>
      <t>3)</t>
    </r>
  </si>
  <si>
    <t xml:space="preserve">Quellen:  Statistisches Landesamt Baden-Württemberg, 2007-2010 </t>
  </si>
  <si>
    <t xml:space="preserve">Regierungsbezirk </t>
  </si>
  <si>
    <t>3) Da einzelne Schutzgebiete in mehreren Kreisen liegen, kommt es zu Mehrfachzählungen, welche eine Aggregation auf Regions- und Regierungsbezirksebene ausschließen.</t>
  </si>
  <si>
    <t>*) incl. SKR Heilbronn</t>
  </si>
  <si>
    <t>*) incl. SKR Stuttgart</t>
  </si>
  <si>
    <t>*) incl. SKR Baden-Baden</t>
  </si>
  <si>
    <t>*) incl. SKR Karlsruhe</t>
  </si>
  <si>
    <t>*) incl. SKRe Heidelberg und Mannheim</t>
  </si>
  <si>
    <t>*) incl. SKR Pforzheim</t>
  </si>
  <si>
    <t>*) incl. SKR Freiburg</t>
  </si>
  <si>
    <t>*) incl. SKR Ulm</t>
  </si>
  <si>
    <t>Ulm *)</t>
  </si>
  <si>
    <t>Breisach *)</t>
  </si>
  <si>
    <t>Pforzheim *)</t>
  </si>
  <si>
    <t>Sinsheim *)</t>
  </si>
  <si>
    <t>Karlsruhe *)</t>
  </si>
  <si>
    <t>Rastatt *)</t>
  </si>
  <si>
    <t>Ludwigsburg *)</t>
  </si>
  <si>
    <t>Heilbronn *)</t>
  </si>
  <si>
    <t xml:space="preserve"> </t>
  </si>
  <si>
    <t xml:space="preserve">Die Auswahl des Bezirks oder Kreises erfogt im Dropdownfeld in der Kopfzeile des </t>
  </si>
  <si>
    <t>Hinweise</t>
  </si>
  <si>
    <t xml:space="preserve"> FFH-Gebiete</t>
  </si>
  <si>
    <t xml:space="preserve"> Vogelschutzgebiete (SPA-Gebiete)</t>
  </si>
  <si>
    <t>*</t>
  </si>
  <si>
    <t>darunter andere Kühe (Mutterkühe)</t>
  </si>
  <si>
    <t>Milchkuhhalter</t>
  </si>
  <si>
    <t>Halter anderer Schweine</t>
  </si>
  <si>
    <t>Andere Schweine</t>
  </si>
  <si>
    <t>AA</t>
  </si>
  <si>
    <t>Einhufer (Pferde)</t>
  </si>
  <si>
    <t>* = Geheimhaltung oder Zahlenwert unbekannt; - = nichts vorhanden</t>
  </si>
  <si>
    <t>Tiere/Halter</t>
  </si>
  <si>
    <r>
      <t xml:space="preserve">davon Siedlungs- und Verkehrsfläche </t>
    </r>
    <r>
      <rPr>
        <vertAlign val="superscript"/>
        <sz val="10"/>
        <rFont val="Arial"/>
        <family val="2"/>
      </rPr>
      <t>1)</t>
    </r>
    <r>
      <rPr>
        <sz val="10"/>
        <rFont val="Arial"/>
        <family val="2"/>
      </rPr>
      <t xml:space="preserve"> </t>
    </r>
  </si>
  <si>
    <r>
      <t xml:space="preserve">Arbeitslosenquote (Jahresdurchschn.) </t>
    </r>
    <r>
      <rPr>
        <vertAlign val="superscript"/>
        <sz val="10"/>
        <rFont val="Arial"/>
        <family val="2"/>
      </rPr>
      <t>2)</t>
    </r>
  </si>
  <si>
    <t>Baum- und Beerenobst</t>
  </si>
  <si>
    <t>Rebflächen</t>
  </si>
  <si>
    <t>Jahresvergleich Strukturdaten</t>
  </si>
  <si>
    <t>Vergleichswerte für Excelzeilen 45-48:</t>
  </si>
  <si>
    <t>EUR/ha LF</t>
  </si>
  <si>
    <t>davon in Betrieben unter 5 ha</t>
  </si>
  <si>
    <t>5 bis unter 10 ha</t>
  </si>
  <si>
    <t>10 bis unter 20 ha</t>
  </si>
  <si>
    <t>20 bis unter 50 ha</t>
  </si>
  <si>
    <t>Landwirtschaftl. Betriebe insgesamt</t>
  </si>
  <si>
    <t>zwei Jahre verglichen werden.</t>
  </si>
  <si>
    <t>Grundstücksverkäufe</t>
  </si>
  <si>
    <t>Ø Betriebsgröße (alle Betriebe)</t>
  </si>
  <si>
    <t>Betriebe ab 5 ha</t>
  </si>
  <si>
    <t>x</t>
  </si>
  <si>
    <t>(x)</t>
  </si>
  <si>
    <t>kA</t>
  </si>
  <si>
    <t xml:space="preserve">3) Da einzelne Schutzgebiete in mehreren Kreisen liegen, kommt es zu Mehrfachzählungen, welche eine Aggregation auf Regions- </t>
  </si>
  <si>
    <t>und Regierungsbezirksebene ausschließen.</t>
  </si>
  <si>
    <t>Statistik der Bundesagentur für Arbeit, 2011</t>
  </si>
  <si>
    <t>Durchschnittsbestand Andere Schweine</t>
  </si>
  <si>
    <t>Landwirtschaftl. Betriebe (ab 5 ha LF)</t>
  </si>
  <si>
    <t>Ø Betriebsgröße (Betriebe ab 5 ha LF)</t>
  </si>
  <si>
    <t xml:space="preserve"> -</t>
  </si>
  <si>
    <t>Sozialversicherungspflichtigte Beschäftigte</t>
  </si>
  <si>
    <t>Arbeitsmarkt und Wirtschaftsrechnung</t>
  </si>
  <si>
    <t>Arbeitskräfte i.d. Landwirtschaft</t>
  </si>
  <si>
    <t>BWS LW</t>
  </si>
  <si>
    <t>zur Landwirtschaft in</t>
  </si>
  <si>
    <t xml:space="preserve">Strukturdaten  </t>
  </si>
  <si>
    <t xml:space="preserve">      -</t>
  </si>
  <si>
    <t>Benachteiligtes gebiet</t>
  </si>
  <si>
    <t>BWS</t>
  </si>
  <si>
    <t>Bundesagentur für Arbeit, 2012</t>
  </si>
  <si>
    <t>Bundesagentur für Arbeit, 2011</t>
  </si>
  <si>
    <t>Bundesagentur für Arbeit, 2009</t>
  </si>
  <si>
    <t>Bundesagentur für Arbeit, 2008</t>
  </si>
  <si>
    <t>Bundesagentur für Arbeit, 2007</t>
  </si>
  <si>
    <t>Bundesagentur für Arbeit, 2001</t>
  </si>
  <si>
    <t>Flächen anderer Nutzung</t>
  </si>
  <si>
    <t>Winterweizen (einschl. Dinkel u. Einkorn)</t>
  </si>
  <si>
    <t>Mio. €</t>
  </si>
  <si>
    <t>Landesamt für Geoinformation und Landentwicklung (LGL) - Abteilung Geodatenzentrum (GDZ), Gemeinsamer Antrag 2010</t>
  </si>
  <si>
    <t>Benachteiligtes Gebiet</t>
  </si>
  <si>
    <t>Naturdenkmale, flächenhaft</t>
  </si>
  <si>
    <t>Landschaftsschutzgebiete</t>
  </si>
  <si>
    <t>darunter sonstige Kühe</t>
  </si>
  <si>
    <t>Böblingen</t>
  </si>
  <si>
    <t>Ø Kaufpreis je ha Gesamtfläche</t>
  </si>
  <si>
    <t>Landesanstalt für Umwelt, Messungen und Naturschutz (LUBW), Schutzgebietsverzeichnis</t>
  </si>
  <si>
    <t>Naturschutzgebiete</t>
  </si>
  <si>
    <t>FFH-Gebiete</t>
  </si>
  <si>
    <t>Vogelschutzgebiete (SPA-Gebiete)</t>
  </si>
  <si>
    <t>Wasserschutzgebiete</t>
  </si>
  <si>
    <t>Jahr</t>
  </si>
  <si>
    <t>aufgezeigt.</t>
  </si>
  <si>
    <t>Auswahl im Arbeitsblatt &lt;Strukturdaten&gt;</t>
  </si>
  <si>
    <t>Auswahl Kennwert</t>
  </si>
  <si>
    <t>Erwerbstätige in der Landwirtschaft</t>
  </si>
  <si>
    <t xml:space="preserve">                     .</t>
  </si>
  <si>
    <t>.</t>
  </si>
  <si>
    <t>Kühe (Milchkühe und sonstige Kühe)</t>
  </si>
  <si>
    <t>Landwirtschaftl. Betriebe</t>
  </si>
  <si>
    <t>Ø Betriebsgröße</t>
  </si>
  <si>
    <t xml:space="preserve"> .</t>
  </si>
  <si>
    <t>Gebietskulisse</t>
  </si>
  <si>
    <t>116</t>
  </si>
  <si>
    <t>117</t>
  </si>
  <si>
    <t>118</t>
  </si>
  <si>
    <t>125</t>
  </si>
  <si>
    <t>136</t>
  </si>
  <si>
    <t>211</t>
  </si>
  <si>
    <t>215</t>
  </si>
  <si>
    <t>216</t>
  </si>
  <si>
    <t>235</t>
  </si>
  <si>
    <t>236</t>
  </si>
  <si>
    <t>237</t>
  </si>
  <si>
    <t>311</t>
  </si>
  <si>
    <t>315</t>
  </si>
  <si>
    <t>316</t>
  </si>
  <si>
    <t>317</t>
  </si>
  <si>
    <t>325</t>
  </si>
  <si>
    <t>326</t>
  </si>
  <si>
    <t>327</t>
  </si>
  <si>
    <t>335</t>
  </si>
  <si>
    <t>336</t>
  </si>
  <si>
    <t>337</t>
  </si>
  <si>
    <t>415</t>
  </si>
  <si>
    <t>416</t>
  </si>
  <si>
    <t>417</t>
  </si>
  <si>
    <t>425</t>
  </si>
  <si>
    <t>426</t>
  </si>
  <si>
    <t>435</t>
  </si>
  <si>
    <t>436</t>
  </si>
  <si>
    <t>437</t>
  </si>
  <si>
    <t>Gesamtergebnis</t>
  </si>
  <si>
    <t>111</t>
  </si>
  <si>
    <t>115</t>
  </si>
  <si>
    <t>119</t>
  </si>
  <si>
    <t>121</t>
  </si>
  <si>
    <t>126</t>
  </si>
  <si>
    <t>127</t>
  </si>
  <si>
    <t>128</t>
  </si>
  <si>
    <t>135</t>
  </si>
  <si>
    <t>221</t>
  </si>
  <si>
    <t>222</t>
  </si>
  <si>
    <t>225</t>
  </si>
  <si>
    <t>226</t>
  </si>
  <si>
    <t>231</t>
  </si>
  <si>
    <t>421</t>
  </si>
  <si>
    <t>Sozialversicherungspflicht. Beschäftigte</t>
  </si>
  <si>
    <t>Änderung der Milchanlieferung 2014 / 2001</t>
  </si>
  <si>
    <t>Änderung Anzahl Milchkühe 2014 / 2001</t>
  </si>
  <si>
    <t>Milcherzeugung</t>
  </si>
  <si>
    <t>1.000 t</t>
  </si>
  <si>
    <t>Änderung der Milcherzeugung</t>
  </si>
  <si>
    <t>Änderung der Milchkühe</t>
  </si>
  <si>
    <t>Entwicklung Betriebe ab 5 ha LF</t>
  </si>
  <si>
    <t>% an LF</t>
  </si>
  <si>
    <t>Anteil Gebietskulisse an LF</t>
  </si>
  <si>
    <t>davon Berggebiet</t>
  </si>
  <si>
    <t>Flurstücke</t>
  </si>
  <si>
    <t>Nutzungen</t>
  </si>
  <si>
    <t>Flurstücke / Antrag</t>
  </si>
  <si>
    <t>Nutzungen / Antrag</t>
  </si>
  <si>
    <t>x = aktuelles Jahr</t>
  </si>
  <si>
    <t>Milchkuhhalter (Milchkühe und sonstige Kühe)</t>
  </si>
  <si>
    <t>Ø Kaufwert je ha Gesamtfläche</t>
  </si>
  <si>
    <t>Ø Kaufwert</t>
  </si>
  <si>
    <t>Einheit</t>
  </si>
  <si>
    <t>212</t>
  </si>
  <si>
    <r>
      <t>Arbeitsblattes &lt;</t>
    </r>
    <r>
      <rPr>
        <b/>
        <sz val="12"/>
        <rFont val="Arial"/>
        <family val="2"/>
      </rPr>
      <t>Strukturdaten</t>
    </r>
    <r>
      <rPr>
        <sz val="12"/>
        <rFont val="Arial"/>
        <family val="2"/>
      </rPr>
      <t>&gt;</t>
    </r>
  </si>
  <si>
    <r>
      <t>Im Arbeitsblatt &lt;</t>
    </r>
    <r>
      <rPr>
        <b/>
        <sz val="12"/>
        <rFont val="Arial"/>
        <family val="2"/>
      </rPr>
      <t>Jahresvergleich</t>
    </r>
    <r>
      <rPr>
        <sz val="12"/>
        <rFont val="Arial"/>
        <family val="2"/>
      </rPr>
      <t>&gt; können für den zuvor ausgewählten Bezirk oder Kreis</t>
    </r>
  </si>
  <si>
    <r>
      <t>Im Arbeitsblatt &lt;</t>
    </r>
    <r>
      <rPr>
        <b/>
        <sz val="12"/>
        <rFont val="Arial"/>
        <family val="2"/>
      </rPr>
      <t>Grafik</t>
    </r>
    <r>
      <rPr>
        <sz val="12"/>
        <rFont val="Arial"/>
        <family val="2"/>
      </rPr>
      <t>&gt; wird die Entwicklung eines Kennwertes seit dem Jahr 2001</t>
    </r>
  </si>
  <si>
    <t>Bodenfläche / Siedlungs- und Verkehrsfläche</t>
  </si>
  <si>
    <t>Mit Stand 31.12.2016 wurde die Flächenerhebung nach Art der tatsächlichen Nutzung erstmals bundeseinheitlich in der neuen ALKIS-Nomenklatur veröffentlicht. Ein direkter Vergleich mit den bisher in ALB-Nomenklatur dargestellten Daten ist nicht möglich.</t>
  </si>
  <si>
    <t>LUBW, Stala</t>
  </si>
  <si>
    <t>LUBW</t>
  </si>
  <si>
    <t>Stala</t>
  </si>
  <si>
    <t>MLR, GA</t>
  </si>
  <si>
    <t>Stala, HIT</t>
  </si>
  <si>
    <t>Bearbeitung:  Martina Stock, LEL Schwäbisch Gmünd, Abt. 3</t>
  </si>
  <si>
    <t>07171 / 917-411</t>
  </si>
  <si>
    <r>
      <t xml:space="preserve">davon Siedlungs- und Verkehrsfläche </t>
    </r>
    <r>
      <rPr>
        <vertAlign val="superscript"/>
        <sz val="10"/>
        <color theme="3" tint="0.39997558519241921"/>
        <rFont val="Arial"/>
        <family val="2"/>
      </rPr>
      <t>1)</t>
    </r>
    <r>
      <rPr>
        <sz val="10"/>
        <color theme="3" tint="0.39997558519241921"/>
        <rFont val="Arial"/>
        <family val="2"/>
      </rPr>
      <t xml:space="preserve"> </t>
    </r>
  </si>
  <si>
    <t>/</t>
  </si>
  <si>
    <t>,</t>
  </si>
  <si>
    <t xml:space="preserve">davon Natürlich benachteiligte Gebiete </t>
  </si>
  <si>
    <t xml:space="preserve">davon Spezifisch benachteiligte Gebiete </t>
  </si>
  <si>
    <t>davon Spezifisch benachteiligte Gebiete - ab 2019 (bis 2019 davon beantragte Fläche Ben. Agrarzone)</t>
  </si>
  <si>
    <t>Anteil Gebietskulisse an LF - ab 2019 (bis 2019 davon beantragte Fläche Berggebiete)</t>
  </si>
  <si>
    <r>
      <t xml:space="preserve">Entwicklung Betriebe ab 5 ha LF von 2001 / </t>
    </r>
    <r>
      <rPr>
        <sz val="10"/>
        <color rgb="FF0070C0"/>
        <rFont val="Arial"/>
        <family val="2"/>
      </rPr>
      <t>2020</t>
    </r>
  </si>
  <si>
    <t xml:space="preserve">              –  </t>
  </si>
  <si>
    <t xml:space="preserve"> 1 100 </t>
  </si>
  <si>
    <t>8987</t>
  </si>
  <si>
    <t>11178</t>
  </si>
  <si>
    <t>17845</t>
  </si>
  <si>
    <t>5253</t>
  </si>
  <si>
    <t>12106</t>
  </si>
  <si>
    <t>59928</t>
  </si>
  <si>
    <t>197055</t>
  </si>
  <si>
    <t>54499</t>
  </si>
  <si>
    <t>26831</t>
  </si>
  <si>
    <t>43465</t>
  </si>
  <si>
    <t>2004</t>
  </si>
  <si>
    <t>2086</t>
  </si>
  <si>
    <t>23094</t>
  </si>
  <si>
    <t>8871</t>
  </si>
  <si>
    <t>1889</t>
  </si>
  <si>
    <t>3645</t>
  </si>
  <si>
    <t>4576</t>
  </si>
  <si>
    <t>4939</t>
  </si>
  <si>
    <t>1875</t>
  </si>
  <si>
    <t>11431</t>
  </si>
  <si>
    <t>18471</t>
  </si>
  <si>
    <t>10000</t>
  </si>
  <si>
    <t>2559</t>
  </si>
  <si>
    <t>6413</t>
  </si>
  <si>
    <t>4936</t>
  </si>
  <si>
    <t>9221</t>
  </si>
  <si>
    <t>6365</t>
  </si>
  <si>
    <t>4200</t>
  </si>
  <si>
    <t>7829</t>
  </si>
  <si>
    <t>124549</t>
  </si>
  <si>
    <t>83070</t>
  </si>
  <si>
    <t>8340</t>
  </si>
  <si>
    <t>19108</t>
  </si>
  <si>
    <t>54102</t>
  </si>
  <si>
    <t>868836</t>
  </si>
  <si>
    <t>441896</t>
  </si>
  <si>
    <t>47791</t>
  </si>
  <si>
    <t>62365</t>
  </si>
  <si>
    <t>316784</t>
  </si>
  <si>
    <t>47</t>
  </si>
  <si>
    <t>29</t>
  </si>
  <si>
    <t>56</t>
  </si>
  <si>
    <t>76</t>
  </si>
  <si>
    <t>1</t>
  </si>
  <si>
    <t>57</t>
  </si>
  <si>
    <t>184</t>
  </si>
  <si>
    <t>509</t>
  </si>
  <si>
    <t>178</t>
  </si>
  <si>
    <t>87</t>
  </si>
  <si>
    <t>4</t>
  </si>
  <si>
    <t>25</t>
  </si>
  <si>
    <t>19</t>
  </si>
  <si>
    <t>82</t>
  </si>
  <si>
    <t>2</t>
  </si>
  <si>
    <t>41</t>
  </si>
  <si>
    <t>36</t>
  </si>
  <si>
    <t>46</t>
  </si>
  <si>
    <t>130</t>
  </si>
  <si>
    <t>70</t>
  </si>
  <si>
    <t>218</t>
  </si>
  <si>
    <t>110</t>
  </si>
  <si>
    <t>109</t>
  </si>
  <si>
    <t>34</t>
  </si>
  <si>
    <t>54</t>
  </si>
  <si>
    <t>60</t>
  </si>
  <si>
    <t>88</t>
  </si>
  <si>
    <t>32</t>
  </si>
  <si>
    <t>15</t>
  </si>
  <si>
    <t>341</t>
  </si>
  <si>
    <t>243</t>
  </si>
  <si>
    <t>100</t>
  </si>
  <si>
    <t>171</t>
  </si>
  <si>
    <t>3773</t>
  </si>
  <si>
    <t>1506</t>
  </si>
  <si>
    <t>307</t>
  </si>
  <si>
    <t>874</t>
  </si>
  <si>
    <t>1086</t>
  </si>
  <si>
    <t>295</t>
  </si>
  <si>
    <t>4047</t>
  </si>
  <si>
    <t xml:space="preserve"> Futterbaubetriebe </t>
  </si>
  <si>
    <t>Quellen:  Statistisches Landesamt Baden-Württemberg, 2007-2020</t>
  </si>
  <si>
    <t>Bundesanstalt für Landwirtschaft und Ernährung (BLE)</t>
  </si>
  <si>
    <t>LEL, BLE, Agrarmärkte</t>
  </si>
  <si>
    <t>Information zu "Flächen anderer Nutzung":</t>
  </si>
  <si>
    <t xml:space="preserve">Anteil Gebietskulisse an LF in % </t>
  </si>
  <si>
    <t>blaues Feld: 2021 wurden hier rückwirkend Anpassungen an den Formenl vorgenommen</t>
  </si>
  <si>
    <t>Benacht. Gebiete - Gebietskulisse</t>
  </si>
  <si>
    <t xml:space="preserve">2019 erfolgte eine Neuabgrenzung der benachteiligten Gebiete, zudem wurden spezifisch benachteiligte Gebiete abgegrenzt. Ein direkter Vergleich mit den Vorjahren ist deshalb nicht möglich. Weitere Informationen: https://foerderung.landwirtschaft-bw.de/pb/,Lde/Startseite/Foerderwegweiser/Neue+Gebietskulisse </t>
  </si>
  <si>
    <t>zu GA:</t>
  </si>
  <si>
    <r>
      <t>Milchkuhhalter</t>
    </r>
    <r>
      <rPr>
        <strike/>
        <sz val="8"/>
        <rFont val="Arial"/>
        <family val="2"/>
      </rPr>
      <t xml:space="preserve"> (Milchkühe und sonstige Kühe)</t>
    </r>
  </si>
  <si>
    <t xml:space="preserve">Änderung der Milcherzeugung </t>
  </si>
  <si>
    <t xml:space="preserve">Änderung Anzahl Milchkühe </t>
  </si>
  <si>
    <t xml:space="preserve">nach Stadt- und Landkreisen sowie Dienstbezirken </t>
  </si>
  <si>
    <t>Landesamt für Geoinformation und Landentwicklung (LGL) - Abteilung Geodatenzentrum (GDZ)</t>
  </si>
  <si>
    <t>Ministerium für Ernährung, Ländlichen Raum und Verbraucherschutz (MLR), Gemeinsamer Antrag (GA)</t>
  </si>
  <si>
    <t>Bundesagentur für Arbeit</t>
  </si>
  <si>
    <t>Strukturdaten 2022</t>
  </si>
  <si>
    <t>Quellen:  Statistisches Landesamt Baden-Württemberg, 2007-2022 (Stala)</t>
  </si>
  <si>
    <t>Strukturdaten 2021/2022</t>
  </si>
  <si>
    <t>Stand: Juli 2023</t>
  </si>
  <si>
    <t>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</si>
</sst>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D_M_-;\-* #,##0.00\ _D_M_-;_-* &quot;-&quot;??\ _D_M_-;_-@_-"/>
    <numFmt numFmtId="165" formatCode="0.0%"/>
    <numFmt numFmtId="166" formatCode="0.0"/>
    <numFmt numFmtId="167" formatCode="#,##0.0"/>
    <numFmt numFmtId="168" formatCode="\+\ \ 0.0;\-\ \ 0.0"/>
    <numFmt numFmtId="169" formatCode="_-* #,##0.0\ _D_M_-;\-* #,##0.0\ _D_M_-;_-* &quot;-&quot;??\ _D_M_-;_-@_-"/>
    <numFmt numFmtId="170" formatCode="_-* #,##0\ _D_M_-;\-* #,##0\ _D_M_-;_-* &quot;-&quot;??\ _D_M_-;_-@_-"/>
    <numFmt numFmtId="171" formatCode="#,##0.000"/>
    <numFmt numFmtId="172" formatCode="0.00_ ;[Red]\-0.00\ "/>
    <numFmt numFmtId="173" formatCode="_-* #,##0_-;\-* #,##0_-;_-* &quot;-&quot;??_-;_-@_-"/>
  </numFmts>
  <fonts count="68">
    <font>
      <sz val="10"/>
      <name val="Arial"/>
    </font>
    <font>
      <sz val="10"/>
      <color theme="1"/>
      <name val="Arial"/>
      <family val="2"/>
    </font>
    <font>
      <sz val="10"/>
      <name val="Arial"/>
      <family val="2"/>
    </font>
    <font>
      <b/>
      <sz val="12"/>
      <name val="Arial"/>
      <family val="2"/>
    </font>
    <font>
      <b/>
      <sz val="10"/>
      <name val="Arial"/>
      <family val="2"/>
    </font>
    <font>
      <sz val="10"/>
      <name val="Arial"/>
      <family val="2"/>
    </font>
    <font>
      <i/>
      <sz val="10"/>
      <name val="Arial"/>
      <family val="2"/>
    </font>
    <font>
      <b/>
      <i/>
      <sz val="10"/>
      <name val="Arial"/>
      <family val="2"/>
    </font>
    <font>
      <b/>
      <sz val="16"/>
      <name val="Arial"/>
      <family val="2"/>
    </font>
    <font>
      <b/>
      <sz val="14"/>
      <name val="Arial"/>
      <family val="2"/>
    </font>
    <font>
      <i/>
      <sz val="8"/>
      <name val="Arial"/>
      <family val="2"/>
    </font>
    <font>
      <u/>
      <sz val="10"/>
      <color indexed="12"/>
      <name val="Arial"/>
      <family val="2"/>
    </font>
    <font>
      <sz val="10"/>
      <color indexed="10"/>
      <name val="Arial"/>
      <family val="2"/>
    </font>
    <font>
      <sz val="8"/>
      <color indexed="81"/>
      <name val="Tahoma"/>
      <family val="2"/>
    </font>
    <font>
      <b/>
      <sz val="18"/>
      <name val="Arial"/>
      <family val="2"/>
    </font>
    <font>
      <b/>
      <sz val="22"/>
      <name val="Arial"/>
      <family val="2"/>
    </font>
    <font>
      <sz val="9"/>
      <name val="Arial"/>
      <family val="2"/>
    </font>
    <font>
      <i/>
      <sz val="9"/>
      <name val="Arial"/>
      <family val="2"/>
    </font>
    <font>
      <sz val="6"/>
      <name val="Arial"/>
      <family val="2"/>
    </font>
    <font>
      <b/>
      <sz val="11"/>
      <name val="Arial"/>
      <family val="2"/>
    </font>
    <font>
      <b/>
      <sz val="8"/>
      <color indexed="81"/>
      <name val="Tahoma"/>
      <family val="2"/>
    </font>
    <font>
      <i/>
      <sz val="6"/>
      <name val="Arial"/>
      <family val="2"/>
    </font>
    <font>
      <sz val="10"/>
      <color indexed="12"/>
      <name val="Arial"/>
      <family val="2"/>
    </font>
    <font>
      <sz val="8"/>
      <name val="Arial"/>
      <family val="2"/>
    </font>
    <font>
      <sz val="8"/>
      <color indexed="12"/>
      <name val="Arial"/>
      <family val="2"/>
    </font>
    <font>
      <b/>
      <sz val="10"/>
      <color indexed="12"/>
      <name val="Arial"/>
      <family val="2"/>
    </font>
    <font>
      <b/>
      <vertAlign val="superscript"/>
      <sz val="10"/>
      <name val="Arial"/>
      <family val="2"/>
    </font>
    <font>
      <sz val="10"/>
      <color indexed="10"/>
      <name val="Arial"/>
      <family val="2"/>
    </font>
    <font>
      <sz val="12"/>
      <name val="Arial"/>
      <family val="2"/>
    </font>
    <font>
      <b/>
      <u/>
      <sz val="12"/>
      <color indexed="12"/>
      <name val="Arial"/>
      <family val="2"/>
    </font>
    <font>
      <vertAlign val="superscript"/>
      <sz val="10"/>
      <name val="Arial"/>
      <family val="2"/>
    </font>
    <font>
      <sz val="8"/>
      <color indexed="10"/>
      <name val="Arial"/>
      <family val="2"/>
    </font>
    <font>
      <b/>
      <sz val="11"/>
      <color theme="1"/>
      <name val="Arial"/>
      <family val="2"/>
    </font>
    <font>
      <sz val="10"/>
      <color rgb="FF0000FF"/>
      <name val="Arial"/>
      <family val="2"/>
    </font>
    <font>
      <sz val="8"/>
      <color rgb="FF0000FF"/>
      <name val="Arial"/>
      <family val="2"/>
    </font>
    <font>
      <sz val="10"/>
      <color rgb="FFFF0000"/>
      <name val="Arial"/>
      <family val="2"/>
    </font>
    <font>
      <sz val="10"/>
      <color theme="0"/>
      <name val="Arial"/>
      <family val="2"/>
    </font>
    <font>
      <sz val="8"/>
      <color rgb="FFFF0000"/>
      <name val="Arial"/>
      <family val="2"/>
    </font>
    <font>
      <sz val="9"/>
      <color rgb="FFFF0000"/>
      <name val="Arial"/>
      <family val="2"/>
    </font>
    <font>
      <b/>
      <sz val="11"/>
      <color theme="1"/>
      <name val="Calibri"/>
      <family val="2"/>
      <scheme val="minor"/>
    </font>
    <font>
      <sz val="9"/>
      <color indexed="81"/>
      <name val="Segoe UI"/>
      <family val="2"/>
    </font>
    <font>
      <b/>
      <sz val="9"/>
      <name val="Arial"/>
      <family val="2"/>
    </font>
    <font>
      <b/>
      <u/>
      <sz val="10"/>
      <name val="Arial"/>
      <family val="2"/>
    </font>
    <font>
      <sz val="10"/>
      <color theme="3" tint="0.39997558519241921"/>
      <name val="Arial"/>
      <family val="2"/>
    </font>
    <font>
      <sz val="8"/>
      <color theme="3" tint="0.39997558519241921"/>
      <name val="Arial"/>
      <family val="2"/>
    </font>
    <font>
      <vertAlign val="superscript"/>
      <sz val="10"/>
      <color theme="3" tint="0.39997558519241921"/>
      <name val="Arial"/>
      <family val="2"/>
    </font>
    <font>
      <sz val="11"/>
      <color theme="1"/>
      <name val="Calibri"/>
      <family val="2"/>
      <scheme val="minor"/>
    </font>
    <font>
      <sz val="11"/>
      <name val="Arial"/>
      <family val="2"/>
    </font>
    <font>
      <sz val="11"/>
      <name val="Arial"/>
      <family val="2"/>
    </font>
    <font>
      <sz val="10"/>
      <color rgb="FF00B0F0"/>
      <name val="Arial"/>
      <family val="2"/>
    </font>
    <font>
      <sz val="10"/>
      <color rgb="FF0070C0"/>
      <name val="Arial"/>
      <family val="2"/>
    </font>
    <font>
      <sz val="8"/>
      <color rgb="FF0070C0"/>
      <name val="Arial"/>
      <family val="2"/>
    </font>
    <font>
      <sz val="10"/>
      <color indexed="8"/>
      <name val="Calibri"/>
      <family val="2"/>
      <scheme val="minor"/>
    </font>
    <font>
      <sz val="11"/>
      <color theme="1"/>
      <name val="Arial"/>
      <family val="2"/>
    </font>
    <font>
      <i/>
      <sz val="10"/>
      <color indexed="10"/>
      <name val="Arial"/>
      <family val="2"/>
    </font>
    <font>
      <b/>
      <sz val="9"/>
      <color indexed="81"/>
      <name val="Segoe UI"/>
      <family val="2"/>
    </font>
    <font>
      <b/>
      <sz val="10"/>
      <color rgb="FF00B0F0"/>
      <name val="Arial"/>
      <family val="2"/>
    </font>
    <font>
      <sz val="8"/>
      <color rgb="FF00B0F0"/>
      <name val="Arial"/>
      <family val="2"/>
    </font>
    <font>
      <sz val="10"/>
      <color rgb="FF92D050"/>
      <name val="Arial"/>
      <family val="2"/>
    </font>
    <font>
      <strike/>
      <sz val="10"/>
      <color indexed="10"/>
      <name val="Arial"/>
      <family val="2"/>
    </font>
    <font>
      <strike/>
      <sz val="10"/>
      <name val="Arial"/>
      <family val="2"/>
    </font>
    <font>
      <strike/>
      <sz val="8"/>
      <name val="Arial"/>
      <family val="2"/>
    </font>
    <font>
      <sz val="10"/>
      <color rgb="FF9C0006"/>
      <name val="Arial"/>
      <family val="2"/>
    </font>
    <font>
      <sz val="10"/>
      <color rgb="FF006100"/>
      <name val="Arial"/>
      <family val="2"/>
    </font>
    <font>
      <sz val="8"/>
      <color theme="6" tint="-0.249977111117893"/>
      <name val="Arial"/>
      <family val="2"/>
    </font>
    <font>
      <strike/>
      <sz val="10"/>
      <color rgb="FFFF0000"/>
      <name val="Arial"/>
      <family val="2"/>
    </font>
    <font>
      <strike/>
      <sz val="8"/>
      <color theme="6" tint="-0.249977111117893"/>
      <name val="Arial"/>
      <family val="2"/>
    </font>
    <font>
      <b/>
      <sz val="10"/>
      <color rgb="FFFF0000"/>
      <name val="Arial"/>
      <family val="2"/>
    </font>
  </fonts>
  <fills count="1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52"/>
        <bgColor indexed="64"/>
      </patternFill>
    </fill>
    <fill>
      <patternFill patternType="solid">
        <fgColor indexed="13"/>
        <bgColor indexed="64"/>
      </patternFill>
    </fill>
    <fill>
      <patternFill patternType="solid">
        <fgColor indexed="45"/>
        <bgColor indexed="64"/>
      </patternFill>
    </fill>
    <fill>
      <patternFill patternType="solid">
        <fgColor rgb="FFFFFF99"/>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FFC7CE"/>
      </patternFill>
    </fill>
    <fill>
      <patternFill patternType="solid">
        <fgColor rgb="FF00B0F0"/>
        <bgColor indexed="64"/>
      </patternFill>
    </fill>
    <fill>
      <patternFill patternType="solid">
        <fgColor theme="7" tint="0.59999389629810485"/>
        <bgColor indexed="64"/>
      </patternFill>
    </fill>
    <fill>
      <patternFill patternType="solid">
        <fgColor rgb="FFC6EFCE"/>
      </patternFill>
    </fill>
  </fills>
  <borders count="90">
    <border>
      <left/>
      <right/>
      <top/>
      <bottom/>
      <diagonal/>
    </border>
    <border>
      <left/>
      <right/>
      <top/>
      <bottom style="medium">
        <color indexed="64"/>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bottom/>
      <diagonal/>
    </border>
    <border>
      <left/>
      <right style="medium">
        <color indexed="64"/>
      </right>
      <top/>
      <bottom/>
      <diagonal/>
    </border>
    <border>
      <left/>
      <right style="thick">
        <color indexed="64"/>
      </right>
      <top/>
      <bottom/>
      <diagonal/>
    </border>
    <border>
      <left/>
      <right style="medium">
        <color indexed="64"/>
      </right>
      <top/>
      <bottom style="medium">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medium">
        <color indexed="64"/>
      </right>
      <top/>
      <bottom/>
      <diagonal/>
    </border>
    <border>
      <left style="thin">
        <color indexed="64"/>
      </left>
      <right style="thick">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style="thick">
        <color indexed="64"/>
      </top>
      <bottom/>
      <diagonal/>
    </border>
    <border>
      <left/>
      <right style="medium">
        <color indexed="64"/>
      </right>
      <top style="thick">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style="thick">
        <color indexed="64"/>
      </top>
      <bottom/>
      <diagonal/>
    </border>
    <border>
      <left style="thick">
        <color indexed="64"/>
      </left>
      <right/>
      <top/>
      <bottom style="medium">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ck">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medium">
        <color indexed="64"/>
      </bottom>
      <diagonal/>
    </border>
    <border>
      <left style="thick">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bottom style="medium">
        <color indexed="64"/>
      </bottom>
      <diagonal/>
    </border>
    <border>
      <left style="thin">
        <color indexed="64"/>
      </left>
      <right style="thick">
        <color indexed="64"/>
      </right>
      <top style="thin">
        <color indexed="64"/>
      </top>
      <bottom/>
      <diagonal/>
    </border>
    <border>
      <left/>
      <right style="thick">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bottom style="thin">
        <color indexed="64"/>
      </bottom>
      <diagonal/>
    </border>
    <border>
      <left style="thick">
        <color indexed="64"/>
      </left>
      <right/>
      <top style="medium">
        <color indexed="64"/>
      </top>
      <bottom/>
      <diagonal/>
    </border>
    <border>
      <left style="medium">
        <color indexed="64"/>
      </left>
      <right style="thin">
        <color indexed="64"/>
      </right>
      <top style="medium">
        <color indexed="64"/>
      </top>
      <bottom/>
      <diagonal/>
    </border>
    <border>
      <left/>
      <right style="thick">
        <color indexed="64"/>
      </right>
      <top style="medium">
        <color indexed="64"/>
      </top>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right style="thick">
        <color indexed="64"/>
      </right>
      <top style="thick">
        <color indexed="64"/>
      </top>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
      <left style="thin">
        <color indexed="64"/>
      </left>
      <right style="thick">
        <color indexed="64"/>
      </right>
      <top/>
      <bottom style="thick">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ck">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theme="4" tint="0.39997558519241921"/>
      </top>
      <bottom/>
      <diagonal/>
    </border>
  </borders>
  <cellStyleXfs count="22">
    <xf numFmtId="0" fontId="0" fillId="0" borderId="0"/>
    <xf numFmtId="0" fontId="11" fillId="0" borderId="0" applyNumberFormat="0" applyFill="0" applyBorder="0" applyAlignment="0" applyProtection="0">
      <alignment vertical="top"/>
      <protection locked="0"/>
    </xf>
    <xf numFmtId="164" fontId="2" fillId="0" borderId="0" applyFont="0" applyFill="0" applyBorder="0" applyAlignment="0" applyProtection="0"/>
    <xf numFmtId="9" fontId="2" fillId="0" borderId="0" applyFont="0" applyFill="0" applyBorder="0" applyAlignment="0" applyProtection="0"/>
    <xf numFmtId="0" fontId="2" fillId="0" borderId="0"/>
    <xf numFmtId="0" fontId="46" fillId="0" borderId="0"/>
    <xf numFmtId="0" fontId="47" fillId="0" borderId="0"/>
    <xf numFmtId="0" fontId="2" fillId="0" borderId="0"/>
    <xf numFmtId="0" fontId="48" fillId="0" borderId="0"/>
    <xf numFmtId="0" fontId="2" fillId="0" borderId="0"/>
    <xf numFmtId="0" fontId="52" fillId="0" borderId="0"/>
    <xf numFmtId="0" fontId="1" fillId="0" borderId="0"/>
    <xf numFmtId="0" fontId="53" fillId="0" borderId="0"/>
    <xf numFmtId="0" fontId="23" fillId="0" borderId="0">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46" fillId="0" borderId="0"/>
    <xf numFmtId="0" fontId="48" fillId="0" borderId="0"/>
    <xf numFmtId="0" fontId="62" fillId="15" borderId="0" applyNumberFormat="0" applyBorder="0" applyAlignment="0" applyProtection="0"/>
    <xf numFmtId="0" fontId="63" fillId="18" borderId="0" applyNumberFormat="0" applyBorder="0" applyAlignment="0" applyProtection="0"/>
  </cellStyleXfs>
  <cellXfs count="892">
    <xf numFmtId="0" fontId="0" fillId="0" borderId="0" xfId="0"/>
    <xf numFmtId="0" fontId="14" fillId="0" borderId="0" xfId="0" applyFont="1" applyAlignment="1">
      <alignment horizontal="center"/>
    </xf>
    <xf numFmtId="0" fontId="16" fillId="0" borderId="0" xfId="0" applyFont="1" applyAlignment="1">
      <alignment vertical="center"/>
    </xf>
    <xf numFmtId="0" fontId="0" fillId="0" borderId="0" xfId="0" applyAlignment="1">
      <alignment vertical="center"/>
    </xf>
    <xf numFmtId="0" fontId="16" fillId="0" borderId="0" xfId="0" applyFont="1" applyAlignment="1">
      <alignment horizontal="center" vertical="center"/>
    </xf>
    <xf numFmtId="0" fontId="16" fillId="0" borderId="1" xfId="0" applyFont="1" applyBorder="1" applyAlignment="1">
      <alignment horizontal="center" vertical="center"/>
    </xf>
    <xf numFmtId="0" fontId="3" fillId="2" borderId="2" xfId="0" applyFont="1" applyFill="1" applyBorder="1" applyAlignment="1">
      <alignment horizontal="left" vertical="center" indent="1"/>
    </xf>
    <xf numFmtId="0" fontId="16" fillId="2" borderId="3" xfId="0" applyFont="1" applyFill="1" applyBorder="1" applyAlignment="1">
      <alignment horizontal="center" vertical="center"/>
    </xf>
    <xf numFmtId="0" fontId="16" fillId="2" borderId="4" xfId="0" applyFont="1" applyFill="1"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vertical="center"/>
    </xf>
    <xf numFmtId="0" fontId="6" fillId="2" borderId="6" xfId="0" applyFont="1" applyFill="1" applyBorder="1" applyAlignment="1">
      <alignment horizontal="center" vertical="center"/>
    </xf>
    <xf numFmtId="0" fontId="0" fillId="0" borderId="0" xfId="0" applyFill="1" applyAlignment="1">
      <alignment vertical="center"/>
    </xf>
    <xf numFmtId="0" fontId="4" fillId="0" borderId="7" xfId="0" applyFont="1" applyFill="1" applyBorder="1" applyAlignment="1">
      <alignment horizontal="left" vertical="center" indent="1"/>
    </xf>
    <xf numFmtId="0" fontId="16" fillId="0" borderId="0" xfId="0" applyFont="1" applyFill="1" applyBorder="1" applyAlignment="1">
      <alignment horizontal="center" vertical="center"/>
    </xf>
    <xf numFmtId="0" fontId="16" fillId="0" borderId="8" xfId="0" applyFont="1" applyFill="1" applyBorder="1" applyAlignment="1">
      <alignment horizontal="center" vertical="center"/>
    </xf>
    <xf numFmtId="9" fontId="7" fillId="0" borderId="8" xfId="3" applyFont="1" applyBorder="1" applyAlignment="1">
      <alignment vertical="center"/>
    </xf>
    <xf numFmtId="9" fontId="7" fillId="0" borderId="9" xfId="3" applyFont="1" applyBorder="1" applyAlignment="1">
      <alignment vertical="center"/>
    </xf>
    <xf numFmtId="0" fontId="12" fillId="0" borderId="0" xfId="0" applyFont="1" applyAlignment="1">
      <alignment vertical="center"/>
    </xf>
    <xf numFmtId="9" fontId="6" fillId="0" borderId="8" xfId="3" applyFont="1" applyBorder="1" applyAlignment="1">
      <alignment vertical="center"/>
    </xf>
    <xf numFmtId="9" fontId="6" fillId="0" borderId="9" xfId="3" applyFont="1" applyBorder="1" applyAlignment="1">
      <alignment vertical="center"/>
    </xf>
    <xf numFmtId="0" fontId="7" fillId="0" borderId="8" xfId="0" applyFont="1" applyBorder="1" applyAlignment="1">
      <alignment vertical="center"/>
    </xf>
    <xf numFmtId="0" fontId="6" fillId="0" borderId="9" xfId="0" applyFont="1" applyBorder="1" applyAlignment="1">
      <alignment vertical="center"/>
    </xf>
    <xf numFmtId="0" fontId="6" fillId="0" borderId="8" xfId="0" applyFont="1" applyBorder="1" applyAlignment="1">
      <alignment vertical="center"/>
    </xf>
    <xf numFmtId="165" fontId="6" fillId="0" borderId="8" xfId="3" applyNumberFormat="1" applyFont="1" applyBorder="1" applyAlignment="1">
      <alignment vertical="center"/>
    </xf>
    <xf numFmtId="165" fontId="6" fillId="0" borderId="9" xfId="3" applyNumberFormat="1" applyFont="1" applyBorder="1" applyAlignment="1">
      <alignment vertical="center"/>
    </xf>
    <xf numFmtId="0" fontId="16" fillId="3" borderId="0" xfId="0" applyFont="1" applyFill="1" applyBorder="1" applyAlignment="1">
      <alignment horizontal="center" vertical="center"/>
    </xf>
    <xf numFmtId="0" fontId="16" fillId="0" borderId="8" xfId="0" applyFont="1" applyBorder="1" applyAlignment="1">
      <alignment horizontal="center" vertical="center"/>
    </xf>
    <xf numFmtId="0" fontId="4" fillId="0" borderId="7" xfId="0" applyFont="1" applyBorder="1" applyAlignment="1">
      <alignment horizontal="left" vertical="center" inden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3" borderId="8" xfId="0" applyFont="1" applyFill="1" applyBorder="1" applyAlignment="1">
      <alignment horizontal="center" vertical="center"/>
    </xf>
    <xf numFmtId="0" fontId="16" fillId="2" borderId="4" xfId="0" applyFont="1" applyFill="1" applyBorder="1" applyAlignment="1">
      <alignment horizontal="right" vertical="center"/>
    </xf>
    <xf numFmtId="0" fontId="17" fillId="0" borderId="0" xfId="0" applyFont="1" applyFill="1" applyBorder="1" applyAlignment="1">
      <alignment horizontal="center" vertical="center"/>
    </xf>
    <xf numFmtId="0" fontId="17" fillId="0" borderId="0" xfId="0" applyFont="1" applyAlignment="1">
      <alignment horizontal="center" vertical="center"/>
    </xf>
    <xf numFmtId="0" fontId="3" fillId="2" borderId="11" xfId="0" applyFont="1" applyFill="1" applyBorder="1" applyAlignment="1">
      <alignment horizontal="left" vertical="center" indent="1"/>
    </xf>
    <xf numFmtId="0" fontId="16" fillId="2" borderId="12" xfId="0" applyFont="1" applyFill="1" applyBorder="1" applyAlignment="1">
      <alignment horizontal="center" vertical="center"/>
    </xf>
    <xf numFmtId="0" fontId="1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165" fontId="6" fillId="0" borderId="16" xfId="0" applyNumberFormat="1" applyFont="1" applyBorder="1" applyAlignment="1">
      <alignment vertical="center"/>
    </xf>
    <xf numFmtId="165" fontId="6" fillId="0" borderId="17" xfId="0" applyNumberFormat="1" applyFont="1" applyBorder="1" applyAlignment="1">
      <alignment vertical="center"/>
    </xf>
    <xf numFmtId="0" fontId="16" fillId="2" borderId="4"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9" xfId="0" applyFont="1" applyFill="1" applyBorder="1" applyAlignment="1">
      <alignment horizontal="center" vertical="center"/>
    </xf>
    <xf numFmtId="0" fontId="16" fillId="0" borderId="1" xfId="0" applyFont="1" applyFill="1" applyBorder="1" applyAlignment="1">
      <alignment horizontal="center" vertical="center"/>
    </xf>
    <xf numFmtId="0" fontId="0" fillId="0" borderId="20" xfId="0" applyBorder="1" applyAlignment="1">
      <alignment vertical="center"/>
    </xf>
    <xf numFmtId="0" fontId="0" fillId="0" borderId="21" xfId="0" applyBorder="1" applyAlignment="1">
      <alignment vertical="center"/>
    </xf>
    <xf numFmtId="0" fontId="5" fillId="0" borderId="0" xfId="0" applyFont="1" applyBorder="1"/>
    <xf numFmtId="0" fontId="0" fillId="0" borderId="0" xfId="0" applyBorder="1"/>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horizontal="left" indent="2"/>
    </xf>
    <xf numFmtId="0" fontId="0" fillId="4" borderId="24" xfId="0" applyFill="1" applyBorder="1" applyAlignment="1">
      <alignment horizontal="left" indent="2"/>
    </xf>
    <xf numFmtId="0" fontId="5" fillId="4" borderId="24" xfId="0" applyFont="1" applyFill="1" applyBorder="1" applyAlignment="1">
      <alignment horizontal="left" indent="2"/>
    </xf>
    <xf numFmtId="0" fontId="5" fillId="0" borderId="24" xfId="0" applyFont="1" applyBorder="1" applyAlignment="1">
      <alignment horizontal="left" vertical="center" indent="2"/>
    </xf>
    <xf numFmtId="0" fontId="5" fillId="0" borderId="25" xfId="0" applyFont="1" applyBorder="1" applyAlignment="1">
      <alignment horizontal="left" vertical="center" indent="2"/>
    </xf>
    <xf numFmtId="0" fontId="5" fillId="0" borderId="0" xfId="0" applyFont="1" applyBorder="1" applyAlignment="1">
      <alignment horizontal="left" vertical="center" indent="2"/>
    </xf>
    <xf numFmtId="0" fontId="0" fillId="0" borderId="0" xfId="0" applyAlignment="1">
      <alignment horizontal="left" indent="2"/>
    </xf>
    <xf numFmtId="0" fontId="4" fillId="0" borderId="24" xfId="0" applyFont="1" applyBorder="1" applyAlignment="1">
      <alignment horizontal="left"/>
    </xf>
    <xf numFmtId="0" fontId="16" fillId="5" borderId="26" xfId="0" applyFont="1" applyFill="1" applyBorder="1" applyAlignment="1">
      <alignment horizontal="center" vertical="center"/>
    </xf>
    <xf numFmtId="0" fontId="16" fillId="5" borderId="27" xfId="0" applyFont="1" applyFill="1" applyBorder="1" applyAlignment="1">
      <alignment horizontal="left" vertical="center"/>
    </xf>
    <xf numFmtId="0" fontId="16" fillId="5" borderId="10" xfId="0" applyFont="1" applyFill="1" applyBorder="1" applyAlignment="1">
      <alignment vertical="center"/>
    </xf>
    <xf numFmtId="0" fontId="10" fillId="0" borderId="0" xfId="0" applyFont="1" applyFill="1" applyBorder="1" applyAlignment="1">
      <alignment horizontal="left" vertical="center" indent="1"/>
    </xf>
    <xf numFmtId="0" fontId="3" fillId="2" borderId="28" xfId="0" applyFont="1" applyFill="1" applyBorder="1" applyAlignment="1">
      <alignment horizontal="left" vertical="center" indent="1"/>
    </xf>
    <xf numFmtId="0" fontId="21" fillId="2" borderId="18" xfId="0" applyFont="1" applyFill="1" applyBorder="1" applyAlignment="1">
      <alignment horizontal="center" vertical="center" wrapText="1"/>
    </xf>
    <xf numFmtId="0" fontId="5" fillId="0" borderId="7" xfId="0" applyFont="1" applyFill="1" applyBorder="1" applyAlignment="1">
      <alignment horizontal="left" vertical="center" indent="2"/>
    </xf>
    <xf numFmtId="0" fontId="5" fillId="3" borderId="7" xfId="0" applyFont="1" applyFill="1" applyBorder="1" applyAlignment="1">
      <alignment horizontal="left" vertical="center" indent="2"/>
    </xf>
    <xf numFmtId="0" fontId="23" fillId="0" borderId="0" xfId="0" applyFont="1"/>
    <xf numFmtId="0" fontId="23" fillId="0" borderId="0" xfId="0" applyFont="1" applyBorder="1"/>
    <xf numFmtId="0" fontId="0" fillId="4" borderId="1" xfId="0" applyFill="1" applyBorder="1" applyAlignment="1">
      <alignment horizontal="left" indent="2"/>
    </xf>
    <xf numFmtId="0" fontId="18" fillId="0" borderId="0" xfId="0" applyFont="1" applyAlignment="1">
      <alignment horizontal="left" indent="1"/>
    </xf>
    <xf numFmtId="0" fontId="0" fillId="0" borderId="0" xfId="0" applyAlignment="1">
      <alignment horizontal="left" indent="1"/>
    </xf>
    <xf numFmtId="0" fontId="18" fillId="0" borderId="0" xfId="0" applyFont="1" applyAlignment="1">
      <alignment horizontal="left" indent="4"/>
    </xf>
    <xf numFmtId="0" fontId="10" fillId="0" borderId="0" xfId="0" applyFont="1" applyFill="1" applyBorder="1" applyAlignment="1">
      <alignment horizontal="left" vertical="center" indent="5"/>
    </xf>
    <xf numFmtId="0" fontId="0" fillId="0" borderId="29" xfId="0" applyBorder="1" applyAlignment="1">
      <alignment vertical="center"/>
    </xf>
    <xf numFmtId="0" fontId="0" fillId="0" borderId="30" xfId="0" applyBorder="1" applyAlignment="1">
      <alignment vertical="center"/>
    </xf>
    <xf numFmtId="0" fontId="0" fillId="3" borderId="0" xfId="0" applyFill="1" applyBorder="1" applyAlignment="1">
      <alignment vertical="center"/>
    </xf>
    <xf numFmtId="0" fontId="5" fillId="3" borderId="24" xfId="0" applyFont="1" applyFill="1" applyBorder="1" applyAlignment="1">
      <alignment horizontal="left" vertical="center"/>
    </xf>
    <xf numFmtId="0" fontId="5" fillId="3" borderId="0" xfId="0" applyFont="1" applyFill="1" applyBorder="1" applyAlignment="1">
      <alignment horizontal="left" vertical="center"/>
    </xf>
    <xf numFmtId="0" fontId="27" fillId="0" borderId="0" xfId="0" applyFont="1"/>
    <xf numFmtId="0" fontId="0" fillId="2" borderId="31" xfId="0" applyFill="1" applyBorder="1" applyAlignment="1">
      <alignment horizontal="left" indent="2"/>
    </xf>
    <xf numFmtId="0" fontId="0" fillId="2" borderId="32" xfId="0" applyFill="1" applyBorder="1"/>
    <xf numFmtId="0" fontId="0" fillId="2" borderId="33" xfId="0" applyFill="1" applyBorder="1"/>
    <xf numFmtId="0" fontId="0" fillId="2" borderId="24" xfId="0" applyFill="1" applyBorder="1" applyAlignment="1">
      <alignment horizontal="left" indent="2"/>
    </xf>
    <xf numFmtId="0" fontId="0" fillId="2" borderId="0" xfId="0" applyFill="1" applyBorder="1"/>
    <xf numFmtId="0" fontId="23" fillId="2" borderId="8" xfId="0" applyFont="1" applyFill="1" applyBorder="1"/>
    <xf numFmtId="0" fontId="0" fillId="2" borderId="8" xfId="0" applyFill="1" applyBorder="1"/>
    <xf numFmtId="0" fontId="8" fillId="5" borderId="34" xfId="0" applyFont="1" applyFill="1" applyBorder="1" applyAlignment="1">
      <alignment horizontal="left" vertical="center" indent="7"/>
    </xf>
    <xf numFmtId="0" fontId="4" fillId="0" borderId="0" xfId="0" applyFont="1" applyAlignment="1">
      <alignment horizontal="left" vertical="center" indent="1"/>
    </xf>
    <xf numFmtId="0" fontId="28" fillId="0" borderId="0" xfId="0" applyFont="1" applyAlignment="1">
      <alignment horizontal="left"/>
    </xf>
    <xf numFmtId="0" fontId="19" fillId="5" borderId="35" xfId="0" applyFont="1" applyFill="1" applyBorder="1" applyAlignment="1">
      <alignment horizontal="center" vertical="center"/>
    </xf>
    <xf numFmtId="0" fontId="5" fillId="0" borderId="24" xfId="0" applyFont="1" applyBorder="1" applyAlignment="1">
      <alignment horizontal="left" indent="2"/>
    </xf>
    <xf numFmtId="0" fontId="5" fillId="4" borderId="36" xfId="0" applyFont="1" applyFill="1" applyBorder="1" applyAlignment="1">
      <alignment horizontal="left" indent="2"/>
    </xf>
    <xf numFmtId="0" fontId="23" fillId="0" borderId="0" xfId="0" applyFont="1" applyAlignment="1">
      <alignment vertical="center"/>
    </xf>
    <xf numFmtId="0" fontId="5" fillId="0" borderId="7" xfId="0" applyFont="1" applyFill="1" applyBorder="1" applyAlignment="1">
      <alignment horizontal="left" vertical="center" indent="1"/>
    </xf>
    <xf numFmtId="0" fontId="5" fillId="0" borderId="7" xfId="0" applyFont="1" applyBorder="1" applyAlignment="1">
      <alignment horizontal="left" vertical="center" indent="2"/>
    </xf>
    <xf numFmtId="0" fontId="5" fillId="0" borderId="38" xfId="0" applyFont="1" applyBorder="1" applyAlignment="1">
      <alignment horizontal="left" vertical="center" indent="2"/>
    </xf>
    <xf numFmtId="0" fontId="16" fillId="0" borderId="39" xfId="0" applyFont="1" applyBorder="1" applyAlignment="1">
      <alignment horizontal="center" vertical="center"/>
    </xf>
    <xf numFmtId="0" fontId="0" fillId="0" borderId="0" xfId="0" applyBorder="1" applyAlignment="1">
      <alignment vertical="center"/>
    </xf>
    <xf numFmtId="0" fontId="5" fillId="3" borderId="30" xfId="0" applyFont="1" applyFill="1" applyBorder="1" applyAlignment="1">
      <alignment horizontal="left" vertical="center"/>
    </xf>
    <xf numFmtId="0" fontId="27" fillId="0" borderId="0" xfId="0" applyFont="1" applyFill="1" applyBorder="1"/>
    <xf numFmtId="0" fontId="27" fillId="0" borderId="24" xfId="0" applyFont="1" applyBorder="1" applyAlignment="1">
      <alignment horizontal="center"/>
    </xf>
    <xf numFmtId="0" fontId="27" fillId="0" borderId="0" xfId="0" applyFont="1" applyBorder="1" applyAlignment="1">
      <alignment horizontal="center"/>
    </xf>
    <xf numFmtId="0" fontId="3" fillId="5" borderId="1" xfId="0" applyFont="1" applyFill="1" applyBorder="1" applyAlignment="1">
      <alignment horizontal="center" vertical="center"/>
    </xf>
    <xf numFmtId="0" fontId="3" fillId="5" borderId="40" xfId="0" applyFont="1" applyFill="1" applyBorder="1" applyAlignment="1">
      <alignment horizontal="center" vertical="center"/>
    </xf>
    <xf numFmtId="0" fontId="4" fillId="3" borderId="7" xfId="0" applyFont="1" applyFill="1" applyBorder="1" applyAlignment="1">
      <alignment horizontal="left" vertical="center" indent="1"/>
    </xf>
    <xf numFmtId="0" fontId="5" fillId="3" borderId="7" xfId="0" applyFont="1" applyFill="1" applyBorder="1" applyAlignment="1">
      <alignment horizontal="left" vertical="center" indent="1"/>
    </xf>
    <xf numFmtId="0" fontId="5" fillId="3" borderId="7" xfId="0" applyFont="1" applyFill="1" applyBorder="1" applyAlignment="1">
      <alignment horizontal="left" vertical="center" indent="4"/>
    </xf>
    <xf numFmtId="0" fontId="5" fillId="3" borderId="38" xfId="0" applyFont="1" applyFill="1" applyBorder="1" applyAlignment="1">
      <alignment horizontal="left" vertical="center" indent="2"/>
    </xf>
    <xf numFmtId="0" fontId="16" fillId="0" borderId="39" xfId="0" applyFont="1" applyFill="1" applyBorder="1" applyAlignment="1">
      <alignment horizontal="center" vertical="center"/>
    </xf>
    <xf numFmtId="0" fontId="16" fillId="0" borderId="42" xfId="0" applyFont="1" applyFill="1" applyBorder="1" applyAlignment="1">
      <alignment horizontal="center" vertical="center"/>
    </xf>
    <xf numFmtId="3" fontId="5" fillId="0" borderId="22" xfId="0" applyNumberFormat="1" applyFont="1" applyBorder="1" applyAlignment="1">
      <alignment horizontal="right" vertical="center"/>
    </xf>
    <xf numFmtId="3" fontId="5" fillId="0" borderId="0" xfId="0" applyNumberFormat="1" applyFont="1" applyBorder="1" applyAlignment="1">
      <alignment horizontal="right" vertical="center"/>
    </xf>
    <xf numFmtId="3" fontId="5" fillId="0" borderId="43" xfId="0" applyNumberFormat="1" applyFont="1" applyBorder="1" applyAlignment="1">
      <alignment horizontal="right" vertical="center"/>
    </xf>
    <xf numFmtId="0" fontId="19" fillId="5" borderId="44" xfId="0" applyFont="1" applyFill="1" applyBorder="1" applyAlignment="1">
      <alignment horizontal="center" vertical="center" wrapText="1"/>
    </xf>
    <xf numFmtId="3" fontId="0" fillId="0" borderId="24" xfId="0" applyNumberFormat="1" applyBorder="1" applyAlignment="1">
      <alignment horizontal="right"/>
    </xf>
    <xf numFmtId="4" fontId="0" fillId="0" borderId="24" xfId="0" applyNumberFormat="1" applyBorder="1" applyAlignment="1">
      <alignment horizontal="right"/>
    </xf>
    <xf numFmtId="4" fontId="0" fillId="0" borderId="0" xfId="0" applyNumberFormat="1" applyBorder="1" applyAlignment="1">
      <alignment horizontal="right"/>
    </xf>
    <xf numFmtId="4" fontId="0" fillId="0" borderId="8" xfId="0" applyNumberFormat="1" applyBorder="1" applyAlignment="1">
      <alignment horizontal="right"/>
    </xf>
    <xf numFmtId="4" fontId="0" fillId="0" borderId="22" xfId="0" applyNumberFormat="1" applyBorder="1" applyAlignment="1">
      <alignment horizontal="right"/>
    </xf>
    <xf numFmtId="4" fontId="0" fillId="0" borderId="45" xfId="0" applyNumberFormat="1" applyBorder="1" applyAlignment="1">
      <alignment horizontal="right"/>
    </xf>
    <xf numFmtId="4" fontId="0" fillId="0" borderId="0" xfId="0" applyNumberFormat="1" applyFill="1" applyBorder="1" applyAlignment="1">
      <alignment horizontal="right"/>
    </xf>
    <xf numFmtId="3" fontId="5" fillId="0" borderId="45" xfId="2" applyNumberFormat="1" applyFont="1" applyBorder="1" applyAlignment="1">
      <alignment horizontal="right" vertical="center"/>
    </xf>
    <xf numFmtId="3" fontId="5" fillId="0" borderId="46" xfId="2" applyNumberFormat="1" applyFont="1" applyBorder="1" applyAlignment="1">
      <alignment horizontal="right" vertical="center"/>
    </xf>
    <xf numFmtId="3" fontId="5" fillId="0" borderId="0" xfId="2" applyNumberFormat="1" applyFont="1" applyBorder="1" applyAlignment="1">
      <alignment horizontal="right" vertical="center"/>
    </xf>
    <xf numFmtId="3" fontId="0" fillId="0" borderId="0" xfId="0" applyNumberFormat="1" applyAlignment="1">
      <alignment horizontal="right"/>
    </xf>
    <xf numFmtId="3" fontId="0" fillId="2" borderId="31" xfId="0" applyNumberFormat="1" applyFill="1" applyBorder="1" applyAlignment="1">
      <alignment horizontal="center"/>
    </xf>
    <xf numFmtId="3" fontId="0" fillId="2" borderId="32" xfId="0" applyNumberFormat="1" applyFill="1" applyBorder="1" applyAlignment="1">
      <alignment horizontal="center"/>
    </xf>
    <xf numFmtId="3" fontId="0" fillId="2" borderId="33" xfId="0" applyNumberFormat="1" applyFill="1" applyBorder="1" applyAlignment="1">
      <alignment horizontal="center"/>
    </xf>
    <xf numFmtId="3" fontId="0" fillId="2" borderId="47" xfId="0" applyNumberFormat="1" applyFill="1" applyBorder="1" applyAlignment="1">
      <alignment horizontal="center"/>
    </xf>
    <xf numFmtId="3" fontId="0" fillId="2" borderId="48" xfId="0" applyNumberFormat="1" applyFill="1" applyBorder="1" applyAlignment="1">
      <alignment horizontal="center"/>
    </xf>
    <xf numFmtId="3" fontId="0" fillId="2" borderId="24" xfId="0" applyNumberFormat="1" applyFill="1" applyBorder="1" applyAlignment="1">
      <alignment horizontal="center"/>
    </xf>
    <xf numFmtId="3" fontId="0" fillId="2" borderId="0" xfId="0" applyNumberFormat="1" applyFill="1" applyBorder="1" applyAlignment="1">
      <alignment horizontal="center"/>
    </xf>
    <xf numFmtId="3" fontId="0" fillId="2" borderId="8" xfId="0" applyNumberFormat="1" applyFill="1" applyBorder="1" applyAlignment="1">
      <alignment horizontal="center"/>
    </xf>
    <xf numFmtId="3" fontId="0" fillId="2" borderId="22" xfId="0" applyNumberFormat="1" applyFill="1" applyBorder="1" applyAlignment="1">
      <alignment horizontal="center"/>
    </xf>
    <xf numFmtId="3" fontId="0" fillId="2" borderId="45" xfId="0" applyNumberFormat="1" applyFill="1" applyBorder="1" applyAlignment="1">
      <alignment horizontal="center"/>
    </xf>
    <xf numFmtId="3" fontId="0" fillId="0" borderId="0" xfId="0" applyNumberFormat="1" applyBorder="1" applyAlignment="1">
      <alignment horizontal="right"/>
    </xf>
    <xf numFmtId="3" fontId="0" fillId="0" borderId="8" xfId="0" applyNumberFormat="1" applyBorder="1" applyAlignment="1">
      <alignment horizontal="right"/>
    </xf>
    <xf numFmtId="3" fontId="0" fillId="0" borderId="22" xfId="0" applyNumberFormat="1" applyBorder="1" applyAlignment="1">
      <alignment horizontal="right"/>
    </xf>
    <xf numFmtId="3" fontId="0" fillId="0" borderId="45" xfId="0" applyNumberFormat="1" applyBorder="1" applyAlignment="1">
      <alignment horizontal="right"/>
    </xf>
    <xf numFmtId="3" fontId="0" fillId="0" borderId="0" xfId="0" applyNumberFormat="1" applyFill="1" applyBorder="1" applyAlignment="1">
      <alignment horizontal="right"/>
    </xf>
    <xf numFmtId="3" fontId="0" fillId="4" borderId="24" xfId="0" applyNumberFormat="1" applyFill="1" applyBorder="1" applyAlignment="1">
      <alignment horizontal="right"/>
    </xf>
    <xf numFmtId="3" fontId="0" fillId="4" borderId="0" xfId="0" applyNumberFormat="1" applyFill="1" applyBorder="1" applyAlignment="1">
      <alignment horizontal="right"/>
    </xf>
    <xf numFmtId="3" fontId="0" fillId="4" borderId="8" xfId="0" applyNumberFormat="1" applyFill="1" applyBorder="1" applyAlignment="1">
      <alignment horizontal="right"/>
    </xf>
    <xf numFmtId="3" fontId="0" fillId="3" borderId="24" xfId="0" applyNumberFormat="1" applyFill="1" applyBorder="1" applyAlignment="1">
      <alignment horizontal="right"/>
    </xf>
    <xf numFmtId="3" fontId="0" fillId="3" borderId="0" xfId="0" applyNumberFormat="1" applyFill="1" applyBorder="1" applyAlignment="1">
      <alignment horizontal="right"/>
    </xf>
    <xf numFmtId="3" fontId="0" fillId="3" borderId="22" xfId="0" applyNumberFormat="1" applyFill="1" applyBorder="1" applyAlignment="1">
      <alignment horizontal="right"/>
    </xf>
    <xf numFmtId="3" fontId="0" fillId="4" borderId="22" xfId="0" applyNumberFormat="1" applyFill="1" applyBorder="1" applyAlignment="1">
      <alignment horizontal="right"/>
    </xf>
    <xf numFmtId="3" fontId="0" fillId="4" borderId="45" xfId="0" applyNumberFormat="1" applyFill="1" applyBorder="1" applyAlignment="1">
      <alignment horizontal="right"/>
    </xf>
    <xf numFmtId="3" fontId="0" fillId="3" borderId="8" xfId="0" applyNumberFormat="1" applyFill="1" applyBorder="1" applyAlignment="1">
      <alignment horizontal="right"/>
    </xf>
    <xf numFmtId="3" fontId="0" fillId="0" borderId="0" xfId="0" applyNumberFormat="1" applyAlignment="1">
      <alignment horizontal="right" wrapText="1"/>
    </xf>
    <xf numFmtId="3" fontId="0" fillId="0" borderId="8" xfId="0" applyNumberFormat="1" applyBorder="1" applyAlignment="1">
      <alignment horizontal="right" wrapText="1"/>
    </xf>
    <xf numFmtId="3" fontId="0" fillId="0" borderId="22" xfId="0" applyNumberFormat="1" applyBorder="1" applyAlignment="1">
      <alignment horizontal="right" wrapText="1"/>
    </xf>
    <xf numFmtId="3" fontId="5" fillId="0" borderId="24" xfId="0" applyNumberFormat="1" applyFont="1" applyBorder="1" applyAlignment="1">
      <alignment horizontal="right"/>
    </xf>
    <xf numFmtId="3" fontId="5" fillId="0" borderId="0" xfId="0" applyNumberFormat="1" applyFont="1" applyBorder="1" applyAlignment="1">
      <alignment horizontal="right"/>
    </xf>
    <xf numFmtId="3" fontId="5" fillId="0" borderId="8" xfId="0" applyNumberFormat="1" applyFont="1" applyBorder="1" applyAlignment="1">
      <alignment horizontal="right"/>
    </xf>
    <xf numFmtId="3" fontId="5" fillId="0" borderId="24" xfId="0" applyNumberFormat="1" applyFont="1" applyBorder="1" applyAlignment="1">
      <alignment horizontal="right" vertical="center"/>
    </xf>
    <xf numFmtId="3" fontId="5" fillId="0" borderId="8" xfId="0" applyNumberFormat="1" applyFont="1" applyBorder="1" applyAlignment="1">
      <alignment horizontal="right" vertical="center"/>
    </xf>
    <xf numFmtId="3" fontId="5" fillId="0" borderId="0" xfId="0" applyNumberFormat="1" applyFont="1" applyFill="1" applyBorder="1" applyAlignment="1">
      <alignment horizontal="right" vertical="center"/>
    </xf>
    <xf numFmtId="3" fontId="5" fillId="0" borderId="25" xfId="0" applyNumberFormat="1" applyFont="1" applyBorder="1" applyAlignment="1">
      <alignment horizontal="right"/>
    </xf>
    <xf numFmtId="3" fontId="5" fillId="0" borderId="1" xfId="0" applyNumberFormat="1" applyFont="1" applyBorder="1" applyAlignment="1">
      <alignment horizontal="right"/>
    </xf>
    <xf numFmtId="3" fontId="5" fillId="0" borderId="10" xfId="0" applyNumberFormat="1" applyFont="1" applyBorder="1" applyAlignment="1">
      <alignment horizontal="right"/>
    </xf>
    <xf numFmtId="3" fontId="5" fillId="0" borderId="25" xfId="0" applyNumberFormat="1" applyFont="1" applyBorder="1" applyAlignment="1">
      <alignment horizontal="right" vertical="center"/>
    </xf>
    <xf numFmtId="3" fontId="5" fillId="0" borderId="1" xfId="0" applyNumberFormat="1" applyFont="1" applyBorder="1" applyAlignment="1">
      <alignment horizontal="right" vertical="center"/>
    </xf>
    <xf numFmtId="3" fontId="5" fillId="0" borderId="10" xfId="0" applyNumberFormat="1" applyFont="1" applyBorder="1" applyAlignment="1">
      <alignment horizontal="right" vertical="center"/>
    </xf>
    <xf numFmtId="3" fontId="5" fillId="0" borderId="1" xfId="0" applyNumberFormat="1" applyFont="1" applyFill="1" applyBorder="1" applyAlignment="1">
      <alignment horizontal="right" vertical="center"/>
    </xf>
    <xf numFmtId="167" fontId="0" fillId="4" borderId="24" xfId="0" applyNumberFormat="1" applyFill="1" applyBorder="1" applyAlignment="1">
      <alignment horizontal="right"/>
    </xf>
    <xf numFmtId="167" fontId="0" fillId="4" borderId="0" xfId="0" applyNumberFormat="1" applyFill="1" applyBorder="1" applyAlignment="1">
      <alignment horizontal="right"/>
    </xf>
    <xf numFmtId="167" fontId="0" fillId="4" borderId="8" xfId="0" applyNumberFormat="1" applyFill="1" applyBorder="1" applyAlignment="1">
      <alignment horizontal="right"/>
    </xf>
    <xf numFmtId="167" fontId="0" fillId="0" borderId="24" xfId="0" applyNumberFormat="1" applyBorder="1" applyAlignment="1">
      <alignment horizontal="right"/>
    </xf>
    <xf numFmtId="167" fontId="0" fillId="0" borderId="0" xfId="0" applyNumberFormat="1" applyBorder="1" applyAlignment="1">
      <alignment horizontal="right"/>
    </xf>
    <xf numFmtId="167" fontId="0" fillId="0" borderId="22" xfId="0" applyNumberFormat="1" applyBorder="1" applyAlignment="1">
      <alignment horizontal="right"/>
    </xf>
    <xf numFmtId="167" fontId="0" fillId="0" borderId="0" xfId="0" applyNumberFormat="1" applyFill="1" applyBorder="1" applyAlignment="1">
      <alignment horizontal="right"/>
    </xf>
    <xf numFmtId="167" fontId="0" fillId="0" borderId="8" xfId="0" applyNumberFormat="1" applyBorder="1" applyAlignment="1">
      <alignment horizontal="right"/>
    </xf>
    <xf numFmtId="167" fontId="0" fillId="0" borderId="45" xfId="0" applyNumberFormat="1" applyBorder="1" applyAlignment="1">
      <alignment horizontal="right"/>
    </xf>
    <xf numFmtId="167" fontId="0" fillId="4" borderId="22" xfId="0" applyNumberFormat="1" applyFill="1" applyBorder="1" applyAlignment="1">
      <alignment horizontal="right"/>
    </xf>
    <xf numFmtId="167" fontId="0" fillId="4" borderId="45" xfId="0" applyNumberFormat="1" applyFill="1" applyBorder="1" applyAlignment="1">
      <alignment horizontal="right"/>
    </xf>
    <xf numFmtId="167" fontId="0" fillId="3" borderId="24" xfId="0" applyNumberFormat="1" applyFill="1" applyBorder="1" applyAlignment="1">
      <alignment horizontal="right"/>
    </xf>
    <xf numFmtId="167" fontId="0" fillId="3" borderId="0" xfId="0" applyNumberFormat="1" applyFill="1" applyBorder="1" applyAlignment="1">
      <alignment horizontal="right"/>
    </xf>
    <xf numFmtId="167" fontId="0" fillId="3" borderId="22" xfId="0" applyNumberFormat="1" applyFill="1" applyBorder="1" applyAlignment="1">
      <alignment horizontal="right"/>
    </xf>
    <xf numFmtId="167" fontId="0" fillId="4" borderId="36" xfId="0" applyNumberFormat="1" applyFill="1" applyBorder="1" applyAlignment="1">
      <alignment horizontal="right"/>
    </xf>
    <xf numFmtId="167" fontId="0" fillId="4" borderId="49" xfId="0" applyNumberFormat="1" applyFill="1" applyBorder="1" applyAlignment="1">
      <alignment horizontal="right"/>
    </xf>
    <xf numFmtId="167" fontId="0" fillId="4" borderId="50" xfId="0" applyNumberFormat="1" applyFill="1" applyBorder="1" applyAlignment="1">
      <alignment horizontal="right"/>
    </xf>
    <xf numFmtId="167" fontId="0" fillId="3" borderId="36" xfId="0" applyNumberFormat="1" applyFill="1" applyBorder="1" applyAlignment="1">
      <alignment horizontal="right"/>
    </xf>
    <xf numFmtId="167" fontId="0" fillId="3" borderId="49" xfId="0" applyNumberFormat="1" applyFill="1" applyBorder="1" applyAlignment="1">
      <alignment horizontal="right"/>
    </xf>
    <xf numFmtId="167" fontId="0" fillId="3" borderId="23" xfId="0" applyNumberFormat="1" applyFill="1" applyBorder="1" applyAlignment="1">
      <alignment horizontal="right"/>
    </xf>
    <xf numFmtId="167" fontId="0" fillId="4" borderId="23" xfId="0" applyNumberFormat="1" applyFill="1" applyBorder="1" applyAlignment="1">
      <alignment horizontal="right"/>
    </xf>
    <xf numFmtId="167" fontId="0" fillId="4" borderId="51" xfId="0" applyNumberFormat="1" applyFill="1" applyBorder="1" applyAlignment="1">
      <alignment horizontal="right"/>
    </xf>
    <xf numFmtId="167" fontId="0" fillId="0" borderId="45" xfId="0" applyNumberFormat="1" applyBorder="1" applyAlignment="1">
      <alignment horizontal="right" wrapText="1"/>
    </xf>
    <xf numFmtId="4" fontId="0" fillId="4" borderId="0" xfId="0" applyNumberFormat="1" applyFill="1" applyBorder="1" applyAlignment="1">
      <alignment horizontal="right"/>
    </xf>
    <xf numFmtId="4" fontId="0" fillId="4" borderId="8" xfId="0" applyNumberFormat="1" applyFill="1" applyBorder="1" applyAlignment="1">
      <alignment horizontal="right"/>
    </xf>
    <xf numFmtId="3" fontId="27" fillId="0" borderId="0" xfId="0" applyNumberFormat="1" applyFont="1" applyBorder="1" applyAlignment="1">
      <alignment horizontal="center"/>
    </xf>
    <xf numFmtId="3" fontId="27" fillId="0" borderId="8" xfId="0" applyNumberFormat="1" applyFont="1" applyBorder="1" applyAlignment="1">
      <alignment horizontal="center"/>
    </xf>
    <xf numFmtId="3" fontId="27" fillId="0" borderId="22" xfId="0" applyNumberFormat="1" applyFont="1" applyBorder="1" applyAlignment="1">
      <alignment horizontal="center"/>
    </xf>
    <xf numFmtId="3" fontId="27" fillId="0" borderId="45" xfId="0" applyNumberFormat="1" applyFont="1" applyBorder="1" applyAlignment="1">
      <alignment horizontal="center"/>
    </xf>
    <xf numFmtId="0" fontId="5" fillId="3" borderId="24" xfId="0" applyFont="1" applyFill="1" applyBorder="1" applyAlignment="1">
      <alignment horizontal="left" indent="2"/>
    </xf>
    <xf numFmtId="3" fontId="5" fillId="4" borderId="24" xfId="0" applyNumberFormat="1" applyFont="1" applyFill="1" applyBorder="1" applyAlignment="1">
      <alignment horizontal="left" indent="2"/>
    </xf>
    <xf numFmtId="0" fontId="0" fillId="0" borderId="0" xfId="0" applyAlignment="1">
      <alignment horizontal="center"/>
    </xf>
    <xf numFmtId="0" fontId="0" fillId="2" borderId="32" xfId="0" applyFill="1" applyBorder="1" applyAlignment="1">
      <alignment horizontal="center"/>
    </xf>
    <xf numFmtId="0" fontId="0" fillId="2" borderId="0" xfId="0" applyFill="1" applyBorder="1" applyAlignment="1">
      <alignment horizontal="center"/>
    </xf>
    <xf numFmtId="0" fontId="0" fillId="0" borderId="0" xfId="0" applyBorder="1" applyAlignment="1">
      <alignment horizontal="center"/>
    </xf>
    <xf numFmtId="0" fontId="5" fillId="4" borderId="0" xfId="0" applyFont="1" applyFill="1" applyBorder="1" applyAlignment="1">
      <alignment horizontal="center"/>
    </xf>
    <xf numFmtId="0" fontId="5" fillId="0" borderId="0" xfId="0" applyFont="1" applyBorder="1" applyAlignment="1">
      <alignment horizontal="center"/>
    </xf>
    <xf numFmtId="0" fontId="0" fillId="4" borderId="0" xfId="0" applyFill="1" applyBorder="1" applyAlignment="1">
      <alignment horizontal="center"/>
    </xf>
    <xf numFmtId="0" fontId="5" fillId="0" borderId="0" xfId="0" applyFont="1" applyAlignment="1">
      <alignment horizontal="center"/>
    </xf>
    <xf numFmtId="0" fontId="5" fillId="0" borderId="1" xfId="0" applyFont="1" applyBorder="1" applyAlignment="1">
      <alignment horizontal="center"/>
    </xf>
    <xf numFmtId="169" fontId="4" fillId="0" borderId="37" xfId="2" applyNumberFormat="1" applyFont="1" applyBorder="1" applyAlignment="1">
      <alignment horizontal="right" vertical="center"/>
    </xf>
    <xf numFmtId="169" fontId="5" fillId="0" borderId="37" xfId="2" applyNumberFormat="1" applyFont="1" applyBorder="1" applyAlignment="1">
      <alignment horizontal="right" vertical="center"/>
    </xf>
    <xf numFmtId="169" fontId="5" fillId="0" borderId="22" xfId="2" applyNumberFormat="1" applyFont="1" applyBorder="1" applyAlignment="1">
      <alignment horizontal="right" vertical="center"/>
    </xf>
    <xf numFmtId="170" fontId="4" fillId="0" borderId="37" xfId="2" applyNumberFormat="1" applyFont="1" applyBorder="1" applyAlignment="1">
      <alignment horizontal="right" vertical="center"/>
    </xf>
    <xf numFmtId="170" fontId="4" fillId="0" borderId="22" xfId="2" applyNumberFormat="1" applyFont="1" applyBorder="1" applyAlignment="1">
      <alignment horizontal="right" vertical="center"/>
    </xf>
    <xf numFmtId="170" fontId="5" fillId="0" borderId="37" xfId="2" applyNumberFormat="1" applyFont="1" applyBorder="1" applyAlignment="1">
      <alignment horizontal="right" vertical="center"/>
    </xf>
    <xf numFmtId="170" fontId="5" fillId="0" borderId="22" xfId="2" applyNumberFormat="1" applyFont="1" applyBorder="1" applyAlignment="1">
      <alignment horizontal="right" vertical="center"/>
    </xf>
    <xf numFmtId="169" fontId="4" fillId="0" borderId="22" xfId="2" applyNumberFormat="1" applyFont="1" applyFill="1" applyBorder="1" applyAlignment="1">
      <alignment horizontal="right" vertical="center"/>
    </xf>
    <xf numFmtId="169" fontId="5" fillId="0" borderId="22" xfId="2" applyNumberFormat="1" applyFont="1" applyFill="1" applyBorder="1" applyAlignment="1">
      <alignment horizontal="right" vertical="center"/>
    </xf>
    <xf numFmtId="169" fontId="5" fillId="0" borderId="40" xfId="2" applyNumberFormat="1" applyFont="1" applyBorder="1" applyAlignment="1">
      <alignment horizontal="right" vertical="center"/>
    </xf>
    <xf numFmtId="170" fontId="4" fillId="0" borderId="22" xfId="2" applyNumberFormat="1" applyFont="1" applyFill="1" applyBorder="1" applyAlignment="1">
      <alignment horizontal="right" vertical="center"/>
    </xf>
    <xf numFmtId="170" fontId="5" fillId="0" borderId="22" xfId="2" applyNumberFormat="1" applyFont="1" applyFill="1" applyBorder="1" applyAlignment="1">
      <alignment horizontal="right" vertical="center"/>
    </xf>
    <xf numFmtId="170" fontId="5" fillId="0" borderId="40" xfId="2" applyNumberFormat="1" applyFont="1" applyBorder="1" applyAlignment="1">
      <alignment horizontal="right" vertical="center"/>
    </xf>
    <xf numFmtId="170" fontId="5" fillId="0" borderId="43" xfId="2" applyNumberFormat="1" applyFont="1" applyBorder="1" applyAlignment="1">
      <alignment horizontal="right" vertical="center"/>
    </xf>
    <xf numFmtId="169" fontId="5" fillId="3" borderId="37" xfId="2" applyNumberFormat="1" applyFont="1" applyFill="1" applyBorder="1" applyAlignment="1">
      <alignment horizontal="right" vertical="center"/>
    </xf>
    <xf numFmtId="169" fontId="5" fillId="3" borderId="52" xfId="2" applyNumberFormat="1" applyFont="1" applyFill="1" applyBorder="1" applyAlignment="1">
      <alignment horizontal="right" vertical="center"/>
    </xf>
    <xf numFmtId="169" fontId="5" fillId="0" borderId="53" xfId="2" applyNumberFormat="1" applyFont="1" applyBorder="1" applyAlignment="1">
      <alignment horizontal="right" vertical="center"/>
    </xf>
    <xf numFmtId="170" fontId="5" fillId="3" borderId="22" xfId="2" applyNumberFormat="1" applyFont="1" applyFill="1" applyBorder="1" applyAlignment="1">
      <alignment horizontal="right" vertical="center"/>
    </xf>
    <xf numFmtId="170" fontId="5" fillId="0" borderId="37" xfId="2" applyNumberFormat="1" applyFont="1" applyFill="1" applyBorder="1" applyAlignment="1">
      <alignment horizontal="right" vertical="center"/>
    </xf>
    <xf numFmtId="170" fontId="5" fillId="0" borderId="40" xfId="2" applyNumberFormat="1" applyFont="1" applyFill="1" applyBorder="1" applyAlignment="1">
      <alignment horizontal="right" vertical="center"/>
    </xf>
    <xf numFmtId="170" fontId="5" fillId="0" borderId="54" xfId="2" applyNumberFormat="1" applyFont="1" applyFill="1" applyBorder="1" applyAlignment="1">
      <alignment horizontal="right" vertical="center"/>
    </xf>
    <xf numFmtId="170" fontId="5" fillId="0" borderId="54" xfId="2" applyNumberFormat="1" applyFont="1" applyBorder="1" applyAlignment="1">
      <alignment horizontal="right" vertical="center"/>
    </xf>
    <xf numFmtId="164" fontId="5" fillId="0" borderId="37" xfId="2" applyNumberFormat="1" applyFont="1" applyBorder="1" applyAlignment="1">
      <alignment horizontal="right" vertical="center"/>
    </xf>
    <xf numFmtId="164" fontId="5" fillId="0" borderId="54" xfId="2" applyNumberFormat="1" applyFont="1" applyBorder="1" applyAlignment="1">
      <alignment horizontal="right" vertical="center"/>
    </xf>
    <xf numFmtId="170" fontId="5" fillId="0" borderId="55" xfId="2" applyNumberFormat="1" applyFont="1" applyBorder="1" applyAlignment="1">
      <alignment horizontal="right" vertical="center"/>
    </xf>
    <xf numFmtId="1" fontId="0" fillId="2" borderId="24" xfId="0" applyNumberFormat="1" applyFill="1" applyBorder="1" applyAlignment="1">
      <alignment horizontal="center"/>
    </xf>
    <xf numFmtId="1" fontId="0" fillId="2" borderId="0" xfId="0" applyNumberFormat="1" applyFill="1" applyBorder="1" applyAlignment="1">
      <alignment horizontal="center"/>
    </xf>
    <xf numFmtId="1" fontId="0" fillId="2" borderId="22" xfId="0" applyNumberFormat="1" applyFill="1" applyBorder="1" applyAlignment="1">
      <alignment horizontal="center"/>
    </xf>
    <xf numFmtId="1" fontId="0" fillId="2" borderId="8" xfId="0" applyNumberFormat="1" applyFill="1" applyBorder="1" applyAlignment="1">
      <alignment horizontal="center"/>
    </xf>
    <xf numFmtId="0" fontId="5" fillId="5" borderId="24" xfId="0" applyFont="1" applyFill="1" applyBorder="1" applyAlignment="1">
      <alignment horizontal="left" indent="2"/>
    </xf>
    <xf numFmtId="0" fontId="5" fillId="0" borderId="24" xfId="0" applyFont="1" applyFill="1" applyBorder="1" applyAlignment="1">
      <alignment horizontal="left" vertical="center" indent="2"/>
    </xf>
    <xf numFmtId="0" fontId="5" fillId="0" borderId="24" xfId="0" applyFont="1" applyFill="1" applyBorder="1" applyAlignment="1">
      <alignment horizontal="left" indent="2"/>
    </xf>
    <xf numFmtId="1" fontId="0" fillId="0" borderId="0" xfId="0" applyNumberFormat="1" applyBorder="1" applyAlignment="1">
      <alignment horizontal="right"/>
    </xf>
    <xf numFmtId="1" fontId="0" fillId="0" borderId="22"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0" fontId="4" fillId="0" borderId="24" xfId="0" applyFont="1" applyFill="1" applyBorder="1" applyAlignment="1">
      <alignment horizontal="left"/>
    </xf>
    <xf numFmtId="3" fontId="0" fillId="5" borderId="0" xfId="0" applyNumberFormat="1" applyFill="1" applyBorder="1" applyAlignment="1">
      <alignment horizontal="right"/>
    </xf>
    <xf numFmtId="3" fontId="0" fillId="5" borderId="22" xfId="0" applyNumberFormat="1" applyFill="1" applyBorder="1" applyAlignment="1">
      <alignment horizontal="right"/>
    </xf>
    <xf numFmtId="3" fontId="0" fillId="5" borderId="8" xfId="0" applyNumberFormat="1" applyFill="1" applyBorder="1" applyAlignment="1">
      <alignment horizontal="right"/>
    </xf>
    <xf numFmtId="3" fontId="0" fillId="5" borderId="0" xfId="0" applyNumberFormat="1" applyFill="1" applyAlignment="1">
      <alignment horizontal="right"/>
    </xf>
    <xf numFmtId="3" fontId="0" fillId="5" borderId="45" xfId="0" applyNumberFormat="1" applyFill="1" applyBorder="1" applyAlignment="1">
      <alignment horizontal="right"/>
    </xf>
    <xf numFmtId="1" fontId="5" fillId="4" borderId="0" xfId="0" applyNumberFormat="1" applyFont="1" applyFill="1" applyBorder="1" applyAlignment="1">
      <alignment horizontal="center"/>
    </xf>
    <xf numFmtId="167" fontId="0" fillId="0" borderId="22" xfId="0" applyNumberFormat="1" applyFill="1" applyBorder="1" applyAlignment="1">
      <alignment horizontal="right"/>
    </xf>
    <xf numFmtId="167" fontId="5" fillId="0" borderId="0" xfId="0" applyNumberFormat="1" applyFont="1" applyBorder="1" applyAlignment="1">
      <alignment horizontal="right" vertical="center"/>
    </xf>
    <xf numFmtId="0" fontId="5" fillId="0" borderId="0" xfId="0" applyFont="1" applyFill="1" applyBorder="1" applyAlignment="1">
      <alignment horizontal="center"/>
    </xf>
    <xf numFmtId="0" fontId="5" fillId="0" borderId="49" xfId="0" applyFont="1" applyFill="1" applyBorder="1" applyAlignment="1">
      <alignment horizontal="center"/>
    </xf>
    <xf numFmtId="0" fontId="5" fillId="0" borderId="8" xfId="0" applyFont="1" applyFill="1" applyBorder="1"/>
    <xf numFmtId="0" fontId="5" fillId="0" borderId="50" xfId="0" applyFont="1" applyFill="1" applyBorder="1"/>
    <xf numFmtId="14" fontId="23" fillId="0" borderId="8" xfId="0" applyNumberFormat="1" applyFont="1" applyFill="1" applyBorder="1"/>
    <xf numFmtId="14" fontId="23" fillId="0" borderId="50" xfId="0" applyNumberFormat="1" applyFont="1" applyFill="1" applyBorder="1"/>
    <xf numFmtId="3" fontId="0" fillId="0" borderId="45" xfId="0" applyNumberFormat="1" applyFill="1" applyBorder="1" applyAlignment="1">
      <alignment horizontal="right"/>
    </xf>
    <xf numFmtId="0" fontId="5" fillId="0" borderId="0" xfId="0" applyFont="1" applyFill="1" applyBorder="1"/>
    <xf numFmtId="0" fontId="0" fillId="0" borderId="0" xfId="0" applyFill="1" applyBorder="1"/>
    <xf numFmtId="0" fontId="0" fillId="0" borderId="0" xfId="0" applyFill="1" applyBorder="1" applyAlignment="1">
      <alignment horizontal="center"/>
    </xf>
    <xf numFmtId="0" fontId="5" fillId="0" borderId="49" xfId="0" applyFont="1" applyFill="1" applyBorder="1"/>
    <xf numFmtId="0" fontId="27" fillId="0" borderId="0" xfId="0" applyFont="1" applyFill="1" applyBorder="1" applyAlignment="1">
      <alignment horizontal="center"/>
    </xf>
    <xf numFmtId="0" fontId="27" fillId="0" borderId="45" xfId="0" applyFont="1" applyFill="1" applyBorder="1" applyAlignment="1">
      <alignment horizontal="center"/>
    </xf>
    <xf numFmtId="0" fontId="5" fillId="0" borderId="1" xfId="0" applyFont="1" applyFill="1" applyBorder="1"/>
    <xf numFmtId="0" fontId="5" fillId="0" borderId="0" xfId="0" applyFont="1" applyFill="1" applyAlignment="1">
      <alignment horizontal="center"/>
    </xf>
    <xf numFmtId="0" fontId="27" fillId="0" borderId="8" xfId="0" applyFont="1" applyFill="1" applyBorder="1" applyAlignment="1">
      <alignment horizontal="center"/>
    </xf>
    <xf numFmtId="0" fontId="0" fillId="0" borderId="8" xfId="0" applyFill="1" applyBorder="1"/>
    <xf numFmtId="0" fontId="23" fillId="0" borderId="8" xfId="0" applyFont="1" applyFill="1" applyBorder="1"/>
    <xf numFmtId="0" fontId="24" fillId="0" borderId="8" xfId="0" applyFont="1" applyFill="1" applyBorder="1"/>
    <xf numFmtId="3" fontId="5" fillId="0" borderId="8" xfId="0" applyNumberFormat="1" applyFont="1" applyFill="1" applyBorder="1"/>
    <xf numFmtId="3" fontId="24" fillId="0" borderId="8" xfId="0" applyNumberFormat="1" applyFont="1" applyFill="1" applyBorder="1"/>
    <xf numFmtId="14" fontId="24" fillId="0" borderId="8" xfId="0" applyNumberFormat="1" applyFont="1" applyFill="1" applyBorder="1"/>
    <xf numFmtId="0" fontId="5" fillId="0" borderId="10" xfId="0" applyFont="1" applyFill="1" applyBorder="1"/>
    <xf numFmtId="0" fontId="23" fillId="0" borderId="10" xfId="0" applyFont="1" applyFill="1" applyBorder="1"/>
    <xf numFmtId="3" fontId="5" fillId="0" borderId="0" xfId="0" applyNumberFormat="1" applyFont="1" applyFill="1" applyBorder="1" applyAlignment="1">
      <alignment horizontal="center"/>
    </xf>
    <xf numFmtId="0" fontId="23" fillId="2" borderId="48" xfId="0" applyFont="1" applyFill="1" applyBorder="1" applyAlignment="1">
      <alignment horizontal="center"/>
    </xf>
    <xf numFmtId="14" fontId="24" fillId="0" borderId="45" xfId="0" applyNumberFormat="1" applyFont="1" applyFill="1" applyBorder="1"/>
    <xf numFmtId="167" fontId="0" fillId="0" borderId="49" xfId="0" applyNumberFormat="1" applyFill="1" applyBorder="1" applyAlignment="1">
      <alignment horizontal="right"/>
    </xf>
    <xf numFmtId="3" fontId="0" fillId="0" borderId="0" xfId="0" applyNumberFormat="1" applyFill="1" applyAlignment="1">
      <alignment horizontal="right" wrapText="1"/>
    </xf>
    <xf numFmtId="3" fontId="5" fillId="0" borderId="0" xfId="0" applyNumberFormat="1" applyFont="1" applyFill="1" applyBorder="1" applyAlignment="1">
      <alignment horizontal="right"/>
    </xf>
    <xf numFmtId="3" fontId="5" fillId="0" borderId="1" xfId="0" applyNumberFormat="1" applyFont="1" applyFill="1" applyBorder="1" applyAlignment="1">
      <alignment horizontal="right"/>
    </xf>
    <xf numFmtId="0" fontId="23" fillId="2" borderId="33" xfId="0" applyFont="1" applyFill="1" applyBorder="1" applyAlignment="1">
      <alignment horizontal="center"/>
    </xf>
    <xf numFmtId="0" fontId="4" fillId="0" borderId="31" xfId="0" applyFont="1" applyBorder="1" applyAlignment="1">
      <alignment horizontal="left"/>
    </xf>
    <xf numFmtId="0" fontId="0" fillId="0" borderId="3" xfId="0" applyBorder="1" applyAlignment="1">
      <alignment horizontal="center"/>
    </xf>
    <xf numFmtId="0" fontId="0" fillId="0" borderId="4" xfId="0" applyBorder="1" applyAlignment="1">
      <alignment horizontal="center"/>
    </xf>
    <xf numFmtId="0" fontId="25" fillId="0" borderId="56" xfId="0" applyFont="1" applyBorder="1" applyAlignment="1">
      <alignment horizontal="center"/>
    </xf>
    <xf numFmtId="0" fontId="25" fillId="0" borderId="57" xfId="0" applyFont="1" applyBorder="1" applyAlignment="1">
      <alignment horizontal="center"/>
    </xf>
    <xf numFmtId="0" fontId="25" fillId="0" borderId="58" xfId="0" applyFont="1" applyBorder="1" applyAlignment="1">
      <alignment horizontal="center"/>
    </xf>
    <xf numFmtId="0" fontId="25" fillId="0" borderId="5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10" fillId="0" borderId="0" xfId="0" applyFont="1" applyFill="1" applyBorder="1" applyAlignment="1">
      <alignment horizontal="left" vertical="center" wrapText="1" indent="1"/>
    </xf>
    <xf numFmtId="0" fontId="23" fillId="0" borderId="0" xfId="0" applyFont="1" applyAlignment="1">
      <alignment horizontal="left" indent="1"/>
    </xf>
    <xf numFmtId="0" fontId="23" fillId="0" borderId="0" xfId="0" applyFont="1" applyAlignment="1">
      <alignment horizontal="left" indent="5"/>
    </xf>
    <xf numFmtId="0" fontId="23" fillId="0" borderId="0" xfId="0" applyFont="1" applyAlignment="1">
      <alignment horizontal="left" vertical="center" indent="2"/>
    </xf>
    <xf numFmtId="3" fontId="0" fillId="0" borderId="22" xfId="0" applyNumberFormat="1" applyFill="1" applyBorder="1" applyAlignment="1">
      <alignment horizontal="right"/>
    </xf>
    <xf numFmtId="3" fontId="0" fillId="0" borderId="8" xfId="0" applyNumberFormat="1" applyFill="1" applyBorder="1" applyAlignment="1">
      <alignment horizontal="right"/>
    </xf>
    <xf numFmtId="3" fontId="5" fillId="0" borderId="22" xfId="0" applyNumberFormat="1" applyFont="1" applyFill="1" applyBorder="1" applyAlignment="1">
      <alignment horizontal="right"/>
    </xf>
    <xf numFmtId="3" fontId="5" fillId="0" borderId="8" xfId="0" applyNumberFormat="1" applyFont="1" applyFill="1" applyBorder="1" applyAlignment="1">
      <alignment horizontal="right"/>
    </xf>
    <xf numFmtId="3" fontId="5" fillId="0" borderId="45" xfId="0" applyNumberFormat="1" applyFont="1" applyFill="1" applyBorder="1" applyAlignment="1">
      <alignment horizontal="right"/>
    </xf>
    <xf numFmtId="3" fontId="0" fillId="0" borderId="24" xfId="0" applyNumberFormat="1" applyFill="1" applyBorder="1" applyAlignment="1">
      <alignment horizontal="right"/>
    </xf>
    <xf numFmtId="167" fontId="0" fillId="0" borderId="0" xfId="0" applyNumberFormat="1" applyAlignment="1">
      <alignment horizontal="right"/>
    </xf>
    <xf numFmtId="3" fontId="22" fillId="0" borderId="24" xfId="0" applyNumberFormat="1" applyFont="1" applyBorder="1" applyAlignment="1">
      <alignment horizontal="right"/>
    </xf>
    <xf numFmtId="3" fontId="22" fillId="0" borderId="0" xfId="0" applyNumberFormat="1" applyFont="1" applyBorder="1" applyAlignment="1">
      <alignment horizontal="right"/>
    </xf>
    <xf numFmtId="3" fontId="22" fillId="0" borderId="8" xfId="0" applyNumberFormat="1" applyFont="1" applyBorder="1" applyAlignment="1">
      <alignment horizontal="right"/>
    </xf>
    <xf numFmtId="9" fontId="7" fillId="3" borderId="8" xfId="3" applyFont="1" applyFill="1" applyBorder="1" applyAlignment="1">
      <alignment vertical="center"/>
    </xf>
    <xf numFmtId="9" fontId="6" fillId="3" borderId="8" xfId="3" applyFont="1" applyFill="1" applyBorder="1" applyAlignment="1">
      <alignment vertical="center"/>
    </xf>
    <xf numFmtId="165" fontId="6" fillId="0" borderId="60" xfId="0" applyNumberFormat="1" applyFont="1" applyBorder="1" applyAlignment="1">
      <alignment vertical="center"/>
    </xf>
    <xf numFmtId="165" fontId="6" fillId="0" borderId="44" xfId="0" applyNumberFormat="1" applyFont="1" applyBorder="1" applyAlignment="1">
      <alignment vertical="center"/>
    </xf>
    <xf numFmtId="0" fontId="16" fillId="3" borderId="61" xfId="0" applyFont="1" applyFill="1" applyBorder="1" applyAlignment="1">
      <alignment horizontal="center" vertical="center"/>
    </xf>
    <xf numFmtId="165" fontId="6" fillId="0" borderId="39" xfId="3" applyNumberFormat="1" applyFont="1" applyBorder="1" applyAlignment="1">
      <alignment vertical="center"/>
    </xf>
    <xf numFmtId="165" fontId="6" fillId="0" borderId="62" xfId="3" applyNumberFormat="1" applyFont="1" applyBorder="1" applyAlignment="1">
      <alignment vertical="center"/>
    </xf>
    <xf numFmtId="165" fontId="6" fillId="3" borderId="8" xfId="3" applyNumberFormat="1" applyFont="1" applyFill="1" applyBorder="1" applyAlignment="1">
      <alignment horizontal="right" vertical="center"/>
    </xf>
    <xf numFmtId="0" fontId="16" fillId="3" borderId="1" xfId="0" applyFont="1" applyFill="1" applyBorder="1" applyAlignment="1">
      <alignment horizontal="center" vertical="center"/>
    </xf>
    <xf numFmtId="0" fontId="16" fillId="0" borderId="10" xfId="0" applyFont="1" applyFill="1" applyBorder="1" applyAlignment="1">
      <alignment horizontal="center" vertical="center"/>
    </xf>
    <xf numFmtId="165" fontId="6" fillId="3" borderId="10" xfId="3" applyNumberFormat="1" applyFont="1" applyFill="1" applyBorder="1" applyAlignment="1">
      <alignment horizontal="right" vertical="center"/>
    </xf>
    <xf numFmtId="165" fontId="6" fillId="0" borderId="10" xfId="3" applyNumberFormat="1" applyFont="1" applyBorder="1" applyAlignment="1">
      <alignment vertical="center"/>
    </xf>
    <xf numFmtId="167" fontId="5" fillId="0" borderId="45" xfId="0" applyNumberFormat="1" applyFont="1" applyBorder="1" applyAlignment="1">
      <alignment horizontal="right"/>
    </xf>
    <xf numFmtId="3" fontId="5" fillId="0" borderId="45" xfId="0" applyNumberFormat="1" applyFont="1" applyBorder="1" applyAlignment="1">
      <alignment horizontal="right"/>
    </xf>
    <xf numFmtId="0" fontId="5" fillId="6" borderId="0" xfId="0" applyFont="1" applyFill="1" applyBorder="1" applyAlignment="1">
      <alignment horizontal="center"/>
    </xf>
    <xf numFmtId="0" fontId="23" fillId="0" borderId="0" xfId="0" applyFont="1" applyBorder="1" applyAlignment="1">
      <alignment horizontal="center"/>
    </xf>
    <xf numFmtId="3" fontId="23" fillId="0" borderId="0" xfId="0" applyNumberFormat="1" applyFont="1" applyBorder="1" applyAlignment="1">
      <alignment horizontal="right"/>
    </xf>
    <xf numFmtId="3" fontId="23" fillId="0" borderId="0" xfId="0" applyNumberFormat="1" applyFont="1" applyFill="1" applyBorder="1" applyAlignment="1">
      <alignment horizontal="right"/>
    </xf>
    <xf numFmtId="0" fontId="23" fillId="3" borderId="0" xfId="0" applyFont="1" applyFill="1" applyBorder="1" applyAlignment="1">
      <alignment horizontal="center"/>
    </xf>
    <xf numFmtId="171" fontId="23" fillId="0" borderId="0" xfId="0" applyNumberFormat="1" applyFont="1" applyFill="1" applyBorder="1" applyAlignment="1">
      <alignment horizontal="right"/>
    </xf>
    <xf numFmtId="0" fontId="31" fillId="0" borderId="0" xfId="0" applyFont="1" applyBorder="1"/>
    <xf numFmtId="0" fontId="23" fillId="0" borderId="0" xfId="0" applyFont="1" applyBorder="1" applyAlignment="1">
      <alignment horizontal="left" indent="2"/>
    </xf>
    <xf numFmtId="0" fontId="23" fillId="0" borderId="0" xfId="0" applyFont="1" applyFill="1" applyBorder="1"/>
    <xf numFmtId="14" fontId="23" fillId="0" borderId="0" xfId="0" applyNumberFormat="1" applyFont="1" applyFill="1" applyBorder="1"/>
    <xf numFmtId="0" fontId="23" fillId="3" borderId="0" xfId="0" applyFont="1" applyFill="1" applyBorder="1" applyAlignment="1">
      <alignment horizontal="left" indent="2"/>
    </xf>
    <xf numFmtId="14" fontId="23" fillId="0" borderId="0" xfId="0" applyNumberFormat="1" applyFont="1" applyBorder="1"/>
    <xf numFmtId="3" fontId="23" fillId="0" borderId="0" xfId="0" applyNumberFormat="1" applyFont="1" applyBorder="1" applyAlignment="1">
      <alignment horizontal="right" vertical="center"/>
    </xf>
    <xf numFmtId="0" fontId="23" fillId="0" borderId="0" xfId="0" applyFont="1" applyFill="1" applyBorder="1" applyAlignment="1">
      <alignment horizontal="left" indent="2"/>
    </xf>
    <xf numFmtId="0" fontId="25" fillId="0" borderId="56" xfId="0" applyFont="1" applyFill="1" applyBorder="1" applyAlignment="1">
      <alignment horizontal="center"/>
    </xf>
    <xf numFmtId="0" fontId="25" fillId="0" borderId="58" xfId="0" applyFont="1" applyFill="1" applyBorder="1" applyAlignment="1">
      <alignment horizontal="center"/>
    </xf>
    <xf numFmtId="0" fontId="25" fillId="0" borderId="3" xfId="0" applyFont="1" applyFill="1" applyBorder="1" applyAlignment="1">
      <alignment horizontal="center"/>
    </xf>
    <xf numFmtId="0" fontId="25" fillId="0" borderId="63" xfId="0" applyFont="1" applyBorder="1" applyAlignment="1">
      <alignment horizontal="center"/>
    </xf>
    <xf numFmtId="0" fontId="25" fillId="0" borderId="64" xfId="0" applyFont="1" applyBorder="1" applyAlignment="1">
      <alignment horizontal="center"/>
    </xf>
    <xf numFmtId="0" fontId="25" fillId="0" borderId="42" xfId="0" applyFont="1" applyBorder="1" applyAlignment="1">
      <alignment horizontal="center"/>
    </xf>
    <xf numFmtId="0" fontId="11" fillId="0" borderId="0" xfId="1" applyAlignment="1" applyProtection="1">
      <alignment horizontal="right" vertical="center"/>
    </xf>
    <xf numFmtId="4" fontId="0" fillId="7" borderId="0" xfId="0" applyNumberFormat="1" applyFill="1" applyBorder="1" applyAlignment="1">
      <alignment horizontal="right"/>
    </xf>
    <xf numFmtId="0" fontId="6" fillId="0" borderId="10" xfId="0" applyFont="1" applyBorder="1" applyAlignment="1">
      <alignment vertical="center"/>
    </xf>
    <xf numFmtId="0" fontId="6" fillId="0" borderId="65" xfId="0" applyFont="1" applyBorder="1" applyAlignment="1">
      <alignment vertical="center"/>
    </xf>
    <xf numFmtId="0" fontId="16" fillId="0" borderId="61" xfId="0" applyFont="1" applyBorder="1" applyAlignment="1">
      <alignment horizontal="center" vertical="center"/>
    </xf>
    <xf numFmtId="0" fontId="6" fillId="0" borderId="39" xfId="0" applyFont="1" applyBorder="1" applyAlignment="1">
      <alignment vertical="center"/>
    </xf>
    <xf numFmtId="0" fontId="6" fillId="0" borderId="62" xfId="0" applyFont="1" applyBorder="1" applyAlignment="1">
      <alignment vertical="center"/>
    </xf>
    <xf numFmtId="165" fontId="6" fillId="3" borderId="16" xfId="0" applyNumberFormat="1" applyFont="1" applyFill="1" applyBorder="1" applyAlignment="1">
      <alignment vertical="center"/>
    </xf>
    <xf numFmtId="165" fontId="6" fillId="0" borderId="66" xfId="0" applyNumberFormat="1" applyFont="1" applyBorder="1" applyAlignment="1">
      <alignment vertical="center"/>
    </xf>
    <xf numFmtId="165" fontId="6" fillId="3" borderId="9" xfId="3" applyNumberFormat="1" applyFont="1" applyFill="1" applyBorder="1" applyAlignment="1">
      <alignment vertical="center"/>
    </xf>
    <xf numFmtId="0" fontId="16" fillId="0" borderId="64" xfId="0" applyFont="1" applyFill="1" applyBorder="1" applyAlignment="1">
      <alignment horizontal="center" vertical="center"/>
    </xf>
    <xf numFmtId="165" fontId="6" fillId="0" borderId="42" xfId="3" applyNumberFormat="1" applyFont="1" applyBorder="1" applyAlignment="1">
      <alignment vertical="center"/>
    </xf>
    <xf numFmtId="165" fontId="6" fillId="0" borderId="67" xfId="3" applyNumberFormat="1" applyFont="1" applyBorder="1" applyAlignment="1">
      <alignment vertical="center"/>
    </xf>
    <xf numFmtId="3" fontId="5" fillId="0" borderId="0" xfId="0" applyNumberFormat="1" applyFont="1" applyAlignment="1">
      <alignment vertical="center"/>
    </xf>
    <xf numFmtId="0" fontId="5" fillId="0" borderId="0" xfId="0" applyFont="1" applyAlignment="1">
      <alignment vertical="center"/>
    </xf>
    <xf numFmtId="167" fontId="33" fillId="0" borderId="24" xfId="0" applyNumberFormat="1" applyFont="1" applyBorder="1" applyAlignment="1">
      <alignment horizontal="right"/>
    </xf>
    <xf numFmtId="167" fontId="33" fillId="0" borderId="0" xfId="0" applyNumberFormat="1" applyFont="1" applyFill="1" applyBorder="1" applyAlignment="1">
      <alignment horizontal="right"/>
    </xf>
    <xf numFmtId="167" fontId="33" fillId="0" borderId="8" xfId="0" applyNumberFormat="1" applyFont="1" applyBorder="1" applyAlignment="1">
      <alignment horizontal="right"/>
    </xf>
    <xf numFmtId="167" fontId="33" fillId="0" borderId="0" xfId="0" applyNumberFormat="1" applyFont="1" applyBorder="1" applyAlignment="1">
      <alignment horizontal="right"/>
    </xf>
    <xf numFmtId="167" fontId="33" fillId="0" borderId="22" xfId="0" applyNumberFormat="1" applyFont="1" applyBorder="1" applyAlignment="1">
      <alignment horizontal="right"/>
    </xf>
    <xf numFmtId="167" fontId="33" fillId="0" borderId="45" xfId="0" applyNumberFormat="1" applyFont="1" applyBorder="1" applyAlignment="1">
      <alignment horizontal="right"/>
    </xf>
    <xf numFmtId="167" fontId="33" fillId="0" borderId="45" xfId="0" applyNumberFormat="1" applyFont="1" applyBorder="1" applyAlignment="1">
      <alignment horizontal="right" wrapText="1"/>
    </xf>
    <xf numFmtId="0" fontId="33" fillId="4" borderId="0" xfId="0" applyFont="1" applyFill="1" applyBorder="1" applyAlignment="1">
      <alignment horizontal="center"/>
    </xf>
    <xf numFmtId="3" fontId="33" fillId="0" borderId="0" xfId="0" applyNumberFormat="1" applyFont="1" applyAlignment="1">
      <alignment horizontal="right" wrapText="1"/>
    </xf>
    <xf numFmtId="3" fontId="33" fillId="0" borderId="8" xfId="0" applyNumberFormat="1" applyFont="1" applyBorder="1" applyAlignment="1">
      <alignment horizontal="right" wrapText="1"/>
    </xf>
    <xf numFmtId="3" fontId="33" fillId="0" borderId="24" xfId="0" applyNumberFormat="1" applyFont="1" applyBorder="1" applyAlignment="1">
      <alignment horizontal="right"/>
    </xf>
    <xf numFmtId="3" fontId="33" fillId="0" borderId="0" xfId="0" applyNumberFormat="1" applyFont="1" applyBorder="1" applyAlignment="1">
      <alignment horizontal="right"/>
    </xf>
    <xf numFmtId="3" fontId="33" fillId="4" borderId="0" xfId="0" applyNumberFormat="1" applyFont="1" applyFill="1" applyBorder="1" applyAlignment="1">
      <alignment horizontal="right"/>
    </xf>
    <xf numFmtId="3" fontId="33" fillId="0" borderId="22" xfId="0" applyNumberFormat="1" applyFont="1" applyBorder="1" applyAlignment="1">
      <alignment horizontal="right"/>
    </xf>
    <xf numFmtId="3" fontId="33" fillId="4" borderId="8" xfId="0" applyNumberFormat="1" applyFont="1" applyFill="1" applyBorder="1" applyAlignment="1">
      <alignment horizontal="right"/>
    </xf>
    <xf numFmtId="3" fontId="33" fillId="0" borderId="22" xfId="0" applyNumberFormat="1" applyFont="1" applyBorder="1" applyAlignment="1">
      <alignment horizontal="right" wrapText="1"/>
    </xf>
    <xf numFmtId="3" fontId="33" fillId="0" borderId="45" xfId="0" applyNumberFormat="1" applyFont="1" applyBorder="1" applyAlignment="1">
      <alignment horizontal="right"/>
    </xf>
    <xf numFmtId="3" fontId="33" fillId="0" borderId="8" xfId="0" applyNumberFormat="1" applyFont="1" applyBorder="1" applyAlignment="1">
      <alignment horizontal="right"/>
    </xf>
    <xf numFmtId="0" fontId="33" fillId="0" borderId="0" xfId="0" applyFont="1" applyBorder="1" applyAlignment="1">
      <alignment horizontal="center"/>
    </xf>
    <xf numFmtId="3" fontId="33" fillId="0" borderId="0" xfId="0" applyNumberFormat="1" applyFont="1" applyBorder="1" applyAlignment="1">
      <alignment horizontal="right" vertical="center"/>
    </xf>
    <xf numFmtId="3" fontId="33" fillId="0" borderId="22" xfId="0" applyNumberFormat="1" applyFont="1" applyBorder="1" applyAlignment="1">
      <alignment horizontal="right" vertical="center"/>
    </xf>
    <xf numFmtId="3" fontId="33" fillId="0" borderId="0" xfId="0" applyNumberFormat="1" applyFont="1" applyFill="1" applyBorder="1" applyAlignment="1">
      <alignment horizontal="right" vertical="center"/>
    </xf>
    <xf numFmtId="3" fontId="33" fillId="0" borderId="8" xfId="0" applyNumberFormat="1" applyFont="1" applyBorder="1" applyAlignment="1">
      <alignment horizontal="right" vertical="center"/>
    </xf>
    <xf numFmtId="3" fontId="33" fillId="0" borderId="45" xfId="2" applyNumberFormat="1" applyFont="1" applyBorder="1" applyAlignment="1">
      <alignment horizontal="right" vertical="center"/>
    </xf>
    <xf numFmtId="3" fontId="33" fillId="0" borderId="0" xfId="2" applyNumberFormat="1" applyFont="1" applyFill="1" applyBorder="1" applyAlignment="1">
      <alignment horizontal="right" vertical="center"/>
    </xf>
    <xf numFmtId="167" fontId="5" fillId="0" borderId="24" xfId="0" applyNumberFormat="1" applyFont="1" applyBorder="1" applyAlignment="1">
      <alignment horizontal="right"/>
    </xf>
    <xf numFmtId="167" fontId="5" fillId="0" borderId="0" xfId="0" applyNumberFormat="1" applyFont="1" applyFill="1" applyBorder="1" applyAlignment="1">
      <alignment horizontal="right"/>
    </xf>
    <xf numFmtId="167" fontId="5" fillId="0" borderId="8" xfId="0" applyNumberFormat="1" applyFont="1" applyBorder="1" applyAlignment="1">
      <alignment horizontal="right"/>
    </xf>
    <xf numFmtId="167" fontId="5" fillId="0" borderId="0" xfId="0" applyNumberFormat="1" applyFont="1" applyBorder="1" applyAlignment="1">
      <alignment horizontal="right"/>
    </xf>
    <xf numFmtId="167" fontId="5" fillId="0" borderId="22" xfId="0" applyNumberFormat="1" applyFont="1" applyBorder="1" applyAlignment="1">
      <alignment horizontal="right"/>
    </xf>
    <xf numFmtId="167" fontId="5" fillId="0" borderId="45" xfId="0" applyNumberFormat="1" applyFont="1" applyBorder="1" applyAlignment="1">
      <alignment horizontal="right" wrapText="1"/>
    </xf>
    <xf numFmtId="0" fontId="5" fillId="9" borderId="0" xfId="0" applyFont="1" applyFill="1" applyBorder="1" applyAlignment="1">
      <alignment horizontal="center"/>
    </xf>
    <xf numFmtId="0" fontId="5" fillId="10" borderId="24" xfId="0" applyFont="1" applyFill="1" applyBorder="1" applyAlignment="1">
      <alignment horizontal="left" indent="2"/>
    </xf>
    <xf numFmtId="167" fontId="0" fillId="10" borderId="24" xfId="0" applyNumberFormat="1" applyFill="1" applyBorder="1" applyAlignment="1">
      <alignment horizontal="right"/>
    </xf>
    <xf numFmtId="167" fontId="0" fillId="10" borderId="0" xfId="0" applyNumberFormat="1" applyFill="1" applyBorder="1" applyAlignment="1">
      <alignment horizontal="right"/>
    </xf>
    <xf numFmtId="167" fontId="0" fillId="10" borderId="8" xfId="0" applyNumberFormat="1" applyFill="1" applyBorder="1" applyAlignment="1">
      <alignment horizontal="right"/>
    </xf>
    <xf numFmtId="0" fontId="0" fillId="11" borderId="0" xfId="0" applyFill="1" applyBorder="1" applyAlignment="1">
      <alignment horizontal="center"/>
    </xf>
    <xf numFmtId="0" fontId="5" fillId="11" borderId="0" xfId="0" applyFont="1" applyFill="1" applyBorder="1" applyAlignment="1">
      <alignment horizontal="center"/>
    </xf>
    <xf numFmtId="0" fontId="0" fillId="11" borderId="0" xfId="0" applyFill="1" applyAlignment="1">
      <alignment horizontal="center"/>
    </xf>
    <xf numFmtId="0" fontId="22" fillId="11" borderId="0" xfId="0" applyFont="1" applyFill="1" applyBorder="1" applyAlignment="1">
      <alignment horizontal="center"/>
    </xf>
    <xf numFmtId="0" fontId="5" fillId="11" borderId="0" xfId="0" applyFont="1" applyFill="1" applyAlignment="1">
      <alignment horizontal="center"/>
    </xf>
    <xf numFmtId="0" fontId="5" fillId="0" borderId="69" xfId="0" applyFont="1" applyFill="1" applyBorder="1" applyAlignment="1">
      <alignment horizontal="left" vertical="center" indent="2"/>
    </xf>
    <xf numFmtId="0" fontId="16" fillId="0" borderId="50" xfId="0" applyFont="1" applyFill="1" applyBorder="1" applyAlignment="1">
      <alignment horizontal="center" vertical="center"/>
    </xf>
    <xf numFmtId="170" fontId="5" fillId="0" borderId="68" xfId="2" applyNumberFormat="1" applyFont="1" applyFill="1" applyBorder="1" applyAlignment="1">
      <alignment horizontal="right" vertical="center"/>
    </xf>
    <xf numFmtId="0" fontId="3" fillId="12" borderId="70" xfId="0" applyFont="1" applyFill="1" applyBorder="1" applyAlignment="1">
      <alignment horizontal="left" vertical="center" indent="1"/>
    </xf>
    <xf numFmtId="0" fontId="16" fillId="12" borderId="33" xfId="0" applyFont="1" applyFill="1" applyBorder="1" applyAlignment="1">
      <alignment vertical="center"/>
    </xf>
    <xf numFmtId="0" fontId="0" fillId="12" borderId="71" xfId="0" applyFill="1" applyBorder="1" applyAlignment="1">
      <alignment vertical="center"/>
    </xf>
    <xf numFmtId="0" fontId="6" fillId="12" borderId="47" xfId="0" applyFont="1" applyFill="1" applyBorder="1" applyAlignment="1">
      <alignment vertical="center"/>
    </xf>
    <xf numFmtId="0" fontId="6" fillId="12" borderId="72" xfId="0" applyFont="1" applyFill="1" applyBorder="1" applyAlignment="1">
      <alignment horizontal="center" vertical="center"/>
    </xf>
    <xf numFmtId="172" fontId="6" fillId="12" borderId="72" xfId="0" applyNumberFormat="1" applyFont="1" applyFill="1" applyBorder="1" applyAlignment="1">
      <alignment horizontal="center" vertical="center"/>
    </xf>
    <xf numFmtId="0" fontId="5" fillId="12" borderId="71" xfId="0" applyFont="1" applyFill="1" applyBorder="1" applyAlignment="1">
      <alignment horizontal="right" vertical="center"/>
    </xf>
    <xf numFmtId="0" fontId="6" fillId="12" borderId="47" xfId="0" applyFont="1" applyFill="1" applyBorder="1" applyAlignment="1">
      <alignment horizontal="right" vertical="center"/>
    </xf>
    <xf numFmtId="172" fontId="6" fillId="12" borderId="72" xfId="0" applyNumberFormat="1" applyFont="1" applyFill="1" applyBorder="1" applyAlignment="1">
      <alignment horizontal="right" vertical="center"/>
    </xf>
    <xf numFmtId="0" fontId="16" fillId="12" borderId="33" xfId="0" applyFont="1" applyFill="1" applyBorder="1" applyAlignment="1">
      <alignment horizontal="right" vertical="center"/>
    </xf>
    <xf numFmtId="0" fontId="3" fillId="12" borderId="34" xfId="0" applyFont="1" applyFill="1" applyBorder="1" applyAlignment="1">
      <alignment horizontal="left" vertical="center" indent="1"/>
    </xf>
    <xf numFmtId="0" fontId="16" fillId="12" borderId="27" xfId="0" applyFont="1" applyFill="1" applyBorder="1" applyAlignment="1">
      <alignment horizontal="center" vertical="center"/>
    </xf>
    <xf numFmtId="0" fontId="5" fillId="12" borderId="73" xfId="0" applyFont="1" applyFill="1" applyBorder="1" applyAlignment="1">
      <alignment horizontal="right" vertical="center"/>
    </xf>
    <xf numFmtId="0" fontId="5" fillId="12" borderId="74" xfId="0" applyFont="1" applyFill="1" applyBorder="1" applyAlignment="1">
      <alignment horizontal="right" vertical="center"/>
    </xf>
    <xf numFmtId="172" fontId="6" fillId="12" borderId="75" xfId="0" applyNumberFormat="1" applyFont="1" applyFill="1" applyBorder="1" applyAlignment="1">
      <alignment horizontal="right" vertical="center"/>
    </xf>
    <xf numFmtId="0" fontId="16" fillId="12" borderId="33" xfId="0" applyFont="1" applyFill="1" applyBorder="1" applyAlignment="1">
      <alignment horizontal="center" vertical="center"/>
    </xf>
    <xf numFmtId="0" fontId="5" fillId="12" borderId="32" xfId="0" applyFont="1" applyFill="1" applyBorder="1" applyAlignment="1">
      <alignment horizontal="right" vertical="center"/>
    </xf>
    <xf numFmtId="172" fontId="6" fillId="12" borderId="76" xfId="0" applyNumberFormat="1" applyFont="1" applyFill="1" applyBorder="1" applyAlignment="1">
      <alignment horizontal="right" vertical="center"/>
    </xf>
    <xf numFmtId="170" fontId="5" fillId="12" borderId="71" xfId="2" applyNumberFormat="1" applyFont="1" applyFill="1" applyBorder="1" applyAlignment="1">
      <alignment horizontal="right" vertical="center"/>
    </xf>
    <xf numFmtId="170" fontId="5" fillId="12" borderId="32" xfId="2" applyNumberFormat="1" applyFont="1" applyFill="1" applyBorder="1" applyAlignment="1">
      <alignment horizontal="right" vertical="center"/>
    </xf>
    <xf numFmtId="170" fontId="10" fillId="12" borderId="77" xfId="2" applyNumberFormat="1" applyFont="1" applyFill="1" applyBorder="1" applyAlignment="1">
      <alignment vertical="center"/>
    </xf>
    <xf numFmtId="0" fontId="10" fillId="12" borderId="77" xfId="0" applyFont="1" applyFill="1" applyBorder="1" applyAlignment="1">
      <alignment vertical="center"/>
    </xf>
    <xf numFmtId="3" fontId="0" fillId="0" borderId="0" xfId="0" applyNumberFormat="1" applyBorder="1"/>
    <xf numFmtId="3" fontId="23" fillId="4" borderId="0" xfId="0" applyNumberFormat="1" applyFont="1" applyFill="1" applyBorder="1" applyAlignment="1">
      <alignment horizontal="right"/>
    </xf>
    <xf numFmtId="9" fontId="5" fillId="0" borderId="9" xfId="3" applyFont="1" applyBorder="1" applyAlignment="1">
      <alignment horizontal="right" vertical="center"/>
    </xf>
    <xf numFmtId="9" fontId="4" fillId="0" borderId="9" xfId="3" applyFont="1" applyBorder="1" applyAlignment="1">
      <alignment horizontal="right" vertical="center"/>
    </xf>
    <xf numFmtId="0" fontId="4" fillId="10" borderId="7" xfId="0" applyFont="1" applyFill="1" applyBorder="1" applyAlignment="1">
      <alignment horizontal="left" vertical="center" indent="1"/>
    </xf>
    <xf numFmtId="0" fontId="16" fillId="10" borderId="8" xfId="0" applyFont="1" applyFill="1" applyBorder="1" applyAlignment="1">
      <alignment horizontal="center" vertical="center"/>
    </xf>
    <xf numFmtId="9" fontId="4" fillId="10" borderId="9" xfId="3" applyFont="1" applyFill="1" applyBorder="1" applyAlignment="1">
      <alignment horizontal="right" vertical="center"/>
    </xf>
    <xf numFmtId="0" fontId="0" fillId="10" borderId="0" xfId="0" applyFill="1" applyAlignment="1">
      <alignment vertical="center"/>
    </xf>
    <xf numFmtId="170" fontId="4" fillId="10" borderId="37" xfId="2" applyNumberFormat="1" applyFont="1" applyFill="1" applyBorder="1" applyAlignment="1">
      <alignment horizontal="right" vertical="center"/>
    </xf>
    <xf numFmtId="170" fontId="4" fillId="10" borderId="22" xfId="2" applyNumberFormat="1" applyFont="1" applyFill="1" applyBorder="1" applyAlignment="1">
      <alignment horizontal="right" vertical="center"/>
    </xf>
    <xf numFmtId="9" fontId="5" fillId="0" borderId="78" xfId="3" applyFont="1" applyBorder="1" applyAlignment="1">
      <alignment horizontal="right" vertical="center"/>
    </xf>
    <xf numFmtId="3" fontId="0" fillId="11" borderId="45" xfId="0" applyNumberFormat="1" applyFill="1" applyBorder="1" applyAlignment="1">
      <alignment horizontal="right"/>
    </xf>
    <xf numFmtId="0" fontId="23" fillId="2" borderId="45" xfId="0" applyFont="1" applyFill="1" applyBorder="1" applyAlignment="1">
      <alignment horizontal="center"/>
    </xf>
    <xf numFmtId="0" fontId="23" fillId="0" borderId="45" xfId="0" applyFont="1" applyFill="1" applyBorder="1" applyAlignment="1">
      <alignment horizontal="center"/>
    </xf>
    <xf numFmtId="14" fontId="24" fillId="0" borderId="45" xfId="0" applyNumberFormat="1" applyFont="1" applyFill="1" applyBorder="1" applyAlignment="1">
      <alignment horizontal="center"/>
    </xf>
    <xf numFmtId="14" fontId="23" fillId="0" borderId="45" xfId="0" applyNumberFormat="1" applyFont="1" applyFill="1" applyBorder="1" applyAlignment="1">
      <alignment horizontal="center"/>
    </xf>
    <xf numFmtId="14" fontId="23" fillId="0" borderId="51" xfId="0" applyNumberFormat="1" applyFont="1" applyFill="1" applyBorder="1" applyAlignment="1">
      <alignment horizontal="center"/>
    </xf>
    <xf numFmtId="0" fontId="23" fillId="0" borderId="46" xfId="0" applyFont="1" applyFill="1" applyBorder="1" applyAlignment="1">
      <alignment horizontal="center"/>
    </xf>
    <xf numFmtId="0" fontId="23" fillId="0" borderId="0" xfId="0" applyFont="1" applyAlignment="1">
      <alignment horizontal="center"/>
    </xf>
    <xf numFmtId="14" fontId="23" fillId="0" borderId="0" xfId="0" applyNumberFormat="1" applyFont="1" applyFill="1" applyBorder="1" applyAlignment="1">
      <alignment horizontal="center"/>
    </xf>
    <xf numFmtId="0" fontId="23" fillId="0" borderId="0" xfId="0" applyFont="1" applyFill="1" applyBorder="1" applyAlignment="1">
      <alignment horizontal="center"/>
    </xf>
    <xf numFmtId="14" fontId="23" fillId="0" borderId="0" xfId="0" applyNumberFormat="1" applyFont="1" applyBorder="1" applyAlignment="1">
      <alignment horizontal="center"/>
    </xf>
    <xf numFmtId="0" fontId="24" fillId="0" borderId="45" xfId="0" applyFont="1" applyFill="1" applyBorder="1" applyAlignment="1">
      <alignment horizontal="center"/>
    </xf>
    <xf numFmtId="0" fontId="23" fillId="2" borderId="48" xfId="0" applyFont="1" applyFill="1" applyBorder="1" applyAlignment="1">
      <alignment horizontal="center" vertical="center"/>
    </xf>
    <xf numFmtId="0" fontId="27" fillId="0" borderId="45" xfId="0" applyFont="1" applyFill="1" applyBorder="1" applyAlignment="1">
      <alignment horizontal="center" vertical="center"/>
    </xf>
    <xf numFmtId="14" fontId="23" fillId="0" borderId="45" xfId="0" applyNumberFormat="1" applyFont="1" applyFill="1" applyBorder="1" applyAlignment="1">
      <alignment horizontal="center" vertical="center"/>
    </xf>
    <xf numFmtId="14" fontId="24" fillId="0" borderId="45" xfId="0" applyNumberFormat="1" applyFont="1" applyFill="1" applyBorder="1" applyAlignment="1">
      <alignment horizontal="center" vertical="center"/>
    </xf>
    <xf numFmtId="0" fontId="23" fillId="0" borderId="0" xfId="0" applyFont="1" applyBorder="1" applyAlignment="1">
      <alignment horizontal="center" vertical="center"/>
    </xf>
    <xf numFmtId="0" fontId="23" fillId="2" borderId="45" xfId="0" applyFont="1" applyFill="1" applyBorder="1" applyAlignment="1">
      <alignment horizontal="center" vertical="center"/>
    </xf>
    <xf numFmtId="0" fontId="23" fillId="0" borderId="45" xfId="0" applyFont="1" applyFill="1" applyBorder="1" applyAlignment="1">
      <alignment horizontal="center" vertical="center"/>
    </xf>
    <xf numFmtId="14" fontId="23" fillId="0" borderId="51" xfId="0" applyNumberFormat="1" applyFont="1" applyFill="1" applyBorder="1" applyAlignment="1">
      <alignment horizontal="center" vertical="center"/>
    </xf>
    <xf numFmtId="14" fontId="34" fillId="0" borderId="45" xfId="0" applyNumberFormat="1" applyFont="1" applyFill="1" applyBorder="1" applyAlignment="1">
      <alignment horizontal="center" vertical="center"/>
    </xf>
    <xf numFmtId="0" fontId="34" fillId="0" borderId="45" xfId="0" applyFont="1" applyFill="1" applyBorder="1" applyAlignment="1">
      <alignment horizontal="center" vertical="center"/>
    </xf>
    <xf numFmtId="0" fontId="24" fillId="0" borderId="45" xfId="0" applyFont="1" applyFill="1" applyBorder="1" applyAlignment="1">
      <alignment horizontal="center" vertical="center"/>
    </xf>
    <xf numFmtId="0" fontId="23" fillId="0" borderId="46" xfId="0" applyFont="1" applyFill="1" applyBorder="1" applyAlignment="1">
      <alignment horizontal="center" vertical="center"/>
    </xf>
    <xf numFmtId="0" fontId="23" fillId="0" borderId="0" xfId="0" applyFont="1" applyAlignment="1">
      <alignment horizontal="center" vertical="center"/>
    </xf>
    <xf numFmtId="14"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14" fontId="23" fillId="0" borderId="0" xfId="0" applyNumberFormat="1" applyFont="1" applyBorder="1" applyAlignment="1">
      <alignment horizontal="center" vertical="center"/>
    </xf>
    <xf numFmtId="14" fontId="24" fillId="0" borderId="0" xfId="0" applyNumberFormat="1" applyFont="1" applyFill="1" applyBorder="1" applyAlignment="1">
      <alignment horizontal="center" vertical="center"/>
    </xf>
    <xf numFmtId="0" fontId="25" fillId="0" borderId="79" xfId="0" applyFont="1" applyBorder="1" applyAlignment="1">
      <alignment horizontal="center"/>
    </xf>
    <xf numFmtId="0" fontId="25" fillId="0" borderId="18" xfId="0" applyFont="1" applyBorder="1" applyAlignment="1">
      <alignment horizontal="center"/>
    </xf>
    <xf numFmtId="0" fontId="5" fillId="0" borderId="35" xfId="0" applyFont="1" applyBorder="1" applyAlignment="1">
      <alignment horizontal="left" vertical="center" indent="11"/>
    </xf>
    <xf numFmtId="3" fontId="0" fillId="10" borderId="45" xfId="0" applyNumberFormat="1" applyFill="1" applyBorder="1" applyAlignment="1">
      <alignment horizontal="right"/>
    </xf>
    <xf numFmtId="0" fontId="5" fillId="0" borderId="0" xfId="0" applyFont="1"/>
    <xf numFmtId="0" fontId="9" fillId="0" borderId="0" xfId="0" applyFont="1" applyAlignment="1">
      <alignment horizontal="center"/>
    </xf>
    <xf numFmtId="0" fontId="12" fillId="10" borderId="0" xfId="0" applyFont="1" applyFill="1" applyAlignment="1">
      <alignment vertical="center"/>
    </xf>
    <xf numFmtId="0" fontId="35" fillId="0" borderId="0" xfId="0" applyFont="1" applyAlignment="1">
      <alignment horizontal="left" vertical="center" indent="4"/>
    </xf>
    <xf numFmtId="0" fontId="5" fillId="13" borderId="0" xfId="0" applyFont="1" applyFill="1" applyBorder="1" applyAlignment="1">
      <alignment horizontal="center"/>
    </xf>
    <xf numFmtId="14" fontId="34" fillId="0" borderId="45" xfId="0" applyNumberFormat="1" applyFont="1" applyFill="1" applyBorder="1" applyAlignment="1">
      <alignment horizontal="center"/>
    </xf>
    <xf numFmtId="170" fontId="16" fillId="0" borderId="0" xfId="2" applyNumberFormat="1" applyFont="1" applyAlignment="1">
      <alignment horizontal="right"/>
    </xf>
    <xf numFmtId="0" fontId="16" fillId="0" borderId="0" xfId="0" applyFont="1"/>
    <xf numFmtId="0" fontId="5" fillId="8" borderId="80" xfId="0" applyFont="1" applyFill="1" applyBorder="1" applyAlignment="1" applyProtection="1">
      <alignment vertical="center"/>
      <protection locked="0"/>
    </xf>
    <xf numFmtId="0" fontId="5" fillId="8" borderId="29" xfId="0" applyFont="1" applyFill="1" applyBorder="1" applyAlignment="1" applyProtection="1">
      <alignment vertical="center"/>
      <protection locked="0"/>
    </xf>
    <xf numFmtId="0" fontId="36" fillId="0" borderId="0" xfId="0" applyFont="1" applyProtection="1">
      <protection locked="0"/>
    </xf>
    <xf numFmtId="0" fontId="35" fillId="0" borderId="0" xfId="0" applyFont="1"/>
    <xf numFmtId="167" fontId="35" fillId="0" borderId="45" xfId="0" applyNumberFormat="1" applyFont="1" applyBorder="1" applyAlignment="1">
      <alignment horizontal="right"/>
    </xf>
    <xf numFmtId="3" fontId="35" fillId="0" borderId="0" xfId="0" applyNumberFormat="1" applyFont="1" applyBorder="1" applyAlignment="1">
      <alignment horizontal="right"/>
    </xf>
    <xf numFmtId="3" fontId="35" fillId="0" borderId="22" xfId="0" applyNumberFormat="1" applyFont="1" applyBorder="1" applyAlignment="1">
      <alignment horizontal="right"/>
    </xf>
    <xf numFmtId="3" fontId="35" fillId="0" borderId="8" xfId="0" applyNumberFormat="1" applyFont="1" applyBorder="1" applyAlignment="1">
      <alignment horizontal="right"/>
    </xf>
    <xf numFmtId="3" fontId="35" fillId="0" borderId="45" xfId="0" applyNumberFormat="1" applyFont="1" applyBorder="1" applyAlignment="1">
      <alignment horizontal="right"/>
    </xf>
    <xf numFmtId="14" fontId="37" fillId="0" borderId="45" xfId="0" applyNumberFormat="1" applyFont="1" applyFill="1" applyBorder="1" applyAlignment="1">
      <alignment horizontal="center" vertical="center"/>
    </xf>
    <xf numFmtId="0" fontId="0" fillId="9" borderId="0" xfId="0" applyFill="1" applyBorder="1" applyAlignment="1">
      <alignment horizontal="center"/>
    </xf>
    <xf numFmtId="3" fontId="35" fillId="0" borderId="24" xfId="0" applyNumberFormat="1" applyFont="1" applyBorder="1" applyAlignment="1">
      <alignment horizontal="right"/>
    </xf>
    <xf numFmtId="14" fontId="37" fillId="0" borderId="0" xfId="0" applyNumberFormat="1" applyFont="1" applyFill="1" applyBorder="1" applyAlignment="1">
      <alignment horizontal="center" vertical="center"/>
    </xf>
    <xf numFmtId="0" fontId="38" fillId="0" borderId="0" xfId="0" applyFont="1"/>
    <xf numFmtId="3" fontId="16" fillId="0" borderId="0" xfId="0" applyNumberFormat="1" applyFont="1" applyBorder="1" applyAlignment="1">
      <alignment horizontal="right"/>
    </xf>
    <xf numFmtId="3" fontId="37" fillId="0" borderId="0" xfId="0" applyNumberFormat="1" applyFont="1" applyBorder="1" applyAlignment="1">
      <alignment horizontal="right"/>
    </xf>
    <xf numFmtId="167" fontId="35" fillId="10" borderId="24" xfId="0" applyNumberFormat="1" applyFont="1" applyFill="1" applyBorder="1" applyAlignment="1">
      <alignment horizontal="right"/>
    </xf>
    <xf numFmtId="167" fontId="35" fillId="10" borderId="0" xfId="0" applyNumberFormat="1" applyFont="1" applyFill="1" applyBorder="1" applyAlignment="1">
      <alignment horizontal="right"/>
    </xf>
    <xf numFmtId="167" fontId="35" fillId="10" borderId="8" xfId="0" applyNumberFormat="1" applyFont="1" applyFill="1" applyBorder="1" applyAlignment="1">
      <alignment horizontal="right"/>
    </xf>
    <xf numFmtId="3" fontId="35" fillId="0" borderId="0" xfId="0" applyNumberFormat="1" applyFont="1" applyFill="1" applyBorder="1" applyAlignment="1">
      <alignment horizontal="right"/>
    </xf>
    <xf numFmtId="3" fontId="35" fillId="4" borderId="0" xfId="0" applyNumberFormat="1" applyFont="1" applyFill="1" applyBorder="1" applyAlignment="1">
      <alignment horizontal="right"/>
    </xf>
    <xf numFmtId="3" fontId="35" fillId="4" borderId="8" xfId="0" applyNumberFormat="1" applyFont="1" applyFill="1" applyBorder="1" applyAlignment="1">
      <alignment horizontal="right"/>
    </xf>
    <xf numFmtId="3" fontId="35" fillId="4" borderId="24" xfId="0" applyNumberFormat="1" applyFont="1" applyFill="1" applyBorder="1" applyAlignment="1">
      <alignment horizontal="right"/>
    </xf>
    <xf numFmtId="14" fontId="37" fillId="0" borderId="45" xfId="0" applyNumberFormat="1" applyFont="1" applyFill="1" applyBorder="1" applyAlignment="1">
      <alignment horizontal="center"/>
    </xf>
    <xf numFmtId="0" fontId="5" fillId="9" borderId="24" xfId="0" applyFont="1" applyFill="1" applyBorder="1" applyAlignment="1">
      <alignment horizontal="left" indent="2"/>
    </xf>
    <xf numFmtId="0" fontId="5" fillId="9" borderId="36" xfId="0" applyFont="1" applyFill="1" applyBorder="1" applyAlignment="1">
      <alignment horizontal="left" indent="2"/>
    </xf>
    <xf numFmtId="0" fontId="0" fillId="10" borderId="0" xfId="0" applyFill="1" applyBorder="1" applyAlignment="1">
      <alignment horizontal="center"/>
    </xf>
    <xf numFmtId="3" fontId="4" fillId="0" borderId="37" xfId="0" applyNumberFormat="1" applyFont="1" applyBorder="1" applyAlignment="1">
      <alignment horizontal="right" vertical="center"/>
    </xf>
    <xf numFmtId="0" fontId="6" fillId="2" borderId="5" xfId="0" applyFont="1" applyFill="1" applyBorder="1" applyAlignment="1">
      <alignment horizontal="right" vertical="center"/>
    </xf>
    <xf numFmtId="3" fontId="4" fillId="0" borderId="37" xfId="0" applyNumberFormat="1" applyFont="1" applyFill="1" applyBorder="1" applyAlignment="1">
      <alignment horizontal="right" vertical="center"/>
    </xf>
    <xf numFmtId="166" fontId="4" fillId="0" borderId="37" xfId="0" applyNumberFormat="1" applyFont="1" applyFill="1" applyBorder="1" applyAlignment="1">
      <alignment horizontal="right" vertical="center"/>
    </xf>
    <xf numFmtId="0" fontId="10" fillId="2" borderId="3" xfId="0" applyFont="1" applyFill="1" applyBorder="1" applyAlignment="1">
      <alignment horizontal="right" vertical="center"/>
    </xf>
    <xf numFmtId="9" fontId="5" fillId="0" borderId="62" xfId="3" applyFont="1" applyBorder="1" applyAlignment="1">
      <alignment horizontal="right" vertical="center"/>
    </xf>
    <xf numFmtId="0" fontId="32" fillId="14" borderId="89" xfId="0" applyFont="1" applyFill="1" applyBorder="1" applyAlignment="1">
      <alignment horizontal="left"/>
    </xf>
    <xf numFmtId="0" fontId="32" fillId="14" borderId="89" xfId="0" applyNumberFormat="1" applyFont="1" applyFill="1" applyBorder="1"/>
    <xf numFmtId="3" fontId="35" fillId="0" borderId="8" xfId="0" applyNumberFormat="1" applyFont="1" applyFill="1" applyBorder="1" applyAlignment="1">
      <alignment horizontal="right"/>
    </xf>
    <xf numFmtId="3" fontId="35" fillId="0" borderId="22" xfId="0" applyNumberFormat="1" applyFont="1" applyFill="1" applyBorder="1" applyAlignment="1">
      <alignment horizontal="right"/>
    </xf>
    <xf numFmtId="3" fontId="35" fillId="0" borderId="45" xfId="0" applyNumberFormat="1" applyFont="1" applyFill="1" applyBorder="1" applyAlignment="1">
      <alignment horizontal="right"/>
    </xf>
    <xf numFmtId="167" fontId="35" fillId="10" borderId="22" xfId="0" applyNumberFormat="1" applyFont="1" applyFill="1" applyBorder="1" applyAlignment="1">
      <alignment horizontal="right"/>
    </xf>
    <xf numFmtId="167" fontId="35" fillId="10" borderId="45" xfId="0" applyNumberFormat="1" applyFont="1" applyFill="1" applyBorder="1" applyAlignment="1">
      <alignment horizontal="right"/>
    </xf>
    <xf numFmtId="167" fontId="0" fillId="10" borderId="22" xfId="0" applyNumberFormat="1" applyFill="1" applyBorder="1" applyAlignment="1">
      <alignment horizontal="right"/>
    </xf>
    <xf numFmtId="167" fontId="0" fillId="10" borderId="45" xfId="0" applyNumberFormat="1" applyFill="1" applyBorder="1" applyAlignment="1">
      <alignment horizontal="right"/>
    </xf>
    <xf numFmtId="167" fontId="5" fillId="0" borderId="24" xfId="0" applyNumberFormat="1" applyFont="1" applyBorder="1" applyAlignment="1">
      <alignment horizontal="right" vertical="center"/>
    </xf>
    <xf numFmtId="167" fontId="5" fillId="0" borderId="22" xfId="0" applyNumberFormat="1" applyFont="1" applyBorder="1" applyAlignment="1">
      <alignment horizontal="right" vertical="center"/>
    </xf>
    <xf numFmtId="167" fontId="5" fillId="0" borderId="0" xfId="0" applyNumberFormat="1" applyFont="1" applyFill="1" applyBorder="1" applyAlignment="1">
      <alignment horizontal="right" vertical="center"/>
    </xf>
    <xf numFmtId="167" fontId="5" fillId="0" borderId="8" xfId="0" applyNumberFormat="1" applyFont="1" applyBorder="1" applyAlignment="1">
      <alignment horizontal="right" vertical="center"/>
    </xf>
    <xf numFmtId="167" fontId="5" fillId="0" borderId="45" xfId="2" applyNumberFormat="1" applyFont="1" applyBorder="1" applyAlignment="1">
      <alignment horizontal="right" vertical="center"/>
    </xf>
    <xf numFmtId="167" fontId="5" fillId="4" borderId="0" xfId="0" applyNumberFormat="1" applyFont="1" applyFill="1" applyBorder="1" applyAlignment="1">
      <alignment horizontal="right"/>
    </xf>
    <xf numFmtId="14" fontId="37" fillId="0" borderId="8" xfId="0" applyNumberFormat="1" applyFont="1" applyFill="1" applyBorder="1"/>
    <xf numFmtId="167" fontId="35" fillId="0" borderId="0" xfId="0" applyNumberFormat="1" applyFont="1" applyBorder="1" applyAlignment="1">
      <alignment horizontal="right"/>
    </xf>
    <xf numFmtId="167" fontId="35" fillId="0" borderId="22" xfId="0" applyNumberFormat="1" applyFont="1" applyBorder="1" applyAlignment="1">
      <alignment horizontal="right"/>
    </xf>
    <xf numFmtId="167" fontId="35" fillId="0" borderId="8" xfId="0" applyNumberFormat="1" applyFont="1" applyBorder="1" applyAlignment="1">
      <alignment horizontal="right"/>
    </xf>
    <xf numFmtId="167" fontId="35" fillId="0" borderId="24" xfId="0" applyNumberFormat="1" applyFont="1" applyBorder="1" applyAlignment="1">
      <alignment horizontal="right"/>
    </xf>
    <xf numFmtId="0" fontId="11" fillId="0" borderId="0" xfId="1" applyAlignment="1" applyProtection="1">
      <alignment horizontal="left" vertical="center" indent="4"/>
    </xf>
    <xf numFmtId="0" fontId="5" fillId="0" borderId="0" xfId="0" applyFont="1" applyAlignment="1">
      <alignment horizontal="left" indent="2"/>
    </xf>
    <xf numFmtId="14" fontId="23" fillId="0" borderId="0" xfId="0" applyNumberFormat="1" applyFont="1" applyAlignment="1">
      <alignment horizontal="center"/>
    </xf>
    <xf numFmtId="3" fontId="5" fillId="4" borderId="24" xfId="0" applyNumberFormat="1" applyFont="1" applyFill="1" applyBorder="1" applyAlignment="1">
      <alignment horizontal="right"/>
    </xf>
    <xf numFmtId="3" fontId="5" fillId="4" borderId="0" xfId="0" applyNumberFormat="1" applyFont="1" applyFill="1" applyBorder="1" applyAlignment="1">
      <alignment horizontal="right"/>
    </xf>
    <xf numFmtId="3" fontId="5" fillId="4" borderId="8" xfId="0" applyNumberFormat="1" applyFont="1" applyFill="1" applyBorder="1" applyAlignment="1">
      <alignment horizontal="right"/>
    </xf>
    <xf numFmtId="3" fontId="5" fillId="0" borderId="24" xfId="0" applyNumberFormat="1" applyFont="1" applyFill="1" applyBorder="1" applyAlignment="1">
      <alignment horizontal="right"/>
    </xf>
    <xf numFmtId="3" fontId="5" fillId="0" borderId="0" xfId="0" applyNumberFormat="1" applyFont="1"/>
    <xf numFmtId="3" fontId="5" fillId="0" borderId="8" xfId="0" applyNumberFormat="1" applyFont="1" applyBorder="1"/>
    <xf numFmtId="167" fontId="5" fillId="10" borderId="24" xfId="0" applyNumberFormat="1" applyFont="1" applyFill="1" applyBorder="1" applyAlignment="1">
      <alignment horizontal="right"/>
    </xf>
    <xf numFmtId="167" fontId="5" fillId="10" borderId="0" xfId="0" applyNumberFormat="1" applyFont="1" applyFill="1" applyBorder="1" applyAlignment="1">
      <alignment horizontal="right"/>
    </xf>
    <xf numFmtId="167" fontId="5" fillId="10" borderId="8" xfId="0" applyNumberFormat="1" applyFont="1" applyFill="1" applyBorder="1" applyAlignment="1">
      <alignment horizontal="right"/>
    </xf>
    <xf numFmtId="167" fontId="5" fillId="4" borderId="24" xfId="0" applyNumberFormat="1" applyFont="1" applyFill="1" applyBorder="1" applyAlignment="1">
      <alignment horizontal="right"/>
    </xf>
    <xf numFmtId="167" fontId="5" fillId="4" borderId="8" xfId="0" applyNumberFormat="1" applyFont="1" applyFill="1" applyBorder="1" applyAlignment="1">
      <alignment horizontal="right"/>
    </xf>
    <xf numFmtId="3" fontId="5" fillId="10" borderId="24" xfId="0" applyNumberFormat="1" applyFont="1" applyFill="1" applyBorder="1" applyAlignment="1">
      <alignment horizontal="right"/>
    </xf>
    <xf numFmtId="3" fontId="5" fillId="10" borderId="0" xfId="0" applyNumberFormat="1" applyFont="1" applyFill="1" applyBorder="1" applyAlignment="1">
      <alignment horizontal="right"/>
    </xf>
    <xf numFmtId="3" fontId="5" fillId="10" borderId="8" xfId="0" applyNumberFormat="1" applyFont="1" applyFill="1" applyBorder="1" applyAlignment="1">
      <alignment horizontal="right"/>
    </xf>
    <xf numFmtId="167" fontId="5" fillId="4" borderId="36" xfId="0" applyNumberFormat="1" applyFont="1" applyFill="1" applyBorder="1" applyAlignment="1">
      <alignment horizontal="right"/>
    </xf>
    <xf numFmtId="167" fontId="5" fillId="4" borderId="49" xfId="0" applyNumberFormat="1" applyFont="1" applyFill="1" applyBorder="1" applyAlignment="1">
      <alignment horizontal="right"/>
    </xf>
    <xf numFmtId="167" fontId="5" fillId="4" borderId="50" xfId="0" applyNumberFormat="1" applyFont="1" applyFill="1" applyBorder="1" applyAlignment="1">
      <alignment horizontal="right"/>
    </xf>
    <xf numFmtId="4" fontId="5" fillId="0" borderId="24" xfId="0" applyNumberFormat="1" applyFont="1" applyBorder="1" applyAlignment="1">
      <alignment horizontal="right"/>
    </xf>
    <xf numFmtId="4" fontId="5" fillId="0" borderId="0" xfId="0" applyNumberFormat="1" applyFont="1" applyBorder="1" applyAlignment="1">
      <alignment horizontal="right"/>
    </xf>
    <xf numFmtId="4" fontId="5" fillId="0" borderId="8" xfId="0" applyNumberFormat="1" applyFont="1" applyBorder="1" applyAlignment="1">
      <alignment horizontal="right"/>
    </xf>
    <xf numFmtId="3" fontId="5" fillId="0" borderId="0" xfId="0" applyNumberFormat="1" applyFont="1" applyAlignment="1">
      <alignment horizontal="right" wrapText="1"/>
    </xf>
    <xf numFmtId="3" fontId="5" fillId="0" borderId="8" xfId="0" applyNumberFormat="1" applyFont="1" applyBorder="1" applyAlignment="1">
      <alignment horizontal="right" wrapText="1"/>
    </xf>
    <xf numFmtId="3" fontId="5" fillId="0" borderId="22" xfId="0" applyNumberFormat="1" applyFont="1" applyBorder="1" applyAlignment="1">
      <alignment horizontal="right"/>
    </xf>
    <xf numFmtId="3" fontId="5" fillId="10" borderId="45" xfId="0" applyNumberFormat="1" applyFont="1" applyFill="1" applyBorder="1" applyAlignment="1">
      <alignment horizontal="right"/>
    </xf>
    <xf numFmtId="3" fontId="5" fillId="3" borderId="22" xfId="0" applyNumberFormat="1" applyFont="1" applyFill="1" applyBorder="1" applyAlignment="1">
      <alignment horizontal="right"/>
    </xf>
    <xf numFmtId="3" fontId="5" fillId="4" borderId="22" xfId="0" applyNumberFormat="1" applyFont="1" applyFill="1" applyBorder="1" applyAlignment="1">
      <alignment horizontal="right"/>
    </xf>
    <xf numFmtId="3" fontId="5" fillId="4" borderId="45" xfId="0" applyNumberFormat="1" applyFont="1" applyFill="1" applyBorder="1" applyAlignment="1">
      <alignment horizontal="right"/>
    </xf>
    <xf numFmtId="3" fontId="5" fillId="0" borderId="22" xfId="0" applyNumberFormat="1" applyFont="1" applyBorder="1"/>
    <xf numFmtId="0" fontId="5" fillId="0" borderId="22" xfId="0" applyFont="1" applyBorder="1"/>
    <xf numFmtId="167" fontId="5" fillId="4" borderId="22" xfId="0" applyNumberFormat="1" applyFont="1" applyFill="1" applyBorder="1" applyAlignment="1">
      <alignment horizontal="right"/>
    </xf>
    <xf numFmtId="167" fontId="5" fillId="4" borderId="45" xfId="0" applyNumberFormat="1" applyFont="1" applyFill="1" applyBorder="1" applyAlignment="1">
      <alignment horizontal="right"/>
    </xf>
    <xf numFmtId="167" fontId="5" fillId="3" borderId="22" xfId="0" applyNumberFormat="1" applyFont="1" applyFill="1" applyBorder="1" applyAlignment="1">
      <alignment horizontal="right"/>
    </xf>
    <xf numFmtId="3" fontId="5" fillId="10" borderId="22" xfId="0" applyNumberFormat="1" applyFont="1" applyFill="1" applyBorder="1" applyAlignment="1">
      <alignment horizontal="right"/>
    </xf>
    <xf numFmtId="167" fontId="5" fillId="10" borderId="22" xfId="0" applyNumberFormat="1" applyFont="1" applyFill="1" applyBorder="1" applyAlignment="1">
      <alignment horizontal="right"/>
    </xf>
    <xf numFmtId="167" fontId="5" fillId="10" borderId="45" xfId="0" applyNumberFormat="1" applyFont="1" applyFill="1" applyBorder="1" applyAlignment="1">
      <alignment horizontal="right"/>
    </xf>
    <xf numFmtId="167" fontId="5" fillId="3" borderId="36" xfId="0" applyNumberFormat="1" applyFont="1" applyFill="1" applyBorder="1" applyAlignment="1">
      <alignment horizontal="right"/>
    </xf>
    <xf numFmtId="167" fontId="5" fillId="3" borderId="49" xfId="0" applyNumberFormat="1" applyFont="1" applyFill="1" applyBorder="1" applyAlignment="1">
      <alignment horizontal="right"/>
    </xf>
    <xf numFmtId="167" fontId="5" fillId="3" borderId="23" xfId="0" applyNumberFormat="1" applyFont="1" applyFill="1" applyBorder="1" applyAlignment="1">
      <alignment horizontal="right"/>
    </xf>
    <xf numFmtId="167" fontId="5" fillId="4" borderId="23" xfId="0" applyNumberFormat="1" applyFont="1" applyFill="1" applyBorder="1" applyAlignment="1">
      <alignment horizontal="right"/>
    </xf>
    <xf numFmtId="167" fontId="5" fillId="4" borderId="51" xfId="0" applyNumberFormat="1" applyFont="1" applyFill="1" applyBorder="1" applyAlignment="1">
      <alignment horizontal="right"/>
    </xf>
    <xf numFmtId="4" fontId="5" fillId="0" borderId="22" xfId="0" applyNumberFormat="1" applyFont="1" applyBorder="1" applyAlignment="1">
      <alignment horizontal="right"/>
    </xf>
    <xf numFmtId="4" fontId="5" fillId="0" borderId="45" xfId="0" applyNumberFormat="1" applyFont="1" applyBorder="1" applyAlignment="1">
      <alignment horizontal="right"/>
    </xf>
    <xf numFmtId="3" fontId="5" fillId="0" borderId="22" xfId="0" applyNumberFormat="1" applyFont="1" applyBorder="1" applyAlignment="1">
      <alignment horizontal="right" wrapText="1"/>
    </xf>
    <xf numFmtId="4" fontId="5" fillId="4" borderId="0" xfId="0" applyNumberFormat="1" applyFont="1" applyFill="1" applyBorder="1" applyAlignment="1">
      <alignment horizontal="right"/>
    </xf>
    <xf numFmtId="4" fontId="5" fillId="4" borderId="8" xfId="0" applyNumberFormat="1" applyFont="1" applyFill="1" applyBorder="1" applyAlignment="1">
      <alignment horizontal="right"/>
    </xf>
    <xf numFmtId="4" fontId="5" fillId="7" borderId="0" xfId="0" applyNumberFormat="1" applyFont="1" applyFill="1" applyBorder="1" applyAlignment="1">
      <alignment horizontal="right"/>
    </xf>
    <xf numFmtId="3" fontId="5" fillId="5" borderId="0" xfId="0" applyNumberFormat="1" applyFont="1" applyFill="1" applyBorder="1" applyAlignment="1">
      <alignment horizontal="right"/>
    </xf>
    <xf numFmtId="3" fontId="5" fillId="5" borderId="22" xfId="0" applyNumberFormat="1" applyFont="1" applyFill="1" applyBorder="1" applyAlignment="1">
      <alignment horizontal="right"/>
    </xf>
    <xf numFmtId="3" fontId="5" fillId="5" borderId="8" xfId="0" applyNumberFormat="1" applyFont="1" applyFill="1" applyBorder="1" applyAlignment="1">
      <alignment horizontal="right"/>
    </xf>
    <xf numFmtId="3" fontId="5" fillId="0" borderId="0" xfId="0" applyNumberFormat="1" applyFont="1" applyAlignment="1">
      <alignment horizontal="right"/>
    </xf>
    <xf numFmtId="0" fontId="5" fillId="0" borderId="0" xfId="0" applyFont="1" applyAlignment="1">
      <alignment horizontal="left"/>
    </xf>
    <xf numFmtId="0" fontId="19" fillId="14" borderId="89" xfId="0" applyFont="1" applyFill="1" applyBorder="1" applyAlignment="1">
      <alignment horizontal="left"/>
    </xf>
    <xf numFmtId="0" fontId="5" fillId="0" borderId="0" xfId="0" applyNumberFormat="1" applyFont="1"/>
    <xf numFmtId="0" fontId="19" fillId="14" borderId="89" xfId="0" applyNumberFormat="1" applyFont="1" applyFill="1" applyBorder="1"/>
    <xf numFmtId="0" fontId="35" fillId="4" borderId="0" xfId="0" applyFont="1" applyFill="1" applyBorder="1" applyAlignment="1">
      <alignment horizontal="center"/>
    </xf>
    <xf numFmtId="0" fontId="37" fillId="0" borderId="0" xfId="0" applyFont="1" applyBorder="1" applyAlignment="1">
      <alignment horizontal="center"/>
    </xf>
    <xf numFmtId="0" fontId="35" fillId="9" borderId="0" xfId="0" applyFont="1" applyFill="1" applyBorder="1" applyAlignment="1">
      <alignment horizontal="center"/>
    </xf>
    <xf numFmtId="0" fontId="35" fillId="0" borderId="0" xfId="0" applyFont="1" applyFill="1" applyBorder="1" applyAlignment="1">
      <alignment horizontal="center"/>
    </xf>
    <xf numFmtId="0" fontId="35" fillId="0" borderId="49" xfId="0" applyFont="1" applyFill="1" applyBorder="1" applyAlignment="1">
      <alignment horizontal="center"/>
    </xf>
    <xf numFmtId="14" fontId="37" fillId="0" borderId="51" xfId="0" applyNumberFormat="1" applyFont="1" applyFill="1" applyBorder="1" applyAlignment="1">
      <alignment horizontal="center" vertical="center"/>
    </xf>
    <xf numFmtId="0" fontId="35" fillId="0" borderId="0" xfId="0" applyFont="1" applyBorder="1" applyAlignment="1">
      <alignment horizontal="center"/>
    </xf>
    <xf numFmtId="0" fontId="35" fillId="0" borderId="0" xfId="0" applyFont="1" applyAlignment="1">
      <alignment horizontal="center"/>
    </xf>
    <xf numFmtId="3" fontId="37" fillId="0" borderId="0" xfId="0" applyNumberFormat="1" applyFont="1" applyFill="1" applyBorder="1" applyAlignment="1">
      <alignment horizontal="right"/>
    </xf>
    <xf numFmtId="0" fontId="37" fillId="3" borderId="0" xfId="0" applyFont="1" applyFill="1" applyBorder="1" applyAlignment="1">
      <alignment horizontal="center"/>
    </xf>
    <xf numFmtId="0" fontId="5" fillId="0" borderId="7" xfId="0" applyFont="1" applyFill="1" applyBorder="1" applyAlignment="1">
      <alignment horizontal="left" vertical="center" indent="5"/>
    </xf>
    <xf numFmtId="0" fontId="5" fillId="0" borderId="7" xfId="0" applyFont="1" applyFill="1" applyBorder="1" applyAlignment="1">
      <alignment horizontal="left" vertical="center" indent="4"/>
    </xf>
    <xf numFmtId="3" fontId="5" fillId="11" borderId="45" xfId="0" applyNumberFormat="1" applyFont="1" applyFill="1" applyBorder="1" applyAlignment="1">
      <alignment horizontal="right"/>
    </xf>
    <xf numFmtId="167" fontId="5" fillId="0" borderId="49" xfId="0" applyNumberFormat="1" applyFont="1" applyFill="1" applyBorder="1" applyAlignment="1">
      <alignment horizontal="right"/>
    </xf>
    <xf numFmtId="4" fontId="5" fillId="0" borderId="0" xfId="0" applyNumberFormat="1" applyFont="1" applyFill="1" applyBorder="1" applyAlignment="1">
      <alignment horizontal="right"/>
    </xf>
    <xf numFmtId="3" fontId="5" fillId="0" borderId="0" xfId="0" applyNumberFormat="1" applyFont="1" applyFill="1" applyAlignment="1">
      <alignment horizontal="right" wrapText="1"/>
    </xf>
    <xf numFmtId="0" fontId="25" fillId="0" borderId="1" xfId="0" applyFont="1" applyBorder="1" applyAlignment="1">
      <alignment horizontal="center"/>
    </xf>
    <xf numFmtId="0" fontId="25" fillId="0" borderId="10" xfId="0" applyFont="1" applyBorder="1" applyAlignment="1">
      <alignment horizontal="center"/>
    </xf>
    <xf numFmtId="0" fontId="35" fillId="0" borderId="24" xfId="0" applyFont="1" applyBorder="1" applyAlignment="1">
      <alignment horizontal="left" vertical="center" indent="2"/>
    </xf>
    <xf numFmtId="0" fontId="35" fillId="0" borderId="8" xfId="0" applyFont="1" applyFill="1" applyBorder="1"/>
    <xf numFmtId="3" fontId="0" fillId="0" borderId="0" xfId="0" applyNumberFormat="1"/>
    <xf numFmtId="3" fontId="35" fillId="0" borderId="0" xfId="0" applyNumberFormat="1" applyFont="1" applyBorder="1" applyAlignment="1">
      <alignment horizontal="right" vertical="center"/>
    </xf>
    <xf numFmtId="3" fontId="35" fillId="0" borderId="22" xfId="0" applyNumberFormat="1" applyFont="1" applyBorder="1" applyAlignment="1">
      <alignment horizontal="right" vertical="center"/>
    </xf>
    <xf numFmtId="3" fontId="35" fillId="0" borderId="0" xfId="0" applyNumberFormat="1" applyFont="1" applyFill="1" applyBorder="1" applyAlignment="1">
      <alignment horizontal="right" vertical="center"/>
    </xf>
    <xf numFmtId="3" fontId="35" fillId="0" borderId="8" xfId="0" applyNumberFormat="1" applyFont="1" applyBorder="1" applyAlignment="1">
      <alignment horizontal="right" vertical="center"/>
    </xf>
    <xf numFmtId="3" fontId="35" fillId="0" borderId="45" xfId="2" applyNumberFormat="1" applyFont="1" applyBorder="1" applyAlignment="1">
      <alignment horizontal="right" vertical="center"/>
    </xf>
    <xf numFmtId="0" fontId="35" fillId="4" borderId="24" xfId="0" applyFont="1" applyFill="1" applyBorder="1" applyAlignment="1">
      <alignment horizontal="left" indent="2"/>
    </xf>
    <xf numFmtId="0" fontId="25" fillId="0" borderId="68" xfId="0" applyFont="1" applyBorder="1" applyAlignment="1">
      <alignment horizontal="center"/>
    </xf>
    <xf numFmtId="0" fontId="25" fillId="0" borderId="82" xfId="0" applyFont="1" applyBorder="1" applyAlignment="1">
      <alignment horizontal="center"/>
    </xf>
    <xf numFmtId="1" fontId="0" fillId="0" borderId="0" xfId="0" applyNumberFormat="1" applyAlignment="1">
      <alignment vertical="center"/>
    </xf>
    <xf numFmtId="0" fontId="5" fillId="10" borderId="0" xfId="0" applyFont="1" applyFill="1" applyBorder="1" applyAlignment="1">
      <alignment horizontal="center"/>
    </xf>
    <xf numFmtId="3" fontId="5" fillId="9" borderId="45" xfId="0" applyNumberFormat="1" applyFont="1" applyFill="1" applyBorder="1" applyAlignment="1">
      <alignment horizontal="right"/>
    </xf>
    <xf numFmtId="0" fontId="0" fillId="0" borderId="0" xfId="0" applyAlignment="1">
      <alignment horizontal="center" vertical="center"/>
    </xf>
    <xf numFmtId="0" fontId="25" fillId="0" borderId="0" xfId="0" applyFont="1" applyBorder="1" applyAlignment="1">
      <alignment horizontal="left"/>
    </xf>
    <xf numFmtId="166" fontId="5" fillId="0" borderId="0" xfId="0" applyNumberFormat="1" applyFont="1"/>
    <xf numFmtId="166" fontId="5" fillId="4" borderId="24" xfId="0" applyNumberFormat="1" applyFont="1" applyFill="1" applyBorder="1" applyAlignment="1">
      <alignment horizontal="right"/>
    </xf>
    <xf numFmtId="166" fontId="5" fillId="4" borderId="0" xfId="0" applyNumberFormat="1" applyFont="1" applyFill="1" applyBorder="1" applyAlignment="1">
      <alignment horizontal="right"/>
    </xf>
    <xf numFmtId="166" fontId="5" fillId="4" borderId="8" xfId="0" applyNumberFormat="1" applyFont="1" applyFill="1" applyBorder="1" applyAlignment="1">
      <alignment horizontal="right"/>
    </xf>
    <xf numFmtId="166" fontId="5" fillId="0" borderId="0" xfId="0" applyNumberFormat="1" applyFont="1" applyFill="1" applyBorder="1" applyAlignment="1">
      <alignment horizontal="right"/>
    </xf>
    <xf numFmtId="166" fontId="5" fillId="0" borderId="24" xfId="0" applyNumberFormat="1" applyFont="1" applyBorder="1" applyAlignment="1">
      <alignment horizontal="right"/>
    </xf>
    <xf numFmtId="166" fontId="5" fillId="0" borderId="0" xfId="0" applyNumberFormat="1" applyFont="1" applyBorder="1" applyAlignment="1">
      <alignment horizontal="right"/>
    </xf>
    <xf numFmtId="166" fontId="5" fillId="0" borderId="22" xfId="0" applyNumberFormat="1" applyFont="1" applyBorder="1" applyAlignment="1">
      <alignment horizontal="right"/>
    </xf>
    <xf numFmtId="166" fontId="5" fillId="0" borderId="22" xfId="0" applyNumberFormat="1" applyFont="1" applyBorder="1"/>
    <xf numFmtId="166" fontId="5" fillId="0" borderId="45" xfId="0" applyNumberFormat="1" applyFont="1" applyBorder="1" applyAlignment="1">
      <alignment horizontal="right"/>
    </xf>
    <xf numFmtId="0" fontId="0" fillId="10" borderId="0" xfId="0" applyFill="1"/>
    <xf numFmtId="0" fontId="5" fillId="2" borderId="0" xfId="0" applyFont="1" applyFill="1" applyBorder="1" applyAlignment="1">
      <alignment horizontal="center"/>
    </xf>
    <xf numFmtId="0" fontId="5" fillId="0" borderId="0" xfId="0" applyFont="1" applyBorder="1" applyAlignment="1">
      <alignment horizontal="center" vertical="center"/>
    </xf>
    <xf numFmtId="0" fontId="25" fillId="0" borderId="0" xfId="0" applyFont="1" applyBorder="1" applyAlignment="1">
      <alignment horizontal="center"/>
    </xf>
    <xf numFmtId="0" fontId="18" fillId="0" borderId="0" xfId="0" applyFont="1" applyAlignment="1">
      <alignment horizontal="center"/>
    </xf>
    <xf numFmtId="0" fontId="25" fillId="0" borderId="84" xfId="0" applyFont="1" applyBorder="1" applyAlignment="1">
      <alignment horizontal="center"/>
    </xf>
    <xf numFmtId="0" fontId="4" fillId="0" borderId="47" xfId="0" applyFont="1" applyBorder="1" applyAlignment="1">
      <alignment horizontal="center"/>
    </xf>
    <xf numFmtId="0" fontId="5" fillId="0" borderId="22" xfId="0" applyFont="1" applyBorder="1" applyAlignment="1">
      <alignment horizontal="center"/>
    </xf>
    <xf numFmtId="0" fontId="5" fillId="10" borderId="22" xfId="0" applyFont="1" applyFill="1" applyBorder="1" applyAlignment="1">
      <alignment horizontal="center"/>
    </xf>
    <xf numFmtId="0" fontId="4" fillId="0" borderId="22" xfId="0" applyFont="1" applyBorder="1" applyAlignment="1">
      <alignment horizontal="center"/>
    </xf>
    <xf numFmtId="0" fontId="0" fillId="10" borderId="22" xfId="0" applyFill="1" applyBorder="1" applyAlignment="1">
      <alignment horizontal="center"/>
    </xf>
    <xf numFmtId="0" fontId="0" fillId="3" borderId="43" xfId="0" applyFill="1" applyBorder="1" applyAlignment="1">
      <alignment horizontal="center"/>
    </xf>
    <xf numFmtId="0" fontId="25" fillId="0" borderId="49" xfId="0" applyFont="1" applyBorder="1" applyAlignment="1">
      <alignment horizontal="center"/>
    </xf>
    <xf numFmtId="0" fontId="25" fillId="0" borderId="50" xfId="0" applyFont="1" applyBorder="1" applyAlignment="1">
      <alignment horizontal="center"/>
    </xf>
    <xf numFmtId="0" fontId="25" fillId="0" borderId="85" xfId="0" applyFont="1" applyBorder="1" applyAlignment="1">
      <alignment horizontal="center"/>
    </xf>
    <xf numFmtId="0" fontId="25" fillId="0" borderId="86" xfId="0" applyFont="1" applyBorder="1" applyAlignment="1">
      <alignment horizontal="center"/>
    </xf>
    <xf numFmtId="0" fontId="25" fillId="0" borderId="23" xfId="0" applyFont="1" applyBorder="1" applyAlignment="1">
      <alignment horizontal="center"/>
    </xf>
    <xf numFmtId="0" fontId="0" fillId="0" borderId="47" xfId="0" applyBorder="1" applyAlignment="1">
      <alignment horizontal="center"/>
    </xf>
    <xf numFmtId="0" fontId="0" fillId="0" borderId="22" xfId="0" applyBorder="1" applyAlignment="1">
      <alignment horizontal="center"/>
    </xf>
    <xf numFmtId="0" fontId="5" fillId="0" borderId="43" xfId="0" applyFont="1" applyBorder="1" applyAlignment="1">
      <alignment horizontal="center"/>
    </xf>
    <xf numFmtId="0" fontId="5" fillId="0" borderId="22" xfId="0" applyFont="1" applyBorder="1" applyAlignment="1">
      <alignment horizontal="center" vertical="center"/>
    </xf>
    <xf numFmtId="0" fontId="5" fillId="0" borderId="47" xfId="0" applyFont="1" applyBorder="1" applyAlignment="1">
      <alignment horizontal="center" vertical="center"/>
    </xf>
    <xf numFmtId="0" fontId="5" fillId="0" borderId="43" xfId="0" applyFont="1" applyBorder="1" applyAlignment="1">
      <alignment horizontal="center" vertical="center"/>
    </xf>
    <xf numFmtId="0" fontId="25" fillId="0" borderId="30" xfId="0" applyFont="1" applyBorder="1" applyAlignment="1">
      <alignment horizontal="center"/>
    </xf>
    <xf numFmtId="0" fontId="25" fillId="0" borderId="87" xfId="0" applyFont="1" applyBorder="1" applyAlignment="1">
      <alignment horizontal="center"/>
    </xf>
    <xf numFmtId="0" fontId="25" fillId="0" borderId="88" xfId="0" applyFont="1" applyBorder="1" applyAlignment="1">
      <alignment horizontal="center"/>
    </xf>
    <xf numFmtId="0" fontId="25" fillId="0" borderId="87" xfId="0" applyFont="1" applyFill="1" applyBorder="1" applyAlignment="1">
      <alignment horizontal="center"/>
    </xf>
    <xf numFmtId="0" fontId="25" fillId="0" borderId="22" xfId="0" applyFont="1" applyBorder="1" applyAlignment="1">
      <alignment horizontal="center"/>
    </xf>
    <xf numFmtId="0" fontId="25" fillId="0" borderId="54" xfId="0" applyFont="1" applyBorder="1" applyAlignment="1">
      <alignment horizontal="center"/>
    </xf>
    <xf numFmtId="0" fontId="25" fillId="0" borderId="54" xfId="0" applyFont="1" applyFill="1" applyBorder="1" applyAlignment="1">
      <alignment horizontal="center"/>
    </xf>
    <xf numFmtId="0" fontId="25" fillId="0" borderId="16" xfId="0" applyFont="1" applyBorder="1" applyAlignment="1">
      <alignment horizontal="center"/>
    </xf>
    <xf numFmtId="0" fontId="25" fillId="0" borderId="49" xfId="0" applyFont="1" applyFill="1" applyBorder="1" applyAlignment="1">
      <alignment horizontal="center"/>
    </xf>
    <xf numFmtId="0" fontId="5" fillId="10" borderId="43" xfId="0" applyFont="1" applyFill="1" applyBorder="1" applyAlignment="1">
      <alignment horizontal="center"/>
    </xf>
    <xf numFmtId="0" fontId="0" fillId="10" borderId="47" xfId="0" applyFill="1" applyBorder="1" applyAlignment="1">
      <alignment horizontal="center"/>
    </xf>
    <xf numFmtId="0" fontId="0" fillId="10" borderId="43" xfId="0" applyFill="1" applyBorder="1" applyAlignment="1">
      <alignment horizontal="center"/>
    </xf>
    <xf numFmtId="3" fontId="5" fillId="10" borderId="22" xfId="0" applyNumberFormat="1" applyFont="1" applyFill="1" applyBorder="1" applyAlignment="1">
      <alignment horizontal="center"/>
    </xf>
    <xf numFmtId="0" fontId="4" fillId="10" borderId="47" xfId="0" applyFont="1" applyFill="1" applyBorder="1" applyAlignment="1">
      <alignment horizontal="center"/>
    </xf>
    <xf numFmtId="0" fontId="4" fillId="10" borderId="24" xfId="0" applyFont="1" applyFill="1" applyBorder="1" applyAlignment="1">
      <alignment horizontal="left"/>
    </xf>
    <xf numFmtId="0" fontId="0" fillId="10" borderId="24" xfId="0" applyFill="1" applyBorder="1" applyAlignment="1">
      <alignment horizontal="left" indent="2"/>
    </xf>
    <xf numFmtId="0" fontId="0" fillId="10" borderId="25" xfId="0" applyFill="1" applyBorder="1" applyAlignment="1">
      <alignment horizontal="left" indent="2"/>
    </xf>
    <xf numFmtId="0" fontId="4" fillId="10" borderId="31" xfId="0" applyFont="1" applyFill="1" applyBorder="1" applyAlignment="1">
      <alignment horizontal="left"/>
    </xf>
    <xf numFmtId="0" fontId="5" fillId="10" borderId="25" xfId="0" applyFont="1" applyFill="1" applyBorder="1" applyAlignment="1">
      <alignment horizontal="left" indent="2"/>
    </xf>
    <xf numFmtId="3" fontId="5" fillId="10" borderId="24" xfId="0" applyNumberFormat="1" applyFont="1" applyFill="1" applyBorder="1" applyAlignment="1">
      <alignment horizontal="left" indent="2"/>
    </xf>
    <xf numFmtId="0" fontId="5" fillId="10" borderId="24" xfId="0" applyFont="1" applyFill="1" applyBorder="1" applyAlignment="1">
      <alignment horizontal="left" vertical="center" indent="2"/>
    </xf>
    <xf numFmtId="0" fontId="5" fillId="10" borderId="25" xfId="0" applyFont="1" applyFill="1" applyBorder="1" applyAlignment="1">
      <alignment horizontal="left" vertical="center" indent="2"/>
    </xf>
    <xf numFmtId="0" fontId="5" fillId="10" borderId="31" xfId="0" applyFont="1" applyFill="1" applyBorder="1" applyAlignment="1">
      <alignment horizontal="left" vertical="center" indent="2"/>
    </xf>
    <xf numFmtId="0" fontId="29" fillId="0" borderId="0" xfId="1" applyFont="1" applyBorder="1" applyAlignment="1" applyProtection="1">
      <alignment horizontal="left"/>
    </xf>
    <xf numFmtId="0" fontId="14" fillId="0" borderId="0" xfId="0" applyFont="1" applyBorder="1" applyAlignment="1">
      <alignment horizontal="center"/>
    </xf>
    <xf numFmtId="0" fontId="15" fillId="0" borderId="0" xfId="0" applyFont="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pplyProtection="1">
      <alignment horizontal="center"/>
    </xf>
    <xf numFmtId="0" fontId="9" fillId="0" borderId="0" xfId="0" applyFont="1" applyBorder="1" applyAlignment="1" applyProtection="1">
      <alignment horizontal="left" indent="1"/>
      <protection locked="0"/>
    </xf>
    <xf numFmtId="0" fontId="28" fillId="0" borderId="0" xfId="0" applyFont="1" applyBorder="1" applyAlignment="1">
      <alignment horizontal="left" indent="1"/>
    </xf>
    <xf numFmtId="0" fontId="14" fillId="0" borderId="0" xfId="0" applyFont="1" applyBorder="1" applyAlignment="1">
      <alignment horizontal="left" indent="1"/>
    </xf>
    <xf numFmtId="0" fontId="29" fillId="0" borderId="0" xfId="1" applyFont="1" applyBorder="1" applyAlignment="1" applyProtection="1">
      <alignment horizontal="left" indent="1"/>
    </xf>
    <xf numFmtId="167" fontId="2" fillId="0" borderId="0" xfId="0" applyNumberFormat="1" applyFont="1" applyFill="1" applyBorder="1" applyAlignment="1">
      <alignment horizontal="right"/>
    </xf>
    <xf numFmtId="0" fontId="2" fillId="4" borderId="0" xfId="0" applyFont="1" applyFill="1" applyBorder="1" applyAlignment="1">
      <alignment horizontal="center"/>
    </xf>
    <xf numFmtId="0" fontId="2" fillId="0" borderId="0" xfId="0" applyFont="1" applyFill="1" applyBorder="1"/>
    <xf numFmtId="0" fontId="2" fillId="0" borderId="0" xfId="0" applyFont="1" applyBorder="1" applyAlignment="1">
      <alignment horizontal="center"/>
    </xf>
    <xf numFmtId="0" fontId="2" fillId="0" borderId="0" xfId="0" applyFont="1" applyFill="1" applyBorder="1" applyAlignment="1">
      <alignment horizontal="center"/>
    </xf>
    <xf numFmtId="0" fontId="2" fillId="9" borderId="0" xfId="0" applyFont="1" applyFill="1" applyBorder="1" applyAlignment="1">
      <alignment horizontal="center"/>
    </xf>
    <xf numFmtId="0" fontId="2" fillId="0" borderId="49" xfId="0" applyFont="1" applyFill="1" applyBorder="1" applyAlignment="1">
      <alignment horizontal="center"/>
    </xf>
    <xf numFmtId="0" fontId="2" fillId="0" borderId="49" xfId="0" applyFont="1" applyFill="1" applyBorder="1"/>
    <xf numFmtId="0" fontId="0" fillId="0" borderId="0" xfId="0" applyAlignment="1">
      <alignment horizontal="left"/>
    </xf>
    <xf numFmtId="0" fontId="0" fillId="0" borderId="0" xfId="0" applyNumberFormat="1"/>
    <xf numFmtId="0" fontId="39" fillId="14" borderId="89" xfId="0" applyNumberFormat="1" applyFont="1" applyFill="1" applyBorder="1"/>
    <xf numFmtId="0" fontId="2" fillId="0" borderId="24" xfId="0" applyFont="1" applyBorder="1" applyAlignment="1">
      <alignment horizontal="left" indent="2"/>
    </xf>
    <xf numFmtId="0" fontId="2" fillId="0" borderId="0" xfId="0" applyFont="1" applyAlignment="1">
      <alignment horizontal="center"/>
    </xf>
    <xf numFmtId="0" fontId="2" fillId="0" borderId="24" xfId="0" applyFont="1" applyBorder="1" applyAlignment="1">
      <alignment horizontal="left" vertical="center" indent="2"/>
    </xf>
    <xf numFmtId="0" fontId="2" fillId="0" borderId="8" xfId="0" applyFont="1" applyFill="1" applyBorder="1"/>
    <xf numFmtId="0" fontId="2" fillId="4" borderId="24" xfId="0" applyFont="1" applyFill="1" applyBorder="1" applyAlignment="1">
      <alignment horizontal="left" indent="2"/>
    </xf>
    <xf numFmtId="0" fontId="2" fillId="0" borderId="0" xfId="0" applyFont="1" applyAlignment="1">
      <alignment vertical="center"/>
    </xf>
    <xf numFmtId="0" fontId="41" fillId="0" borderId="0" xfId="0" applyFont="1"/>
    <xf numFmtId="0" fontId="42" fillId="0" borderId="0" xfId="0" applyFont="1"/>
    <xf numFmtId="0" fontId="0" fillId="0" borderId="8" xfId="0" applyBorder="1"/>
    <xf numFmtId="0" fontId="0" fillId="0" borderId="22" xfId="0" applyBorder="1"/>
    <xf numFmtId="3" fontId="0" fillId="0" borderId="22" xfId="0" applyNumberFormat="1" applyBorder="1"/>
    <xf numFmtId="14" fontId="44" fillId="0" borderId="45" xfId="0" applyNumberFormat="1" applyFont="1" applyFill="1" applyBorder="1" applyAlignment="1">
      <alignment horizontal="center" vertical="center"/>
    </xf>
    <xf numFmtId="14" fontId="51" fillId="0" borderId="45" xfId="0" applyNumberFormat="1" applyFont="1" applyFill="1" applyBorder="1" applyAlignment="1">
      <alignment horizontal="center" vertical="center"/>
    </xf>
    <xf numFmtId="0" fontId="2" fillId="10" borderId="24" xfId="0" applyFont="1" applyFill="1" applyBorder="1" applyAlignment="1">
      <alignment horizontal="left" indent="2"/>
    </xf>
    <xf numFmtId="0" fontId="2" fillId="10" borderId="25" xfId="0" applyFont="1" applyFill="1" applyBorder="1" applyAlignment="1">
      <alignment horizontal="left" indent="2"/>
    </xf>
    <xf numFmtId="0" fontId="54" fillId="0" borderId="0" xfId="0" applyFont="1"/>
    <xf numFmtId="3" fontId="6" fillId="0" borderId="0" xfId="0" applyNumberFormat="1" applyFont="1" applyBorder="1"/>
    <xf numFmtId="0" fontId="6" fillId="0" borderId="0" xfId="0" applyFont="1"/>
    <xf numFmtId="0" fontId="50" fillId="0" borderId="0" xfId="0" applyFont="1"/>
    <xf numFmtId="14" fontId="51" fillId="0" borderId="0" xfId="0" applyNumberFormat="1" applyFont="1" applyFill="1" applyBorder="1" applyAlignment="1">
      <alignment horizontal="center" vertical="center"/>
    </xf>
    <xf numFmtId="0" fontId="49" fillId="0" borderId="56" xfId="0" applyFont="1" applyBorder="1" applyAlignment="1">
      <alignment horizontal="left"/>
    </xf>
    <xf numFmtId="0" fontId="49" fillId="0" borderId="0" xfId="0" applyFont="1" applyAlignment="1">
      <alignment horizontal="left"/>
    </xf>
    <xf numFmtId="0" fontId="57" fillId="0" borderId="0" xfId="0" applyFont="1" applyBorder="1" applyAlignment="1">
      <alignment horizontal="center"/>
    </xf>
    <xf numFmtId="14" fontId="57" fillId="0" borderId="0" xfId="0" applyNumberFormat="1" applyFont="1" applyFill="1" applyBorder="1" applyAlignment="1">
      <alignment horizontal="center" vertical="center"/>
    </xf>
    <xf numFmtId="0" fontId="56" fillId="0" borderId="56" xfId="0" applyFont="1" applyBorder="1" applyAlignment="1">
      <alignment horizontal="left"/>
    </xf>
    <xf numFmtId="14" fontId="57" fillId="0" borderId="45" xfId="0" applyNumberFormat="1" applyFont="1" applyFill="1" applyBorder="1" applyAlignment="1">
      <alignment horizontal="center" vertical="center"/>
    </xf>
    <xf numFmtId="3" fontId="57" fillId="0" borderId="0" xfId="0" applyNumberFormat="1" applyFont="1" applyFill="1" applyBorder="1" applyAlignment="1">
      <alignment horizontal="right"/>
    </xf>
    <xf numFmtId="0" fontId="57" fillId="0" borderId="0" xfId="0" applyFont="1" applyFill="1" applyBorder="1" applyAlignment="1">
      <alignment horizontal="center"/>
    </xf>
    <xf numFmtId="3" fontId="57" fillId="0" borderId="0" xfId="0" applyNumberFormat="1" applyFont="1" applyBorder="1" applyAlignment="1">
      <alignment horizontal="right"/>
    </xf>
    <xf numFmtId="14" fontId="57" fillId="0" borderId="0" xfId="0" applyNumberFormat="1" applyFont="1" applyBorder="1" applyAlignment="1">
      <alignment horizontal="center" vertical="center"/>
    </xf>
    <xf numFmtId="0" fontId="2" fillId="0" borderId="7" xfId="0" applyFont="1" applyFill="1" applyBorder="1" applyAlignment="1">
      <alignment horizontal="left" vertical="center" indent="1"/>
    </xf>
    <xf numFmtId="3" fontId="2" fillId="0" borderId="37" xfId="0" applyNumberFormat="1" applyFont="1" applyBorder="1" applyAlignment="1">
      <alignment horizontal="right" vertical="center"/>
    </xf>
    <xf numFmtId="0" fontId="2" fillId="0" borderId="7" xfId="0" applyFont="1" applyFill="1" applyBorder="1" applyAlignment="1">
      <alignment horizontal="left" vertical="center" indent="4"/>
    </xf>
    <xf numFmtId="0" fontId="2" fillId="0" borderId="7" xfId="0" applyFont="1" applyFill="1" applyBorder="1" applyAlignment="1">
      <alignment horizontal="left" vertical="center" indent="2"/>
    </xf>
    <xf numFmtId="167" fontId="2" fillId="0" borderId="37" xfId="0" applyNumberFormat="1" applyFont="1" applyBorder="1" applyAlignment="1">
      <alignment horizontal="right" vertical="center"/>
    </xf>
    <xf numFmtId="165" fontId="7" fillId="0" borderId="8" xfId="0" applyNumberFormat="1" applyFont="1" applyBorder="1" applyAlignment="1">
      <alignment vertical="center"/>
    </xf>
    <xf numFmtId="3" fontId="2" fillId="0" borderId="37" xfId="0" applyNumberFormat="1" applyFont="1" applyFill="1" applyBorder="1" applyAlignment="1">
      <alignment horizontal="right" vertical="center"/>
    </xf>
    <xf numFmtId="166" fontId="4" fillId="0" borderId="37" xfId="0" applyNumberFormat="1" applyFont="1" applyBorder="1" applyAlignment="1">
      <alignment horizontal="right" vertical="center"/>
    </xf>
    <xf numFmtId="0" fontId="2" fillId="3" borderId="7" xfId="0" applyFont="1" applyFill="1" applyBorder="1" applyAlignment="1">
      <alignment horizontal="left" vertical="center" indent="1"/>
    </xf>
    <xf numFmtId="1" fontId="2" fillId="0" borderId="37" xfId="0" applyNumberFormat="1" applyFont="1" applyBorder="1" applyAlignment="1">
      <alignment horizontal="right" vertical="center"/>
    </xf>
    <xf numFmtId="1" fontId="4" fillId="0" borderId="37" xfId="0" applyNumberFormat="1" applyFont="1" applyBorder="1" applyAlignment="1">
      <alignment horizontal="right" vertical="center"/>
    </xf>
    <xf numFmtId="0" fontId="2" fillId="0" borderId="35" xfId="0" applyFont="1" applyBorder="1" applyAlignment="1">
      <alignment horizontal="left" vertical="center" indent="10"/>
    </xf>
    <xf numFmtId="1" fontId="2" fillId="0" borderId="40" xfId="0" applyNumberFormat="1" applyFont="1" applyBorder="1" applyAlignment="1">
      <alignment horizontal="right" vertical="center"/>
    </xf>
    <xf numFmtId="3" fontId="2" fillId="0" borderId="40" xfId="0" applyNumberFormat="1" applyFont="1" applyBorder="1" applyAlignment="1">
      <alignment horizontal="right" vertical="center"/>
    </xf>
    <xf numFmtId="0" fontId="2" fillId="0" borderId="7" xfId="0" applyFont="1" applyBorder="1" applyAlignment="1">
      <alignment horizontal="left" vertical="center" indent="2"/>
    </xf>
    <xf numFmtId="1" fontId="2" fillId="0" borderId="37" xfId="0" applyNumberFormat="1" applyFont="1" applyFill="1" applyBorder="1" applyAlignment="1">
      <alignment horizontal="right" vertical="center"/>
    </xf>
    <xf numFmtId="3" fontId="2" fillId="3" borderId="37" xfId="0" applyNumberFormat="1" applyFont="1" applyFill="1" applyBorder="1" applyAlignment="1">
      <alignment horizontal="right" vertical="center"/>
    </xf>
    <xf numFmtId="167" fontId="2" fillId="0" borderId="37" xfId="0" applyNumberFormat="1" applyFont="1" applyFill="1" applyBorder="1" applyAlignment="1">
      <alignment horizontal="right" vertical="center"/>
    </xf>
    <xf numFmtId="168" fontId="2" fillId="3" borderId="37" xfId="0" applyNumberFormat="1" applyFont="1" applyFill="1" applyBorder="1" applyAlignment="1">
      <alignment horizontal="right" vertical="center"/>
    </xf>
    <xf numFmtId="168" fontId="2" fillId="0" borderId="37" xfId="0" applyNumberFormat="1" applyFont="1" applyBorder="1" applyAlignment="1">
      <alignment horizontal="right" vertical="center"/>
    </xf>
    <xf numFmtId="0" fontId="2" fillId="0" borderId="38" xfId="0" applyFont="1" applyBorder="1" applyAlignment="1">
      <alignment horizontal="left" vertical="center" indent="2"/>
    </xf>
    <xf numFmtId="168" fontId="2" fillId="3" borderId="52" xfId="0" applyNumberFormat="1" applyFont="1" applyFill="1" applyBorder="1" applyAlignment="1">
      <alignment horizontal="right" vertical="center"/>
    </xf>
    <xf numFmtId="168" fontId="2" fillId="0" borderId="52" xfId="0" applyNumberFormat="1" applyFont="1" applyBorder="1" applyAlignment="1">
      <alignment horizontal="right" vertical="center"/>
    </xf>
    <xf numFmtId="0" fontId="2" fillId="2" borderId="5" xfId="0" applyFont="1" applyFill="1" applyBorder="1" applyAlignment="1">
      <alignment vertical="center"/>
    </xf>
    <xf numFmtId="0" fontId="2" fillId="2" borderId="5" xfId="0" applyFont="1" applyFill="1" applyBorder="1" applyAlignment="1">
      <alignment horizontal="right" vertical="center"/>
    </xf>
    <xf numFmtId="0" fontId="2" fillId="3" borderId="7" xfId="0" applyFont="1" applyFill="1" applyBorder="1" applyAlignment="1">
      <alignment horizontal="left" vertical="center" indent="4"/>
    </xf>
    <xf numFmtId="0" fontId="2" fillId="2" borderId="12" xfId="0" applyFont="1" applyFill="1" applyBorder="1" applyAlignment="1">
      <alignment horizontal="right" vertical="center"/>
    </xf>
    <xf numFmtId="3" fontId="2" fillId="0" borderId="0" xfId="0" applyNumberFormat="1" applyFont="1" applyBorder="1" applyAlignment="1">
      <alignment horizontal="right" vertical="center"/>
    </xf>
    <xf numFmtId="0" fontId="2" fillId="0" borderId="7" xfId="0" applyFont="1" applyBorder="1" applyAlignment="1">
      <alignment horizontal="left" vertical="center" indent="1"/>
    </xf>
    <xf numFmtId="0" fontId="2" fillId="2" borderId="3" xfId="0" applyFont="1" applyFill="1" applyBorder="1" applyAlignment="1">
      <alignment horizontal="right" vertical="center"/>
    </xf>
    <xf numFmtId="0" fontId="2" fillId="0" borderId="35" xfId="0" applyFont="1" applyBorder="1" applyAlignment="1">
      <alignment horizontal="left" vertical="center" indent="2"/>
    </xf>
    <xf numFmtId="3" fontId="2" fillId="0" borderId="40" xfId="0" applyNumberFormat="1" applyFont="1" applyFill="1" applyBorder="1" applyAlignment="1">
      <alignment horizontal="right" vertical="center"/>
    </xf>
    <xf numFmtId="0" fontId="2" fillId="3" borderId="7" xfId="0" applyFont="1" applyFill="1" applyBorder="1" applyAlignment="1">
      <alignment horizontal="left" vertical="center" indent="2"/>
    </xf>
    <xf numFmtId="166" fontId="2" fillId="0" borderId="37" xfId="0" applyNumberFormat="1" applyFont="1" applyBorder="1" applyAlignment="1">
      <alignment horizontal="right" vertical="center"/>
    </xf>
    <xf numFmtId="166" fontId="2" fillId="0" borderId="37" xfId="0" applyNumberFormat="1" applyFont="1" applyFill="1" applyBorder="1" applyAlignment="1">
      <alignment horizontal="right" vertical="center"/>
    </xf>
    <xf numFmtId="0" fontId="2" fillId="3" borderId="38" xfId="0" applyFont="1" applyFill="1" applyBorder="1" applyAlignment="1">
      <alignment horizontal="left" vertical="center" indent="2"/>
    </xf>
    <xf numFmtId="4" fontId="2" fillId="0" borderId="52" xfId="0" applyNumberFormat="1" applyFont="1" applyBorder="1" applyAlignment="1">
      <alignment horizontal="right" vertical="center"/>
    </xf>
    <xf numFmtId="0" fontId="2" fillId="0" borderId="41" xfId="0" applyFont="1" applyFill="1" applyBorder="1" applyAlignment="1">
      <alignment horizontal="left" vertical="center" indent="2"/>
    </xf>
    <xf numFmtId="3" fontId="2" fillId="0" borderId="81" xfId="0" applyNumberFormat="1" applyFont="1" applyBorder="1" applyAlignment="1">
      <alignment horizontal="right" vertical="center"/>
    </xf>
    <xf numFmtId="3" fontId="2" fillId="0" borderId="81" xfId="0" applyNumberFormat="1" applyFont="1" applyFill="1" applyBorder="1" applyAlignment="1">
      <alignment horizontal="right" vertical="center"/>
    </xf>
    <xf numFmtId="0" fontId="2" fillId="0" borderId="24" xfId="0" applyFont="1" applyFill="1" applyBorder="1" applyAlignment="1">
      <alignment horizontal="left" vertical="center" indent="2"/>
    </xf>
    <xf numFmtId="167" fontId="2" fillId="3" borderId="37" xfId="0" applyNumberFormat="1" applyFont="1" applyFill="1" applyBorder="1" applyAlignment="1">
      <alignment horizontal="right" vertical="center"/>
    </xf>
    <xf numFmtId="0" fontId="2" fillId="3" borderId="24" xfId="0" applyFont="1" applyFill="1" applyBorder="1" applyAlignment="1">
      <alignment horizontal="left" vertical="center" indent="2"/>
    </xf>
    <xf numFmtId="0" fontId="2" fillId="3" borderId="25" xfId="0" applyFont="1" applyFill="1" applyBorder="1" applyAlignment="1">
      <alignment horizontal="left" vertical="center" indent="2"/>
    </xf>
    <xf numFmtId="167" fontId="2" fillId="3" borderId="40" xfId="0" applyNumberFormat="1" applyFont="1" applyFill="1" applyBorder="1" applyAlignment="1">
      <alignment horizontal="right" vertical="center"/>
    </xf>
    <xf numFmtId="167" fontId="2" fillId="0" borderId="40" xfId="0" applyNumberFormat="1" applyFont="1" applyBorder="1" applyAlignment="1">
      <alignment horizontal="right" vertical="center"/>
    </xf>
    <xf numFmtId="0" fontId="0" fillId="10" borderId="0" xfId="0" applyFill="1" applyBorder="1" applyAlignment="1">
      <alignment vertical="center"/>
    </xf>
    <xf numFmtId="0" fontId="0" fillId="10" borderId="20" xfId="0" applyFill="1" applyBorder="1" applyAlignment="1">
      <alignment vertical="center"/>
    </xf>
    <xf numFmtId="0" fontId="2" fillId="0" borderId="0" xfId="0" applyFont="1" applyAlignment="1">
      <alignment horizontal="left" indent="2"/>
    </xf>
    <xf numFmtId="0" fontId="58" fillId="0" borderId="0" xfId="0" applyFont="1" applyAlignment="1">
      <alignment vertical="center"/>
    </xf>
    <xf numFmtId="0" fontId="0" fillId="0" borderId="0" xfId="0" applyAlignment="1">
      <alignment horizontal="right" vertical="center"/>
    </xf>
    <xf numFmtId="0" fontId="2" fillId="0" borderId="35" xfId="0" applyFont="1" applyBorder="1" applyAlignment="1">
      <alignment horizontal="left" vertical="center" wrapText="1" indent="2"/>
    </xf>
    <xf numFmtId="0" fontId="5" fillId="0" borderId="0" xfId="0" applyNumberFormat="1" applyFont="1" applyBorder="1" applyAlignment="1">
      <alignment horizontal="right"/>
    </xf>
    <xf numFmtId="0" fontId="5" fillId="0" borderId="8" xfId="0" applyNumberFormat="1" applyFont="1" applyBorder="1" applyAlignment="1">
      <alignment horizontal="right"/>
    </xf>
    <xf numFmtId="0" fontId="59" fillId="0" borderId="0" xfId="0" applyFont="1"/>
    <xf numFmtId="0" fontId="60" fillId="0" borderId="24" xfId="0" applyFont="1" applyBorder="1" applyAlignment="1">
      <alignment horizontal="left" indent="2"/>
    </xf>
    <xf numFmtId="0" fontId="60" fillId="11" borderId="0" xfId="0" applyFont="1" applyFill="1" applyBorder="1" applyAlignment="1">
      <alignment horizontal="center"/>
    </xf>
    <xf numFmtId="0" fontId="60" fillId="0" borderId="0" xfId="0" applyFont="1" applyFill="1" applyBorder="1"/>
    <xf numFmtId="14" fontId="61" fillId="0" borderId="45" xfId="0" applyNumberFormat="1" applyFont="1" applyFill="1" applyBorder="1" applyAlignment="1">
      <alignment horizontal="center" vertical="center"/>
    </xf>
    <xf numFmtId="3" fontId="60" fillId="0" borderId="24" xfId="0" applyNumberFormat="1" applyFont="1" applyBorder="1" applyAlignment="1">
      <alignment horizontal="right"/>
    </xf>
    <xf numFmtId="3" fontId="60" fillId="0" borderId="0" xfId="0" applyNumberFormat="1" applyFont="1" applyBorder="1" applyAlignment="1">
      <alignment horizontal="right"/>
    </xf>
    <xf numFmtId="3" fontId="60" fillId="0" borderId="8" xfId="0" applyNumberFormat="1" applyFont="1" applyBorder="1" applyAlignment="1">
      <alignment horizontal="right"/>
    </xf>
    <xf numFmtId="3" fontId="60" fillId="0" borderId="0" xfId="0" applyNumberFormat="1" applyFont="1" applyFill="1" applyBorder="1" applyAlignment="1">
      <alignment horizontal="right"/>
    </xf>
    <xf numFmtId="3" fontId="60" fillId="0" borderId="22" xfId="0" applyNumberFormat="1" applyFont="1" applyBorder="1" applyAlignment="1">
      <alignment horizontal="right"/>
    </xf>
    <xf numFmtId="3" fontId="60" fillId="5" borderId="0" xfId="0" applyNumberFormat="1" applyFont="1" applyFill="1" applyBorder="1" applyAlignment="1">
      <alignment horizontal="right"/>
    </xf>
    <xf numFmtId="3" fontId="60" fillId="5" borderId="22" xfId="0" applyNumberFormat="1" applyFont="1" applyFill="1" applyBorder="1" applyAlignment="1">
      <alignment horizontal="right"/>
    </xf>
    <xf numFmtId="3" fontId="60" fillId="5" borderId="8" xfId="0" applyNumberFormat="1" applyFont="1" applyFill="1" applyBorder="1" applyAlignment="1">
      <alignment horizontal="right"/>
    </xf>
    <xf numFmtId="3" fontId="60" fillId="0" borderId="45" xfId="0" applyNumberFormat="1" applyFont="1" applyBorder="1" applyAlignment="1">
      <alignment horizontal="right"/>
    </xf>
    <xf numFmtId="0" fontId="60" fillId="0" borderId="0" xfId="0" applyFont="1"/>
    <xf numFmtId="0" fontId="35" fillId="0" borderId="0" xfId="0" applyFont="1" applyAlignment="1">
      <alignment vertical="center"/>
    </xf>
    <xf numFmtId="1" fontId="35" fillId="0" borderId="0" xfId="0" applyNumberFormat="1" applyFont="1" applyAlignment="1">
      <alignment vertical="center"/>
    </xf>
    <xf numFmtId="0" fontId="5" fillId="0" borderId="45" xfId="0" applyNumberFormat="1" applyFont="1" applyBorder="1" applyAlignment="1">
      <alignment horizontal="right"/>
    </xf>
    <xf numFmtId="3" fontId="2" fillId="0" borderId="0" xfId="0" applyNumberFormat="1" applyFont="1" applyFill="1" applyBorder="1" applyAlignment="1">
      <alignment horizontal="right"/>
    </xf>
    <xf numFmtId="3" fontId="2" fillId="0" borderId="22" xfId="0" applyNumberFormat="1" applyFont="1" applyFill="1" applyBorder="1" applyAlignment="1">
      <alignment horizontal="right"/>
    </xf>
    <xf numFmtId="3" fontId="2" fillId="0" borderId="8" xfId="0" applyNumberFormat="1" applyFont="1" applyFill="1" applyBorder="1" applyAlignment="1">
      <alignment horizontal="right"/>
    </xf>
    <xf numFmtId="3" fontId="2" fillId="0" borderId="45" xfId="0" applyNumberFormat="1" applyFont="1" applyFill="1" applyBorder="1" applyAlignment="1">
      <alignment horizontal="right"/>
    </xf>
    <xf numFmtId="0" fontId="35" fillId="0" borderId="24" xfId="0" applyFont="1" applyFill="1" applyBorder="1" applyAlignment="1">
      <alignment horizontal="left" indent="2"/>
    </xf>
    <xf numFmtId="3" fontId="5" fillId="9" borderId="0" xfId="0" applyNumberFormat="1" applyFont="1" applyFill="1" applyBorder="1" applyAlignment="1">
      <alignment horizontal="right"/>
    </xf>
    <xf numFmtId="3" fontId="5" fillId="9" borderId="22" xfId="0" applyNumberFormat="1" applyFont="1" applyFill="1" applyBorder="1" applyAlignment="1">
      <alignment horizontal="right"/>
    </xf>
    <xf numFmtId="3" fontId="5" fillId="9" borderId="8" xfId="0" applyNumberFormat="1" applyFont="1" applyFill="1" applyBorder="1" applyAlignment="1">
      <alignment horizontal="right"/>
    </xf>
    <xf numFmtId="0" fontId="5" fillId="0" borderId="22" xfId="0" applyNumberFormat="1" applyFont="1" applyBorder="1" applyAlignment="1">
      <alignment horizontal="right"/>
    </xf>
    <xf numFmtId="3" fontId="2" fillId="0" borderId="0" xfId="0" applyNumberFormat="1" applyFont="1" applyBorder="1" applyAlignment="1">
      <alignment horizontal="right"/>
    </xf>
    <xf numFmtId="3" fontId="5" fillId="16" borderId="0" xfId="0" applyNumberFormat="1" applyFont="1" applyFill="1" applyBorder="1" applyAlignment="1">
      <alignment horizontal="right"/>
    </xf>
    <xf numFmtId="3" fontId="62" fillId="16" borderId="0" xfId="20" applyNumberFormat="1" applyFill="1" applyBorder="1" applyAlignment="1">
      <alignment horizontal="right"/>
    </xf>
    <xf numFmtId="3" fontId="0" fillId="16" borderId="0" xfId="0" applyNumberFormat="1" applyFill="1" applyBorder="1" applyAlignment="1">
      <alignment horizontal="right"/>
    </xf>
    <xf numFmtId="0" fontId="23" fillId="16" borderId="0" xfId="0" applyFont="1" applyFill="1" applyBorder="1" applyAlignment="1">
      <alignment horizontal="left" vertical="center"/>
    </xf>
    <xf numFmtId="0" fontId="16" fillId="0" borderId="0" xfId="0" applyFont="1" applyAlignment="1">
      <alignment horizontal="left"/>
    </xf>
    <xf numFmtId="0" fontId="28" fillId="0" borderId="0" xfId="0" applyFont="1" applyBorder="1" applyAlignment="1">
      <alignment horizontal="center" vertical="center"/>
    </xf>
    <xf numFmtId="0" fontId="28" fillId="0" borderId="0" xfId="0" applyFont="1" applyBorder="1" applyAlignment="1">
      <alignment horizontal="center"/>
    </xf>
    <xf numFmtId="0" fontId="2" fillId="17" borderId="0" xfId="0" applyFont="1" applyFill="1" applyAlignment="1">
      <alignment horizontal="center"/>
    </xf>
    <xf numFmtId="0" fontId="50" fillId="0" borderId="0" xfId="0" applyFont="1" applyBorder="1" applyAlignment="1">
      <alignment horizontal="center"/>
    </xf>
    <xf numFmtId="3" fontId="5" fillId="13" borderId="0" xfId="0" applyNumberFormat="1" applyFont="1" applyFill="1" applyAlignment="1">
      <alignment horizontal="right"/>
    </xf>
    <xf numFmtId="0" fontId="2" fillId="0" borderId="0" xfId="0" applyFont="1"/>
    <xf numFmtId="0" fontId="16" fillId="0" borderId="0" xfId="0" applyFont="1" applyFill="1"/>
    <xf numFmtId="0" fontId="16" fillId="0" borderId="0" xfId="0" applyFont="1" applyFill="1" applyAlignment="1">
      <alignment vertical="center"/>
    </xf>
    <xf numFmtId="0" fontId="0" fillId="0" borderId="0" xfId="0" applyFill="1"/>
    <xf numFmtId="0" fontId="5" fillId="0" borderId="0" xfId="0" applyFont="1" applyFill="1"/>
    <xf numFmtId="0" fontId="5" fillId="0" borderId="0" xfId="0" applyFont="1" applyFill="1" applyAlignment="1">
      <alignment vertical="center"/>
    </xf>
    <xf numFmtId="170" fontId="23" fillId="0" borderId="0" xfId="2" applyNumberFormat="1" applyFont="1" applyFill="1" applyAlignment="1">
      <alignment horizontal="right"/>
    </xf>
    <xf numFmtId="170" fontId="16" fillId="0" borderId="0" xfId="2" applyNumberFormat="1" applyFont="1" applyFill="1" applyAlignment="1">
      <alignment horizontal="right"/>
    </xf>
    <xf numFmtId="169" fontId="16" fillId="0" borderId="0" xfId="2" applyNumberFormat="1" applyFont="1" applyFill="1" applyAlignment="1">
      <alignment horizontal="right"/>
    </xf>
    <xf numFmtId="2" fontId="16" fillId="0" borderId="0" xfId="0" applyNumberFormat="1" applyFont="1" applyFill="1"/>
    <xf numFmtId="0" fontId="0" fillId="10" borderId="22" xfId="0" applyFill="1" applyBorder="1" applyAlignment="1">
      <alignment vertical="center"/>
    </xf>
    <xf numFmtId="0" fontId="0" fillId="0" borderId="20" xfId="0" applyFill="1" applyBorder="1" applyAlignment="1">
      <alignment vertical="center"/>
    </xf>
    <xf numFmtId="0" fontId="0" fillId="0" borderId="22" xfId="0" applyFill="1" applyBorder="1" applyAlignment="1">
      <alignment vertical="center"/>
    </xf>
    <xf numFmtId="3" fontId="63" fillId="18" borderId="0" xfId="21" applyNumberFormat="1"/>
    <xf numFmtId="0" fontId="63" fillId="18" borderId="0" xfId="21"/>
    <xf numFmtId="173" fontId="0" fillId="0" borderId="0" xfId="0" applyNumberFormat="1"/>
    <xf numFmtId="173" fontId="63" fillId="18" borderId="0" xfId="21" applyNumberFormat="1"/>
    <xf numFmtId="14" fontId="64" fillId="0" borderId="45" xfId="0" applyNumberFormat="1" applyFont="1" applyFill="1" applyBorder="1" applyAlignment="1">
      <alignment horizontal="center" vertical="center"/>
    </xf>
    <xf numFmtId="167" fontId="5" fillId="0" borderId="24" xfId="0" applyNumberFormat="1" applyFont="1" applyFill="1" applyBorder="1" applyAlignment="1">
      <alignment horizontal="right"/>
    </xf>
    <xf numFmtId="167" fontId="5" fillId="0" borderId="8" xfId="0" applyNumberFormat="1" applyFont="1" applyFill="1" applyBorder="1" applyAlignment="1">
      <alignment horizontal="right"/>
    </xf>
    <xf numFmtId="0" fontId="65" fillId="0" borderId="24" xfId="0" applyFont="1" applyBorder="1" applyAlignment="1">
      <alignment horizontal="left" vertical="center" indent="2"/>
    </xf>
    <xf numFmtId="0" fontId="65" fillId="0" borderId="0" xfId="0" applyFont="1" applyAlignment="1">
      <alignment horizontal="center"/>
    </xf>
    <xf numFmtId="0" fontId="60" fillId="0" borderId="8" xfId="0" applyFont="1" applyFill="1" applyBorder="1"/>
    <xf numFmtId="0" fontId="65" fillId="4" borderId="24" xfId="0" applyFont="1" applyFill="1" applyBorder="1" applyAlignment="1">
      <alignment horizontal="left" indent="2"/>
    </xf>
    <xf numFmtId="0" fontId="60" fillId="0" borderId="0" xfId="0" applyFont="1" applyBorder="1" applyAlignment="1">
      <alignment horizontal="center"/>
    </xf>
    <xf numFmtId="0" fontId="60" fillId="4" borderId="0" xfId="0" applyFont="1" applyFill="1" applyBorder="1" applyAlignment="1">
      <alignment horizontal="center"/>
    </xf>
    <xf numFmtId="3" fontId="60" fillId="4" borderId="0" xfId="0" applyNumberFormat="1" applyFont="1" applyFill="1" applyBorder="1" applyAlignment="1">
      <alignment horizontal="right"/>
    </xf>
    <xf numFmtId="3" fontId="60" fillId="4" borderId="8" xfId="0" applyNumberFormat="1" applyFont="1" applyFill="1" applyBorder="1" applyAlignment="1">
      <alignment horizontal="right"/>
    </xf>
    <xf numFmtId="3" fontId="60" fillId="4" borderId="22" xfId="0" applyNumberFormat="1" applyFont="1" applyFill="1" applyBorder="1" applyAlignment="1">
      <alignment horizontal="right"/>
    </xf>
    <xf numFmtId="3" fontId="60" fillId="4" borderId="45" xfId="0" applyNumberFormat="1" applyFont="1" applyFill="1" applyBorder="1" applyAlignment="1">
      <alignment horizontal="right"/>
    </xf>
    <xf numFmtId="4" fontId="60" fillId="0" borderId="0" xfId="0" applyNumberFormat="1" applyFont="1" applyBorder="1" applyAlignment="1">
      <alignment horizontal="right"/>
    </xf>
    <xf numFmtId="4" fontId="60" fillId="0" borderId="8" xfId="0" applyNumberFormat="1" applyFont="1" applyBorder="1" applyAlignment="1">
      <alignment horizontal="right"/>
    </xf>
    <xf numFmtId="3" fontId="60" fillId="9" borderId="0" xfId="0" applyNumberFormat="1" applyFont="1" applyFill="1" applyBorder="1" applyAlignment="1">
      <alignment horizontal="right"/>
    </xf>
    <xf numFmtId="3" fontId="60" fillId="9" borderId="22" xfId="0" applyNumberFormat="1" applyFont="1" applyFill="1" applyBorder="1" applyAlignment="1">
      <alignment horizontal="right"/>
    </xf>
    <xf numFmtId="3" fontId="60" fillId="9" borderId="8" xfId="0" applyNumberFormat="1" applyFont="1" applyFill="1" applyBorder="1" applyAlignment="1">
      <alignment horizontal="right"/>
    </xf>
    <xf numFmtId="3" fontId="60" fillId="9" borderId="45" xfId="0" applyNumberFormat="1" applyFont="1" applyFill="1" applyBorder="1" applyAlignment="1">
      <alignment horizontal="right"/>
    </xf>
    <xf numFmtId="4" fontId="60" fillId="0" borderId="0" xfId="0" applyNumberFormat="1" applyFont="1" applyFill="1" applyBorder="1" applyAlignment="1">
      <alignment horizontal="right"/>
    </xf>
    <xf numFmtId="3" fontId="60" fillId="4" borderId="24" xfId="0" applyNumberFormat="1" applyFont="1" applyFill="1" applyBorder="1" applyAlignment="1">
      <alignment horizontal="right"/>
    </xf>
    <xf numFmtId="4" fontId="60" fillId="0" borderId="24" xfId="0" applyNumberFormat="1" applyFont="1" applyBorder="1" applyAlignment="1">
      <alignment horizontal="right"/>
    </xf>
    <xf numFmtId="4" fontId="60" fillId="0" borderId="22" xfId="0" applyNumberFormat="1" applyFont="1" applyBorder="1" applyAlignment="1">
      <alignment horizontal="right"/>
    </xf>
    <xf numFmtId="173" fontId="0" fillId="0" borderId="0" xfId="2" applyNumberFormat="1" applyFont="1"/>
    <xf numFmtId="167" fontId="2" fillId="4" borderId="0" xfId="0" applyNumberFormat="1" applyFont="1" applyFill="1" applyBorder="1" applyAlignment="1">
      <alignment horizontal="right"/>
    </xf>
    <xf numFmtId="14" fontId="66" fillId="0" borderId="45" xfId="0" applyNumberFormat="1" applyFont="1" applyFill="1" applyBorder="1" applyAlignment="1">
      <alignment horizontal="center" vertical="center"/>
    </xf>
    <xf numFmtId="3" fontId="35" fillId="0" borderId="0" xfId="0" applyNumberFormat="1" applyFont="1"/>
    <xf numFmtId="3" fontId="35" fillId="0" borderId="22" xfId="0" applyNumberFormat="1" applyFont="1" applyBorder="1"/>
    <xf numFmtId="3" fontId="67" fillId="0" borderId="45" xfId="0" applyNumberFormat="1" applyFont="1" applyFill="1" applyBorder="1" applyAlignment="1">
      <alignment horizontal="right"/>
    </xf>
    <xf numFmtId="0" fontId="2" fillId="13" borderId="0" xfId="0" applyFont="1" applyFill="1" applyAlignment="1" applyProtection="1">
      <alignment vertical="center"/>
      <protection locked="0"/>
    </xf>
    <xf numFmtId="167" fontId="2" fillId="0" borderId="40" xfId="0" applyNumberFormat="1" applyFont="1" applyFill="1" applyBorder="1" applyAlignment="1">
      <alignment horizontal="right" vertical="center"/>
    </xf>
    <xf numFmtId="3" fontId="35" fillId="13" borderId="0" xfId="0" applyNumberFormat="1" applyFont="1" applyFill="1" applyBorder="1" applyAlignment="1">
      <alignment horizontal="right"/>
    </xf>
    <xf numFmtId="3" fontId="63" fillId="18" borderId="0" xfId="21" applyNumberFormat="1" applyBorder="1" applyAlignment="1">
      <alignment horizontal="right"/>
    </xf>
    <xf numFmtId="3" fontId="63" fillId="18" borderId="22" xfId="21" applyNumberFormat="1" applyBorder="1" applyAlignment="1">
      <alignment horizontal="right"/>
    </xf>
    <xf numFmtId="3" fontId="35" fillId="13" borderId="22" xfId="0" applyNumberFormat="1" applyFont="1" applyFill="1" applyBorder="1" applyAlignment="1">
      <alignment horizontal="right"/>
    </xf>
    <xf numFmtId="3" fontId="35" fillId="13" borderId="8" xfId="0" applyNumberFormat="1" applyFont="1" applyFill="1" applyBorder="1" applyAlignment="1">
      <alignment horizontal="right"/>
    </xf>
    <xf numFmtId="3" fontId="63" fillId="18" borderId="8" xfId="21" applyNumberFormat="1" applyBorder="1" applyAlignment="1">
      <alignment horizontal="right"/>
    </xf>
    <xf numFmtId="3" fontId="35" fillId="13" borderId="45" xfId="0" applyNumberFormat="1" applyFont="1" applyFill="1" applyBorder="1" applyAlignment="1">
      <alignment horizontal="right"/>
    </xf>
    <xf numFmtId="3" fontId="63" fillId="18" borderId="45" xfId="21" applyNumberFormat="1" applyBorder="1" applyAlignment="1">
      <alignment horizontal="right"/>
    </xf>
    <xf numFmtId="3" fontId="35" fillId="13" borderId="24" xfId="0" applyNumberFormat="1" applyFont="1" applyFill="1" applyBorder="1" applyAlignment="1">
      <alignment horizontal="right"/>
    </xf>
    <xf numFmtId="14" fontId="63" fillId="18" borderId="45" xfId="21" applyNumberFormat="1" applyBorder="1" applyAlignment="1">
      <alignment horizontal="center" vertical="center"/>
    </xf>
    <xf numFmtId="3" fontId="35" fillId="13" borderId="0" xfId="21" applyNumberFormat="1" applyFont="1" applyFill="1" applyBorder="1" applyAlignment="1">
      <alignment horizontal="right"/>
    </xf>
    <xf numFmtId="0" fontId="8" fillId="5" borderId="35"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10" xfId="0" applyFont="1" applyFill="1" applyBorder="1" applyAlignment="1">
      <alignment horizontal="center" vertical="center"/>
    </xf>
    <xf numFmtId="0" fontId="9" fillId="5" borderId="25"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26" xfId="0" applyFont="1" applyFill="1" applyBorder="1" applyAlignment="1">
      <alignment horizontal="center" vertical="center"/>
    </xf>
    <xf numFmtId="0" fontId="9" fillId="5" borderId="75" xfId="0" applyFont="1" applyFill="1" applyBorder="1" applyAlignment="1">
      <alignment horizontal="center" vertical="center"/>
    </xf>
    <xf numFmtId="0" fontId="9" fillId="5" borderId="25" xfId="0" applyFont="1" applyFill="1" applyBorder="1" applyAlignment="1">
      <alignment horizontal="center" vertical="center"/>
    </xf>
    <xf numFmtId="0" fontId="9" fillId="5" borderId="65" xfId="0" applyFont="1" applyFill="1" applyBorder="1" applyAlignment="1">
      <alignment horizontal="center" vertical="center"/>
    </xf>
    <xf numFmtId="0" fontId="3" fillId="5" borderId="83"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75" xfId="0" applyFont="1" applyFill="1" applyBorder="1" applyAlignment="1">
      <alignment horizontal="center" vertical="center"/>
    </xf>
    <xf numFmtId="0" fontId="10" fillId="0" borderId="0" xfId="0" applyFont="1" applyFill="1" applyBorder="1" applyAlignment="1">
      <alignment horizontal="left" vertical="center" wrapText="1" indent="1"/>
    </xf>
    <xf numFmtId="0" fontId="9" fillId="0" borderId="0" xfId="0" applyFont="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left" wrapText="1"/>
    </xf>
  </cellXfs>
  <cellStyles count="22">
    <cellStyle name="Gut" xfId="21" builtinId="26"/>
    <cellStyle name="Komma" xfId="2" builtinId="3"/>
    <cellStyle name="Komma 2" xfId="15"/>
    <cellStyle name="Link" xfId="1" builtinId="8"/>
    <cellStyle name="Prozent" xfId="3" builtinId="5"/>
    <cellStyle name="Prozent 2" xfId="16"/>
    <cellStyle name="Schlecht" xfId="20" builtinId="27"/>
    <cellStyle name="Standard" xfId="0" builtinId="0"/>
    <cellStyle name="Standard 2" xfId="5"/>
    <cellStyle name="Standard 2 2" xfId="7"/>
    <cellStyle name="Standard 2 3" xfId="18"/>
    <cellStyle name="Standard 2 4" xfId="13"/>
    <cellStyle name="Standard 3" xfId="4"/>
    <cellStyle name="Standard 3 2" xfId="8"/>
    <cellStyle name="Standard 3 3" xfId="17"/>
    <cellStyle name="Standard 3 4" xfId="12"/>
    <cellStyle name="Standard 4" xfId="9"/>
    <cellStyle name="Standard 5" xfId="6"/>
    <cellStyle name="Standard 5 2" xfId="19"/>
    <cellStyle name="Standard 6" xfId="10"/>
    <cellStyle name="Standard 7" xfId="14"/>
    <cellStyle name="Standard 8" xfId="11"/>
  </cellStyles>
  <dxfs count="0"/>
  <tableStyles count="0" defaultTableStyle="TableStyleMedium2" defaultPivotStyle="PivotStyleLight16"/>
  <colors>
    <mruColors>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0.10034951881014872"/>
          <c:y val="0.18103018372703411"/>
          <c:w val="0.86824650043744533"/>
          <c:h val="0.67984179060950711"/>
        </c:manualLayout>
      </c:layout>
      <c:lineChart>
        <c:grouping val="standard"/>
        <c:varyColors val="0"/>
        <c:ser>
          <c:idx val="0"/>
          <c:order val="0"/>
          <c:tx>
            <c:strRef>
              <c:f>Grafik!$B$65</c:f>
              <c:strCache>
                <c:ptCount val="1"/>
                <c:pt idx="0">
                  <c:v>Viehhaltung - Kühe (Milchkühe und sonstige Kühe)</c:v>
                </c:pt>
              </c:strCache>
            </c:strRef>
          </c:tx>
          <c:marker>
            <c:symbol val="none"/>
          </c:marker>
          <c:cat>
            <c:numRef>
              <c:extLst>
                <c:ext xmlns:c15="http://schemas.microsoft.com/office/drawing/2012/chart" uri="{02D57815-91ED-43cb-92C2-25804820EDAC}">
                  <c15:fullRef>
                    <c15:sqref>Grafik!$F$66:$V$66</c15:sqref>
                  </c15:fullRef>
                </c:ext>
              </c:extLst>
              <c:f>(Grafik!$F$66:$G$66,Grafik!$J$66,Grafik!$M$66,Grafik!$P$66,Grafik!$T$66:$V$66)</c:f>
              <c:numCache>
                <c:formatCode>General</c:formatCode>
                <c:ptCount val="8"/>
                <c:pt idx="0">
                  <c:v>2001</c:v>
                </c:pt>
                <c:pt idx="1">
                  <c:v>2007</c:v>
                </c:pt>
                <c:pt idx="2">
                  <c:v>2010</c:v>
                </c:pt>
                <c:pt idx="3">
                  <c:v>2013</c:v>
                </c:pt>
                <c:pt idx="4">
                  <c:v>2016</c:v>
                </c:pt>
                <c:pt idx="5">
                  <c:v>2020</c:v>
                </c:pt>
                <c:pt idx="6">
                  <c:v>2021</c:v>
                </c:pt>
                <c:pt idx="7">
                  <c:v>2022</c:v>
                </c:pt>
              </c:numCache>
            </c:numRef>
          </c:cat>
          <c:val>
            <c:numRef>
              <c:extLst>
                <c:ext xmlns:c15="http://schemas.microsoft.com/office/drawing/2012/chart" uri="{02D57815-91ED-43cb-92C2-25804820EDAC}">
                  <c15:fullRef>
                    <c15:sqref>Grafik!$F$65:$V$65</c15:sqref>
                  </c15:fullRef>
                </c:ext>
              </c:extLst>
              <c:f>(Grafik!$F$65:$G$65,Grafik!$J$65,Grafik!$M$65,Grafik!$P$65,Grafik!$T$65:$V$65)</c:f>
              <c:numCache>
                <c:formatCode>General</c:formatCode>
                <c:ptCount val="8"/>
                <c:pt idx="0">
                  <c:v>16139</c:v>
                </c:pt>
                <c:pt idx="1">
                  <c:v>13832</c:v>
                </c:pt>
                <c:pt idx="2">
                  <c:v>11396</c:v>
                </c:pt>
                <c:pt idx="3">
                  <c:v>10714</c:v>
                </c:pt>
                <c:pt idx="4">
                  <c:v>10251</c:v>
                </c:pt>
                <c:pt idx="5">
                  <c:v>9020</c:v>
                </c:pt>
                <c:pt idx="6">
                  <c:v>9020</c:v>
                </c:pt>
                <c:pt idx="7">
                  <c:v>9020</c:v>
                </c:pt>
              </c:numCache>
            </c:numRef>
          </c:val>
          <c:smooth val="0"/>
          <c:extLst>
            <c:ext xmlns:c16="http://schemas.microsoft.com/office/drawing/2014/chart" uri="{C3380CC4-5D6E-409C-BE32-E72D297353CC}">
              <c16:uniqueId val="{00000000-FB15-4F8E-938B-F1BE5B2506A9}"/>
            </c:ext>
          </c:extLst>
        </c:ser>
        <c:dLbls>
          <c:showLegendKey val="0"/>
          <c:showVal val="0"/>
          <c:showCatName val="0"/>
          <c:showSerName val="0"/>
          <c:showPercent val="0"/>
          <c:showBubbleSize val="0"/>
        </c:dLbls>
        <c:smooth val="0"/>
        <c:axId val="89492096"/>
        <c:axId val="87171456"/>
      </c:lineChart>
      <c:catAx>
        <c:axId val="89492096"/>
        <c:scaling>
          <c:orientation val="minMax"/>
        </c:scaling>
        <c:delete val="0"/>
        <c:axPos val="b"/>
        <c:numFmt formatCode="General" sourceLinked="1"/>
        <c:majorTickMark val="out"/>
        <c:minorTickMark val="none"/>
        <c:tickLblPos val="nextTo"/>
        <c:crossAx val="87171456"/>
        <c:crosses val="autoZero"/>
        <c:auto val="1"/>
        <c:lblAlgn val="ctr"/>
        <c:lblOffset val="100"/>
        <c:noMultiLvlLbl val="0"/>
      </c:catAx>
      <c:valAx>
        <c:axId val="87171456"/>
        <c:scaling>
          <c:orientation val="minMax"/>
        </c:scaling>
        <c:delete val="0"/>
        <c:axPos val="l"/>
        <c:majorGridlines/>
        <c:numFmt formatCode="#,##0" sourceLinked="0"/>
        <c:majorTickMark val="out"/>
        <c:minorTickMark val="none"/>
        <c:tickLblPos val="nextTo"/>
        <c:crossAx val="89492096"/>
        <c:crosses val="autoZero"/>
        <c:crossBetween val="between"/>
      </c:valAx>
      <c:spPr>
        <a:gradFill>
          <a:gsLst>
            <a:gs pos="0">
              <a:srgbClr val="CCFFCC"/>
            </a:gs>
            <a:gs pos="75000">
              <a:schemeClr val="bg1"/>
            </a:gs>
            <a:gs pos="100000">
              <a:schemeClr val="bg1"/>
            </a:gs>
          </a:gsLst>
          <a:lin ang="5400000" scaled="0"/>
        </a:gradFill>
      </c:spPr>
    </c:plotArea>
    <c:plotVisOnly val="1"/>
    <c:dispBlanksAs val="gap"/>
    <c:showDLblsOverMax val="0"/>
  </c:chart>
  <c:spPr>
    <a:solidFill>
      <a:srgbClr val="CCFFCC"/>
    </a:solidFill>
  </c:spPr>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15" dropStyle="combo" dx="15" fmlaLink="$I$2" fmlaRange="$J$3:$J$87" noThreeD="1" sel="82" val="70"/>
</file>

<file path=xl/ctrlProps/ctrlProp2.xml><?xml version="1.0" encoding="utf-8"?>
<formControlPr xmlns="http://schemas.microsoft.com/office/spreadsheetml/2009/9/main" objectType="Drop" dropLines="10" dropStyle="combo" dx="15" fmlaLink="$G$2" fmlaRange="$H$3:$H$20" noThreeD="1" sel="17" val="8"/>
</file>

<file path=xl/ctrlProps/ctrlProp3.xml><?xml version="1.0" encoding="utf-8"?>
<formControlPr xmlns="http://schemas.microsoft.com/office/spreadsheetml/2009/9/main" objectType="Drop" dropLines="10" dropStyle="combo" dx="15" fmlaLink="$I$2" fmlaRange="$I$3:$I$20" noThreeD="1" sel="17" val="8"/>
</file>

<file path=xl/ctrlProps/ctrlProp4.xml><?xml version="1.0" encoding="utf-8"?>
<formControlPr xmlns="http://schemas.microsoft.com/office/spreadsheetml/2009/9/main" objectType="Drop" dropLines="15" dropStyle="combo" dx="15" fmlaLink="$A$2" fmlaRange="$B$40:$B$62" noThreeD="1" sel="14" val="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1781175</xdr:colOff>
      <xdr:row>27</xdr:row>
      <xdr:rowOff>152400</xdr:rowOff>
    </xdr:from>
    <xdr:to>
      <xdr:col>0</xdr:col>
      <xdr:colOff>4124325</xdr:colOff>
      <xdr:row>33</xdr:row>
      <xdr:rowOff>47625</xdr:rowOff>
    </xdr:to>
    <xdr:pic>
      <xdr:nvPicPr>
        <xdr:cNvPr id="350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175" y="6915150"/>
          <a:ext cx="23431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1</xdr:row>
          <xdr:rowOff>19050</xdr:rowOff>
        </xdr:from>
        <xdr:to>
          <xdr:col>5</xdr:col>
          <xdr:colOff>9525</xdr:colOff>
          <xdr:row>2</xdr:row>
          <xdr:rowOff>0</xdr:rowOff>
        </xdr:to>
        <xdr:sp macro="" textlink="">
          <xdr:nvSpPr>
            <xdr:cNvPr id="118828" name="Drop Down 44" hidden="1">
              <a:extLst>
                <a:ext uri="{63B3BB69-23CF-44E3-9099-C40C66FF867C}">
                  <a14:compatExt spid="_x0000_s118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0</xdr:col>
      <xdr:colOff>47625</xdr:colOff>
      <xdr:row>0</xdr:row>
      <xdr:rowOff>57150</xdr:rowOff>
    </xdr:from>
    <xdr:to>
      <xdr:col>0</xdr:col>
      <xdr:colOff>781050</xdr:colOff>
      <xdr:row>1</xdr:row>
      <xdr:rowOff>161925</xdr:rowOff>
    </xdr:to>
    <xdr:pic>
      <xdr:nvPicPr>
        <xdr:cNvPr id="119583" name="Picture 4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57150"/>
          <a:ext cx="733425" cy="381000"/>
        </a:xfrm>
        <a:prstGeom prst="rect">
          <a:avLst/>
        </a:prstGeom>
        <a:noFill/>
        <a:ln>
          <a:noFill/>
        </a:ln>
        <a:extLst>
          <a:ext uri="{909E8E84-426E-40DD-AFC4-6F175D3DCCD1}">
            <a14:hiddenFill xmlns:a14="http://schemas.microsoft.com/office/drawing/2010/main">
              <a:solidFill>
                <a:srgbClr xmlns:mc="http://schemas.openxmlformats.org/markup-compatibility/2006" val="CCFFCC" mc:Ignorable="a14" a14:legacySpreadsheetColorIndex="42">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57150</xdr:colOff>
      <xdr:row>0</xdr:row>
      <xdr:rowOff>104775</xdr:rowOff>
    </xdr:from>
    <xdr:to>
      <xdr:col>13</xdr:col>
      <xdr:colOff>238125</xdr:colOff>
      <xdr:row>0</xdr:row>
      <xdr:rowOff>219075</xdr:rowOff>
    </xdr:to>
    <xdr:sp macro="" textlink="">
      <xdr:nvSpPr>
        <xdr:cNvPr id="119584" name="AutoShape 50"/>
        <xdr:cNvSpPr>
          <a:spLocks noChangeArrowheads="1"/>
        </xdr:cNvSpPr>
      </xdr:nvSpPr>
      <xdr:spPr bwMode="auto">
        <a:xfrm>
          <a:off x="6953250" y="104775"/>
          <a:ext cx="180975" cy="114300"/>
        </a:xfrm>
        <a:prstGeom prst="rightArrow">
          <a:avLst>
            <a:gd name="adj1" fmla="val 50000"/>
            <a:gd name="adj2" fmla="val 39583"/>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971550</xdr:colOff>
          <xdr:row>1</xdr:row>
          <xdr:rowOff>285750</xdr:rowOff>
        </xdr:to>
        <xdr:sp macro="" textlink="">
          <xdr:nvSpPr>
            <xdr:cNvPr id="122890" name="Drop Down 10" hidden="1">
              <a:extLst>
                <a:ext uri="{63B3BB69-23CF-44E3-9099-C40C66FF867C}">
                  <a14:compatExt spid="_x0000_s12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0</xdr:col>
      <xdr:colOff>47625</xdr:colOff>
      <xdr:row>0</xdr:row>
      <xdr:rowOff>57150</xdr:rowOff>
    </xdr:from>
    <xdr:to>
      <xdr:col>0</xdr:col>
      <xdr:colOff>781050</xdr:colOff>
      <xdr:row>1</xdr:row>
      <xdr:rowOff>161925</xdr:rowOff>
    </xdr:to>
    <xdr:pic>
      <xdr:nvPicPr>
        <xdr:cNvPr id="123638" name="Picture 1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57150"/>
          <a:ext cx="733425" cy="381000"/>
        </a:xfrm>
        <a:prstGeom prst="rect">
          <a:avLst/>
        </a:prstGeom>
        <a:noFill/>
        <a:ln>
          <a:noFill/>
        </a:ln>
        <a:extLst>
          <a:ext uri="{909E8E84-426E-40DD-AFC4-6F175D3DCCD1}">
            <a14:hiddenFill xmlns:a14="http://schemas.microsoft.com/office/drawing/2010/main">
              <a:solidFill>
                <a:srgbClr xmlns:mc="http://schemas.openxmlformats.org/markup-compatibility/2006" val="CCFFCC" mc:Ignorable="a14" a14:legacySpreadsheetColorIndex="42">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57150</xdr:colOff>
      <xdr:row>0</xdr:row>
      <xdr:rowOff>104775</xdr:rowOff>
    </xdr:from>
    <xdr:to>
      <xdr:col>11</xdr:col>
      <xdr:colOff>238125</xdr:colOff>
      <xdr:row>0</xdr:row>
      <xdr:rowOff>219075</xdr:rowOff>
    </xdr:to>
    <xdr:sp macro="" textlink="">
      <xdr:nvSpPr>
        <xdr:cNvPr id="123639" name="AutoShape 12"/>
        <xdr:cNvSpPr>
          <a:spLocks noChangeArrowheads="1"/>
        </xdr:cNvSpPr>
      </xdr:nvSpPr>
      <xdr:spPr bwMode="auto">
        <a:xfrm>
          <a:off x="10620375" y="104775"/>
          <a:ext cx="180975" cy="114300"/>
        </a:xfrm>
        <a:prstGeom prst="rightArrow">
          <a:avLst>
            <a:gd name="adj1" fmla="val 50000"/>
            <a:gd name="adj2" fmla="val 39583"/>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0</xdr:colOff>
          <xdr:row>1</xdr:row>
          <xdr:rowOff>0</xdr:rowOff>
        </xdr:from>
        <xdr:to>
          <xdr:col>4</xdr:col>
          <xdr:colOff>0</xdr:colOff>
          <xdr:row>1</xdr:row>
          <xdr:rowOff>285750</xdr:rowOff>
        </xdr:to>
        <xdr:sp macro="" textlink="">
          <xdr:nvSpPr>
            <xdr:cNvPr id="122895" name="Drop Down 15" hidden="1">
              <a:extLst>
                <a:ext uri="{63B3BB69-23CF-44E3-9099-C40C66FF867C}">
                  <a14:compatExt spid="_x0000_s12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19050</xdr:rowOff>
        </xdr:from>
        <xdr:to>
          <xdr:col>6</xdr:col>
          <xdr:colOff>0</xdr:colOff>
          <xdr:row>1</xdr:row>
          <xdr:rowOff>276225</xdr:rowOff>
        </xdr:to>
        <xdr:sp macro="" textlink="">
          <xdr:nvSpPr>
            <xdr:cNvPr id="138242" name="Drop Down 2" hidden="1">
              <a:extLst>
                <a:ext uri="{63B3BB69-23CF-44E3-9099-C40C66FF867C}">
                  <a14:compatExt spid="_x0000_s138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xdr:col>
      <xdr:colOff>28575</xdr:colOff>
      <xdr:row>4</xdr:row>
      <xdr:rowOff>28575</xdr:rowOff>
    </xdr:from>
    <xdr:to>
      <xdr:col>7</xdr:col>
      <xdr:colOff>742950</xdr:colOff>
      <xdr:row>21</xdr:row>
      <xdr:rowOff>133350</xdr:rowOff>
    </xdr:to>
    <xdr:graphicFrame macro="">
      <xdr:nvGraphicFramePr>
        <xdr:cNvPr id="139051"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22</xdr:row>
      <xdr:rowOff>9525</xdr:rowOff>
    </xdr:from>
    <xdr:to>
      <xdr:col>1</xdr:col>
      <xdr:colOff>400050</xdr:colOff>
      <xdr:row>22</xdr:row>
      <xdr:rowOff>200025</xdr:rowOff>
    </xdr:to>
    <xdr:pic>
      <xdr:nvPicPr>
        <xdr:cNvPr id="139052" name="Picture 49"/>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8125" y="381952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CCFFCC" mc:Ignorable="a14" a14:legacySpreadsheetColorIndex="42">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57150</xdr:colOff>
      <xdr:row>2</xdr:row>
      <xdr:rowOff>85725</xdr:rowOff>
    </xdr:from>
    <xdr:to>
      <xdr:col>8</xdr:col>
      <xdr:colOff>257175</xdr:colOff>
      <xdr:row>2</xdr:row>
      <xdr:rowOff>219075</xdr:rowOff>
    </xdr:to>
    <xdr:sp macro="" textlink="">
      <xdr:nvSpPr>
        <xdr:cNvPr id="139053" name="Pfeil nach links 1"/>
        <xdr:cNvSpPr>
          <a:spLocks noChangeArrowheads="1"/>
        </xdr:cNvSpPr>
      </xdr:nvSpPr>
      <xdr:spPr bwMode="auto">
        <a:xfrm>
          <a:off x="5381625" y="466725"/>
          <a:ext cx="200025" cy="133350"/>
        </a:xfrm>
        <a:prstGeom prst="leftArrow">
          <a:avLst>
            <a:gd name="adj1" fmla="val 50000"/>
            <a:gd name="adj2" fmla="val 46875"/>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8</xdr:col>
      <xdr:colOff>57150</xdr:colOff>
      <xdr:row>1</xdr:row>
      <xdr:rowOff>85725</xdr:rowOff>
    </xdr:from>
    <xdr:to>
      <xdr:col>8</xdr:col>
      <xdr:colOff>257175</xdr:colOff>
      <xdr:row>1</xdr:row>
      <xdr:rowOff>219075</xdr:rowOff>
    </xdr:to>
    <xdr:sp macro="" textlink="">
      <xdr:nvSpPr>
        <xdr:cNvPr id="139054" name="Pfeil nach links 5"/>
        <xdr:cNvSpPr>
          <a:spLocks noChangeArrowheads="1"/>
        </xdr:cNvSpPr>
      </xdr:nvSpPr>
      <xdr:spPr bwMode="auto">
        <a:xfrm>
          <a:off x="5381625" y="180975"/>
          <a:ext cx="200025" cy="133350"/>
        </a:xfrm>
        <a:prstGeom prst="leftArrow">
          <a:avLst>
            <a:gd name="adj1" fmla="val 50000"/>
            <a:gd name="adj2" fmla="val 46875"/>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265043</xdr:colOff>
      <xdr:row>141</xdr:row>
      <xdr:rowOff>0</xdr:rowOff>
    </xdr:from>
    <xdr:to>
      <xdr:col>3</xdr:col>
      <xdr:colOff>277050</xdr:colOff>
      <xdr:row>149</xdr:row>
      <xdr:rowOff>84308</xdr:rowOff>
    </xdr:to>
    <xdr:pic>
      <xdr:nvPicPr>
        <xdr:cNvPr id="2" name="Grafik 1"/>
        <xdr:cNvPicPr>
          <a:picLocks noChangeAspect="1"/>
        </xdr:cNvPicPr>
      </xdr:nvPicPr>
      <xdr:blipFill>
        <a:blip xmlns:r="http://schemas.openxmlformats.org/officeDocument/2006/relationships" r:embed="rId1"/>
        <a:stretch>
          <a:fillRect/>
        </a:stretch>
      </xdr:blipFill>
      <xdr:spPr>
        <a:xfrm>
          <a:off x="265043" y="22888575"/>
          <a:ext cx="3336232" cy="1379708"/>
        </a:xfrm>
        <a:prstGeom prst="rect">
          <a:avLst/>
        </a:prstGeom>
      </xdr:spPr>
    </xdr:pic>
    <xdr:clientData/>
  </xdr:twoCellAnchor>
  <xdr:twoCellAnchor editAs="oneCell">
    <xdr:from>
      <xdr:col>0</xdr:col>
      <xdr:colOff>265043</xdr:colOff>
      <xdr:row>151</xdr:row>
      <xdr:rowOff>0</xdr:rowOff>
    </xdr:from>
    <xdr:to>
      <xdr:col>3</xdr:col>
      <xdr:colOff>258003</xdr:colOff>
      <xdr:row>170</xdr:row>
      <xdr:rowOff>1555</xdr:rowOff>
    </xdr:to>
    <xdr:pic>
      <xdr:nvPicPr>
        <xdr:cNvPr id="3" name="Grafik 2"/>
        <xdr:cNvPicPr>
          <a:picLocks noChangeAspect="1"/>
        </xdr:cNvPicPr>
      </xdr:nvPicPr>
      <xdr:blipFill>
        <a:blip xmlns:r="http://schemas.openxmlformats.org/officeDocument/2006/relationships" r:embed="rId2"/>
        <a:stretch>
          <a:fillRect/>
        </a:stretch>
      </xdr:blipFill>
      <xdr:spPr>
        <a:xfrm>
          <a:off x="265043" y="24507825"/>
          <a:ext cx="3317185" cy="3106705"/>
        </a:xfrm>
        <a:prstGeom prst="rect">
          <a:avLst/>
        </a:prstGeom>
      </xdr:spPr>
    </xdr:pic>
    <xdr:clientData/>
  </xdr:twoCellAnchor>
  <xdr:twoCellAnchor editAs="oneCell">
    <xdr:from>
      <xdr:col>0</xdr:col>
      <xdr:colOff>265043</xdr:colOff>
      <xdr:row>172</xdr:row>
      <xdr:rowOff>0</xdr:rowOff>
    </xdr:from>
    <xdr:to>
      <xdr:col>3</xdr:col>
      <xdr:colOff>258003</xdr:colOff>
      <xdr:row>191</xdr:row>
      <xdr:rowOff>24037</xdr:rowOff>
    </xdr:to>
    <xdr:pic>
      <xdr:nvPicPr>
        <xdr:cNvPr id="4" name="Grafik 3"/>
        <xdr:cNvPicPr>
          <a:picLocks noChangeAspect="1"/>
        </xdr:cNvPicPr>
      </xdr:nvPicPr>
      <xdr:blipFill>
        <a:blip xmlns:r="http://schemas.openxmlformats.org/officeDocument/2006/relationships" r:embed="rId2"/>
        <a:stretch>
          <a:fillRect/>
        </a:stretch>
      </xdr:blipFill>
      <xdr:spPr>
        <a:xfrm>
          <a:off x="265043" y="27936825"/>
          <a:ext cx="3317185" cy="3100612"/>
        </a:xfrm>
        <a:prstGeom prst="rect">
          <a:avLst/>
        </a:prstGeom>
      </xdr:spPr>
    </xdr:pic>
    <xdr:clientData/>
  </xdr:twoCellAnchor>
  <xdr:twoCellAnchor editAs="oneCell">
    <xdr:from>
      <xdr:col>0</xdr:col>
      <xdr:colOff>265043</xdr:colOff>
      <xdr:row>192</xdr:row>
      <xdr:rowOff>0</xdr:rowOff>
    </xdr:from>
    <xdr:to>
      <xdr:col>3</xdr:col>
      <xdr:colOff>410384</xdr:colOff>
      <xdr:row>199</xdr:row>
      <xdr:rowOff>2338</xdr:rowOff>
    </xdr:to>
    <xdr:pic>
      <xdr:nvPicPr>
        <xdr:cNvPr id="5" name="Grafik 4"/>
        <xdr:cNvPicPr>
          <a:picLocks noChangeAspect="1"/>
        </xdr:cNvPicPr>
      </xdr:nvPicPr>
      <xdr:blipFill>
        <a:blip xmlns:r="http://schemas.openxmlformats.org/officeDocument/2006/relationships" r:embed="rId3"/>
        <a:stretch>
          <a:fillRect/>
        </a:stretch>
      </xdr:blipFill>
      <xdr:spPr>
        <a:xfrm>
          <a:off x="265043" y="31175325"/>
          <a:ext cx="3469566" cy="11358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265043</xdr:colOff>
      <xdr:row>141</xdr:row>
      <xdr:rowOff>0</xdr:rowOff>
    </xdr:from>
    <xdr:to>
      <xdr:col>3</xdr:col>
      <xdr:colOff>277050</xdr:colOff>
      <xdr:row>149</xdr:row>
      <xdr:rowOff>84308</xdr:rowOff>
    </xdr:to>
    <xdr:pic>
      <xdr:nvPicPr>
        <xdr:cNvPr id="2" name="Grafik 1"/>
        <xdr:cNvPicPr>
          <a:picLocks noChangeAspect="1"/>
        </xdr:cNvPicPr>
      </xdr:nvPicPr>
      <xdr:blipFill>
        <a:blip xmlns:r="http://schemas.openxmlformats.org/officeDocument/2006/relationships" r:embed="rId1"/>
        <a:stretch>
          <a:fillRect/>
        </a:stretch>
      </xdr:blipFill>
      <xdr:spPr>
        <a:xfrm>
          <a:off x="265043" y="23555739"/>
          <a:ext cx="3333333" cy="1409524"/>
        </a:xfrm>
        <a:prstGeom prst="rect">
          <a:avLst/>
        </a:prstGeom>
      </xdr:spPr>
    </xdr:pic>
    <xdr:clientData/>
  </xdr:twoCellAnchor>
  <xdr:twoCellAnchor editAs="oneCell">
    <xdr:from>
      <xdr:col>0</xdr:col>
      <xdr:colOff>265043</xdr:colOff>
      <xdr:row>151</xdr:row>
      <xdr:rowOff>0</xdr:rowOff>
    </xdr:from>
    <xdr:to>
      <xdr:col>3</xdr:col>
      <xdr:colOff>258003</xdr:colOff>
      <xdr:row>170</xdr:row>
      <xdr:rowOff>1555</xdr:rowOff>
    </xdr:to>
    <xdr:pic>
      <xdr:nvPicPr>
        <xdr:cNvPr id="3" name="Grafik 2"/>
        <xdr:cNvPicPr>
          <a:picLocks noChangeAspect="1"/>
        </xdr:cNvPicPr>
      </xdr:nvPicPr>
      <xdr:blipFill>
        <a:blip xmlns:r="http://schemas.openxmlformats.org/officeDocument/2006/relationships" r:embed="rId2"/>
        <a:stretch>
          <a:fillRect/>
        </a:stretch>
      </xdr:blipFill>
      <xdr:spPr>
        <a:xfrm>
          <a:off x="265043" y="25212261"/>
          <a:ext cx="3314286" cy="3171429"/>
        </a:xfrm>
        <a:prstGeom prst="rect">
          <a:avLst/>
        </a:prstGeom>
      </xdr:spPr>
    </xdr:pic>
    <xdr:clientData/>
  </xdr:twoCellAnchor>
  <xdr:twoCellAnchor editAs="oneCell">
    <xdr:from>
      <xdr:col>0</xdr:col>
      <xdr:colOff>265043</xdr:colOff>
      <xdr:row>172</xdr:row>
      <xdr:rowOff>0</xdr:rowOff>
    </xdr:from>
    <xdr:to>
      <xdr:col>3</xdr:col>
      <xdr:colOff>258003</xdr:colOff>
      <xdr:row>191</xdr:row>
      <xdr:rowOff>24037</xdr:rowOff>
    </xdr:to>
    <xdr:pic>
      <xdr:nvPicPr>
        <xdr:cNvPr id="4" name="Grafik 3"/>
        <xdr:cNvPicPr>
          <a:picLocks noChangeAspect="1"/>
        </xdr:cNvPicPr>
      </xdr:nvPicPr>
      <xdr:blipFill>
        <a:blip xmlns:r="http://schemas.openxmlformats.org/officeDocument/2006/relationships" r:embed="rId2"/>
        <a:stretch>
          <a:fillRect/>
        </a:stretch>
      </xdr:blipFill>
      <xdr:spPr>
        <a:xfrm>
          <a:off x="265043" y="28715804"/>
          <a:ext cx="3314286" cy="3171429"/>
        </a:xfrm>
        <a:prstGeom prst="rect">
          <a:avLst/>
        </a:prstGeom>
      </xdr:spPr>
    </xdr:pic>
    <xdr:clientData/>
  </xdr:twoCellAnchor>
  <xdr:twoCellAnchor editAs="oneCell">
    <xdr:from>
      <xdr:col>0</xdr:col>
      <xdr:colOff>265043</xdr:colOff>
      <xdr:row>192</xdr:row>
      <xdr:rowOff>0</xdr:rowOff>
    </xdr:from>
    <xdr:to>
      <xdr:col>3</xdr:col>
      <xdr:colOff>410384</xdr:colOff>
      <xdr:row>199</xdr:row>
      <xdr:rowOff>2338</xdr:rowOff>
    </xdr:to>
    <xdr:pic>
      <xdr:nvPicPr>
        <xdr:cNvPr id="5" name="Grafik 4"/>
        <xdr:cNvPicPr>
          <a:picLocks noChangeAspect="1"/>
        </xdr:cNvPicPr>
      </xdr:nvPicPr>
      <xdr:blipFill>
        <a:blip xmlns:r="http://schemas.openxmlformats.org/officeDocument/2006/relationships" r:embed="rId3"/>
        <a:stretch>
          <a:fillRect/>
        </a:stretch>
      </xdr:blipFill>
      <xdr:spPr>
        <a:xfrm>
          <a:off x="265043" y="32028848"/>
          <a:ext cx="3466667" cy="1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265043</xdr:colOff>
      <xdr:row>141</xdr:row>
      <xdr:rowOff>0</xdr:rowOff>
    </xdr:from>
    <xdr:to>
      <xdr:col>3</xdr:col>
      <xdr:colOff>277050</xdr:colOff>
      <xdr:row>149</xdr:row>
      <xdr:rowOff>84308</xdr:rowOff>
    </xdr:to>
    <xdr:pic>
      <xdr:nvPicPr>
        <xdr:cNvPr id="2" name="Grafik 1"/>
        <xdr:cNvPicPr>
          <a:picLocks noChangeAspect="1"/>
        </xdr:cNvPicPr>
      </xdr:nvPicPr>
      <xdr:blipFill>
        <a:blip xmlns:r="http://schemas.openxmlformats.org/officeDocument/2006/relationships" r:embed="rId1"/>
        <a:stretch>
          <a:fillRect/>
        </a:stretch>
      </xdr:blipFill>
      <xdr:spPr>
        <a:xfrm>
          <a:off x="265043" y="22888575"/>
          <a:ext cx="3336232" cy="1379708"/>
        </a:xfrm>
        <a:prstGeom prst="rect">
          <a:avLst/>
        </a:prstGeom>
      </xdr:spPr>
    </xdr:pic>
    <xdr:clientData/>
  </xdr:twoCellAnchor>
  <xdr:twoCellAnchor editAs="oneCell">
    <xdr:from>
      <xdr:col>0</xdr:col>
      <xdr:colOff>265043</xdr:colOff>
      <xdr:row>151</xdr:row>
      <xdr:rowOff>0</xdr:rowOff>
    </xdr:from>
    <xdr:to>
      <xdr:col>3</xdr:col>
      <xdr:colOff>258003</xdr:colOff>
      <xdr:row>170</xdr:row>
      <xdr:rowOff>1555</xdr:rowOff>
    </xdr:to>
    <xdr:pic>
      <xdr:nvPicPr>
        <xdr:cNvPr id="3" name="Grafik 2"/>
        <xdr:cNvPicPr>
          <a:picLocks noChangeAspect="1"/>
        </xdr:cNvPicPr>
      </xdr:nvPicPr>
      <xdr:blipFill>
        <a:blip xmlns:r="http://schemas.openxmlformats.org/officeDocument/2006/relationships" r:embed="rId2"/>
        <a:stretch>
          <a:fillRect/>
        </a:stretch>
      </xdr:blipFill>
      <xdr:spPr>
        <a:xfrm>
          <a:off x="265043" y="24507825"/>
          <a:ext cx="3317185" cy="3106705"/>
        </a:xfrm>
        <a:prstGeom prst="rect">
          <a:avLst/>
        </a:prstGeom>
      </xdr:spPr>
    </xdr:pic>
    <xdr:clientData/>
  </xdr:twoCellAnchor>
  <xdr:twoCellAnchor editAs="oneCell">
    <xdr:from>
      <xdr:col>0</xdr:col>
      <xdr:colOff>265043</xdr:colOff>
      <xdr:row>172</xdr:row>
      <xdr:rowOff>0</xdr:rowOff>
    </xdr:from>
    <xdr:to>
      <xdr:col>3</xdr:col>
      <xdr:colOff>258003</xdr:colOff>
      <xdr:row>191</xdr:row>
      <xdr:rowOff>24037</xdr:rowOff>
    </xdr:to>
    <xdr:pic>
      <xdr:nvPicPr>
        <xdr:cNvPr id="4" name="Grafik 3"/>
        <xdr:cNvPicPr>
          <a:picLocks noChangeAspect="1"/>
        </xdr:cNvPicPr>
      </xdr:nvPicPr>
      <xdr:blipFill>
        <a:blip xmlns:r="http://schemas.openxmlformats.org/officeDocument/2006/relationships" r:embed="rId2"/>
        <a:stretch>
          <a:fillRect/>
        </a:stretch>
      </xdr:blipFill>
      <xdr:spPr>
        <a:xfrm>
          <a:off x="265043" y="27936825"/>
          <a:ext cx="3317185" cy="3100612"/>
        </a:xfrm>
        <a:prstGeom prst="rect">
          <a:avLst/>
        </a:prstGeom>
      </xdr:spPr>
    </xdr:pic>
    <xdr:clientData/>
  </xdr:twoCellAnchor>
  <xdr:twoCellAnchor editAs="oneCell">
    <xdr:from>
      <xdr:col>0</xdr:col>
      <xdr:colOff>265043</xdr:colOff>
      <xdr:row>192</xdr:row>
      <xdr:rowOff>0</xdr:rowOff>
    </xdr:from>
    <xdr:to>
      <xdr:col>3</xdr:col>
      <xdr:colOff>410384</xdr:colOff>
      <xdr:row>199</xdr:row>
      <xdr:rowOff>2338</xdr:rowOff>
    </xdr:to>
    <xdr:pic>
      <xdr:nvPicPr>
        <xdr:cNvPr id="5" name="Grafik 4"/>
        <xdr:cNvPicPr>
          <a:picLocks noChangeAspect="1"/>
        </xdr:cNvPicPr>
      </xdr:nvPicPr>
      <xdr:blipFill>
        <a:blip xmlns:r="http://schemas.openxmlformats.org/officeDocument/2006/relationships" r:embed="rId3"/>
        <a:stretch>
          <a:fillRect/>
        </a:stretch>
      </xdr:blipFill>
      <xdr:spPr>
        <a:xfrm>
          <a:off x="265043" y="31175325"/>
          <a:ext cx="3469566" cy="11358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142875</xdr:colOff>
      <xdr:row>15</xdr:row>
      <xdr:rowOff>66675</xdr:rowOff>
    </xdr:from>
    <xdr:to>
      <xdr:col>4</xdr:col>
      <xdr:colOff>9525</xdr:colOff>
      <xdr:row>19</xdr:row>
      <xdr:rowOff>142875</xdr:rowOff>
    </xdr:to>
    <xdr:sp macro="" textlink="">
      <xdr:nvSpPr>
        <xdr:cNvPr id="133126" name="Text Box 6" hidden="1"/>
        <xdr:cNvSpPr txBox="1">
          <a:spLocks noChangeArrowheads="1"/>
        </xdr:cNvSpPr>
      </xdr:nvSpPr>
      <xdr:spPr bwMode="auto">
        <a:xfrm>
          <a:off x="3486150" y="2533650"/>
          <a:ext cx="1219200" cy="7429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B52"/>
  <sheetViews>
    <sheetView showGridLines="0" tabSelected="1" zoomScaleNormal="100" workbookViewId="0"/>
  </sheetViews>
  <sheetFormatPr baseColWidth="10" defaultRowHeight="23.25"/>
  <cols>
    <col min="1" max="1" width="90" style="1" bestFit="1" customWidth="1"/>
  </cols>
  <sheetData>
    <row r="1" spans="1:2">
      <c r="A1" s="675"/>
      <c r="B1" s="674" t="s">
        <v>273</v>
      </c>
    </row>
    <row r="2" spans="1:2" ht="27.75">
      <c r="A2" s="676" t="s">
        <v>495</v>
      </c>
    </row>
    <row r="3" spans="1:2">
      <c r="A3" s="677" t="s">
        <v>272</v>
      </c>
    </row>
    <row r="4" spans="1:2" ht="27.75">
      <c r="A4" s="676" t="s">
        <v>53</v>
      </c>
    </row>
    <row r="5" spans="1:2">
      <c r="A5" s="677"/>
    </row>
    <row r="6" spans="1:2">
      <c r="A6" s="677"/>
    </row>
    <row r="7" spans="1:2">
      <c r="A7" s="677" t="s">
        <v>489</v>
      </c>
    </row>
    <row r="8" spans="1:2">
      <c r="A8" s="677" t="s">
        <v>52</v>
      </c>
    </row>
    <row r="9" spans="1:2">
      <c r="A9" s="677"/>
    </row>
    <row r="10" spans="1:2">
      <c r="A10" s="675"/>
    </row>
    <row r="11" spans="1:2">
      <c r="A11" s="677" t="s">
        <v>496</v>
      </c>
    </row>
    <row r="12" spans="1:2">
      <c r="A12" s="677"/>
    </row>
    <row r="13" spans="1:2">
      <c r="A13" s="678"/>
    </row>
    <row r="14" spans="1:2">
      <c r="A14" s="678"/>
    </row>
    <row r="15" spans="1:2" ht="18">
      <c r="A15" s="679" t="s">
        <v>230</v>
      </c>
    </row>
    <row r="16" spans="1:2" ht="15">
      <c r="A16" s="680"/>
    </row>
    <row r="17" spans="1:1" ht="15">
      <c r="A17" s="680" t="s">
        <v>229</v>
      </c>
    </row>
    <row r="18" spans="1:1" ht="15.75">
      <c r="A18" s="680" t="s">
        <v>375</v>
      </c>
    </row>
    <row r="20" spans="1:1" ht="15.75">
      <c r="A20" s="680" t="s">
        <v>376</v>
      </c>
    </row>
    <row r="21" spans="1:1" ht="15">
      <c r="A21" s="680" t="s">
        <v>254</v>
      </c>
    </row>
    <row r="23" spans="1:1" ht="15.75">
      <c r="A23" s="680" t="s">
        <v>377</v>
      </c>
    </row>
    <row r="24" spans="1:1" ht="15">
      <c r="A24" s="680" t="s">
        <v>299</v>
      </c>
    </row>
    <row r="25" spans="1:1" ht="15">
      <c r="A25" s="680"/>
    </row>
    <row r="26" spans="1:1" ht="15">
      <c r="A26" s="680"/>
    </row>
    <row r="27" spans="1:1" ht="15">
      <c r="A27" s="680"/>
    </row>
    <row r="28" spans="1:1" ht="15">
      <c r="A28" s="680"/>
    </row>
    <row r="29" spans="1:1" ht="15">
      <c r="A29" s="680"/>
    </row>
    <row r="30" spans="1:1" ht="15">
      <c r="A30" s="680"/>
    </row>
    <row r="31" spans="1:1">
      <c r="A31" s="681"/>
    </row>
    <row r="32" spans="1:1">
      <c r="A32" s="675"/>
    </row>
    <row r="33" spans="1:1" ht="15.75">
      <c r="A33" s="682"/>
    </row>
    <row r="34" spans="1:1" ht="15.75">
      <c r="A34" s="682"/>
    </row>
    <row r="35" spans="1:1" ht="15.75">
      <c r="A35" s="682"/>
    </row>
    <row r="36" spans="1:1" ht="15.75">
      <c r="A36" s="682"/>
    </row>
    <row r="37" spans="1:1" ht="15.75">
      <c r="A37" s="682"/>
    </row>
    <row r="38" spans="1:1" ht="15">
      <c r="A38" s="811" t="s">
        <v>385</v>
      </c>
    </row>
    <row r="39" spans="1:1" ht="15">
      <c r="A39" s="812" t="s">
        <v>386</v>
      </c>
    </row>
    <row r="43" spans="1:1" ht="15">
      <c r="A43" s="90"/>
    </row>
    <row r="44" spans="1:1" ht="15">
      <c r="A44" s="90"/>
    </row>
    <row r="45" spans="1:1" ht="15">
      <c r="A45" s="90"/>
    </row>
    <row r="46" spans="1:1" ht="15">
      <c r="A46" s="90"/>
    </row>
    <row r="47" spans="1:1" ht="15">
      <c r="A47" s="90"/>
    </row>
    <row r="48" spans="1:1" ht="15">
      <c r="A48" s="90"/>
    </row>
    <row r="49" spans="1:1" ht="15">
      <c r="A49" s="90"/>
    </row>
    <row r="50" spans="1:1" ht="15">
      <c r="A50" s="90"/>
    </row>
    <row r="51" spans="1:1" ht="15">
      <c r="A51" s="90"/>
    </row>
    <row r="52" spans="1:1" ht="15">
      <c r="A52" s="90"/>
    </row>
  </sheetData>
  <sheetProtection algorithmName="SHA-512" hashValue="zZDqvL8uEDtGtzmxyIbRZ7cGfduUdqPhifIGw6+LaHpr4fb3lEQzq//uwyxEToJ1r+VGGxWkrCsUApo6yqaYyw==" saltValue="AZlcjvTZc7fJTQ47HGTgpw==" spinCount="100000" sheet="1" objects="1" scenarios="1"/>
  <phoneticPr fontId="0" type="noConversion"/>
  <hyperlinks>
    <hyperlink ref="B1" location="Strukturdaten!A2" display="        zurück"/>
  </hyperlinks>
  <printOptions horizontalCentered="1"/>
  <pageMargins left="0.59055118110236227" right="0.59055118110236227" top="0.59055118110236227" bottom="0.59055118110236227" header="0.51181102362204722" footer="0.19685039370078741"/>
  <pageSetup paperSize="9"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CX192"/>
  <sheetViews>
    <sheetView zoomScaleNormal="100" workbookViewId="0">
      <pane xSplit="5" ySplit="4" topLeftCell="F27" activePane="bottomRight" state="frozen"/>
      <selection activeCell="AE45" sqref="AE45:AE47"/>
      <selection pane="topRight" activeCell="AE45" sqref="AE45:AE47"/>
      <selection pane="bottomLeft" activeCell="AE45" sqref="AE45:AE47"/>
      <selection pane="bottomRight" activeCell="F54" sqref="F54"/>
    </sheetView>
  </sheetViews>
  <sheetFormatPr baseColWidth="10" defaultRowHeight="12.75"/>
  <cols>
    <col min="1" max="1" width="4" customWidth="1"/>
    <col min="2" max="2" width="39" style="58" customWidth="1"/>
    <col min="3" max="3" width="6.85546875" style="198" customWidth="1"/>
    <col min="4" max="4" width="12.5703125" customWidth="1"/>
    <col min="5" max="5" width="8.7109375" style="457" customWidth="1"/>
    <col min="6" max="89" width="11.42578125" style="126" customWidth="1"/>
    <col min="90" max="90" width="17.85546875" style="126" customWidth="1"/>
  </cols>
  <sheetData>
    <row r="1" spans="1:91" ht="13.5" thickBot="1">
      <c r="B1" s="70" t="s">
        <v>187</v>
      </c>
      <c r="E1" s="449"/>
    </row>
    <row r="2" spans="1:91">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2015</v>
      </c>
      <c r="D7" s="259" t="s">
        <v>1</v>
      </c>
      <c r="E7" s="447">
        <v>42887</v>
      </c>
      <c r="F7" s="154">
        <v>1055766</v>
      </c>
      <c r="G7" s="155">
        <v>691900</v>
      </c>
      <c r="H7" s="155">
        <v>935700</v>
      </c>
      <c r="I7" s="156">
        <v>891770</v>
      </c>
      <c r="J7" s="137"/>
      <c r="K7" s="116">
        <f t="shared" ref="K7:K20" si="0">BF7</f>
        <v>151157</v>
      </c>
      <c r="L7" s="137">
        <f t="shared" ref="L7:L20" si="1">AY7</f>
        <v>85814</v>
      </c>
      <c r="M7" s="137">
        <f t="shared" ref="M7:M20" si="2">BD7</f>
        <v>130441</v>
      </c>
      <c r="N7" s="137">
        <f t="shared" ref="N7:N20" si="3">AW7</f>
        <v>64236</v>
      </c>
      <c r="O7" s="137">
        <f t="shared" ref="O7:O20" si="4">BE7</f>
        <v>62713</v>
      </c>
      <c r="P7" s="137">
        <f>'2016'!AZ7+'2016'!BA7</f>
        <v>119981</v>
      </c>
      <c r="Q7" s="137">
        <f>'2016'!AU7</f>
        <v>61782</v>
      </c>
      <c r="R7" s="137">
        <f>AT7+AX7</f>
        <v>89418</v>
      </c>
      <c r="S7" s="137">
        <f t="shared" ref="S7:S20" si="5">AV7</f>
        <v>64148</v>
      </c>
      <c r="T7" s="137">
        <f t="shared" ref="T7:U20" si="6">BB7</f>
        <v>77676</v>
      </c>
      <c r="U7" s="139">
        <f t="shared" si="6"/>
        <v>148400</v>
      </c>
      <c r="V7" s="137">
        <f t="shared" ref="V7:V13" si="7">BG7+BJ7</f>
        <v>87896</v>
      </c>
      <c r="W7" s="137">
        <f t="shared" ref="W7:W20" si="8">BR7</f>
        <v>87067</v>
      </c>
      <c r="X7" s="137">
        <f t="shared" ref="X7:X13" si="9">BH7+BI7</f>
        <v>125841</v>
      </c>
      <c r="Y7" s="137">
        <f t="shared" ref="Y7:Y13" si="10">BK7+BL7+BN7</f>
        <v>131551</v>
      </c>
      <c r="Z7" s="137">
        <f t="shared" ref="Z7:Z20" si="11">BM7</f>
        <v>112625</v>
      </c>
      <c r="AA7" s="137">
        <f t="shared" ref="AA7:AA12" si="12">BO7+BQ7</f>
        <v>67169</v>
      </c>
      <c r="AB7" s="139">
        <f t="shared" ref="AB7:AB20" si="13">BP7</f>
        <v>79751</v>
      </c>
      <c r="AC7" s="137">
        <f t="shared" ref="AC7:AC20" si="14">BX7</f>
        <v>102526</v>
      </c>
      <c r="AD7" s="137">
        <f t="shared" ref="AD7:AD20" si="15">BU7</f>
        <v>67988</v>
      </c>
      <c r="AE7" s="137">
        <f t="shared" ref="AE7:AE13" si="16">BS7+BT7</f>
        <v>153139</v>
      </c>
      <c r="AF7" s="137">
        <f t="shared" ref="AF7:AF20" si="17">CA7</f>
        <v>80676</v>
      </c>
      <c r="AG7" s="137">
        <f t="shared" ref="AG7:AG20" si="18">BV7</f>
        <v>186079</v>
      </c>
      <c r="AH7" s="137">
        <f t="shared" ref="AH7:AH20" si="19">BZ7</f>
        <v>81798</v>
      </c>
      <c r="AI7" s="137">
        <f t="shared" ref="AI7:AI20" si="20">BW7</f>
        <v>76943</v>
      </c>
      <c r="AJ7" s="137">
        <f t="shared" ref="AJ7:AJ20" si="21">BY7</f>
        <v>73435</v>
      </c>
      <c r="AK7" s="139">
        <f t="shared" ref="AK7:AK20" si="22">CB7</f>
        <v>113116</v>
      </c>
      <c r="AL7" s="137">
        <f t="shared" ref="AL7:AL20" si="23">CE7</f>
        <v>91771</v>
      </c>
      <c r="AM7" s="137">
        <f t="shared" ref="AM7:AM20" si="24">CH7</f>
        <v>140975</v>
      </c>
      <c r="AN7" s="137">
        <f t="shared" ref="AN7:AN20" si="25">CJ7</f>
        <v>163182</v>
      </c>
      <c r="AO7" s="137">
        <f t="shared" ref="AO7:AP20" si="26">CC7</f>
        <v>109272</v>
      </c>
      <c r="AP7" s="137">
        <f t="shared" si="26"/>
        <v>51919</v>
      </c>
      <c r="AQ7" s="137">
        <f t="shared" ref="AQ7:AQ20" si="27">CK7</f>
        <v>120434</v>
      </c>
      <c r="AR7" s="137">
        <f t="shared" ref="AR7:AR20" si="28">CI7</f>
        <v>66481</v>
      </c>
      <c r="AS7" s="138">
        <f t="shared" ref="AS7:AS13" si="29">CF7+CG7</f>
        <v>147736</v>
      </c>
      <c r="AT7" s="155">
        <v>20735</v>
      </c>
      <c r="AU7" s="155">
        <v>61782</v>
      </c>
      <c r="AV7" s="155">
        <v>64148</v>
      </c>
      <c r="AW7" s="155">
        <v>64236</v>
      </c>
      <c r="AX7" s="155">
        <v>68683</v>
      </c>
      <c r="AY7" s="155">
        <v>85814</v>
      </c>
      <c r="AZ7" s="155">
        <v>9988</v>
      </c>
      <c r="BA7" s="155">
        <v>109993</v>
      </c>
      <c r="BB7" s="155">
        <v>77676</v>
      </c>
      <c r="BC7" s="155">
        <v>148400</v>
      </c>
      <c r="BD7" s="155">
        <v>130441</v>
      </c>
      <c r="BE7" s="155">
        <v>62713</v>
      </c>
      <c r="BF7" s="552">
        <v>151157</v>
      </c>
      <c r="BG7" s="155">
        <v>14021</v>
      </c>
      <c r="BH7" s="155">
        <v>17346</v>
      </c>
      <c r="BI7" s="155">
        <v>108495</v>
      </c>
      <c r="BJ7" s="155">
        <v>73875</v>
      </c>
      <c r="BK7" s="155">
        <v>10884</v>
      </c>
      <c r="BL7" s="155">
        <v>14496</v>
      </c>
      <c r="BM7" s="155">
        <v>112625</v>
      </c>
      <c r="BN7" s="155">
        <v>106171</v>
      </c>
      <c r="BO7" s="155">
        <v>9800</v>
      </c>
      <c r="BP7" s="155">
        <v>79751</v>
      </c>
      <c r="BQ7" s="155">
        <v>57369</v>
      </c>
      <c r="BR7" s="552">
        <v>87067</v>
      </c>
      <c r="BS7" s="155">
        <v>15306</v>
      </c>
      <c r="BT7" s="155">
        <v>137833</v>
      </c>
      <c r="BU7" s="155">
        <v>67988</v>
      </c>
      <c r="BV7" s="155">
        <v>186079</v>
      </c>
      <c r="BW7" s="155">
        <v>76943</v>
      </c>
      <c r="BX7" s="155">
        <v>102526</v>
      </c>
      <c r="BY7" s="155">
        <v>73435</v>
      </c>
      <c r="BZ7" s="155">
        <v>81798</v>
      </c>
      <c r="CA7" s="155">
        <v>80676</v>
      </c>
      <c r="CB7" s="552">
        <v>113116</v>
      </c>
      <c r="CC7" s="155">
        <v>109272</v>
      </c>
      <c r="CD7" s="155">
        <v>51919</v>
      </c>
      <c r="CE7" s="155">
        <v>91771</v>
      </c>
      <c r="CF7" s="155">
        <v>11869</v>
      </c>
      <c r="CG7" s="281">
        <v>135867</v>
      </c>
      <c r="CH7" s="155">
        <v>140975</v>
      </c>
      <c r="CI7" s="155">
        <v>66481</v>
      </c>
      <c r="CJ7" s="155">
        <v>163182</v>
      </c>
      <c r="CK7" s="156">
        <v>120434</v>
      </c>
      <c r="CL7" s="553">
        <v>3575133</v>
      </c>
      <c r="CM7" s="422"/>
    </row>
    <row r="8" spans="1:91" ht="14.25">
      <c r="A8" s="80">
        <f>ROWS($A$3:A6)</f>
        <v>4</v>
      </c>
      <c r="B8" s="92" t="s">
        <v>242</v>
      </c>
      <c r="C8" s="203"/>
      <c r="D8" s="259" t="s">
        <v>1</v>
      </c>
      <c r="E8" s="447">
        <v>42887</v>
      </c>
      <c r="F8" s="154">
        <v>175554</v>
      </c>
      <c r="G8" s="155">
        <v>114756</v>
      </c>
      <c r="H8" s="155">
        <v>114068</v>
      </c>
      <c r="I8" s="156">
        <v>111506</v>
      </c>
      <c r="J8" s="137"/>
      <c r="K8" s="116">
        <f t="shared" si="0"/>
        <v>19576</v>
      </c>
      <c r="L8" s="137">
        <f t="shared" si="1"/>
        <v>15205</v>
      </c>
      <c r="M8" s="137">
        <f t="shared" si="2"/>
        <v>14198</v>
      </c>
      <c r="N8" s="137">
        <f t="shared" si="3"/>
        <v>10636</v>
      </c>
      <c r="O8" s="137">
        <f t="shared" si="4"/>
        <v>7927</v>
      </c>
      <c r="P8" s="137">
        <f>'2016'!AZ8+'2016'!BA8</f>
        <v>22860</v>
      </c>
      <c r="Q8" s="137">
        <f>'2016'!AU8</f>
        <v>14145</v>
      </c>
      <c r="R8" s="137">
        <f>AT8+AX8</f>
        <v>27462</v>
      </c>
      <c r="S8" s="137">
        <f t="shared" si="5"/>
        <v>15897</v>
      </c>
      <c r="T8" s="137">
        <f t="shared" si="6"/>
        <v>10207</v>
      </c>
      <c r="U8" s="139">
        <f t="shared" si="6"/>
        <v>17441</v>
      </c>
      <c r="V8" s="137">
        <f t="shared" si="7"/>
        <v>12569</v>
      </c>
      <c r="W8" s="137">
        <f t="shared" si="8"/>
        <v>8458</v>
      </c>
      <c r="X8" s="137">
        <f t="shared" si="9"/>
        <v>27706</v>
      </c>
      <c r="Y8" s="137">
        <f t="shared" si="10"/>
        <v>32675</v>
      </c>
      <c r="Z8" s="137">
        <f t="shared" si="11"/>
        <v>12061</v>
      </c>
      <c r="AA8" s="137">
        <f t="shared" si="12"/>
        <v>12310</v>
      </c>
      <c r="AB8" s="139">
        <f t="shared" si="13"/>
        <v>8977</v>
      </c>
      <c r="AC8" s="137">
        <f t="shared" si="14"/>
        <v>11877</v>
      </c>
      <c r="AD8" s="137">
        <f t="shared" si="15"/>
        <v>7585</v>
      </c>
      <c r="AE8" s="137">
        <f t="shared" si="16"/>
        <v>19297</v>
      </c>
      <c r="AF8" s="137">
        <f t="shared" si="17"/>
        <v>10340</v>
      </c>
      <c r="AG8" s="137">
        <f t="shared" si="18"/>
        <v>21979</v>
      </c>
      <c r="AH8" s="137">
        <f t="shared" si="19"/>
        <v>12748</v>
      </c>
      <c r="AI8" s="137">
        <f t="shared" si="20"/>
        <v>9956</v>
      </c>
      <c r="AJ8" s="137">
        <f t="shared" si="21"/>
        <v>8653</v>
      </c>
      <c r="AK8" s="139">
        <f t="shared" si="22"/>
        <v>11633</v>
      </c>
      <c r="AL8" s="137">
        <f t="shared" si="23"/>
        <v>12405</v>
      </c>
      <c r="AM8" s="137">
        <f t="shared" si="24"/>
        <v>16521</v>
      </c>
      <c r="AN8" s="137">
        <f t="shared" si="25"/>
        <v>17380</v>
      </c>
      <c r="AO8" s="137">
        <f t="shared" si="26"/>
        <v>14427</v>
      </c>
      <c r="AP8" s="137">
        <f t="shared" si="26"/>
        <v>9360</v>
      </c>
      <c r="AQ8" s="137">
        <f t="shared" si="27"/>
        <v>11970</v>
      </c>
      <c r="AR8" s="137">
        <f t="shared" si="28"/>
        <v>9883</v>
      </c>
      <c r="AS8" s="138">
        <f t="shared" si="29"/>
        <v>19560</v>
      </c>
      <c r="AT8" s="155">
        <v>10697</v>
      </c>
      <c r="AU8" s="155">
        <v>14145</v>
      </c>
      <c r="AV8" s="155">
        <v>15897</v>
      </c>
      <c r="AW8" s="155">
        <v>10636</v>
      </c>
      <c r="AX8" s="155">
        <v>16765</v>
      </c>
      <c r="AY8" s="155">
        <v>15205</v>
      </c>
      <c r="AZ8" s="155">
        <v>3576</v>
      </c>
      <c r="BA8" s="155">
        <v>19284</v>
      </c>
      <c r="BB8" s="155">
        <v>10207</v>
      </c>
      <c r="BC8" s="155">
        <v>17441</v>
      </c>
      <c r="BD8" s="155">
        <v>14198</v>
      </c>
      <c r="BE8" s="155">
        <v>7927</v>
      </c>
      <c r="BF8" s="552">
        <v>19576</v>
      </c>
      <c r="BG8" s="155">
        <v>2071</v>
      </c>
      <c r="BH8" s="155">
        <v>8075</v>
      </c>
      <c r="BI8" s="155">
        <v>19631</v>
      </c>
      <c r="BJ8" s="155">
        <v>10498</v>
      </c>
      <c r="BK8" s="155">
        <v>3294</v>
      </c>
      <c r="BL8" s="155">
        <v>8427</v>
      </c>
      <c r="BM8" s="155">
        <v>12061</v>
      </c>
      <c r="BN8" s="155">
        <v>20954</v>
      </c>
      <c r="BO8" s="155">
        <v>3045</v>
      </c>
      <c r="BP8" s="155">
        <v>8977</v>
      </c>
      <c r="BQ8" s="155">
        <v>9265</v>
      </c>
      <c r="BR8" s="552">
        <v>8458</v>
      </c>
      <c r="BS8" s="155">
        <v>4890</v>
      </c>
      <c r="BT8" s="155">
        <v>14407</v>
      </c>
      <c r="BU8" s="155">
        <v>7585</v>
      </c>
      <c r="BV8" s="155">
        <v>21979</v>
      </c>
      <c r="BW8" s="155">
        <v>9956</v>
      </c>
      <c r="BX8" s="155">
        <v>11877</v>
      </c>
      <c r="BY8" s="155">
        <v>8653</v>
      </c>
      <c r="BZ8" s="155">
        <v>12748</v>
      </c>
      <c r="CA8" s="155">
        <v>10340</v>
      </c>
      <c r="CB8" s="552">
        <v>11633</v>
      </c>
      <c r="CC8" s="155">
        <v>14427</v>
      </c>
      <c r="CD8" s="155">
        <v>9360</v>
      </c>
      <c r="CE8" s="155">
        <v>12405</v>
      </c>
      <c r="CF8" s="155">
        <v>3853</v>
      </c>
      <c r="CG8" s="281">
        <v>15707</v>
      </c>
      <c r="CH8" s="155">
        <v>16521</v>
      </c>
      <c r="CI8" s="155">
        <v>9883</v>
      </c>
      <c r="CJ8" s="155">
        <v>17380</v>
      </c>
      <c r="CK8" s="156">
        <v>11970</v>
      </c>
      <c r="CL8" s="320">
        <v>515883</v>
      </c>
      <c r="CM8" s="422"/>
    </row>
    <row r="9" spans="1:91">
      <c r="A9" s="80">
        <f>ROWS($A$3:A7)</f>
        <v>5</v>
      </c>
      <c r="B9" s="92" t="s">
        <v>0</v>
      </c>
      <c r="C9" s="203"/>
      <c r="D9" s="259" t="s">
        <v>1</v>
      </c>
      <c r="E9" s="447">
        <v>42887</v>
      </c>
      <c r="F9" s="154">
        <v>528720</v>
      </c>
      <c r="G9" s="155">
        <v>250970</v>
      </c>
      <c r="H9" s="155">
        <v>370103</v>
      </c>
      <c r="I9" s="156">
        <v>473705</v>
      </c>
      <c r="J9" s="137"/>
      <c r="K9" s="116">
        <f t="shared" si="0"/>
        <v>70561</v>
      </c>
      <c r="L9" s="137">
        <f t="shared" si="1"/>
        <v>36005</v>
      </c>
      <c r="M9" s="137">
        <f t="shared" si="2"/>
        <v>75280</v>
      </c>
      <c r="N9" s="137">
        <f t="shared" si="3"/>
        <v>32140</v>
      </c>
      <c r="O9" s="137">
        <f t="shared" si="4"/>
        <v>27101</v>
      </c>
      <c r="P9" s="137">
        <f>'2016'!AZ9+'2016'!BA9</f>
        <v>65410</v>
      </c>
      <c r="Q9" s="137">
        <f>'2016'!AU9</f>
        <v>25555</v>
      </c>
      <c r="R9" s="137">
        <f t="shared" ref="R9:R16" si="30">AT9+AX9</f>
        <v>42531</v>
      </c>
      <c r="S9" s="137">
        <f t="shared" si="5"/>
        <v>28420</v>
      </c>
      <c r="T9" s="137">
        <f t="shared" si="6"/>
        <v>44143</v>
      </c>
      <c r="U9" s="139">
        <f t="shared" si="6"/>
        <v>81574</v>
      </c>
      <c r="V9" s="137">
        <f t="shared" si="7"/>
        <v>25789</v>
      </c>
      <c r="W9" s="137">
        <f t="shared" si="8"/>
        <v>22874</v>
      </c>
      <c r="X9" s="137">
        <f t="shared" si="9"/>
        <v>52225</v>
      </c>
      <c r="Y9" s="137">
        <f t="shared" si="10"/>
        <v>50805</v>
      </c>
      <c r="Z9" s="137">
        <f t="shared" si="11"/>
        <v>51669</v>
      </c>
      <c r="AA9" s="137">
        <f t="shared" si="12"/>
        <v>26952</v>
      </c>
      <c r="AB9" s="139">
        <f t="shared" si="13"/>
        <v>20656</v>
      </c>
      <c r="AC9" s="137">
        <f t="shared" si="14"/>
        <v>42496</v>
      </c>
      <c r="AD9" s="137">
        <f t="shared" si="15"/>
        <v>27433</v>
      </c>
      <c r="AE9" s="137">
        <f t="shared" si="16"/>
        <v>58171</v>
      </c>
      <c r="AF9" s="137">
        <f t="shared" si="17"/>
        <v>27484</v>
      </c>
      <c r="AG9" s="137">
        <f t="shared" si="18"/>
        <v>70459</v>
      </c>
      <c r="AH9" s="137">
        <f t="shared" si="19"/>
        <v>40177</v>
      </c>
      <c r="AI9" s="137">
        <f t="shared" si="20"/>
        <v>32807</v>
      </c>
      <c r="AJ9" s="137">
        <f t="shared" si="21"/>
        <v>27185</v>
      </c>
      <c r="AK9" s="139">
        <f t="shared" si="22"/>
        <v>43891</v>
      </c>
      <c r="AL9" s="137">
        <f t="shared" si="23"/>
        <v>40814</v>
      </c>
      <c r="AM9" s="137">
        <f t="shared" si="24"/>
        <v>81757</v>
      </c>
      <c r="AN9" s="137">
        <f t="shared" si="25"/>
        <v>95922</v>
      </c>
      <c r="AO9" s="137">
        <f t="shared" si="26"/>
        <v>52397</v>
      </c>
      <c r="AP9" s="137">
        <f t="shared" si="26"/>
        <v>23714</v>
      </c>
      <c r="AQ9" s="137">
        <f t="shared" si="27"/>
        <v>59578</v>
      </c>
      <c r="AR9" s="137">
        <f t="shared" si="28"/>
        <v>36874</v>
      </c>
      <c r="AS9" s="138">
        <f t="shared" si="29"/>
        <v>82649</v>
      </c>
      <c r="AT9" s="155">
        <v>4736</v>
      </c>
      <c r="AU9" s="155">
        <v>25555</v>
      </c>
      <c r="AV9" s="155">
        <v>28420</v>
      </c>
      <c r="AW9" s="155">
        <v>32140</v>
      </c>
      <c r="AX9" s="155">
        <v>37795</v>
      </c>
      <c r="AY9" s="155">
        <v>36005</v>
      </c>
      <c r="AZ9" s="155">
        <v>4718</v>
      </c>
      <c r="BA9" s="155">
        <v>60692</v>
      </c>
      <c r="BB9" s="155">
        <v>44143</v>
      </c>
      <c r="BC9" s="155">
        <v>81574</v>
      </c>
      <c r="BD9" s="155">
        <v>75280</v>
      </c>
      <c r="BE9" s="155">
        <v>27101</v>
      </c>
      <c r="BF9" s="552">
        <v>70561</v>
      </c>
      <c r="BG9" s="155">
        <v>3108</v>
      </c>
      <c r="BH9" s="155">
        <v>3933</v>
      </c>
      <c r="BI9" s="155">
        <v>48292</v>
      </c>
      <c r="BJ9" s="155">
        <v>22681</v>
      </c>
      <c r="BK9" s="155">
        <v>2860</v>
      </c>
      <c r="BL9" s="155">
        <v>3454</v>
      </c>
      <c r="BM9" s="155">
        <v>51669</v>
      </c>
      <c r="BN9" s="155">
        <v>44491</v>
      </c>
      <c r="BO9" s="155">
        <v>1640</v>
      </c>
      <c r="BP9" s="155">
        <v>20656</v>
      </c>
      <c r="BQ9" s="155">
        <v>25312</v>
      </c>
      <c r="BR9" s="552">
        <v>22874</v>
      </c>
      <c r="BS9" s="155">
        <v>3582</v>
      </c>
      <c r="BT9" s="155">
        <v>54589</v>
      </c>
      <c r="BU9" s="155">
        <v>27433</v>
      </c>
      <c r="BV9" s="155">
        <v>70459</v>
      </c>
      <c r="BW9" s="155">
        <v>32807</v>
      </c>
      <c r="BX9" s="155">
        <v>42496</v>
      </c>
      <c r="BY9" s="155">
        <v>27185</v>
      </c>
      <c r="BZ9" s="155">
        <v>40177</v>
      </c>
      <c r="CA9" s="155">
        <v>27484</v>
      </c>
      <c r="CB9" s="552">
        <v>43891</v>
      </c>
      <c r="CC9" s="155">
        <v>52397</v>
      </c>
      <c r="CD9" s="155">
        <v>23714</v>
      </c>
      <c r="CE9" s="155">
        <v>40814</v>
      </c>
      <c r="CF9" s="155">
        <v>5181</v>
      </c>
      <c r="CG9" s="281">
        <v>77468</v>
      </c>
      <c r="CH9" s="155">
        <v>81757</v>
      </c>
      <c r="CI9" s="155">
        <v>36874</v>
      </c>
      <c r="CJ9" s="155">
        <v>95922</v>
      </c>
      <c r="CK9" s="156">
        <v>59578</v>
      </c>
      <c r="CL9" s="320">
        <v>1623498</v>
      </c>
      <c r="CM9" s="422"/>
    </row>
    <row r="10" spans="1:91">
      <c r="A10" s="80">
        <f>ROWS($A$3:A8)</f>
        <v>6</v>
      </c>
      <c r="B10" s="92" t="s">
        <v>202</v>
      </c>
      <c r="C10" s="203"/>
      <c r="D10" s="259" t="s">
        <v>1</v>
      </c>
      <c r="E10" s="447">
        <v>42887</v>
      </c>
      <c r="F10" s="154">
        <v>335294</v>
      </c>
      <c r="G10" s="155">
        <v>309976</v>
      </c>
      <c r="H10" s="155">
        <v>432850</v>
      </c>
      <c r="I10" s="156">
        <v>291857</v>
      </c>
      <c r="J10" s="137"/>
      <c r="K10" s="116">
        <f t="shared" si="0"/>
        <v>59373</v>
      </c>
      <c r="L10" s="137">
        <f t="shared" si="1"/>
        <v>33653</v>
      </c>
      <c r="M10" s="137">
        <f t="shared" si="2"/>
        <v>38627</v>
      </c>
      <c r="N10" s="137">
        <f t="shared" si="3"/>
        <v>20681</v>
      </c>
      <c r="O10" s="137">
        <f t="shared" si="4"/>
        <v>26976</v>
      </c>
      <c r="P10" s="137">
        <f>'2016'!AZ10+'2016'!BA10</f>
        <v>29530</v>
      </c>
      <c r="Q10" s="137">
        <f>'2016'!AU10</f>
        <v>21300</v>
      </c>
      <c r="R10" s="137">
        <f t="shared" si="30"/>
        <v>17467</v>
      </c>
      <c r="S10" s="137">
        <f t="shared" si="5"/>
        <v>18750</v>
      </c>
      <c r="T10" s="137">
        <f t="shared" si="6"/>
        <v>21896</v>
      </c>
      <c r="U10" s="139">
        <f t="shared" si="6"/>
        <v>47041</v>
      </c>
      <c r="V10" s="137">
        <f t="shared" si="7"/>
        <v>46149</v>
      </c>
      <c r="W10" s="137">
        <f t="shared" si="8"/>
        <v>54630</v>
      </c>
      <c r="X10" s="137">
        <f t="shared" si="9"/>
        <v>41347</v>
      </c>
      <c r="Y10" s="137">
        <f t="shared" si="10"/>
        <v>44151</v>
      </c>
      <c r="Z10" s="137">
        <f t="shared" si="11"/>
        <v>47443</v>
      </c>
      <c r="AA10" s="137">
        <f t="shared" si="12"/>
        <v>26981</v>
      </c>
      <c r="AB10" s="139">
        <f t="shared" si="13"/>
        <v>49275</v>
      </c>
      <c r="AC10" s="137">
        <f t="shared" si="14"/>
        <v>46957</v>
      </c>
      <c r="AD10" s="137">
        <f t="shared" si="15"/>
        <v>31136</v>
      </c>
      <c r="AE10" s="137">
        <f t="shared" si="16"/>
        <v>72170</v>
      </c>
      <c r="AF10" s="137">
        <f t="shared" si="17"/>
        <v>41621</v>
      </c>
      <c r="AG10" s="137">
        <f t="shared" si="18"/>
        <v>88038</v>
      </c>
      <c r="AH10" s="137">
        <f t="shared" si="19"/>
        <v>27361</v>
      </c>
      <c r="AI10" s="137">
        <f t="shared" si="20"/>
        <v>33029</v>
      </c>
      <c r="AJ10" s="137">
        <f t="shared" si="21"/>
        <v>36750</v>
      </c>
      <c r="AK10" s="139">
        <f t="shared" si="22"/>
        <v>55788</v>
      </c>
      <c r="AL10" s="137">
        <f t="shared" si="23"/>
        <v>37387</v>
      </c>
      <c r="AM10" s="137">
        <f t="shared" si="24"/>
        <v>40201</v>
      </c>
      <c r="AN10" s="137">
        <f t="shared" si="25"/>
        <v>46931</v>
      </c>
      <c r="AO10" s="137">
        <f t="shared" si="26"/>
        <v>41373</v>
      </c>
      <c r="AP10" s="137">
        <f t="shared" si="26"/>
        <v>18001</v>
      </c>
      <c r="AQ10" s="137">
        <f t="shared" si="27"/>
        <v>46739</v>
      </c>
      <c r="AR10" s="137">
        <f t="shared" si="28"/>
        <v>18639</v>
      </c>
      <c r="AS10" s="138">
        <f t="shared" si="29"/>
        <v>42586</v>
      </c>
      <c r="AT10" s="281">
        <v>4972</v>
      </c>
      <c r="AU10" s="155">
        <v>21300</v>
      </c>
      <c r="AV10" s="155">
        <v>18750</v>
      </c>
      <c r="AW10" s="155">
        <v>20681</v>
      </c>
      <c r="AX10" s="155">
        <v>12495</v>
      </c>
      <c r="AY10" s="155">
        <v>33653</v>
      </c>
      <c r="AZ10" s="155">
        <v>1417</v>
      </c>
      <c r="BA10" s="155">
        <v>28113</v>
      </c>
      <c r="BB10" s="155">
        <v>21896</v>
      </c>
      <c r="BC10" s="155">
        <v>47041</v>
      </c>
      <c r="BD10" s="155">
        <v>38627</v>
      </c>
      <c r="BE10" s="155">
        <v>26976</v>
      </c>
      <c r="BF10" s="552">
        <v>59373</v>
      </c>
      <c r="BG10" s="155">
        <v>8635</v>
      </c>
      <c r="BH10" s="155">
        <v>4527</v>
      </c>
      <c r="BI10" s="155">
        <v>36820</v>
      </c>
      <c r="BJ10" s="155">
        <v>37514</v>
      </c>
      <c r="BK10" s="155">
        <v>4424</v>
      </c>
      <c r="BL10" s="155">
        <v>1810</v>
      </c>
      <c r="BM10" s="155">
        <v>47443</v>
      </c>
      <c r="BN10" s="155">
        <v>37917</v>
      </c>
      <c r="BO10" s="155">
        <v>5022</v>
      </c>
      <c r="BP10" s="155">
        <v>49275</v>
      </c>
      <c r="BQ10" s="155">
        <v>21959</v>
      </c>
      <c r="BR10" s="552">
        <v>54630</v>
      </c>
      <c r="BS10" s="155">
        <v>6561</v>
      </c>
      <c r="BT10" s="155">
        <v>65609</v>
      </c>
      <c r="BU10" s="155">
        <v>31136</v>
      </c>
      <c r="BV10" s="155">
        <v>88038</v>
      </c>
      <c r="BW10" s="155">
        <v>33029</v>
      </c>
      <c r="BX10" s="155">
        <v>46957</v>
      </c>
      <c r="BY10" s="155">
        <v>36750</v>
      </c>
      <c r="BZ10" s="155">
        <v>27361</v>
      </c>
      <c r="CA10" s="155">
        <v>41621</v>
      </c>
      <c r="CB10" s="552">
        <v>55788</v>
      </c>
      <c r="CC10" s="155">
        <v>41373</v>
      </c>
      <c r="CD10" s="155">
        <v>18001</v>
      </c>
      <c r="CE10" s="155">
        <v>37387</v>
      </c>
      <c r="CF10" s="155">
        <v>2291</v>
      </c>
      <c r="CG10" s="281">
        <v>40295</v>
      </c>
      <c r="CH10" s="155">
        <v>40201</v>
      </c>
      <c r="CI10" s="155">
        <v>18639</v>
      </c>
      <c r="CJ10" s="155">
        <v>46931</v>
      </c>
      <c r="CK10" s="156">
        <v>46739</v>
      </c>
      <c r="CL10" s="320">
        <v>1369976</v>
      </c>
      <c r="CM10" s="422"/>
    </row>
    <row r="11" spans="1:91">
      <c r="A11" s="80">
        <f>ROWS($A$3:A9)</f>
        <v>7</v>
      </c>
      <c r="B11" s="92" t="s">
        <v>2</v>
      </c>
      <c r="C11" s="203"/>
      <c r="D11" s="259" t="s">
        <v>1</v>
      </c>
      <c r="E11" s="447">
        <v>42887</v>
      </c>
      <c r="F11" s="154">
        <v>9067</v>
      </c>
      <c r="G11" s="155">
        <v>10181</v>
      </c>
      <c r="H11" s="155">
        <v>11855</v>
      </c>
      <c r="I11" s="156">
        <v>8087</v>
      </c>
      <c r="J11" s="137"/>
      <c r="K11" s="116">
        <f t="shared" si="0"/>
        <v>1172</v>
      </c>
      <c r="L11" s="137">
        <f t="shared" si="1"/>
        <v>544</v>
      </c>
      <c r="M11" s="137">
        <f t="shared" si="2"/>
        <v>1066</v>
      </c>
      <c r="N11" s="137">
        <f t="shared" si="3"/>
        <v>298</v>
      </c>
      <c r="O11" s="137">
        <f t="shared" si="4"/>
        <v>257</v>
      </c>
      <c r="P11" s="137">
        <f>'2016'!AZ11+'2016'!BA11</f>
        <v>1462</v>
      </c>
      <c r="Q11" s="137">
        <f>'2016'!AU11</f>
        <v>256</v>
      </c>
      <c r="R11" s="137">
        <f t="shared" si="30"/>
        <v>1185</v>
      </c>
      <c r="S11" s="137">
        <f t="shared" si="5"/>
        <v>613</v>
      </c>
      <c r="T11" s="137">
        <f t="shared" si="6"/>
        <v>830</v>
      </c>
      <c r="U11" s="139">
        <f t="shared" si="6"/>
        <v>1384</v>
      </c>
      <c r="V11" s="137">
        <f t="shared" si="7"/>
        <v>2365</v>
      </c>
      <c r="W11" s="137">
        <f t="shared" si="8"/>
        <v>530</v>
      </c>
      <c r="X11" s="137">
        <f t="shared" si="9"/>
        <v>3107</v>
      </c>
      <c r="Y11" s="137">
        <f t="shared" si="10"/>
        <v>2682</v>
      </c>
      <c r="Z11" s="137">
        <f t="shared" si="11"/>
        <v>761</v>
      </c>
      <c r="AA11" s="137">
        <f t="shared" si="12"/>
        <v>406</v>
      </c>
      <c r="AB11" s="139">
        <f t="shared" si="13"/>
        <v>330</v>
      </c>
      <c r="AC11" s="137">
        <f t="shared" si="14"/>
        <v>677</v>
      </c>
      <c r="AD11" s="137">
        <f t="shared" si="15"/>
        <v>985</v>
      </c>
      <c r="AE11" s="137">
        <f t="shared" si="16"/>
        <v>2248</v>
      </c>
      <c r="AF11" s="137">
        <f t="shared" si="17"/>
        <v>922</v>
      </c>
      <c r="AG11" s="137">
        <f t="shared" si="18"/>
        <v>3757</v>
      </c>
      <c r="AH11" s="137">
        <f t="shared" si="19"/>
        <v>985</v>
      </c>
      <c r="AI11" s="137">
        <f t="shared" si="20"/>
        <v>461</v>
      </c>
      <c r="AJ11" s="137">
        <f t="shared" si="21"/>
        <v>353</v>
      </c>
      <c r="AK11" s="139">
        <f t="shared" si="22"/>
        <v>1467</v>
      </c>
      <c r="AL11" s="137">
        <f t="shared" si="23"/>
        <v>381</v>
      </c>
      <c r="AM11" s="137">
        <f t="shared" si="24"/>
        <v>1553</v>
      </c>
      <c r="AN11" s="137">
        <f t="shared" si="25"/>
        <v>2210</v>
      </c>
      <c r="AO11" s="137">
        <f t="shared" si="26"/>
        <v>275</v>
      </c>
      <c r="AP11" s="137">
        <f t="shared" si="26"/>
        <v>474</v>
      </c>
      <c r="AQ11" s="137">
        <f t="shared" si="27"/>
        <v>1145</v>
      </c>
      <c r="AR11" s="137">
        <f t="shared" si="28"/>
        <v>713</v>
      </c>
      <c r="AS11" s="138">
        <f t="shared" si="29"/>
        <v>1336</v>
      </c>
      <c r="AT11" s="281">
        <v>272</v>
      </c>
      <c r="AU11" s="155">
        <v>256</v>
      </c>
      <c r="AV11" s="155">
        <v>613</v>
      </c>
      <c r="AW11" s="155">
        <v>298</v>
      </c>
      <c r="AX11" s="155">
        <v>913</v>
      </c>
      <c r="AY11" s="155">
        <v>544</v>
      </c>
      <c r="AZ11" s="155">
        <v>218</v>
      </c>
      <c r="BA11" s="155">
        <v>1244</v>
      </c>
      <c r="BB11" s="155">
        <v>830</v>
      </c>
      <c r="BC11" s="155">
        <v>1384</v>
      </c>
      <c r="BD11" s="155">
        <v>1066</v>
      </c>
      <c r="BE11" s="155">
        <v>257</v>
      </c>
      <c r="BF11" s="552">
        <v>1172</v>
      </c>
      <c r="BG11" s="155">
        <v>136</v>
      </c>
      <c r="BH11" s="155">
        <v>704</v>
      </c>
      <c r="BI11" s="155">
        <v>2403</v>
      </c>
      <c r="BJ11" s="155">
        <v>2229</v>
      </c>
      <c r="BK11" s="155">
        <v>253</v>
      </c>
      <c r="BL11" s="155">
        <v>765</v>
      </c>
      <c r="BM11" s="155">
        <v>761</v>
      </c>
      <c r="BN11" s="155">
        <v>1664</v>
      </c>
      <c r="BO11" s="155">
        <v>73</v>
      </c>
      <c r="BP11" s="155">
        <v>330</v>
      </c>
      <c r="BQ11" s="155">
        <v>333</v>
      </c>
      <c r="BR11" s="552">
        <v>530</v>
      </c>
      <c r="BS11" s="155">
        <v>209</v>
      </c>
      <c r="BT11" s="155">
        <v>2039</v>
      </c>
      <c r="BU11" s="155">
        <v>985</v>
      </c>
      <c r="BV11" s="155">
        <v>3757</v>
      </c>
      <c r="BW11" s="155">
        <v>461</v>
      </c>
      <c r="BX11" s="155">
        <v>677</v>
      </c>
      <c r="BY11" s="155">
        <v>353</v>
      </c>
      <c r="BZ11" s="155">
        <v>985</v>
      </c>
      <c r="CA11" s="155">
        <v>922</v>
      </c>
      <c r="CB11" s="552">
        <v>1467</v>
      </c>
      <c r="CC11" s="155">
        <v>275</v>
      </c>
      <c r="CD11" s="155">
        <v>474</v>
      </c>
      <c r="CE11" s="155">
        <v>381</v>
      </c>
      <c r="CF11" s="155">
        <v>177</v>
      </c>
      <c r="CG11" s="281">
        <v>1159</v>
      </c>
      <c r="CH11" s="155">
        <v>1553</v>
      </c>
      <c r="CI11" s="155">
        <v>713</v>
      </c>
      <c r="CJ11" s="155">
        <v>2210</v>
      </c>
      <c r="CK11" s="156">
        <v>1145</v>
      </c>
      <c r="CL11" s="320">
        <v>39193</v>
      </c>
      <c r="CM11" s="422"/>
    </row>
    <row r="12" spans="1:91">
      <c r="A12" s="80">
        <f>ROWS($A$3:A10)</f>
        <v>8</v>
      </c>
      <c r="B12" s="92" t="s">
        <v>283</v>
      </c>
      <c r="C12" s="203"/>
      <c r="D12" s="259" t="s">
        <v>1</v>
      </c>
      <c r="E12" s="447">
        <v>42887</v>
      </c>
      <c r="F12" s="154">
        <f>F7-SUM(F8:F11)</f>
        <v>7131</v>
      </c>
      <c r="G12" s="155">
        <f>G7-SUM(G8:G11)</f>
        <v>6017</v>
      </c>
      <c r="H12" s="155">
        <f>H7-SUM(H8:H11)</f>
        <v>6824</v>
      </c>
      <c r="I12" s="156">
        <f>I7-SUM(I8:I11)</f>
        <v>6615</v>
      </c>
      <c r="J12" s="137"/>
      <c r="K12" s="116">
        <f t="shared" si="0"/>
        <v>475</v>
      </c>
      <c r="L12" s="137">
        <f t="shared" si="1"/>
        <v>407</v>
      </c>
      <c r="M12" s="137">
        <f t="shared" si="2"/>
        <v>1270</v>
      </c>
      <c r="N12" s="137">
        <f t="shared" si="3"/>
        <v>481</v>
      </c>
      <c r="O12" s="137">
        <f t="shared" si="4"/>
        <v>452</v>
      </c>
      <c r="P12" s="137">
        <f>'2016'!AZ12+'2016'!BA12</f>
        <v>719</v>
      </c>
      <c r="Q12" s="137">
        <f>'2016'!AU12</f>
        <v>526</v>
      </c>
      <c r="R12" s="137">
        <f t="shared" si="30"/>
        <v>773</v>
      </c>
      <c r="S12" s="137">
        <f t="shared" si="5"/>
        <v>468</v>
      </c>
      <c r="T12" s="137">
        <f t="shared" si="6"/>
        <v>600</v>
      </c>
      <c r="U12" s="139">
        <f t="shared" si="6"/>
        <v>960</v>
      </c>
      <c r="V12" s="137">
        <f t="shared" si="7"/>
        <v>1024</v>
      </c>
      <c r="W12" s="137">
        <f t="shared" si="8"/>
        <v>575</v>
      </c>
      <c r="X12" s="137">
        <f t="shared" si="9"/>
        <v>1456</v>
      </c>
      <c r="Y12" s="137">
        <f t="shared" si="10"/>
        <v>1238</v>
      </c>
      <c r="Z12" s="137">
        <f t="shared" si="11"/>
        <v>691</v>
      </c>
      <c r="AA12" s="137">
        <f t="shared" si="12"/>
        <v>520</v>
      </c>
      <c r="AB12" s="139">
        <f t="shared" si="13"/>
        <v>513</v>
      </c>
      <c r="AC12" s="137">
        <f t="shared" si="14"/>
        <v>519</v>
      </c>
      <c r="AD12" s="137">
        <f t="shared" si="15"/>
        <v>849</v>
      </c>
      <c r="AE12" s="137">
        <f t="shared" si="16"/>
        <v>1253</v>
      </c>
      <c r="AF12" s="137">
        <f t="shared" si="17"/>
        <v>309</v>
      </c>
      <c r="AG12" s="137">
        <f t="shared" si="18"/>
        <v>1846</v>
      </c>
      <c r="AH12" s="137">
        <f t="shared" si="19"/>
        <v>527</v>
      </c>
      <c r="AI12" s="137">
        <f t="shared" si="20"/>
        <v>690</v>
      </c>
      <c r="AJ12" s="137">
        <f t="shared" si="21"/>
        <v>494</v>
      </c>
      <c r="AK12" s="139">
        <f t="shared" si="22"/>
        <v>337</v>
      </c>
      <c r="AL12" s="137">
        <f t="shared" si="23"/>
        <v>784</v>
      </c>
      <c r="AM12" s="137">
        <f t="shared" si="24"/>
        <v>943</v>
      </c>
      <c r="AN12" s="137">
        <f t="shared" si="25"/>
        <v>739</v>
      </c>
      <c r="AO12" s="137">
        <f t="shared" si="26"/>
        <v>800</v>
      </c>
      <c r="AP12" s="137">
        <f t="shared" si="26"/>
        <v>370</v>
      </c>
      <c r="AQ12" s="137">
        <f t="shared" si="27"/>
        <v>1002</v>
      </c>
      <c r="AR12" s="137">
        <f t="shared" si="28"/>
        <v>372</v>
      </c>
      <c r="AS12" s="138">
        <f t="shared" si="29"/>
        <v>1605</v>
      </c>
      <c r="AT12" s="281">
        <f>AT7-SUM(AT8:AT11)</f>
        <v>58</v>
      </c>
      <c r="AU12" s="155">
        <f t="shared" ref="AU12:CL12" si="31">AU7-SUM(AU8:AU11)</f>
        <v>526</v>
      </c>
      <c r="AV12" s="155">
        <f t="shared" si="31"/>
        <v>468</v>
      </c>
      <c r="AW12" s="155">
        <f t="shared" si="31"/>
        <v>481</v>
      </c>
      <c r="AX12" s="155">
        <f t="shared" si="31"/>
        <v>715</v>
      </c>
      <c r="AY12" s="155">
        <f t="shared" si="31"/>
        <v>407</v>
      </c>
      <c r="AZ12" s="155">
        <f t="shared" si="31"/>
        <v>59</v>
      </c>
      <c r="BA12" s="155">
        <f t="shared" si="31"/>
        <v>660</v>
      </c>
      <c r="BB12" s="155">
        <f t="shared" si="31"/>
        <v>600</v>
      </c>
      <c r="BC12" s="155">
        <f t="shared" si="31"/>
        <v>960</v>
      </c>
      <c r="BD12" s="155">
        <f t="shared" si="31"/>
        <v>1270</v>
      </c>
      <c r="BE12" s="155">
        <f t="shared" si="31"/>
        <v>452</v>
      </c>
      <c r="BF12" s="552">
        <f t="shared" si="31"/>
        <v>475</v>
      </c>
      <c r="BG12" s="155">
        <f t="shared" si="31"/>
        <v>71</v>
      </c>
      <c r="BH12" s="155">
        <f t="shared" si="31"/>
        <v>107</v>
      </c>
      <c r="BI12" s="155">
        <f t="shared" si="31"/>
        <v>1349</v>
      </c>
      <c r="BJ12" s="155">
        <f t="shared" si="31"/>
        <v>953</v>
      </c>
      <c r="BK12" s="155">
        <f t="shared" si="31"/>
        <v>53</v>
      </c>
      <c r="BL12" s="155">
        <f t="shared" si="31"/>
        <v>40</v>
      </c>
      <c r="BM12" s="155">
        <f t="shared" si="31"/>
        <v>691</v>
      </c>
      <c r="BN12" s="155">
        <f t="shared" si="31"/>
        <v>1145</v>
      </c>
      <c r="BO12" s="155">
        <f t="shared" si="31"/>
        <v>20</v>
      </c>
      <c r="BP12" s="155">
        <f t="shared" si="31"/>
        <v>513</v>
      </c>
      <c r="BQ12" s="155">
        <f t="shared" si="31"/>
        <v>500</v>
      </c>
      <c r="BR12" s="552">
        <f t="shared" si="31"/>
        <v>575</v>
      </c>
      <c r="BS12" s="155">
        <f t="shared" si="31"/>
        <v>64</v>
      </c>
      <c r="BT12" s="155">
        <f t="shared" si="31"/>
        <v>1189</v>
      </c>
      <c r="BU12" s="155">
        <f t="shared" si="31"/>
        <v>849</v>
      </c>
      <c r="BV12" s="155">
        <f t="shared" si="31"/>
        <v>1846</v>
      </c>
      <c r="BW12" s="155">
        <f t="shared" si="31"/>
        <v>690</v>
      </c>
      <c r="BX12" s="155">
        <f t="shared" si="31"/>
        <v>519</v>
      </c>
      <c r="BY12" s="155">
        <f t="shared" si="31"/>
        <v>494</v>
      </c>
      <c r="BZ12" s="155">
        <f t="shared" si="31"/>
        <v>527</v>
      </c>
      <c r="CA12" s="155">
        <f t="shared" si="31"/>
        <v>309</v>
      </c>
      <c r="CB12" s="552">
        <f t="shared" si="31"/>
        <v>337</v>
      </c>
      <c r="CC12" s="155">
        <f t="shared" si="31"/>
        <v>800</v>
      </c>
      <c r="CD12" s="155">
        <f t="shared" si="31"/>
        <v>370</v>
      </c>
      <c r="CE12" s="155">
        <f t="shared" si="31"/>
        <v>784</v>
      </c>
      <c r="CF12" s="155">
        <f t="shared" si="31"/>
        <v>367</v>
      </c>
      <c r="CG12" s="281">
        <f t="shared" si="31"/>
        <v>1238</v>
      </c>
      <c r="CH12" s="155">
        <f t="shared" si="31"/>
        <v>943</v>
      </c>
      <c r="CI12" s="155">
        <f t="shared" si="31"/>
        <v>372</v>
      </c>
      <c r="CJ12" s="155">
        <f t="shared" si="31"/>
        <v>739</v>
      </c>
      <c r="CK12" s="156">
        <f t="shared" si="31"/>
        <v>1002</v>
      </c>
      <c r="CL12" s="320">
        <f t="shared" si="31"/>
        <v>26583</v>
      </c>
      <c r="CM12" s="422"/>
    </row>
    <row r="13" spans="1:91">
      <c r="A13" s="80">
        <f>ROWS($A$3:A11)</f>
        <v>9</v>
      </c>
      <c r="B13" s="92" t="s">
        <v>65</v>
      </c>
      <c r="C13" s="202">
        <v>2015</v>
      </c>
      <c r="D13" s="259" t="s">
        <v>11</v>
      </c>
      <c r="E13" s="437">
        <v>42888</v>
      </c>
      <c r="F13" s="154">
        <v>4069533</v>
      </c>
      <c r="G13" s="155">
        <v>2761977</v>
      </c>
      <c r="H13" s="155">
        <v>2224535</v>
      </c>
      <c r="I13" s="156">
        <v>1823573</v>
      </c>
      <c r="J13" s="137"/>
      <c r="K13" s="116">
        <f t="shared" si="0"/>
        <v>312650</v>
      </c>
      <c r="L13" s="137">
        <f t="shared" si="1"/>
        <v>419456</v>
      </c>
      <c r="M13" s="137">
        <f t="shared" si="2"/>
        <v>132181</v>
      </c>
      <c r="N13" s="137">
        <f t="shared" si="3"/>
        <v>252749</v>
      </c>
      <c r="O13" s="137">
        <f t="shared" si="4"/>
        <v>130527</v>
      </c>
      <c r="P13" s="137">
        <f>'2016'!AZ13+'2016'!BA13</f>
        <v>456955</v>
      </c>
      <c r="Q13" s="137">
        <f>'2016'!AU13</f>
        <v>381281</v>
      </c>
      <c r="R13" s="137">
        <f t="shared" si="30"/>
        <v>1157812</v>
      </c>
      <c r="S13" s="137">
        <f t="shared" si="5"/>
        <v>524127</v>
      </c>
      <c r="T13" s="137">
        <f t="shared" si="6"/>
        <v>110181</v>
      </c>
      <c r="U13" s="139">
        <f t="shared" si="6"/>
        <v>191614</v>
      </c>
      <c r="V13" s="137">
        <f t="shared" si="7"/>
        <v>281634</v>
      </c>
      <c r="W13" s="137">
        <f>BR13</f>
        <v>116233</v>
      </c>
      <c r="X13" s="137">
        <f t="shared" si="9"/>
        <v>743596</v>
      </c>
      <c r="Y13" s="137">
        <f t="shared" si="10"/>
        <v>1003906</v>
      </c>
      <c r="Z13" s="137">
        <f t="shared" si="11"/>
        <v>142936</v>
      </c>
      <c r="AA13" s="137">
        <f>BP13+BR13</f>
        <v>271592</v>
      </c>
      <c r="AB13" s="139">
        <f>BQ13</f>
        <v>196066</v>
      </c>
      <c r="AC13" s="137">
        <f t="shared" si="14"/>
        <v>209648</v>
      </c>
      <c r="AD13" s="137">
        <f t="shared" si="15"/>
        <v>162082</v>
      </c>
      <c r="AE13" s="137">
        <f t="shared" si="16"/>
        <v>483736</v>
      </c>
      <c r="AF13" s="137">
        <f t="shared" si="17"/>
        <v>226708</v>
      </c>
      <c r="AG13" s="137">
        <f t="shared" si="18"/>
        <v>420106</v>
      </c>
      <c r="AH13" s="137">
        <f t="shared" si="19"/>
        <v>280288</v>
      </c>
      <c r="AI13" s="137">
        <f t="shared" si="20"/>
        <v>137500</v>
      </c>
      <c r="AJ13" s="137">
        <f t="shared" si="21"/>
        <v>136606</v>
      </c>
      <c r="AK13" s="139">
        <f t="shared" si="22"/>
        <v>167861</v>
      </c>
      <c r="AL13" s="137">
        <f t="shared" si="23"/>
        <v>188595</v>
      </c>
      <c r="AM13" s="137">
        <f t="shared" si="24"/>
        <v>194019</v>
      </c>
      <c r="AN13" s="137">
        <f t="shared" si="25"/>
        <v>279296</v>
      </c>
      <c r="AO13" s="137">
        <f t="shared" si="26"/>
        <v>282113</v>
      </c>
      <c r="AP13" s="137">
        <f t="shared" si="26"/>
        <v>221837</v>
      </c>
      <c r="AQ13" s="137">
        <f t="shared" si="27"/>
        <v>130772</v>
      </c>
      <c r="AR13" s="137">
        <f t="shared" si="28"/>
        <v>212201</v>
      </c>
      <c r="AS13" s="138">
        <f t="shared" si="29"/>
        <v>314740</v>
      </c>
      <c r="AT13" s="281">
        <v>623738</v>
      </c>
      <c r="AU13" s="281">
        <v>381281</v>
      </c>
      <c r="AV13" s="281">
        <v>524127</v>
      </c>
      <c r="AW13" s="281">
        <v>252749</v>
      </c>
      <c r="AX13" s="281">
        <v>534074</v>
      </c>
      <c r="AY13" s="281">
        <v>419456</v>
      </c>
      <c r="AZ13" s="155">
        <v>122567</v>
      </c>
      <c r="BA13" s="155">
        <v>334388</v>
      </c>
      <c r="BB13" s="155">
        <v>110181</v>
      </c>
      <c r="BC13" s="155">
        <v>191614</v>
      </c>
      <c r="BD13" s="155">
        <v>132181</v>
      </c>
      <c r="BE13" s="155">
        <v>130527</v>
      </c>
      <c r="BF13" s="552">
        <v>312650</v>
      </c>
      <c r="BG13" s="155">
        <v>54160</v>
      </c>
      <c r="BH13" s="155">
        <v>307755</v>
      </c>
      <c r="BI13" s="155">
        <v>435841</v>
      </c>
      <c r="BJ13" s="155">
        <v>227474</v>
      </c>
      <c r="BK13" s="155">
        <v>156267</v>
      </c>
      <c r="BL13" s="155">
        <v>305780</v>
      </c>
      <c r="BM13" s="155">
        <v>142936</v>
      </c>
      <c r="BN13" s="155">
        <v>541859</v>
      </c>
      <c r="BO13" s="155">
        <v>122247</v>
      </c>
      <c r="BP13" s="155">
        <v>155359</v>
      </c>
      <c r="BQ13" s="155">
        <v>196066</v>
      </c>
      <c r="BR13" s="552">
        <v>116233</v>
      </c>
      <c r="BS13" s="155">
        <v>226393</v>
      </c>
      <c r="BT13" s="155">
        <v>257343</v>
      </c>
      <c r="BU13" s="155">
        <v>162082</v>
      </c>
      <c r="BV13" s="155">
        <v>420106</v>
      </c>
      <c r="BW13" s="155">
        <v>137500</v>
      </c>
      <c r="BX13" s="155">
        <v>209648</v>
      </c>
      <c r="BY13" s="155">
        <v>136606</v>
      </c>
      <c r="BZ13" s="155">
        <v>280288</v>
      </c>
      <c r="CA13" s="155">
        <v>226708</v>
      </c>
      <c r="CB13" s="552">
        <v>167861</v>
      </c>
      <c r="CC13" s="155">
        <v>282113</v>
      </c>
      <c r="CD13" s="155">
        <v>221837</v>
      </c>
      <c r="CE13" s="155">
        <v>188595</v>
      </c>
      <c r="CF13" s="155">
        <v>122636</v>
      </c>
      <c r="CG13" s="155">
        <v>192104</v>
      </c>
      <c r="CH13" s="155">
        <v>194019</v>
      </c>
      <c r="CI13" s="155">
        <v>212201</v>
      </c>
      <c r="CJ13" s="155">
        <v>279296</v>
      </c>
      <c r="CK13" s="155">
        <v>130772</v>
      </c>
      <c r="CL13" s="320">
        <v>10879618</v>
      </c>
      <c r="CM13" s="49"/>
    </row>
    <row r="14" spans="1:91">
      <c r="A14" s="80">
        <f>ROWS($A$3:A12)</f>
        <v>10</v>
      </c>
      <c r="B14" s="54" t="s">
        <v>61</v>
      </c>
      <c r="C14" s="252"/>
      <c r="D14" s="259" t="s">
        <v>12</v>
      </c>
      <c r="E14" s="437">
        <v>42888</v>
      </c>
      <c r="F14" s="530">
        <f>F13/F7*100</f>
        <v>385.45785713879781</v>
      </c>
      <c r="G14" s="531">
        <f>G13/G7*100</f>
        <v>399.18731030495735</v>
      </c>
      <c r="H14" s="531">
        <f>H13/H7*100</f>
        <v>237.74019450678639</v>
      </c>
      <c r="I14" s="532">
        <f>I13/I7*100</f>
        <v>204.48916200365565</v>
      </c>
      <c r="J14" s="141"/>
      <c r="K14" s="145">
        <f t="shared" si="0"/>
        <v>206.83792348353037</v>
      </c>
      <c r="L14" s="146">
        <f t="shared" si="1"/>
        <v>488.79669983918711</v>
      </c>
      <c r="M14" s="146">
        <f t="shared" si="2"/>
        <v>101.33393641569752</v>
      </c>
      <c r="N14" s="146">
        <f t="shared" si="3"/>
        <v>393.46939410922226</v>
      </c>
      <c r="O14" s="146">
        <f t="shared" si="4"/>
        <v>208.13387973785339</v>
      </c>
      <c r="P14" s="143">
        <f>P13/P7*100</f>
        <v>380.8561355547962</v>
      </c>
      <c r="Q14" s="146">
        <f>'2016'!AU14</f>
        <v>617.13929623514935</v>
      </c>
      <c r="R14" s="143">
        <f>R13/R7*100</f>
        <v>1294.8310183631929</v>
      </c>
      <c r="S14" s="146">
        <f t="shared" si="5"/>
        <v>817.05898858888816</v>
      </c>
      <c r="T14" s="146">
        <f t="shared" si="6"/>
        <v>141.84690251815232</v>
      </c>
      <c r="U14" s="147">
        <f t="shared" si="6"/>
        <v>129.11994609164421</v>
      </c>
      <c r="V14" s="143">
        <f>V13/V7*100</f>
        <v>320.41731136798035</v>
      </c>
      <c r="W14" s="146">
        <f t="shared" si="8"/>
        <v>133.49834035857444</v>
      </c>
      <c r="X14" s="143">
        <f>X13/X7*100</f>
        <v>590.90121661461683</v>
      </c>
      <c r="Y14" s="143">
        <f>Y13/Y7*100</f>
        <v>763.13064894983688</v>
      </c>
      <c r="Z14" s="146">
        <f t="shared" si="11"/>
        <v>126.91320754716982</v>
      </c>
      <c r="AA14" s="143">
        <f>AA13/AA7*100</f>
        <v>404.34128839196654</v>
      </c>
      <c r="AB14" s="147">
        <f t="shared" si="13"/>
        <v>194.80508081403366</v>
      </c>
      <c r="AC14" s="146">
        <f t="shared" si="14"/>
        <v>204.48276534732653</v>
      </c>
      <c r="AD14" s="146">
        <f t="shared" si="15"/>
        <v>238.39795257986705</v>
      </c>
      <c r="AE14" s="143">
        <f>AE13/AE7*100</f>
        <v>315.88034400120148</v>
      </c>
      <c r="AF14" s="146">
        <f t="shared" si="17"/>
        <v>281.01046159948436</v>
      </c>
      <c r="AG14" s="146">
        <f t="shared" si="18"/>
        <v>225.7675503415216</v>
      </c>
      <c r="AH14" s="146">
        <f t="shared" si="19"/>
        <v>342.65874471258468</v>
      </c>
      <c r="AI14" s="146">
        <f t="shared" si="20"/>
        <v>178.70371573762395</v>
      </c>
      <c r="AJ14" s="146">
        <f t="shared" si="21"/>
        <v>186.02301354939743</v>
      </c>
      <c r="AK14" s="147">
        <f t="shared" si="22"/>
        <v>148.39722055235333</v>
      </c>
      <c r="AL14" s="146">
        <f t="shared" si="23"/>
        <v>205.50609669721371</v>
      </c>
      <c r="AM14" s="146">
        <f t="shared" si="24"/>
        <v>137.6265295265118</v>
      </c>
      <c r="AN14" s="146">
        <f t="shared" si="25"/>
        <v>171.15613241656555</v>
      </c>
      <c r="AO14" s="146">
        <f t="shared" si="26"/>
        <v>258.17501281206535</v>
      </c>
      <c r="AP14" s="146">
        <f t="shared" si="26"/>
        <v>427.27517864365643</v>
      </c>
      <c r="AQ14" s="146">
        <f t="shared" si="27"/>
        <v>108.58395469717854</v>
      </c>
      <c r="AR14" s="146">
        <f t="shared" si="28"/>
        <v>319.19044539041226</v>
      </c>
      <c r="AS14" s="144">
        <f>AS13/AS7*100</f>
        <v>213.04218335409107</v>
      </c>
      <c r="AT14" s="531">
        <f t="shared" ref="AT14:CK14" si="32">AT13/AT7*100</f>
        <v>3008.1408246925489</v>
      </c>
      <c r="AU14" s="531">
        <f t="shared" si="32"/>
        <v>617.13929623514935</v>
      </c>
      <c r="AV14" s="531">
        <f t="shared" si="32"/>
        <v>817.05898858888816</v>
      </c>
      <c r="AW14" s="531">
        <f t="shared" si="32"/>
        <v>393.46939410922226</v>
      </c>
      <c r="AX14" s="531">
        <f t="shared" si="32"/>
        <v>777.5927085304952</v>
      </c>
      <c r="AY14" s="531">
        <f t="shared" si="32"/>
        <v>488.79669983918711</v>
      </c>
      <c r="AZ14" s="531">
        <f t="shared" si="32"/>
        <v>1227.1425710853023</v>
      </c>
      <c r="BA14" s="531">
        <f t="shared" si="32"/>
        <v>304.00843690053006</v>
      </c>
      <c r="BB14" s="531">
        <f t="shared" si="32"/>
        <v>141.84690251815232</v>
      </c>
      <c r="BC14" s="531">
        <f t="shared" si="32"/>
        <v>129.11994609164421</v>
      </c>
      <c r="BD14" s="531">
        <f t="shared" si="32"/>
        <v>101.33393641569752</v>
      </c>
      <c r="BE14" s="531">
        <f t="shared" si="32"/>
        <v>208.13387973785339</v>
      </c>
      <c r="BF14" s="555">
        <f t="shared" si="32"/>
        <v>206.83792348353037</v>
      </c>
      <c r="BG14" s="531">
        <f t="shared" si="32"/>
        <v>386.27772626774129</v>
      </c>
      <c r="BH14" s="531">
        <f t="shared" si="32"/>
        <v>1774.2130750605327</v>
      </c>
      <c r="BI14" s="531">
        <f t="shared" si="32"/>
        <v>401.71528641872902</v>
      </c>
      <c r="BJ14" s="531">
        <f t="shared" si="32"/>
        <v>307.91742808798648</v>
      </c>
      <c r="BK14" s="531">
        <f t="shared" si="32"/>
        <v>1435.7497243660418</v>
      </c>
      <c r="BL14" s="531">
        <f t="shared" si="32"/>
        <v>2109.4094922737304</v>
      </c>
      <c r="BM14" s="531">
        <f t="shared" si="32"/>
        <v>126.91320754716982</v>
      </c>
      <c r="BN14" s="531">
        <f t="shared" si="32"/>
        <v>510.36441212760553</v>
      </c>
      <c r="BO14" s="531">
        <f t="shared" si="32"/>
        <v>1247.4183673469388</v>
      </c>
      <c r="BP14" s="531">
        <f t="shared" si="32"/>
        <v>194.80508081403366</v>
      </c>
      <c r="BQ14" s="531">
        <f t="shared" si="32"/>
        <v>341.76297303421711</v>
      </c>
      <c r="BR14" s="555">
        <f t="shared" si="32"/>
        <v>133.49834035857444</v>
      </c>
      <c r="BS14" s="531">
        <f t="shared" si="32"/>
        <v>1479.1127662354634</v>
      </c>
      <c r="BT14" s="531">
        <f t="shared" si="32"/>
        <v>186.70637655713799</v>
      </c>
      <c r="BU14" s="531">
        <f t="shared" si="32"/>
        <v>238.39795257986705</v>
      </c>
      <c r="BV14" s="531">
        <f t="shared" si="32"/>
        <v>225.7675503415216</v>
      </c>
      <c r="BW14" s="531">
        <f t="shared" si="32"/>
        <v>178.70371573762395</v>
      </c>
      <c r="BX14" s="531">
        <f t="shared" si="32"/>
        <v>204.48276534732653</v>
      </c>
      <c r="BY14" s="531">
        <f t="shared" si="32"/>
        <v>186.02301354939743</v>
      </c>
      <c r="BZ14" s="531">
        <f t="shared" si="32"/>
        <v>342.65874471258468</v>
      </c>
      <c r="CA14" s="531">
        <f t="shared" si="32"/>
        <v>281.01046159948436</v>
      </c>
      <c r="CB14" s="555">
        <f t="shared" si="32"/>
        <v>148.39722055235333</v>
      </c>
      <c r="CC14" s="531">
        <f t="shared" si="32"/>
        <v>258.17501281206535</v>
      </c>
      <c r="CD14" s="531">
        <f t="shared" si="32"/>
        <v>427.27517864365643</v>
      </c>
      <c r="CE14" s="531">
        <f t="shared" si="32"/>
        <v>205.50609669721371</v>
      </c>
      <c r="CF14" s="531">
        <f t="shared" si="32"/>
        <v>1033.2462718004888</v>
      </c>
      <c r="CG14" s="531">
        <f>CG13/CG7*100</f>
        <v>141.39121346611023</v>
      </c>
      <c r="CH14" s="531">
        <f t="shared" si="32"/>
        <v>137.6265295265118</v>
      </c>
      <c r="CI14" s="531">
        <f t="shared" si="32"/>
        <v>319.19044539041226</v>
      </c>
      <c r="CJ14" s="531">
        <f t="shared" si="32"/>
        <v>171.15613241656555</v>
      </c>
      <c r="CK14" s="532">
        <f t="shared" si="32"/>
        <v>108.58395469717854</v>
      </c>
      <c r="CL14" s="556">
        <f>CL13/CL7*100</f>
        <v>304.31365770168554</v>
      </c>
    </row>
    <row r="15" spans="1:91">
      <c r="A15" s="80">
        <f>ROWS($A$3:A13)</f>
        <v>11</v>
      </c>
      <c r="B15" s="59" t="s">
        <v>269</v>
      </c>
      <c r="C15" s="252"/>
      <c r="D15" s="259"/>
      <c r="E15" s="451"/>
      <c r="F15" s="533"/>
      <c r="G15" s="281"/>
      <c r="H15" s="281"/>
      <c r="I15" s="300"/>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c r="A16" s="80">
        <f>ROWS($A$3:A14)</f>
        <v>12</v>
      </c>
      <c r="B16" s="92" t="s">
        <v>200</v>
      </c>
      <c r="C16" s="202">
        <v>2015</v>
      </c>
      <c r="D16" s="259" t="s">
        <v>11</v>
      </c>
      <c r="E16" s="437">
        <v>42888</v>
      </c>
      <c r="F16" s="534">
        <v>2333000</v>
      </c>
      <c r="G16" s="534">
        <v>1530300</v>
      </c>
      <c r="H16" s="534">
        <v>1205973</v>
      </c>
      <c r="I16" s="535">
        <v>1009383</v>
      </c>
      <c r="J16" s="141"/>
      <c r="K16" s="116">
        <f t="shared" si="0"/>
        <v>166900</v>
      </c>
      <c r="L16" s="137">
        <f t="shared" si="1"/>
        <v>196900</v>
      </c>
      <c r="M16" s="137">
        <f t="shared" si="2"/>
        <v>73400</v>
      </c>
      <c r="N16" s="137">
        <f t="shared" si="3"/>
        <v>122600</v>
      </c>
      <c r="O16" s="137">
        <f t="shared" si="4"/>
        <v>64000</v>
      </c>
      <c r="P16" s="137">
        <f>'2016'!AZ16+'2016'!BA16</f>
        <v>262200</v>
      </c>
      <c r="Q16" s="137">
        <f>'2016'!AU16</f>
        <v>226700</v>
      </c>
      <c r="R16" s="137">
        <f t="shared" si="30"/>
        <v>770200</v>
      </c>
      <c r="S16" s="137">
        <f t="shared" si="5"/>
        <v>272200</v>
      </c>
      <c r="T16" s="137">
        <f t="shared" si="6"/>
        <v>69400</v>
      </c>
      <c r="U16" s="139">
        <f t="shared" si="6"/>
        <v>108400</v>
      </c>
      <c r="V16" s="137">
        <f>BG16+BJ16</f>
        <v>155100</v>
      </c>
      <c r="W16" s="137">
        <f t="shared" si="8"/>
        <v>62200</v>
      </c>
      <c r="X16" s="137">
        <f>BH16+BI16</f>
        <v>438300</v>
      </c>
      <c r="Y16" s="137">
        <f>BK16+BL16+BN16</f>
        <v>586300</v>
      </c>
      <c r="Z16" s="137">
        <f t="shared" si="11"/>
        <v>66200</v>
      </c>
      <c r="AA16" s="137">
        <f>BO16+BQ16</f>
        <v>157400</v>
      </c>
      <c r="AB16" s="139">
        <f t="shared" si="13"/>
        <v>64800</v>
      </c>
      <c r="AC16" s="137">
        <f t="shared" si="14"/>
        <v>120100</v>
      </c>
      <c r="AD16" s="137">
        <f t="shared" si="15"/>
        <v>71900</v>
      </c>
      <c r="AE16" s="137">
        <f>BS16+BT16</f>
        <v>287100</v>
      </c>
      <c r="AF16" s="137">
        <f t="shared" si="17"/>
        <v>106702</v>
      </c>
      <c r="AG16" s="137">
        <f t="shared" si="18"/>
        <v>239700</v>
      </c>
      <c r="AH16" s="137">
        <f t="shared" si="19"/>
        <v>144300</v>
      </c>
      <c r="AI16" s="137">
        <f t="shared" si="20"/>
        <v>75200</v>
      </c>
      <c r="AJ16" s="137">
        <f t="shared" si="21"/>
        <v>83800</v>
      </c>
      <c r="AK16" s="139">
        <f t="shared" si="22"/>
        <v>77141</v>
      </c>
      <c r="AL16" s="137">
        <f t="shared" si="23"/>
        <v>91637</v>
      </c>
      <c r="AM16" s="137">
        <f t="shared" si="24"/>
        <v>106909</v>
      </c>
      <c r="AN16" s="137">
        <f t="shared" si="25"/>
        <v>159552</v>
      </c>
      <c r="AO16" s="137">
        <f t="shared" si="26"/>
        <v>153821</v>
      </c>
      <c r="AP16" s="137">
        <f t="shared" si="26"/>
        <v>111463</v>
      </c>
      <c r="AQ16" s="137">
        <f t="shared" si="27"/>
        <v>66913</v>
      </c>
      <c r="AR16" s="137">
        <f t="shared" si="28"/>
        <v>121228</v>
      </c>
      <c r="AS16" s="138">
        <f>CF16+CG16</f>
        <v>197860</v>
      </c>
      <c r="AT16" s="534">
        <v>511500</v>
      </c>
      <c r="AU16" s="534">
        <v>226700</v>
      </c>
      <c r="AV16" s="534">
        <v>272200</v>
      </c>
      <c r="AW16" s="534">
        <v>122600</v>
      </c>
      <c r="AX16" s="534">
        <v>258700</v>
      </c>
      <c r="AY16" s="534">
        <v>196900</v>
      </c>
      <c r="AZ16" s="534">
        <v>94300</v>
      </c>
      <c r="BA16" s="534">
        <v>167900</v>
      </c>
      <c r="BB16" s="534">
        <v>69400</v>
      </c>
      <c r="BC16" s="534">
        <v>108400</v>
      </c>
      <c r="BD16" s="534">
        <v>73400</v>
      </c>
      <c r="BE16" s="534">
        <v>64000</v>
      </c>
      <c r="BF16" s="557">
        <v>166900</v>
      </c>
      <c r="BG16" s="534">
        <v>41100</v>
      </c>
      <c r="BH16" s="534">
        <v>235300</v>
      </c>
      <c r="BI16" s="534">
        <v>203000</v>
      </c>
      <c r="BJ16" s="534">
        <v>114000</v>
      </c>
      <c r="BK16" s="534">
        <v>118000</v>
      </c>
      <c r="BL16" s="534">
        <v>240300</v>
      </c>
      <c r="BM16" s="534">
        <v>66200</v>
      </c>
      <c r="BN16" s="534">
        <v>228000</v>
      </c>
      <c r="BO16" s="534">
        <v>76300</v>
      </c>
      <c r="BP16" s="534">
        <v>64800</v>
      </c>
      <c r="BQ16" s="534">
        <v>81100</v>
      </c>
      <c r="BR16" s="557">
        <v>62200</v>
      </c>
      <c r="BS16" s="534">
        <v>171100</v>
      </c>
      <c r="BT16" s="534">
        <v>116000</v>
      </c>
      <c r="BU16" s="534">
        <v>71900</v>
      </c>
      <c r="BV16" s="534">
        <v>239700</v>
      </c>
      <c r="BW16" s="534">
        <v>75200</v>
      </c>
      <c r="BX16" s="534">
        <v>120100</v>
      </c>
      <c r="BY16" s="534">
        <v>83800</v>
      </c>
      <c r="BZ16" s="534">
        <v>144300</v>
      </c>
      <c r="CA16" s="534">
        <v>106702</v>
      </c>
      <c r="CB16" s="557">
        <v>77141</v>
      </c>
      <c r="CC16" s="534">
        <v>153821</v>
      </c>
      <c r="CD16" s="534">
        <v>111463</v>
      </c>
      <c r="CE16" s="534">
        <v>91637</v>
      </c>
      <c r="CF16" s="534">
        <v>121289</v>
      </c>
      <c r="CG16" s="534">
        <v>76571</v>
      </c>
      <c r="CH16" s="534">
        <v>106909</v>
      </c>
      <c r="CI16" s="534">
        <v>121228</v>
      </c>
      <c r="CJ16" s="534">
        <v>159552</v>
      </c>
      <c r="CK16" s="534">
        <v>66913</v>
      </c>
      <c r="CL16" s="320">
        <v>6078668</v>
      </c>
    </row>
    <row r="17" spans="1:90" ht="14.25">
      <c r="A17" s="80">
        <f>ROWS($A$3:A15)</f>
        <v>13</v>
      </c>
      <c r="B17" s="388" t="s">
        <v>243</v>
      </c>
      <c r="C17" s="204">
        <v>2016</v>
      </c>
      <c r="D17" s="259" t="s">
        <v>3</v>
      </c>
      <c r="E17" s="447">
        <v>42887</v>
      </c>
      <c r="F17" s="536">
        <f>(AT16*AT17+AU16*AU17+AV16*AV17+AW16*AW17+AX16*AX17+AY16*AY17+AZ16*AZ17+BA16*BA17+BB16*BB17+BC16*BC17+BD16*BD17+BE16*BE17+BF16*BF17)/F16</f>
        <v>4.0093999142734678</v>
      </c>
      <c r="G17" s="537">
        <f>(BG16*BG17+BH16*BH17+BI16*BI17+BJ16*BJ17+BK16*BK17+BL16*BL17+BM16*BM17+BN16*BN17+BO16*BO17+BP16*BP17+BQ16*BQ17+BR16*BR17)/G16</f>
        <v>4.4728876690844936</v>
      </c>
      <c r="H17" s="537">
        <f>(BS16*BS17+BT16*BT17+BU16*BU17+BV16*BV17+BW16*BW17+BX16*BX17+BY16*BY17+BZ16*BZ17+CA16*CA17+CB16*CB17)/H16</f>
        <v>3.6910260843319045</v>
      </c>
      <c r="I17" s="538">
        <f>(CC16*CC17+CD16*CD17+CE16*CE17+CF16*CF17+CG16*CG17+CH16*CH17+CI16*CI17+CJ16*CJ17+CK16*CK17)/I16</f>
        <v>3.296632001925929</v>
      </c>
      <c r="J17" s="173"/>
      <c r="K17" s="170">
        <f t="shared" si="0"/>
        <v>3.5</v>
      </c>
      <c r="L17" s="171">
        <f t="shared" si="1"/>
        <v>3.6</v>
      </c>
      <c r="M17" s="171">
        <f t="shared" si="2"/>
        <v>3.2</v>
      </c>
      <c r="N17" s="171">
        <f t="shared" si="3"/>
        <v>4</v>
      </c>
      <c r="O17" s="171">
        <f t="shared" si="4"/>
        <v>5.3</v>
      </c>
      <c r="P17" s="168">
        <f>ROUND((AZ16*AZ17/100+BA16*BA17/100)/P16%,1)</f>
        <v>4.3</v>
      </c>
      <c r="Q17" s="171">
        <f>'2016'!AU17</f>
        <v>3.2</v>
      </c>
      <c r="R17" s="168">
        <f>ROUND((AT16*AT17/100+AX16*AX17/100)/R16%,1)</f>
        <v>4.7</v>
      </c>
      <c r="S17" s="171">
        <f t="shared" si="5"/>
        <v>3.5</v>
      </c>
      <c r="T17" s="171">
        <f t="shared" si="6"/>
        <v>3</v>
      </c>
      <c r="U17" s="172">
        <f t="shared" si="6"/>
        <v>3.4</v>
      </c>
      <c r="V17" s="168">
        <f>ROUND((BG16*BG17/100+BJ16*BJ17/100)/V16%,1)</f>
        <v>4</v>
      </c>
      <c r="W17" s="171">
        <f t="shared" si="8"/>
        <v>3.4</v>
      </c>
      <c r="X17" s="168">
        <f>ROUND((BH16*BH17/100+BI16*BI17/100)/X16%,1)</f>
        <v>4.2</v>
      </c>
      <c r="Y17" s="168">
        <f>ROUND((BK16*BK17/100+BL16*BL17/100+BN16*BN17/100)/Y16%,1)</f>
        <v>5</v>
      </c>
      <c r="Z17" s="171">
        <f t="shared" si="11"/>
        <v>3.8</v>
      </c>
      <c r="AA17" s="168">
        <f>ROUND((BO16*BO17/100+BQ16*BQ17/100)/AA16%,1)</f>
        <v>4.9000000000000004</v>
      </c>
      <c r="AB17" s="172">
        <f t="shared" si="13"/>
        <v>3.6</v>
      </c>
      <c r="AC17" s="171">
        <f t="shared" si="14"/>
        <v>3.6</v>
      </c>
      <c r="AD17" s="171">
        <f t="shared" si="15"/>
        <v>3</v>
      </c>
      <c r="AE17" s="168">
        <f>ROUND((BS16*BS17/100+BT16*BT17/100)/AE16%,1)</f>
        <v>4.8</v>
      </c>
      <c r="AF17" s="171">
        <f t="shared" si="17"/>
        <v>3.3</v>
      </c>
      <c r="AG17" s="171">
        <f t="shared" si="18"/>
        <v>3.4</v>
      </c>
      <c r="AH17" s="171">
        <f t="shared" si="19"/>
        <v>3.8</v>
      </c>
      <c r="AI17" s="171">
        <f t="shared" si="20"/>
        <v>3</v>
      </c>
      <c r="AJ17" s="171">
        <f t="shared" si="21"/>
        <v>2.8</v>
      </c>
      <c r="AK17" s="172">
        <f t="shared" si="22"/>
        <v>3.2</v>
      </c>
      <c r="AL17" s="171">
        <f t="shared" si="23"/>
        <v>3.6</v>
      </c>
      <c r="AM17" s="171">
        <f t="shared" si="24"/>
        <v>2.5</v>
      </c>
      <c r="AN17" s="171">
        <f t="shared" si="25"/>
        <v>3</v>
      </c>
      <c r="AO17" s="171">
        <f t="shared" si="26"/>
        <v>3.8</v>
      </c>
      <c r="AP17" s="171">
        <f t="shared" si="26"/>
        <v>3.2</v>
      </c>
      <c r="AQ17" s="171">
        <f t="shared" si="27"/>
        <v>3.4</v>
      </c>
      <c r="AR17" s="171">
        <f t="shared" si="28"/>
        <v>2.8</v>
      </c>
      <c r="AS17" s="169">
        <f>ROUND((CF16*CF17/100+CG16*CG17/100)/AS16%,1)</f>
        <v>3.8</v>
      </c>
      <c r="AT17" s="466">
        <v>5.3</v>
      </c>
      <c r="AU17" s="466">
        <v>3.2</v>
      </c>
      <c r="AV17" s="466">
        <v>3.5</v>
      </c>
      <c r="AW17" s="466">
        <v>4</v>
      </c>
      <c r="AX17" s="466">
        <v>3.5</v>
      </c>
      <c r="AY17" s="466">
        <v>3.6</v>
      </c>
      <c r="AZ17" s="466">
        <v>5.7</v>
      </c>
      <c r="BA17" s="466">
        <v>3.5</v>
      </c>
      <c r="BB17" s="466">
        <v>3</v>
      </c>
      <c r="BC17" s="466">
        <v>3.4</v>
      </c>
      <c r="BD17" s="466">
        <v>3.2</v>
      </c>
      <c r="BE17" s="466">
        <v>5.3</v>
      </c>
      <c r="BF17" s="558">
        <v>3.5</v>
      </c>
      <c r="BG17" s="466">
        <v>5.6</v>
      </c>
      <c r="BH17" s="466">
        <v>5.0999999999999996</v>
      </c>
      <c r="BI17" s="466">
        <v>3.2</v>
      </c>
      <c r="BJ17" s="466">
        <v>3.4</v>
      </c>
      <c r="BK17" s="466">
        <v>4.7</v>
      </c>
      <c r="BL17" s="466">
        <v>5.7</v>
      </c>
      <c r="BM17" s="466">
        <v>3.8</v>
      </c>
      <c r="BN17" s="466">
        <v>4.3</v>
      </c>
      <c r="BO17" s="466">
        <v>7.2</v>
      </c>
      <c r="BP17" s="466">
        <v>3.6</v>
      </c>
      <c r="BQ17" s="466">
        <v>2.8</v>
      </c>
      <c r="BR17" s="558">
        <v>3.4</v>
      </c>
      <c r="BS17" s="466">
        <v>5.9</v>
      </c>
      <c r="BT17" s="466">
        <v>3.2</v>
      </c>
      <c r="BU17" s="466">
        <v>3</v>
      </c>
      <c r="BV17" s="466">
        <v>3.4</v>
      </c>
      <c r="BW17" s="466">
        <v>3</v>
      </c>
      <c r="BX17" s="466">
        <v>3.6</v>
      </c>
      <c r="BY17" s="466">
        <v>2.8</v>
      </c>
      <c r="BZ17" s="466">
        <v>3.8</v>
      </c>
      <c r="CA17" s="466">
        <v>3.3</v>
      </c>
      <c r="CB17" s="558">
        <v>3.2</v>
      </c>
      <c r="CC17" s="466">
        <v>3.8</v>
      </c>
      <c r="CD17" s="466">
        <v>3.2</v>
      </c>
      <c r="CE17" s="466">
        <v>3.6</v>
      </c>
      <c r="CF17" s="466">
        <v>4.3</v>
      </c>
      <c r="CG17" s="466">
        <v>2.9</v>
      </c>
      <c r="CH17" s="466">
        <v>2.5</v>
      </c>
      <c r="CI17" s="466">
        <v>2.8</v>
      </c>
      <c r="CJ17" s="466">
        <v>3</v>
      </c>
      <c r="CK17" s="466">
        <v>3.4</v>
      </c>
      <c r="CL17" s="319">
        <v>3.8</v>
      </c>
    </row>
    <row r="18" spans="1:90">
      <c r="A18" s="80">
        <f>ROWS($A$3:A16)</f>
        <v>14</v>
      </c>
      <c r="B18" s="238" t="s">
        <v>302</v>
      </c>
      <c r="C18" s="204">
        <v>2015</v>
      </c>
      <c r="D18" s="259" t="s">
        <v>11</v>
      </c>
      <c r="E18" s="437">
        <v>42888</v>
      </c>
      <c r="F18" s="534">
        <v>21600</v>
      </c>
      <c r="G18" s="534">
        <v>8600</v>
      </c>
      <c r="H18" s="534">
        <v>16278</v>
      </c>
      <c r="I18" s="535">
        <v>17183</v>
      </c>
      <c r="J18" s="173"/>
      <c r="K18" s="116">
        <f>BF18</f>
        <v>2000</v>
      </c>
      <c r="L18" s="137">
        <f>AY18</f>
        <v>2100</v>
      </c>
      <c r="M18" s="137">
        <f>BD18</f>
        <v>1500</v>
      </c>
      <c r="N18" s="137">
        <f>AW18</f>
        <v>900</v>
      </c>
      <c r="O18" s="137">
        <f>BE18</f>
        <v>700</v>
      </c>
      <c r="P18" s="143">
        <f>'2016'!AZ18+'2016'!BA18</f>
        <v>4100</v>
      </c>
      <c r="Q18" s="137">
        <f>'2016'!AU18</f>
        <v>800</v>
      </c>
      <c r="R18" s="143">
        <f>AT18+AX18</f>
        <v>3900</v>
      </c>
      <c r="S18" s="137">
        <f>AV18</f>
        <v>1400</v>
      </c>
      <c r="T18" s="137">
        <f>BB18</f>
        <v>1900</v>
      </c>
      <c r="U18" s="139">
        <f>BC18</f>
        <v>2500</v>
      </c>
      <c r="V18" s="143">
        <f>BG18+BJ18</f>
        <v>1200</v>
      </c>
      <c r="W18" s="137">
        <f>BR18</f>
        <v>500</v>
      </c>
      <c r="X18" s="143">
        <f>BH18+BI18</f>
        <v>1800</v>
      </c>
      <c r="Y18" s="143">
        <f>BK18+BL18+BN18</f>
        <v>2700</v>
      </c>
      <c r="Z18" s="137">
        <f>BM18</f>
        <v>1100</v>
      </c>
      <c r="AA18" s="143">
        <f>BO18+BQ18</f>
        <v>700</v>
      </c>
      <c r="AB18" s="139">
        <f>BP18</f>
        <v>600</v>
      </c>
      <c r="AC18" s="137">
        <f>BX18</f>
        <v>1000</v>
      </c>
      <c r="AD18" s="137">
        <f>BU18</f>
        <v>1500</v>
      </c>
      <c r="AE18" s="143">
        <f>BS18+BT18</f>
        <v>4200</v>
      </c>
      <c r="AF18" s="137">
        <f>CA18</f>
        <v>1285</v>
      </c>
      <c r="AG18" s="137">
        <f>BV18</f>
        <v>3900</v>
      </c>
      <c r="AH18" s="137">
        <f>BZ18</f>
        <v>2100</v>
      </c>
      <c r="AI18" s="137">
        <f>BW18</f>
        <v>700</v>
      </c>
      <c r="AJ18" s="137">
        <f>BY18</f>
        <v>400</v>
      </c>
      <c r="AK18" s="139">
        <f>CB18</f>
        <v>1143</v>
      </c>
      <c r="AL18" s="137">
        <f>CE18</f>
        <v>766</v>
      </c>
      <c r="AM18" s="137">
        <f>CH18</f>
        <v>2727</v>
      </c>
      <c r="AN18" s="137">
        <f>CJ18</f>
        <v>4526</v>
      </c>
      <c r="AO18" s="137">
        <f>CC18</f>
        <v>1243</v>
      </c>
      <c r="AP18" s="137">
        <f>CD18</f>
        <v>465</v>
      </c>
      <c r="AQ18" s="137">
        <f>CK18</f>
        <v>1442</v>
      </c>
      <c r="AR18" s="137">
        <f>CI18</f>
        <v>3466</v>
      </c>
      <c r="AS18" s="144">
        <f>CF18+CG18</f>
        <v>2548</v>
      </c>
      <c r="AT18" s="534">
        <v>900</v>
      </c>
      <c r="AU18" s="534">
        <v>800</v>
      </c>
      <c r="AV18" s="534">
        <v>1400</v>
      </c>
      <c r="AW18" s="534">
        <v>900</v>
      </c>
      <c r="AX18" s="534">
        <v>3000</v>
      </c>
      <c r="AY18" s="534">
        <v>2100</v>
      </c>
      <c r="AZ18" s="534">
        <v>600</v>
      </c>
      <c r="BA18" s="534">
        <v>3500</v>
      </c>
      <c r="BB18" s="534">
        <v>1900</v>
      </c>
      <c r="BC18" s="534">
        <v>2500</v>
      </c>
      <c r="BD18" s="534">
        <v>1500</v>
      </c>
      <c r="BE18" s="534">
        <v>700</v>
      </c>
      <c r="BF18" s="557">
        <v>2000</v>
      </c>
      <c r="BG18" s="534">
        <v>200</v>
      </c>
      <c r="BH18" s="534">
        <v>300</v>
      </c>
      <c r="BI18" s="534">
        <v>1500</v>
      </c>
      <c r="BJ18" s="534">
        <v>1000</v>
      </c>
      <c r="BK18" s="534">
        <v>300</v>
      </c>
      <c r="BL18" s="534">
        <v>400</v>
      </c>
      <c r="BM18" s="534">
        <v>1100</v>
      </c>
      <c r="BN18" s="534">
        <v>2000</v>
      </c>
      <c r="BO18" s="534">
        <v>100</v>
      </c>
      <c r="BP18" s="534">
        <v>600</v>
      </c>
      <c r="BQ18" s="534">
        <v>600</v>
      </c>
      <c r="BR18" s="557">
        <v>500</v>
      </c>
      <c r="BS18" s="534">
        <v>500</v>
      </c>
      <c r="BT18" s="534">
        <v>3700</v>
      </c>
      <c r="BU18" s="534">
        <v>1500</v>
      </c>
      <c r="BV18" s="534">
        <v>3900</v>
      </c>
      <c r="BW18" s="534">
        <v>700</v>
      </c>
      <c r="BX18" s="534">
        <v>1000</v>
      </c>
      <c r="BY18" s="534">
        <v>400</v>
      </c>
      <c r="BZ18" s="534">
        <v>2100</v>
      </c>
      <c r="CA18" s="534">
        <v>1285</v>
      </c>
      <c r="CB18" s="557">
        <v>1143</v>
      </c>
      <c r="CC18" s="534">
        <v>1243</v>
      </c>
      <c r="CD18" s="534">
        <v>465</v>
      </c>
      <c r="CE18" s="534">
        <v>766</v>
      </c>
      <c r="CF18" s="534">
        <v>274</v>
      </c>
      <c r="CG18" s="534">
        <v>2274</v>
      </c>
      <c r="CH18" s="534">
        <v>2727</v>
      </c>
      <c r="CI18" s="534">
        <v>3466</v>
      </c>
      <c r="CJ18" s="534">
        <v>4526</v>
      </c>
      <c r="CK18" s="534">
        <v>1442</v>
      </c>
      <c r="CL18" s="320">
        <v>63668</v>
      </c>
    </row>
    <row r="19" spans="1:90">
      <c r="A19" s="80">
        <f>ROWS($A$3:A17)</f>
        <v>15</v>
      </c>
      <c r="B19" s="238" t="s">
        <v>268</v>
      </c>
      <c r="C19" s="202">
        <v>2016</v>
      </c>
      <c r="D19" s="259" t="s">
        <v>11</v>
      </c>
      <c r="E19" s="447">
        <v>42909</v>
      </c>
      <c r="F19" s="533">
        <v>1757168</v>
      </c>
      <c r="G19" s="281">
        <v>1125507</v>
      </c>
      <c r="H19" s="281">
        <v>847404</v>
      </c>
      <c r="I19" s="300">
        <v>721108</v>
      </c>
      <c r="J19" s="173"/>
      <c r="K19" s="116">
        <f>BF19</f>
        <v>120725</v>
      </c>
      <c r="L19" s="137">
        <f>AY19</f>
        <v>143182</v>
      </c>
      <c r="M19" s="137">
        <f>BD19</f>
        <v>53100</v>
      </c>
      <c r="N19" s="137">
        <f>AW19</f>
        <v>86117</v>
      </c>
      <c r="O19" s="137">
        <f>BE19</f>
        <v>49517</v>
      </c>
      <c r="P19" s="143">
        <f>'2016'!AZ19+'2016'!BA19</f>
        <v>201569</v>
      </c>
      <c r="Q19" s="137">
        <f>'2016'!AU19</f>
        <v>173452</v>
      </c>
      <c r="R19" s="143">
        <f>AT19+AX19</f>
        <v>589980</v>
      </c>
      <c r="S19" s="137">
        <f>AV19</f>
        <v>206779</v>
      </c>
      <c r="T19" s="137">
        <f>BB19</f>
        <v>54513</v>
      </c>
      <c r="U19" s="139">
        <f>BC19</f>
        <v>78234</v>
      </c>
      <c r="V19" s="143">
        <f>BG19+BJ19</f>
        <v>117779</v>
      </c>
      <c r="W19" s="137">
        <f>BR19</f>
        <v>45062</v>
      </c>
      <c r="X19" s="143">
        <f>BH19+BI19</f>
        <v>321231</v>
      </c>
      <c r="Y19" s="143">
        <f>BK19+BL19+BN19</f>
        <v>436221</v>
      </c>
      <c r="Z19" s="137">
        <f>BM19</f>
        <v>45304</v>
      </c>
      <c r="AA19" s="143">
        <f>BO19+BQ19</f>
        <v>115493</v>
      </c>
      <c r="AB19" s="139">
        <f>BP19</f>
        <v>44417</v>
      </c>
      <c r="AC19" s="137">
        <f>BX19</f>
        <v>83936</v>
      </c>
      <c r="AD19" s="137">
        <f>BU19</f>
        <v>49805</v>
      </c>
      <c r="AE19" s="143">
        <f>BS19+BT19</f>
        <v>197549</v>
      </c>
      <c r="AF19" s="137">
        <f>CA19</f>
        <v>77030</v>
      </c>
      <c r="AG19" s="137">
        <f>BV19</f>
        <v>171530</v>
      </c>
      <c r="AH19" s="137">
        <f>BZ19</f>
        <v>98039</v>
      </c>
      <c r="AI19" s="137">
        <f>BW19</f>
        <v>54027</v>
      </c>
      <c r="AJ19" s="137">
        <f>BY19</f>
        <v>62443</v>
      </c>
      <c r="AK19" s="139">
        <f>CB19</f>
        <v>53045</v>
      </c>
      <c r="AL19" s="137">
        <f>CE19</f>
        <v>65975</v>
      </c>
      <c r="AM19" s="137">
        <f>CH19</f>
        <v>79147</v>
      </c>
      <c r="AN19" s="137">
        <f>CJ19</f>
        <v>111437</v>
      </c>
      <c r="AO19" s="137">
        <f>CC19</f>
        <v>109730</v>
      </c>
      <c r="AP19" s="137">
        <f>CD19</f>
        <v>76410</v>
      </c>
      <c r="AQ19" s="137">
        <f>CK19</f>
        <v>45990</v>
      </c>
      <c r="AR19" s="137">
        <f>CI19</f>
        <v>88622</v>
      </c>
      <c r="AS19" s="144">
        <f>CF19+CG19</f>
        <v>143797</v>
      </c>
      <c r="AT19" s="534">
        <v>396516</v>
      </c>
      <c r="AU19" s="534">
        <v>173452</v>
      </c>
      <c r="AV19" s="534">
        <v>206779</v>
      </c>
      <c r="AW19" s="534">
        <v>86117</v>
      </c>
      <c r="AX19" s="534">
        <v>193464</v>
      </c>
      <c r="AY19" s="534">
        <v>143182</v>
      </c>
      <c r="AZ19" s="534">
        <v>69270</v>
      </c>
      <c r="BA19" s="534">
        <v>132299</v>
      </c>
      <c r="BB19" s="534">
        <v>54513</v>
      </c>
      <c r="BC19" s="534">
        <v>78234</v>
      </c>
      <c r="BD19" s="534">
        <v>53100</v>
      </c>
      <c r="BE19" s="534">
        <v>49517</v>
      </c>
      <c r="BF19" s="557">
        <v>120725</v>
      </c>
      <c r="BG19" s="534">
        <v>29480</v>
      </c>
      <c r="BH19" s="534">
        <v>173336</v>
      </c>
      <c r="BI19" s="534">
        <v>147895</v>
      </c>
      <c r="BJ19" s="534">
        <v>88299</v>
      </c>
      <c r="BK19" s="534">
        <v>89455</v>
      </c>
      <c r="BL19" s="534">
        <v>183055</v>
      </c>
      <c r="BM19" s="534">
        <v>45304</v>
      </c>
      <c r="BN19" s="534">
        <v>163711</v>
      </c>
      <c r="BO19" s="534">
        <v>56548</v>
      </c>
      <c r="BP19" s="534">
        <v>44417</v>
      </c>
      <c r="BQ19" s="534">
        <v>58945</v>
      </c>
      <c r="BR19" s="557">
        <v>45062</v>
      </c>
      <c r="BS19" s="534">
        <v>119149</v>
      </c>
      <c r="BT19" s="534">
        <v>78400</v>
      </c>
      <c r="BU19" s="534">
        <v>49805</v>
      </c>
      <c r="BV19" s="534">
        <v>171530</v>
      </c>
      <c r="BW19" s="534">
        <v>54027</v>
      </c>
      <c r="BX19" s="534">
        <v>83936</v>
      </c>
      <c r="BY19" s="534">
        <v>62443</v>
      </c>
      <c r="BZ19" s="534">
        <v>98039</v>
      </c>
      <c r="CA19" s="534">
        <v>77030</v>
      </c>
      <c r="CB19" s="557">
        <v>53045</v>
      </c>
      <c r="CC19" s="534">
        <v>109730</v>
      </c>
      <c r="CD19" s="534">
        <v>76410</v>
      </c>
      <c r="CE19" s="534">
        <v>65975</v>
      </c>
      <c r="CF19" s="534">
        <v>91869</v>
      </c>
      <c r="CG19" s="534">
        <v>51928</v>
      </c>
      <c r="CH19" s="534">
        <v>79147</v>
      </c>
      <c r="CI19" s="534">
        <v>88622</v>
      </c>
      <c r="CJ19" s="534">
        <v>111437</v>
      </c>
      <c r="CK19" s="534">
        <v>45990</v>
      </c>
      <c r="CL19" s="320">
        <v>4451187</v>
      </c>
    </row>
    <row r="20" spans="1:90">
      <c r="A20" s="80">
        <f>ROWS($A$3:A18)</f>
        <v>16</v>
      </c>
      <c r="B20" s="92" t="s">
        <v>64</v>
      </c>
      <c r="C20" s="204">
        <v>2013</v>
      </c>
      <c r="D20" s="259" t="s">
        <v>285</v>
      </c>
      <c r="E20" s="447">
        <v>42549</v>
      </c>
      <c r="F20" s="154">
        <v>158608</v>
      </c>
      <c r="G20" s="155">
        <v>94085</v>
      </c>
      <c r="H20" s="155">
        <v>65766</v>
      </c>
      <c r="I20" s="156">
        <v>59841</v>
      </c>
      <c r="J20" s="141"/>
      <c r="K20" s="116">
        <f t="shared" si="0"/>
        <v>10393</v>
      </c>
      <c r="L20" s="137">
        <f t="shared" si="1"/>
        <v>11307</v>
      </c>
      <c r="M20" s="137">
        <f t="shared" si="2"/>
        <v>3968</v>
      </c>
      <c r="N20" s="137">
        <f t="shared" si="3"/>
        <v>6694</v>
      </c>
      <c r="O20" s="137">
        <f t="shared" si="4"/>
        <v>3543</v>
      </c>
      <c r="P20" s="137">
        <f>'2016'!AZ20+'2016'!BA20</f>
        <v>18929</v>
      </c>
      <c r="Q20" s="137">
        <f>'2016'!AU20</f>
        <v>17952</v>
      </c>
      <c r="R20" s="137">
        <f>AT20+AX20</f>
        <v>58981</v>
      </c>
      <c r="S20" s="137">
        <f t="shared" si="5"/>
        <v>16680</v>
      </c>
      <c r="T20" s="137">
        <f t="shared" si="6"/>
        <v>4038</v>
      </c>
      <c r="U20" s="139">
        <f t="shared" si="6"/>
        <v>6124</v>
      </c>
      <c r="V20" s="137">
        <f>BG20+BJ20</f>
        <v>9613</v>
      </c>
      <c r="W20" s="137">
        <f t="shared" si="8"/>
        <v>3445</v>
      </c>
      <c r="X20" s="137">
        <f>BH20+BI20</f>
        <v>27989</v>
      </c>
      <c r="Y20" s="137">
        <f>BK20+BL20+BN20</f>
        <v>36748</v>
      </c>
      <c r="Z20" s="137">
        <f t="shared" si="11"/>
        <v>3741</v>
      </c>
      <c r="AA20" s="137">
        <f>BO20+BQ20</f>
        <v>8994</v>
      </c>
      <c r="AB20" s="139">
        <f t="shared" si="13"/>
        <v>3554</v>
      </c>
      <c r="AC20" s="137">
        <f t="shared" si="14"/>
        <v>6129</v>
      </c>
      <c r="AD20" s="137">
        <f t="shared" si="15"/>
        <v>3829</v>
      </c>
      <c r="AE20" s="137">
        <f>BS20+BT20</f>
        <v>14928</v>
      </c>
      <c r="AF20" s="137">
        <f t="shared" si="17"/>
        <v>6327</v>
      </c>
      <c r="AG20" s="137">
        <f t="shared" si="18"/>
        <v>13145</v>
      </c>
      <c r="AH20" s="137">
        <f t="shared" si="19"/>
        <v>7813</v>
      </c>
      <c r="AI20" s="137">
        <f t="shared" si="20"/>
        <v>4559</v>
      </c>
      <c r="AJ20" s="137">
        <f t="shared" si="21"/>
        <v>4949</v>
      </c>
      <c r="AK20" s="139">
        <f t="shared" si="22"/>
        <v>4088</v>
      </c>
      <c r="AL20" s="137">
        <f t="shared" si="23"/>
        <v>5196</v>
      </c>
      <c r="AM20" s="137">
        <f t="shared" si="24"/>
        <v>7272</v>
      </c>
      <c r="AN20" s="137">
        <f t="shared" si="25"/>
        <v>9081</v>
      </c>
      <c r="AO20" s="137">
        <f t="shared" si="26"/>
        <v>8904</v>
      </c>
      <c r="AP20" s="137">
        <f t="shared" si="26"/>
        <v>5782</v>
      </c>
      <c r="AQ20" s="137">
        <f t="shared" si="27"/>
        <v>3614</v>
      </c>
      <c r="AR20" s="137">
        <f t="shared" si="28"/>
        <v>8096</v>
      </c>
      <c r="AS20" s="138">
        <f>CF20+CG20</f>
        <v>11898</v>
      </c>
      <c r="AT20" s="281">
        <v>40637</v>
      </c>
      <c r="AU20" s="155">
        <v>17952</v>
      </c>
      <c r="AV20" s="155">
        <v>16680</v>
      </c>
      <c r="AW20" s="155">
        <v>6694</v>
      </c>
      <c r="AX20" s="155">
        <v>18344</v>
      </c>
      <c r="AY20" s="155">
        <v>11307</v>
      </c>
      <c r="AZ20" s="155">
        <v>5323</v>
      </c>
      <c r="BA20" s="155">
        <v>13606</v>
      </c>
      <c r="BB20" s="155">
        <v>4038</v>
      </c>
      <c r="BC20" s="155">
        <v>6124</v>
      </c>
      <c r="BD20" s="155">
        <v>3968</v>
      </c>
      <c r="BE20" s="155">
        <v>3543</v>
      </c>
      <c r="BF20" s="552">
        <v>10393</v>
      </c>
      <c r="BG20" s="155">
        <v>2293</v>
      </c>
      <c r="BH20" s="155">
        <v>15293</v>
      </c>
      <c r="BI20" s="155">
        <v>12696</v>
      </c>
      <c r="BJ20" s="155">
        <v>7320</v>
      </c>
      <c r="BK20" s="155">
        <v>6864</v>
      </c>
      <c r="BL20" s="155">
        <v>15498</v>
      </c>
      <c r="BM20" s="155">
        <v>3741</v>
      </c>
      <c r="BN20" s="155">
        <v>14386</v>
      </c>
      <c r="BO20" s="155">
        <v>4486</v>
      </c>
      <c r="BP20" s="155">
        <v>3554</v>
      </c>
      <c r="BQ20" s="155">
        <v>4508</v>
      </c>
      <c r="BR20" s="552">
        <v>3445</v>
      </c>
      <c r="BS20" s="155">
        <v>8917</v>
      </c>
      <c r="BT20" s="155">
        <v>6011</v>
      </c>
      <c r="BU20" s="155">
        <v>3829</v>
      </c>
      <c r="BV20" s="155">
        <v>13145</v>
      </c>
      <c r="BW20" s="155">
        <v>4559</v>
      </c>
      <c r="BX20" s="155">
        <v>6129</v>
      </c>
      <c r="BY20" s="155">
        <v>4949</v>
      </c>
      <c r="BZ20" s="155">
        <v>7813</v>
      </c>
      <c r="CA20" s="155">
        <v>6327</v>
      </c>
      <c r="CB20" s="552">
        <v>4088</v>
      </c>
      <c r="CC20" s="155">
        <v>8904</v>
      </c>
      <c r="CD20" s="155">
        <v>5782</v>
      </c>
      <c r="CE20" s="155">
        <v>5196</v>
      </c>
      <c r="CF20" s="155">
        <v>7286</v>
      </c>
      <c r="CG20" s="281">
        <v>4612</v>
      </c>
      <c r="CH20" s="155">
        <v>7272</v>
      </c>
      <c r="CI20" s="155">
        <v>8096</v>
      </c>
      <c r="CJ20" s="155">
        <v>9081</v>
      </c>
      <c r="CK20" s="156">
        <v>3614</v>
      </c>
      <c r="CL20" s="320">
        <v>378300</v>
      </c>
    </row>
    <row r="21" spans="1:90">
      <c r="A21" s="80">
        <f>ROWS($A$3:A19)</f>
        <v>17</v>
      </c>
      <c r="B21" s="53" t="s">
        <v>62</v>
      </c>
      <c r="C21" s="261"/>
      <c r="D21" s="260" t="s">
        <v>3</v>
      </c>
      <c r="E21" s="451"/>
      <c r="F21" s="539">
        <f>F118/F20%</f>
        <v>0.44070916977706043</v>
      </c>
      <c r="G21" s="521">
        <f>G118/G20%</f>
        <v>0.37306690758356803</v>
      </c>
      <c r="H21" s="521">
        <f>H118/H20%</f>
        <v>0.83325730620685468</v>
      </c>
      <c r="I21" s="540">
        <f>I118/I20%</f>
        <v>0.86395615046539997</v>
      </c>
      <c r="J21" s="173"/>
      <c r="K21" s="167">
        <f t="shared" ref="K21:BV21" si="33">K118/K20%</f>
        <v>0.79861445203502357</v>
      </c>
      <c r="L21" s="168">
        <f t="shared" si="33"/>
        <v>0.459892102237552</v>
      </c>
      <c r="M21" s="168">
        <f t="shared" si="33"/>
        <v>1.5625</v>
      </c>
      <c r="N21" s="168">
        <f t="shared" si="33"/>
        <v>0.4780400358530027</v>
      </c>
      <c r="O21" s="168">
        <f t="shared" si="33"/>
        <v>0.87496471916454988</v>
      </c>
      <c r="P21" s="168">
        <f t="shared" si="33"/>
        <v>0.52300702625600937</v>
      </c>
      <c r="Q21" s="168">
        <f t="shared" si="33"/>
        <v>0.13926024955436719</v>
      </c>
      <c r="R21" s="168">
        <f t="shared" si="33"/>
        <v>0.14411420626981572</v>
      </c>
      <c r="S21" s="168">
        <f t="shared" si="33"/>
        <v>0.19184652278177458</v>
      </c>
      <c r="T21" s="168">
        <f t="shared" si="33"/>
        <v>1.8573551263001484</v>
      </c>
      <c r="U21" s="176">
        <f t="shared" si="33"/>
        <v>2.008491182233834</v>
      </c>
      <c r="V21" s="168">
        <f t="shared" si="33"/>
        <v>0.48892125247061274</v>
      </c>
      <c r="W21" s="168">
        <f t="shared" si="33"/>
        <v>0.8127721335268504</v>
      </c>
      <c r="X21" s="168">
        <f t="shared" si="33"/>
        <v>0.23580692414877275</v>
      </c>
      <c r="Y21" s="168">
        <f t="shared" si="33"/>
        <v>0.23130510503973004</v>
      </c>
      <c r="Z21" s="168">
        <f t="shared" si="33"/>
        <v>1.6038492381716121</v>
      </c>
      <c r="AA21" s="168">
        <f t="shared" si="33"/>
        <v>0.36691127418278852</v>
      </c>
      <c r="AB21" s="176">
        <f t="shared" si="33"/>
        <v>0.87225661226786722</v>
      </c>
      <c r="AC21" s="168">
        <f t="shared" si="33"/>
        <v>0.68526676456191871</v>
      </c>
      <c r="AD21" s="168">
        <f t="shared" si="33"/>
        <v>1.2013580569339253</v>
      </c>
      <c r="AE21" s="168">
        <f t="shared" si="33"/>
        <v>0.857449088960343</v>
      </c>
      <c r="AF21" s="168">
        <f t="shared" si="33"/>
        <v>0.69543227437964272</v>
      </c>
      <c r="AG21" s="168">
        <f t="shared" si="33"/>
        <v>0.95853936858120969</v>
      </c>
      <c r="AH21" s="168">
        <f t="shared" si="33"/>
        <v>0.84474593626007943</v>
      </c>
      <c r="AI21" s="168">
        <f t="shared" si="33"/>
        <v>0.74577758280324624</v>
      </c>
      <c r="AJ21" s="168">
        <f t="shared" si="33"/>
        <v>0.46474035158617899</v>
      </c>
      <c r="AK21" s="176">
        <f t="shared" si="33"/>
        <v>0.95401174168297453</v>
      </c>
      <c r="AL21" s="168">
        <f t="shared" si="33"/>
        <v>0.55812163202463427</v>
      </c>
      <c r="AM21" s="168">
        <f t="shared" si="33"/>
        <v>1.3201320132013201</v>
      </c>
      <c r="AN21" s="168">
        <f t="shared" si="33"/>
        <v>1.3214403700033035</v>
      </c>
      <c r="AO21" s="168">
        <f t="shared" si="33"/>
        <v>0.42677448337825691</v>
      </c>
      <c r="AP21" s="168">
        <f t="shared" si="33"/>
        <v>0.3113109650639917</v>
      </c>
      <c r="AQ21" s="168">
        <f t="shared" si="33"/>
        <v>1.6325401217487547</v>
      </c>
      <c r="AR21" s="168">
        <f t="shared" si="33"/>
        <v>0.85227272727272729</v>
      </c>
      <c r="AS21" s="169">
        <f t="shared" si="33"/>
        <v>0.73962010421919644</v>
      </c>
      <c r="AT21" s="521">
        <f t="shared" si="33"/>
        <v>5.4137854664468341E-2</v>
      </c>
      <c r="AU21" s="521">
        <f t="shared" si="33"/>
        <v>0.13926024955436719</v>
      </c>
      <c r="AV21" s="521">
        <f t="shared" si="33"/>
        <v>0.19184652278177458</v>
      </c>
      <c r="AW21" s="521">
        <f t="shared" si="33"/>
        <v>0.4780400358530027</v>
      </c>
      <c r="AX21" s="521">
        <f t="shared" si="33"/>
        <v>0.34343654600959445</v>
      </c>
      <c r="AY21" s="521">
        <f t="shared" si="33"/>
        <v>0.459892102237552</v>
      </c>
      <c r="AZ21" s="521">
        <f t="shared" si="33"/>
        <v>0.24422318241593088</v>
      </c>
      <c r="BA21" s="521">
        <f t="shared" si="33"/>
        <v>0.63207408496251649</v>
      </c>
      <c r="BB21" s="521">
        <f t="shared" si="33"/>
        <v>1.8573551263001484</v>
      </c>
      <c r="BC21" s="521">
        <f t="shared" si="33"/>
        <v>2.008491182233834</v>
      </c>
      <c r="BD21" s="521">
        <f t="shared" si="33"/>
        <v>1.5625</v>
      </c>
      <c r="BE21" s="521">
        <f t="shared" si="33"/>
        <v>0.87496471916454988</v>
      </c>
      <c r="BF21" s="559">
        <f t="shared" si="33"/>
        <v>0.79861445203502357</v>
      </c>
      <c r="BG21" s="521">
        <f t="shared" si="33"/>
        <v>0.52333187963366767</v>
      </c>
      <c r="BH21" s="521">
        <f t="shared" si="33"/>
        <v>7.8467272608382918E-2</v>
      </c>
      <c r="BI21" s="521">
        <f t="shared" si="33"/>
        <v>0.42533081285444235</v>
      </c>
      <c r="BJ21" s="521">
        <f t="shared" si="33"/>
        <v>0.47814207650273222</v>
      </c>
      <c r="BK21" s="521">
        <f t="shared" si="33"/>
        <v>0.17482517482517482</v>
      </c>
      <c r="BL21" s="521">
        <f t="shared" si="33"/>
        <v>3.2262227384178603E-2</v>
      </c>
      <c r="BM21" s="521">
        <f t="shared" si="33"/>
        <v>1.6038492381716121</v>
      </c>
      <c r="BN21" s="521">
        <f t="shared" si="33"/>
        <v>0.47268177394689276</v>
      </c>
      <c r="BO21" s="521">
        <f t="shared" si="33"/>
        <v>0.20062416406598307</v>
      </c>
      <c r="BP21" s="521">
        <f t="shared" si="33"/>
        <v>0.87225661226786722</v>
      </c>
      <c r="BQ21" s="521">
        <f t="shared" si="33"/>
        <v>0.53238686779059452</v>
      </c>
      <c r="BR21" s="559">
        <f t="shared" si="33"/>
        <v>0.8127721335268504</v>
      </c>
      <c r="BS21" s="521">
        <f t="shared" si="33"/>
        <v>0.21307614668610519</v>
      </c>
      <c r="BT21" s="521">
        <f t="shared" si="33"/>
        <v>1.8133422059557478</v>
      </c>
      <c r="BU21" s="521">
        <f t="shared" si="33"/>
        <v>1.2013580569339253</v>
      </c>
      <c r="BV21" s="521">
        <f t="shared" si="33"/>
        <v>0.95853936858120969</v>
      </c>
      <c r="BW21" s="521">
        <f t="shared" ref="BW21:CL21" si="34">BW118/BW20%</f>
        <v>0.74577758280324624</v>
      </c>
      <c r="BX21" s="521">
        <f t="shared" si="34"/>
        <v>0.68526676456191871</v>
      </c>
      <c r="BY21" s="521">
        <f t="shared" si="34"/>
        <v>0.46474035158617899</v>
      </c>
      <c r="BZ21" s="521">
        <f t="shared" si="34"/>
        <v>0.84474593626007943</v>
      </c>
      <c r="CA21" s="521">
        <f t="shared" si="34"/>
        <v>0.69543227437964272</v>
      </c>
      <c r="CB21" s="559">
        <f t="shared" si="34"/>
        <v>0.95401174168297453</v>
      </c>
      <c r="CC21" s="521">
        <f t="shared" si="34"/>
        <v>0.42677448337825691</v>
      </c>
      <c r="CD21" s="521">
        <f t="shared" si="34"/>
        <v>0.3113109650639917</v>
      </c>
      <c r="CE21" s="521">
        <f t="shared" si="34"/>
        <v>0.55812163202463427</v>
      </c>
      <c r="CF21" s="521">
        <f t="shared" si="34"/>
        <v>0.12352456766401318</v>
      </c>
      <c r="CG21" s="521">
        <f t="shared" si="34"/>
        <v>1.7129228100607112</v>
      </c>
      <c r="CH21" s="521">
        <f t="shared" si="34"/>
        <v>1.3201320132013201</v>
      </c>
      <c r="CI21" s="521">
        <f t="shared" si="34"/>
        <v>0.85227272727272729</v>
      </c>
      <c r="CJ21" s="521">
        <f t="shared" si="34"/>
        <v>1.3214403700033035</v>
      </c>
      <c r="CK21" s="540">
        <f t="shared" si="34"/>
        <v>1.6325401217487547</v>
      </c>
      <c r="CL21" s="560">
        <f t="shared" si="34"/>
        <v>0.5590800951625694</v>
      </c>
    </row>
    <row r="22" spans="1:90">
      <c r="A22" s="80">
        <f>ROWS($A$3:A20)</f>
        <v>18</v>
      </c>
      <c r="B22" s="59" t="s">
        <v>66</v>
      </c>
      <c r="C22" s="484">
        <v>2016</v>
      </c>
      <c r="D22" s="260"/>
      <c r="E22" s="451"/>
      <c r="F22" s="154"/>
      <c r="G22" s="155"/>
      <c r="H22" s="155"/>
      <c r="I22" s="156"/>
      <c r="J22" s="141"/>
      <c r="K22" s="116"/>
      <c r="L22" s="137"/>
      <c r="M22" s="137"/>
      <c r="N22" s="137"/>
      <c r="O22" s="137"/>
      <c r="P22" s="137"/>
      <c r="Q22" s="137">
        <f>'2016'!AU22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0">
      <c r="A23" s="80">
        <f>ROWS($A$3:A21)</f>
        <v>19</v>
      </c>
      <c r="B23" s="52" t="s">
        <v>253</v>
      </c>
      <c r="D23" s="260" t="s">
        <v>13</v>
      </c>
      <c r="E23" s="447">
        <v>42887</v>
      </c>
      <c r="F23" s="154">
        <f>SUM(F24:F29)</f>
        <v>12977</v>
      </c>
      <c r="G23" s="155">
        <f>SUM(G24:G29)</f>
        <v>4559</v>
      </c>
      <c r="H23" s="155">
        <f>SUM(H24:H29)</f>
        <v>12363</v>
      </c>
      <c r="I23" s="156">
        <f>SUM(I24:I29)</f>
        <v>10690</v>
      </c>
      <c r="J23" s="141"/>
      <c r="K23" s="116">
        <f t="shared" ref="K23:K33" si="35">BF23</f>
        <v>1677</v>
      </c>
      <c r="L23" s="137">
        <f t="shared" ref="L23:L33" si="36">AY23</f>
        <v>1128</v>
      </c>
      <c r="M23" s="137">
        <f t="shared" ref="M23:M33" si="37">BD23</f>
        <v>1355</v>
      </c>
      <c r="N23" s="137">
        <f t="shared" ref="N23:N33" si="38">AW23</f>
        <v>725</v>
      </c>
      <c r="O23" s="137">
        <f t="shared" ref="O23:O33" si="39">BE23</f>
        <v>542</v>
      </c>
      <c r="P23" s="137">
        <f>'2016'!AZ23+'2016'!BA23</f>
        <v>2011</v>
      </c>
      <c r="Q23" s="137">
        <f>'2016'!AU23</f>
        <v>560</v>
      </c>
      <c r="R23" s="137">
        <f t="shared" ref="R23:R29" si="40">AT23+AX23</f>
        <v>1374</v>
      </c>
      <c r="S23" s="137">
        <f t="shared" ref="S23:S33" si="41">AV23</f>
        <v>633</v>
      </c>
      <c r="T23" s="137">
        <f t="shared" ref="T23:U33" si="42">BB23</f>
        <v>1098</v>
      </c>
      <c r="U23" s="139">
        <f t="shared" si="42"/>
        <v>1874</v>
      </c>
      <c r="V23" s="137">
        <f t="shared" ref="V23:V29" si="43">BG23+BJ23</f>
        <v>576</v>
      </c>
      <c r="W23" s="137">
        <f t="shared" ref="W23:W33" si="44">BR23</f>
        <v>477</v>
      </c>
      <c r="X23" s="137">
        <f t="shared" ref="X23:X29" si="45">BH23+BI23</f>
        <v>777</v>
      </c>
      <c r="Y23" s="137">
        <f t="shared" ref="Y23:Y29" si="46">BK23+BL23+BN23</f>
        <v>1014</v>
      </c>
      <c r="Z23" s="137">
        <f t="shared" ref="Z23:Z33" si="47">BM23</f>
        <v>830</v>
      </c>
      <c r="AA23" s="137">
        <f t="shared" ref="AA23:AA29" si="48">BO23+BQ23</f>
        <v>439</v>
      </c>
      <c r="AB23" s="139">
        <f t="shared" ref="AB23:AB33" si="49">BP23</f>
        <v>446</v>
      </c>
      <c r="AC23" s="137">
        <f t="shared" ref="AC23:AC33" si="50">BX23</f>
        <v>968</v>
      </c>
      <c r="AD23" s="137">
        <f t="shared" ref="AD23:AD33" si="51">BU23</f>
        <v>1266</v>
      </c>
      <c r="AE23" s="137">
        <f t="shared" ref="AE23:AE29" si="52">BS23+BT23</f>
        <v>2772</v>
      </c>
      <c r="AF23" s="137">
        <f t="shared" ref="AF23:AF33" si="53">CA23</f>
        <v>966</v>
      </c>
      <c r="AG23" s="137">
        <f t="shared" ref="AG23:AG33" si="54">BV23</f>
        <v>3285</v>
      </c>
      <c r="AH23" s="137">
        <f t="shared" ref="AH23:AH33" si="55">BZ23</f>
        <v>811</v>
      </c>
      <c r="AI23" s="137">
        <f t="shared" ref="AI23:AI33" si="56">BW23</f>
        <v>758</v>
      </c>
      <c r="AJ23" s="137">
        <f t="shared" ref="AJ23:AJ33" si="57">BY23</f>
        <v>424</v>
      </c>
      <c r="AK23" s="139">
        <f t="shared" ref="AK23:AK33" si="58">CB23</f>
        <v>1113</v>
      </c>
      <c r="AL23" s="137">
        <f t="shared" ref="AL23:AL33" si="59">CE23</f>
        <v>701</v>
      </c>
      <c r="AM23" s="137">
        <f t="shared" ref="AM23:AM33" si="60">CH23</f>
        <v>1714</v>
      </c>
      <c r="AN23" s="137">
        <f t="shared" ref="AN23:AN33" si="61">CJ23</f>
        <v>2340</v>
      </c>
      <c r="AO23" s="137">
        <f t="shared" ref="AO23:AP33" si="62">CC23</f>
        <v>1011</v>
      </c>
      <c r="AP23" s="137">
        <f t="shared" si="62"/>
        <v>386</v>
      </c>
      <c r="AQ23" s="137">
        <f t="shared" ref="AQ23:AQ33" si="63">CK23</f>
        <v>1167</v>
      </c>
      <c r="AR23" s="137">
        <f t="shared" ref="AR23:AR33" si="64">CI23</f>
        <v>1510</v>
      </c>
      <c r="AS23" s="138">
        <f t="shared" ref="AS23:AS29" si="65">CF23+CG23</f>
        <v>1861</v>
      </c>
      <c r="AT23" s="155">
        <f t="shared" ref="AT23:CJ23" si="66">SUM(AT24:AT29)</f>
        <v>191</v>
      </c>
      <c r="AU23" s="155">
        <f t="shared" si="66"/>
        <v>560</v>
      </c>
      <c r="AV23" s="155">
        <f t="shared" si="66"/>
        <v>633</v>
      </c>
      <c r="AW23" s="155">
        <f t="shared" si="66"/>
        <v>725</v>
      </c>
      <c r="AX23" s="155">
        <f t="shared" si="66"/>
        <v>1183</v>
      </c>
      <c r="AY23" s="155">
        <f t="shared" si="66"/>
        <v>1128</v>
      </c>
      <c r="AZ23" s="155">
        <f t="shared" si="66"/>
        <v>172</v>
      </c>
      <c r="BA23" s="155">
        <f t="shared" si="66"/>
        <v>1839</v>
      </c>
      <c r="BB23" s="155">
        <f t="shared" si="66"/>
        <v>1098</v>
      </c>
      <c r="BC23" s="155">
        <f t="shared" si="66"/>
        <v>1874</v>
      </c>
      <c r="BD23" s="155">
        <f t="shared" si="66"/>
        <v>1355</v>
      </c>
      <c r="BE23" s="155">
        <f t="shared" si="66"/>
        <v>542</v>
      </c>
      <c r="BF23" s="552">
        <f t="shared" si="66"/>
        <v>1677</v>
      </c>
      <c r="BG23" s="155">
        <f t="shared" si="66"/>
        <v>105</v>
      </c>
      <c r="BH23" s="155">
        <f t="shared" si="66"/>
        <v>62</v>
      </c>
      <c r="BI23" s="155">
        <f t="shared" si="66"/>
        <v>715</v>
      </c>
      <c r="BJ23" s="155">
        <f t="shared" si="66"/>
        <v>471</v>
      </c>
      <c r="BK23" s="155">
        <f t="shared" si="66"/>
        <v>74</v>
      </c>
      <c r="BL23" s="155">
        <f t="shared" si="66"/>
        <v>59</v>
      </c>
      <c r="BM23" s="155">
        <f t="shared" si="66"/>
        <v>830</v>
      </c>
      <c r="BN23" s="155">
        <f t="shared" si="66"/>
        <v>881</v>
      </c>
      <c r="BO23" s="155">
        <f t="shared" si="66"/>
        <v>25</v>
      </c>
      <c r="BP23" s="155">
        <f t="shared" si="66"/>
        <v>446</v>
      </c>
      <c r="BQ23" s="155">
        <f t="shared" si="66"/>
        <v>414</v>
      </c>
      <c r="BR23" s="552">
        <f t="shared" si="66"/>
        <v>477</v>
      </c>
      <c r="BS23" s="155">
        <f t="shared" si="66"/>
        <v>181</v>
      </c>
      <c r="BT23" s="155">
        <f t="shared" si="66"/>
        <v>2591</v>
      </c>
      <c r="BU23" s="155">
        <f t="shared" si="66"/>
        <v>1266</v>
      </c>
      <c r="BV23" s="155">
        <f t="shared" si="66"/>
        <v>3285</v>
      </c>
      <c r="BW23" s="155">
        <f t="shared" si="66"/>
        <v>758</v>
      </c>
      <c r="BX23" s="155">
        <f t="shared" si="66"/>
        <v>968</v>
      </c>
      <c r="BY23" s="155">
        <f t="shared" si="66"/>
        <v>424</v>
      </c>
      <c r="BZ23" s="155">
        <f t="shared" si="66"/>
        <v>811</v>
      </c>
      <c r="CA23" s="155">
        <f t="shared" si="66"/>
        <v>966</v>
      </c>
      <c r="CB23" s="552">
        <f t="shared" si="66"/>
        <v>1113</v>
      </c>
      <c r="CC23" s="155">
        <f t="shared" si="66"/>
        <v>1011</v>
      </c>
      <c r="CD23" s="155">
        <f t="shared" si="66"/>
        <v>386</v>
      </c>
      <c r="CE23" s="155">
        <f t="shared" si="66"/>
        <v>701</v>
      </c>
      <c r="CF23" s="155">
        <f t="shared" si="66"/>
        <v>108</v>
      </c>
      <c r="CG23" s="155">
        <f t="shared" si="66"/>
        <v>1753</v>
      </c>
      <c r="CH23" s="155">
        <f t="shared" si="66"/>
        <v>1714</v>
      </c>
      <c r="CI23" s="155">
        <f t="shared" si="66"/>
        <v>1510</v>
      </c>
      <c r="CJ23" s="155">
        <f t="shared" si="66"/>
        <v>2340</v>
      </c>
      <c r="CK23" s="156">
        <f>SUM(CK24:CK29)</f>
        <v>1167</v>
      </c>
      <c r="CL23" s="320">
        <v>40589</v>
      </c>
    </row>
    <row r="24" spans="1:90">
      <c r="A24" s="80">
        <f>ROWS($A$3:A22)</f>
        <v>20</v>
      </c>
      <c r="B24" s="52" t="s">
        <v>249</v>
      </c>
      <c r="C24" s="201"/>
      <c r="D24" s="260" t="s">
        <v>13</v>
      </c>
      <c r="E24" s="447">
        <v>42887</v>
      </c>
      <c r="F24" s="154">
        <v>2283</v>
      </c>
      <c r="G24" s="155">
        <v>673</v>
      </c>
      <c r="H24" s="155">
        <v>2871</v>
      </c>
      <c r="I24" s="156">
        <v>795</v>
      </c>
      <c r="J24" s="141"/>
      <c r="K24" s="116">
        <f t="shared" si="35"/>
        <v>69</v>
      </c>
      <c r="L24" s="137">
        <f t="shared" si="36"/>
        <v>329</v>
      </c>
      <c r="M24" s="137">
        <f t="shared" si="37"/>
        <v>162</v>
      </c>
      <c r="N24" s="137">
        <f t="shared" si="38"/>
        <v>65</v>
      </c>
      <c r="O24" s="137">
        <f t="shared" si="39"/>
        <v>18</v>
      </c>
      <c r="P24" s="137">
        <f>'2016'!AZ24+'2016'!BA24</f>
        <v>679</v>
      </c>
      <c r="Q24" s="137">
        <f>'2016'!AU24</f>
        <v>40</v>
      </c>
      <c r="R24" s="137">
        <f t="shared" si="40"/>
        <v>507</v>
      </c>
      <c r="S24" s="137">
        <f t="shared" si="41"/>
        <v>100</v>
      </c>
      <c r="T24" s="137">
        <f t="shared" si="42"/>
        <v>222</v>
      </c>
      <c r="U24" s="139">
        <f t="shared" si="42"/>
        <v>92</v>
      </c>
      <c r="V24" s="137">
        <f t="shared" si="43"/>
        <v>219</v>
      </c>
      <c r="W24" s="137">
        <f t="shared" si="44"/>
        <v>20</v>
      </c>
      <c r="X24" s="137">
        <f t="shared" si="45"/>
        <v>126</v>
      </c>
      <c r="Y24" s="137">
        <f t="shared" si="46"/>
        <v>171</v>
      </c>
      <c r="Z24" s="137">
        <f t="shared" si="47"/>
        <v>47</v>
      </c>
      <c r="AA24" s="137">
        <f t="shared" si="48"/>
        <v>67</v>
      </c>
      <c r="AB24" s="139">
        <f t="shared" si="49"/>
        <v>23</v>
      </c>
      <c r="AC24" s="137">
        <f t="shared" si="50"/>
        <v>14</v>
      </c>
      <c r="AD24" s="137">
        <f t="shared" si="51"/>
        <v>419</v>
      </c>
      <c r="AE24" s="137">
        <f t="shared" si="52"/>
        <v>983</v>
      </c>
      <c r="AF24" s="137">
        <f t="shared" si="53"/>
        <v>149</v>
      </c>
      <c r="AG24" s="137">
        <f t="shared" si="54"/>
        <v>1120</v>
      </c>
      <c r="AH24" s="137">
        <f t="shared" si="55"/>
        <v>126</v>
      </c>
      <c r="AI24" s="137">
        <f t="shared" si="56"/>
        <v>19</v>
      </c>
      <c r="AJ24" s="137">
        <f t="shared" si="57"/>
        <v>8</v>
      </c>
      <c r="AK24" s="139">
        <f t="shared" si="58"/>
        <v>33</v>
      </c>
      <c r="AL24" s="137">
        <f t="shared" si="59"/>
        <v>16</v>
      </c>
      <c r="AM24" s="137">
        <f t="shared" si="60"/>
        <v>60</v>
      </c>
      <c r="AN24" s="137">
        <f t="shared" si="61"/>
        <v>140</v>
      </c>
      <c r="AO24" s="137">
        <f t="shared" si="62"/>
        <v>52</v>
      </c>
      <c r="AP24" s="137">
        <f t="shared" si="62"/>
        <v>32</v>
      </c>
      <c r="AQ24" s="137">
        <f t="shared" si="63"/>
        <v>38</v>
      </c>
      <c r="AR24" s="137">
        <f t="shared" si="64"/>
        <v>379</v>
      </c>
      <c r="AS24" s="138">
        <f t="shared" si="65"/>
        <v>78</v>
      </c>
      <c r="AT24" s="155">
        <v>97</v>
      </c>
      <c r="AU24" s="155">
        <v>40</v>
      </c>
      <c r="AV24" s="155">
        <v>100</v>
      </c>
      <c r="AW24" s="155">
        <v>65</v>
      </c>
      <c r="AX24" s="155">
        <v>410</v>
      </c>
      <c r="AY24" s="155">
        <v>329</v>
      </c>
      <c r="AZ24" s="155">
        <v>46</v>
      </c>
      <c r="BA24" s="155">
        <v>633</v>
      </c>
      <c r="BB24" s="155">
        <v>222</v>
      </c>
      <c r="BC24" s="155">
        <v>92</v>
      </c>
      <c r="BD24" s="155">
        <v>162</v>
      </c>
      <c r="BE24" s="155">
        <v>18</v>
      </c>
      <c r="BF24" s="552">
        <v>69</v>
      </c>
      <c r="BG24" s="155">
        <v>61</v>
      </c>
      <c r="BH24" s="155">
        <v>11</v>
      </c>
      <c r="BI24" s="155">
        <v>115</v>
      </c>
      <c r="BJ24" s="155">
        <v>158</v>
      </c>
      <c r="BK24" s="155">
        <v>17</v>
      </c>
      <c r="BL24" s="155">
        <v>11</v>
      </c>
      <c r="BM24" s="155">
        <v>47</v>
      </c>
      <c r="BN24" s="155">
        <v>143</v>
      </c>
      <c r="BO24" s="155">
        <v>9</v>
      </c>
      <c r="BP24" s="155">
        <v>23</v>
      </c>
      <c r="BQ24" s="155">
        <v>58</v>
      </c>
      <c r="BR24" s="552">
        <v>20</v>
      </c>
      <c r="BS24" s="155">
        <v>85</v>
      </c>
      <c r="BT24" s="155">
        <v>898</v>
      </c>
      <c r="BU24" s="155">
        <v>419</v>
      </c>
      <c r="BV24" s="155">
        <v>1120</v>
      </c>
      <c r="BW24" s="155">
        <v>19</v>
      </c>
      <c r="BX24" s="155">
        <v>14</v>
      </c>
      <c r="BY24" s="155">
        <v>8</v>
      </c>
      <c r="BZ24" s="155">
        <v>126</v>
      </c>
      <c r="CA24" s="155">
        <v>149</v>
      </c>
      <c r="CB24" s="552">
        <v>33</v>
      </c>
      <c r="CC24" s="155">
        <v>52</v>
      </c>
      <c r="CD24" s="155">
        <v>32</v>
      </c>
      <c r="CE24" s="155">
        <v>16</v>
      </c>
      <c r="CF24" s="155">
        <v>13</v>
      </c>
      <c r="CG24" s="155">
        <v>65</v>
      </c>
      <c r="CH24" s="155">
        <v>60</v>
      </c>
      <c r="CI24" s="155">
        <v>379</v>
      </c>
      <c r="CJ24" s="155">
        <v>140</v>
      </c>
      <c r="CK24" s="156">
        <v>38</v>
      </c>
      <c r="CL24" s="320">
        <v>6622</v>
      </c>
    </row>
    <row r="25" spans="1:90">
      <c r="A25" s="80">
        <f>ROWS($A$3:A23)</f>
        <v>21</v>
      </c>
      <c r="B25" s="52" t="s">
        <v>250</v>
      </c>
      <c r="C25" s="201"/>
      <c r="D25" s="260" t="s">
        <v>13</v>
      </c>
      <c r="E25" s="447">
        <v>42887</v>
      </c>
      <c r="F25" s="154">
        <v>1951</v>
      </c>
      <c r="G25" s="155">
        <v>772</v>
      </c>
      <c r="H25" s="155">
        <v>2646</v>
      </c>
      <c r="I25" s="156">
        <v>1671</v>
      </c>
      <c r="J25" s="141"/>
      <c r="K25" s="116">
        <f t="shared" si="35"/>
        <v>321</v>
      </c>
      <c r="L25" s="137">
        <f t="shared" si="36"/>
        <v>222</v>
      </c>
      <c r="M25" s="137">
        <f t="shared" si="37"/>
        <v>141</v>
      </c>
      <c r="N25" s="137">
        <f t="shared" si="38"/>
        <v>115</v>
      </c>
      <c r="O25" s="137">
        <f t="shared" si="39"/>
        <v>69</v>
      </c>
      <c r="P25" s="137">
        <f>'2016'!AZ25+'2016'!BA25</f>
        <v>290</v>
      </c>
      <c r="Q25" s="137">
        <f>'2016'!AU25</f>
        <v>89</v>
      </c>
      <c r="R25" s="137">
        <f t="shared" si="40"/>
        <v>145</v>
      </c>
      <c r="S25" s="137">
        <f t="shared" si="41"/>
        <v>114</v>
      </c>
      <c r="T25" s="137">
        <f t="shared" si="42"/>
        <v>155</v>
      </c>
      <c r="U25" s="139">
        <f t="shared" si="42"/>
        <v>290</v>
      </c>
      <c r="V25" s="137">
        <f t="shared" si="43"/>
        <v>102</v>
      </c>
      <c r="W25" s="137">
        <f t="shared" si="44"/>
        <v>113</v>
      </c>
      <c r="X25" s="137">
        <f t="shared" si="45"/>
        <v>108</v>
      </c>
      <c r="Y25" s="137">
        <f t="shared" si="46"/>
        <v>126</v>
      </c>
      <c r="Z25" s="137">
        <f t="shared" si="47"/>
        <v>133</v>
      </c>
      <c r="AA25" s="137">
        <f t="shared" si="48"/>
        <v>70</v>
      </c>
      <c r="AB25" s="139">
        <f t="shared" si="49"/>
        <v>120</v>
      </c>
      <c r="AC25" s="137">
        <f t="shared" si="50"/>
        <v>183</v>
      </c>
      <c r="AD25" s="137">
        <f t="shared" si="51"/>
        <v>266</v>
      </c>
      <c r="AE25" s="137">
        <f t="shared" si="52"/>
        <v>483</v>
      </c>
      <c r="AF25" s="137">
        <f t="shared" si="53"/>
        <v>210</v>
      </c>
      <c r="AG25" s="137">
        <f t="shared" si="54"/>
        <v>846</v>
      </c>
      <c r="AH25" s="137">
        <f t="shared" si="55"/>
        <v>107</v>
      </c>
      <c r="AI25" s="137">
        <f t="shared" si="56"/>
        <v>182</v>
      </c>
      <c r="AJ25" s="137">
        <f t="shared" si="57"/>
        <v>71</v>
      </c>
      <c r="AK25" s="139">
        <f t="shared" si="58"/>
        <v>298</v>
      </c>
      <c r="AL25" s="137">
        <f t="shared" si="59"/>
        <v>161</v>
      </c>
      <c r="AM25" s="137">
        <f t="shared" si="60"/>
        <v>212</v>
      </c>
      <c r="AN25" s="137">
        <f t="shared" si="61"/>
        <v>318</v>
      </c>
      <c r="AO25" s="137">
        <f t="shared" si="62"/>
        <v>183</v>
      </c>
      <c r="AP25" s="137">
        <f t="shared" si="62"/>
        <v>68</v>
      </c>
      <c r="AQ25" s="137">
        <f t="shared" si="63"/>
        <v>202</v>
      </c>
      <c r="AR25" s="137">
        <f t="shared" si="64"/>
        <v>298</v>
      </c>
      <c r="AS25" s="138">
        <f t="shared" si="65"/>
        <v>229</v>
      </c>
      <c r="AT25" s="155">
        <v>32</v>
      </c>
      <c r="AU25" s="155">
        <v>89</v>
      </c>
      <c r="AV25" s="155">
        <v>114</v>
      </c>
      <c r="AW25" s="155">
        <v>115</v>
      </c>
      <c r="AX25" s="155">
        <v>113</v>
      </c>
      <c r="AY25" s="155">
        <v>222</v>
      </c>
      <c r="AZ25" s="155">
        <v>35</v>
      </c>
      <c r="BA25" s="155">
        <v>255</v>
      </c>
      <c r="BB25" s="155">
        <v>155</v>
      </c>
      <c r="BC25" s="155">
        <v>290</v>
      </c>
      <c r="BD25" s="155">
        <v>141</v>
      </c>
      <c r="BE25" s="155">
        <v>69</v>
      </c>
      <c r="BF25" s="552">
        <v>321</v>
      </c>
      <c r="BG25" s="155">
        <v>21</v>
      </c>
      <c r="BH25" s="155">
        <v>9</v>
      </c>
      <c r="BI25" s="155">
        <v>99</v>
      </c>
      <c r="BJ25" s="155">
        <v>81</v>
      </c>
      <c r="BK25" s="155">
        <v>11</v>
      </c>
      <c r="BL25" s="155">
        <v>4</v>
      </c>
      <c r="BM25" s="155">
        <v>133</v>
      </c>
      <c r="BN25" s="155">
        <v>111</v>
      </c>
      <c r="BO25" s="155">
        <v>4</v>
      </c>
      <c r="BP25" s="155">
        <v>120</v>
      </c>
      <c r="BQ25" s="155">
        <v>66</v>
      </c>
      <c r="BR25" s="552">
        <v>113</v>
      </c>
      <c r="BS25" s="155">
        <v>26</v>
      </c>
      <c r="BT25" s="155">
        <v>457</v>
      </c>
      <c r="BU25" s="155">
        <v>266</v>
      </c>
      <c r="BV25" s="155">
        <v>846</v>
      </c>
      <c r="BW25" s="155">
        <v>182</v>
      </c>
      <c r="BX25" s="155">
        <v>183</v>
      </c>
      <c r="BY25" s="155">
        <v>71</v>
      </c>
      <c r="BZ25" s="155">
        <v>107</v>
      </c>
      <c r="CA25" s="155">
        <v>210</v>
      </c>
      <c r="CB25" s="552">
        <v>298</v>
      </c>
      <c r="CC25" s="155">
        <v>183</v>
      </c>
      <c r="CD25" s="155">
        <v>68</v>
      </c>
      <c r="CE25" s="155">
        <v>161</v>
      </c>
      <c r="CF25" s="155">
        <v>10</v>
      </c>
      <c r="CG25" s="155">
        <v>219</v>
      </c>
      <c r="CH25" s="155">
        <v>212</v>
      </c>
      <c r="CI25" s="155">
        <v>298</v>
      </c>
      <c r="CJ25" s="155">
        <v>318</v>
      </c>
      <c r="CK25" s="156">
        <v>202</v>
      </c>
      <c r="CL25" s="320">
        <v>7040</v>
      </c>
    </row>
    <row r="26" spans="1:90">
      <c r="A26" s="80">
        <f>ROWS($A$3:A24)</f>
        <v>22</v>
      </c>
      <c r="B26" s="52" t="s">
        <v>251</v>
      </c>
      <c r="C26" s="201"/>
      <c r="D26" s="260" t="s">
        <v>13</v>
      </c>
      <c r="E26" s="447">
        <v>42887</v>
      </c>
      <c r="F26" s="154">
        <v>2427</v>
      </c>
      <c r="G26" s="155">
        <v>837</v>
      </c>
      <c r="H26" s="155">
        <v>2678</v>
      </c>
      <c r="I26" s="156">
        <v>2425</v>
      </c>
      <c r="J26" s="141"/>
      <c r="K26" s="116">
        <f t="shared" si="35"/>
        <v>440</v>
      </c>
      <c r="L26" s="137">
        <f t="shared" si="36"/>
        <v>205</v>
      </c>
      <c r="M26" s="137">
        <f t="shared" si="37"/>
        <v>242</v>
      </c>
      <c r="N26" s="137">
        <f t="shared" si="38"/>
        <v>150</v>
      </c>
      <c r="O26" s="137">
        <f t="shared" si="39"/>
        <v>115</v>
      </c>
      <c r="P26" s="137">
        <f>'2016'!AZ26+'2016'!BA26</f>
        <v>287</v>
      </c>
      <c r="Q26" s="137">
        <f>'2016'!AU26</f>
        <v>126</v>
      </c>
      <c r="R26" s="137">
        <f t="shared" si="40"/>
        <v>162</v>
      </c>
      <c r="S26" s="137">
        <f t="shared" si="41"/>
        <v>134</v>
      </c>
      <c r="T26" s="137">
        <f t="shared" si="42"/>
        <v>186</v>
      </c>
      <c r="U26" s="139">
        <f t="shared" si="42"/>
        <v>380</v>
      </c>
      <c r="V26" s="137">
        <f t="shared" si="43"/>
        <v>102</v>
      </c>
      <c r="W26" s="137">
        <f t="shared" si="44"/>
        <v>114</v>
      </c>
      <c r="X26" s="137">
        <f t="shared" si="45"/>
        <v>127</v>
      </c>
      <c r="Y26" s="137">
        <f t="shared" si="46"/>
        <v>153</v>
      </c>
      <c r="Z26" s="137">
        <f t="shared" si="47"/>
        <v>162</v>
      </c>
      <c r="AA26" s="137">
        <f t="shared" si="48"/>
        <v>79</v>
      </c>
      <c r="AB26" s="139">
        <f t="shared" si="49"/>
        <v>100</v>
      </c>
      <c r="AC26" s="137">
        <f t="shared" si="50"/>
        <v>216</v>
      </c>
      <c r="AD26" s="137">
        <f t="shared" si="51"/>
        <v>292</v>
      </c>
      <c r="AE26" s="137">
        <f t="shared" si="52"/>
        <v>503</v>
      </c>
      <c r="AF26" s="137">
        <f t="shared" si="53"/>
        <v>244</v>
      </c>
      <c r="AG26" s="137">
        <f t="shared" si="54"/>
        <v>675</v>
      </c>
      <c r="AH26" s="137">
        <f t="shared" si="55"/>
        <v>170</v>
      </c>
      <c r="AI26" s="137">
        <f t="shared" si="56"/>
        <v>190</v>
      </c>
      <c r="AJ26" s="137">
        <f t="shared" si="57"/>
        <v>97</v>
      </c>
      <c r="AK26" s="139">
        <f t="shared" si="58"/>
        <v>291</v>
      </c>
      <c r="AL26" s="137">
        <f t="shared" si="59"/>
        <v>150</v>
      </c>
      <c r="AM26" s="137">
        <f t="shared" si="60"/>
        <v>377</v>
      </c>
      <c r="AN26" s="137">
        <f t="shared" si="61"/>
        <v>521</v>
      </c>
      <c r="AO26" s="137">
        <f t="shared" si="62"/>
        <v>253</v>
      </c>
      <c r="AP26" s="137">
        <f t="shared" si="62"/>
        <v>74</v>
      </c>
      <c r="AQ26" s="137">
        <f t="shared" si="63"/>
        <v>272</v>
      </c>
      <c r="AR26" s="137">
        <f t="shared" si="64"/>
        <v>353</v>
      </c>
      <c r="AS26" s="138">
        <f t="shared" si="65"/>
        <v>425</v>
      </c>
      <c r="AT26" s="155">
        <v>28</v>
      </c>
      <c r="AU26" s="155">
        <v>126</v>
      </c>
      <c r="AV26" s="155">
        <v>134</v>
      </c>
      <c r="AW26" s="155">
        <v>150</v>
      </c>
      <c r="AX26" s="155">
        <v>134</v>
      </c>
      <c r="AY26" s="155">
        <v>205</v>
      </c>
      <c r="AZ26" s="155">
        <v>30</v>
      </c>
      <c r="BA26" s="155">
        <v>257</v>
      </c>
      <c r="BB26" s="155">
        <v>186</v>
      </c>
      <c r="BC26" s="155">
        <v>380</v>
      </c>
      <c r="BD26" s="155">
        <v>242</v>
      </c>
      <c r="BE26" s="155">
        <v>115</v>
      </c>
      <c r="BF26" s="552">
        <v>440</v>
      </c>
      <c r="BG26" s="155">
        <v>10</v>
      </c>
      <c r="BH26" s="155">
        <v>13</v>
      </c>
      <c r="BI26" s="155">
        <v>114</v>
      </c>
      <c r="BJ26" s="155">
        <v>92</v>
      </c>
      <c r="BK26" s="155">
        <v>12</v>
      </c>
      <c r="BL26" s="155">
        <v>7</v>
      </c>
      <c r="BM26" s="155">
        <v>162</v>
      </c>
      <c r="BN26" s="155">
        <v>134</v>
      </c>
      <c r="BO26" s="155">
        <v>2</v>
      </c>
      <c r="BP26" s="155">
        <v>100</v>
      </c>
      <c r="BQ26" s="155">
        <v>77</v>
      </c>
      <c r="BR26" s="552">
        <v>114</v>
      </c>
      <c r="BS26" s="155">
        <v>22</v>
      </c>
      <c r="BT26" s="155">
        <v>481</v>
      </c>
      <c r="BU26" s="155">
        <v>292</v>
      </c>
      <c r="BV26" s="155">
        <v>675</v>
      </c>
      <c r="BW26" s="155">
        <v>190</v>
      </c>
      <c r="BX26" s="155">
        <v>216</v>
      </c>
      <c r="BY26" s="155">
        <v>97</v>
      </c>
      <c r="BZ26" s="155">
        <v>170</v>
      </c>
      <c r="CA26" s="155">
        <v>244</v>
      </c>
      <c r="CB26" s="552">
        <v>291</v>
      </c>
      <c r="CC26" s="155">
        <v>253</v>
      </c>
      <c r="CD26" s="155">
        <v>74</v>
      </c>
      <c r="CE26" s="155">
        <v>150</v>
      </c>
      <c r="CF26" s="155">
        <v>20</v>
      </c>
      <c r="CG26" s="155">
        <v>405</v>
      </c>
      <c r="CH26" s="155">
        <v>377</v>
      </c>
      <c r="CI26" s="155">
        <v>353</v>
      </c>
      <c r="CJ26" s="155">
        <v>521</v>
      </c>
      <c r="CK26" s="156">
        <v>272</v>
      </c>
      <c r="CL26" s="320">
        <v>8367</v>
      </c>
    </row>
    <row r="27" spans="1:90">
      <c r="A27" s="80">
        <f>ROWS($A$3:A25)</f>
        <v>23</v>
      </c>
      <c r="B27" s="52" t="s">
        <v>252</v>
      </c>
      <c r="C27" s="201"/>
      <c r="D27" s="260" t="s">
        <v>13</v>
      </c>
      <c r="E27" s="447">
        <v>42887</v>
      </c>
      <c r="F27" s="154">
        <v>3161</v>
      </c>
      <c r="G27" s="155">
        <v>911</v>
      </c>
      <c r="H27" s="155">
        <v>2297</v>
      </c>
      <c r="I27" s="156">
        <v>2942</v>
      </c>
      <c r="J27" s="141"/>
      <c r="K27" s="116">
        <f t="shared" si="35"/>
        <v>420</v>
      </c>
      <c r="L27" s="137">
        <f t="shared" si="36"/>
        <v>228</v>
      </c>
      <c r="M27" s="137">
        <f t="shared" si="37"/>
        <v>386</v>
      </c>
      <c r="N27" s="137">
        <f t="shared" si="38"/>
        <v>203</v>
      </c>
      <c r="O27" s="137">
        <f t="shared" si="39"/>
        <v>144</v>
      </c>
      <c r="P27" s="137">
        <f>'2016'!AZ27+'2016'!BA27</f>
        <v>377</v>
      </c>
      <c r="Q27" s="137">
        <f>'2016'!AU27</f>
        <v>139</v>
      </c>
      <c r="R27" s="137">
        <f t="shared" si="40"/>
        <v>324</v>
      </c>
      <c r="S27" s="137">
        <f t="shared" si="41"/>
        <v>144</v>
      </c>
      <c r="T27" s="137">
        <f t="shared" si="42"/>
        <v>258</v>
      </c>
      <c r="U27" s="139">
        <f t="shared" si="42"/>
        <v>538</v>
      </c>
      <c r="V27" s="137">
        <f t="shared" si="43"/>
        <v>62</v>
      </c>
      <c r="W27" s="137">
        <f t="shared" si="44"/>
        <v>116</v>
      </c>
      <c r="X27" s="137">
        <f t="shared" si="45"/>
        <v>142</v>
      </c>
      <c r="Y27" s="137">
        <f t="shared" si="46"/>
        <v>246</v>
      </c>
      <c r="Z27" s="137">
        <f t="shared" si="47"/>
        <v>183</v>
      </c>
      <c r="AA27" s="137">
        <f t="shared" si="48"/>
        <v>76</v>
      </c>
      <c r="AB27" s="139">
        <f t="shared" si="49"/>
        <v>86</v>
      </c>
      <c r="AC27" s="137">
        <f t="shared" si="50"/>
        <v>303</v>
      </c>
      <c r="AD27" s="137">
        <f t="shared" si="51"/>
        <v>192</v>
      </c>
      <c r="AE27" s="137">
        <f t="shared" si="52"/>
        <v>551</v>
      </c>
      <c r="AF27" s="137">
        <f t="shared" si="53"/>
        <v>236</v>
      </c>
      <c r="AG27" s="137">
        <f t="shared" si="54"/>
        <v>360</v>
      </c>
      <c r="AH27" s="137">
        <f t="shared" si="55"/>
        <v>171</v>
      </c>
      <c r="AI27" s="137">
        <f t="shared" si="56"/>
        <v>151</v>
      </c>
      <c r="AJ27" s="137">
        <f t="shared" si="57"/>
        <v>84</v>
      </c>
      <c r="AK27" s="139">
        <f t="shared" si="58"/>
        <v>249</v>
      </c>
      <c r="AL27" s="137">
        <f t="shared" si="59"/>
        <v>169</v>
      </c>
      <c r="AM27" s="137">
        <f t="shared" si="60"/>
        <v>513</v>
      </c>
      <c r="AN27" s="137">
        <f t="shared" si="61"/>
        <v>760</v>
      </c>
      <c r="AO27" s="137">
        <f t="shared" si="62"/>
        <v>247</v>
      </c>
      <c r="AP27" s="137">
        <f t="shared" si="62"/>
        <v>93</v>
      </c>
      <c r="AQ27" s="137">
        <f t="shared" si="63"/>
        <v>288</v>
      </c>
      <c r="AR27" s="137">
        <f t="shared" si="64"/>
        <v>318</v>
      </c>
      <c r="AS27" s="138">
        <f t="shared" si="65"/>
        <v>554</v>
      </c>
      <c r="AT27" s="155">
        <v>18</v>
      </c>
      <c r="AU27" s="155">
        <v>139</v>
      </c>
      <c r="AV27" s="155">
        <v>144</v>
      </c>
      <c r="AW27" s="155">
        <v>203</v>
      </c>
      <c r="AX27" s="155">
        <v>306</v>
      </c>
      <c r="AY27" s="155">
        <v>228</v>
      </c>
      <c r="AZ27" s="155">
        <v>40</v>
      </c>
      <c r="BA27" s="155">
        <v>337</v>
      </c>
      <c r="BB27" s="155">
        <v>258</v>
      </c>
      <c r="BC27" s="155">
        <v>538</v>
      </c>
      <c r="BD27" s="155">
        <v>386</v>
      </c>
      <c r="BE27" s="155">
        <v>144</v>
      </c>
      <c r="BF27" s="552">
        <v>420</v>
      </c>
      <c r="BG27" s="155">
        <v>5</v>
      </c>
      <c r="BH27" s="155">
        <v>17</v>
      </c>
      <c r="BI27" s="155">
        <v>125</v>
      </c>
      <c r="BJ27" s="155">
        <v>57</v>
      </c>
      <c r="BK27" s="155">
        <v>22</v>
      </c>
      <c r="BL27" s="155">
        <v>13</v>
      </c>
      <c r="BM27" s="155">
        <v>183</v>
      </c>
      <c r="BN27" s="155">
        <v>211</v>
      </c>
      <c r="BO27" s="155">
        <v>3</v>
      </c>
      <c r="BP27" s="155">
        <v>86</v>
      </c>
      <c r="BQ27" s="155">
        <v>73</v>
      </c>
      <c r="BR27" s="552">
        <v>116</v>
      </c>
      <c r="BS27" s="155">
        <v>32</v>
      </c>
      <c r="BT27" s="155">
        <v>519</v>
      </c>
      <c r="BU27" s="155">
        <v>192</v>
      </c>
      <c r="BV27" s="155">
        <v>360</v>
      </c>
      <c r="BW27" s="155">
        <v>151</v>
      </c>
      <c r="BX27" s="155">
        <v>303</v>
      </c>
      <c r="BY27" s="155">
        <v>84</v>
      </c>
      <c r="BZ27" s="155">
        <v>171</v>
      </c>
      <c r="CA27" s="155">
        <v>236</v>
      </c>
      <c r="CB27" s="552">
        <v>249</v>
      </c>
      <c r="CC27" s="155">
        <v>247</v>
      </c>
      <c r="CD27" s="155">
        <v>93</v>
      </c>
      <c r="CE27" s="155">
        <v>169</v>
      </c>
      <c r="CF27" s="155">
        <v>26</v>
      </c>
      <c r="CG27" s="155">
        <v>528</v>
      </c>
      <c r="CH27" s="155">
        <v>513</v>
      </c>
      <c r="CI27" s="155">
        <v>318</v>
      </c>
      <c r="CJ27" s="155">
        <v>760</v>
      </c>
      <c r="CK27" s="156">
        <v>288</v>
      </c>
      <c r="CL27" s="320">
        <v>9311</v>
      </c>
    </row>
    <row r="28" spans="1:90">
      <c r="A28" s="80">
        <f>ROWS($A$3:A26)</f>
        <v>24</v>
      </c>
      <c r="B28" s="52" t="s">
        <v>4</v>
      </c>
      <c r="C28" s="201"/>
      <c r="D28" s="260" t="s">
        <v>13</v>
      </c>
      <c r="E28" s="447">
        <v>42887</v>
      </c>
      <c r="F28" s="154">
        <v>2136</v>
      </c>
      <c r="G28" s="155">
        <v>779</v>
      </c>
      <c r="H28" s="155">
        <v>1229</v>
      </c>
      <c r="I28" s="156">
        <v>1926</v>
      </c>
      <c r="J28" s="141"/>
      <c r="K28" s="116">
        <f t="shared" si="35"/>
        <v>277</v>
      </c>
      <c r="L28" s="137">
        <f t="shared" si="36"/>
        <v>104</v>
      </c>
      <c r="M28" s="137">
        <f>BD28</f>
        <v>234</v>
      </c>
      <c r="N28" s="137">
        <f>AW28</f>
        <v>132</v>
      </c>
      <c r="O28" s="137">
        <f>BE28</f>
        <v>129</v>
      </c>
      <c r="P28" s="137">
        <f>'2016'!AZ28+'2016'!BA28</f>
        <v>249</v>
      </c>
      <c r="Q28" s="137">
        <f>'2016'!AU28</f>
        <v>107</v>
      </c>
      <c r="R28" s="137">
        <f>AT28+AX28</f>
        <v>195</v>
      </c>
      <c r="S28" s="137">
        <f>AV28</f>
        <v>102</v>
      </c>
      <c r="T28" s="137">
        <f>BB28</f>
        <v>185</v>
      </c>
      <c r="U28" s="139">
        <f>BC28</f>
        <v>422</v>
      </c>
      <c r="V28" s="137">
        <f>BG28+BJ28</f>
        <v>44</v>
      </c>
      <c r="W28" s="137">
        <f>BR28</f>
        <v>65</v>
      </c>
      <c r="X28" s="137">
        <f>BH28+BI28</f>
        <v>129</v>
      </c>
      <c r="Y28" s="137">
        <f>BK28+BL28+BN28</f>
        <v>219</v>
      </c>
      <c r="Z28" s="137">
        <f>BM28</f>
        <v>161</v>
      </c>
      <c r="AA28" s="137">
        <f>BO28+BQ28</f>
        <v>87</v>
      </c>
      <c r="AB28" s="139">
        <f>BP28</f>
        <v>74</v>
      </c>
      <c r="AC28" s="137">
        <f>BX28</f>
        <v>174</v>
      </c>
      <c r="AD28" s="137">
        <f>BU28</f>
        <v>60</v>
      </c>
      <c r="AE28" s="137">
        <f>BS28+BT28</f>
        <v>193</v>
      </c>
      <c r="AF28" s="137">
        <f>CA28</f>
        <v>100</v>
      </c>
      <c r="AG28" s="137">
        <f>BV28</f>
        <v>190</v>
      </c>
      <c r="AH28" s="137">
        <f>BZ28</f>
        <v>150</v>
      </c>
      <c r="AI28" s="137">
        <f>BW28</f>
        <v>133</v>
      </c>
      <c r="AJ28" s="137">
        <f>BY28</f>
        <v>78</v>
      </c>
      <c r="AK28" s="139">
        <f>CB28</f>
        <v>151</v>
      </c>
      <c r="AL28" s="137">
        <f>CE28</f>
        <v>90</v>
      </c>
      <c r="AM28" s="137">
        <f>CH28</f>
        <v>391</v>
      </c>
      <c r="AN28" s="137">
        <f>CJ28</f>
        <v>492</v>
      </c>
      <c r="AO28" s="137">
        <f>CC28</f>
        <v>171</v>
      </c>
      <c r="AP28" s="137">
        <f>CD28</f>
        <v>51</v>
      </c>
      <c r="AQ28" s="137">
        <f>CK28</f>
        <v>204</v>
      </c>
      <c r="AR28" s="137">
        <f>CI28</f>
        <v>125</v>
      </c>
      <c r="AS28" s="138">
        <f t="shared" si="65"/>
        <v>402</v>
      </c>
      <c r="AT28" s="155">
        <v>15</v>
      </c>
      <c r="AU28" s="155">
        <v>107</v>
      </c>
      <c r="AV28" s="155">
        <v>102</v>
      </c>
      <c r="AW28" s="155">
        <v>132</v>
      </c>
      <c r="AX28" s="155">
        <v>180</v>
      </c>
      <c r="AY28" s="155">
        <v>104</v>
      </c>
      <c r="AZ28" s="155">
        <v>15</v>
      </c>
      <c r="BA28" s="155">
        <v>234</v>
      </c>
      <c r="BB28" s="155">
        <v>185</v>
      </c>
      <c r="BC28" s="155">
        <v>422</v>
      </c>
      <c r="BD28" s="155">
        <v>234</v>
      </c>
      <c r="BE28" s="155">
        <v>129</v>
      </c>
      <c r="BF28" s="552">
        <v>277</v>
      </c>
      <c r="BG28" s="155">
        <v>3</v>
      </c>
      <c r="BH28" s="155">
        <v>5</v>
      </c>
      <c r="BI28" s="155">
        <v>124</v>
      </c>
      <c r="BJ28" s="155">
        <v>41</v>
      </c>
      <c r="BK28" s="155">
        <v>10</v>
      </c>
      <c r="BL28" s="155">
        <v>18</v>
      </c>
      <c r="BM28" s="155">
        <v>161</v>
      </c>
      <c r="BN28" s="155">
        <v>191</v>
      </c>
      <c r="BO28" s="155">
        <v>4</v>
      </c>
      <c r="BP28" s="155">
        <v>74</v>
      </c>
      <c r="BQ28" s="155">
        <v>83</v>
      </c>
      <c r="BR28" s="552">
        <v>65</v>
      </c>
      <c r="BS28" s="155">
        <v>12</v>
      </c>
      <c r="BT28" s="155">
        <v>181</v>
      </c>
      <c r="BU28" s="155">
        <v>60</v>
      </c>
      <c r="BV28" s="155">
        <v>190</v>
      </c>
      <c r="BW28" s="155">
        <v>133</v>
      </c>
      <c r="BX28" s="155">
        <v>174</v>
      </c>
      <c r="BY28" s="155">
        <v>78</v>
      </c>
      <c r="BZ28" s="155">
        <v>150</v>
      </c>
      <c r="CA28" s="155">
        <v>100</v>
      </c>
      <c r="CB28" s="552">
        <v>151</v>
      </c>
      <c r="CC28" s="155">
        <v>171</v>
      </c>
      <c r="CD28" s="155">
        <v>51</v>
      </c>
      <c r="CE28" s="155">
        <v>90</v>
      </c>
      <c r="CF28" s="155">
        <v>27</v>
      </c>
      <c r="CG28" s="155">
        <v>375</v>
      </c>
      <c r="CH28" s="155">
        <v>391</v>
      </c>
      <c r="CI28" s="155">
        <v>125</v>
      </c>
      <c r="CJ28" s="155">
        <v>492</v>
      </c>
      <c r="CK28" s="156">
        <v>204</v>
      </c>
      <c r="CL28" s="320">
        <v>6070</v>
      </c>
    </row>
    <row r="29" spans="1:90">
      <c r="A29" s="80">
        <f>ROWS($A$3:A27)</f>
        <v>25</v>
      </c>
      <c r="B29" s="52" t="s">
        <v>5</v>
      </c>
      <c r="C29" s="201"/>
      <c r="D29" s="260" t="s">
        <v>13</v>
      </c>
      <c r="E29" s="447">
        <v>42887</v>
      </c>
      <c r="F29" s="154">
        <v>1019</v>
      </c>
      <c r="G29" s="155">
        <v>587</v>
      </c>
      <c r="H29" s="155">
        <v>642</v>
      </c>
      <c r="I29" s="156">
        <v>931</v>
      </c>
      <c r="J29" s="141"/>
      <c r="K29" s="116">
        <f t="shared" si="35"/>
        <v>150</v>
      </c>
      <c r="L29" s="137">
        <f t="shared" si="36"/>
        <v>40</v>
      </c>
      <c r="M29" s="137">
        <f t="shared" si="37"/>
        <v>190</v>
      </c>
      <c r="N29" s="137">
        <f t="shared" si="38"/>
        <v>60</v>
      </c>
      <c r="O29" s="137">
        <f t="shared" si="39"/>
        <v>67</v>
      </c>
      <c r="P29" s="137">
        <f>'2016'!AZ29+'2016'!BA29</f>
        <v>129</v>
      </c>
      <c r="Q29" s="137">
        <f>'2016'!AU29</f>
        <v>59</v>
      </c>
      <c r="R29" s="137">
        <f t="shared" si="40"/>
        <v>41</v>
      </c>
      <c r="S29" s="137">
        <f t="shared" si="41"/>
        <v>39</v>
      </c>
      <c r="T29" s="137">
        <f t="shared" si="42"/>
        <v>92</v>
      </c>
      <c r="U29" s="139">
        <f t="shared" si="42"/>
        <v>152</v>
      </c>
      <c r="V29" s="137">
        <f t="shared" si="43"/>
        <v>47</v>
      </c>
      <c r="W29" s="137">
        <f t="shared" si="44"/>
        <v>49</v>
      </c>
      <c r="X29" s="137">
        <f t="shared" si="45"/>
        <v>145</v>
      </c>
      <c r="Y29" s="137">
        <f t="shared" si="46"/>
        <v>99</v>
      </c>
      <c r="Z29" s="137">
        <f t="shared" si="47"/>
        <v>144</v>
      </c>
      <c r="AA29" s="137">
        <f t="shared" si="48"/>
        <v>60</v>
      </c>
      <c r="AB29" s="139">
        <f t="shared" si="49"/>
        <v>43</v>
      </c>
      <c r="AC29" s="137">
        <f t="shared" si="50"/>
        <v>78</v>
      </c>
      <c r="AD29" s="137">
        <f t="shared" si="51"/>
        <v>37</v>
      </c>
      <c r="AE29" s="137">
        <f t="shared" si="52"/>
        <v>59</v>
      </c>
      <c r="AF29" s="137">
        <f t="shared" si="53"/>
        <v>27</v>
      </c>
      <c r="AG29" s="137">
        <f t="shared" si="54"/>
        <v>94</v>
      </c>
      <c r="AH29" s="137">
        <f t="shared" si="55"/>
        <v>87</v>
      </c>
      <c r="AI29" s="137">
        <f t="shared" si="56"/>
        <v>83</v>
      </c>
      <c r="AJ29" s="137">
        <f t="shared" si="57"/>
        <v>86</v>
      </c>
      <c r="AK29" s="139">
        <f t="shared" si="58"/>
        <v>91</v>
      </c>
      <c r="AL29" s="137">
        <f t="shared" si="59"/>
        <v>115</v>
      </c>
      <c r="AM29" s="137">
        <f t="shared" si="60"/>
        <v>161</v>
      </c>
      <c r="AN29" s="137">
        <f t="shared" si="61"/>
        <v>109</v>
      </c>
      <c r="AO29" s="137">
        <f t="shared" si="62"/>
        <v>105</v>
      </c>
      <c r="AP29" s="137">
        <f t="shared" si="62"/>
        <v>68</v>
      </c>
      <c r="AQ29" s="137">
        <f t="shared" si="63"/>
        <v>163</v>
      </c>
      <c r="AR29" s="137">
        <f t="shared" si="64"/>
        <v>37</v>
      </c>
      <c r="AS29" s="138">
        <f t="shared" si="65"/>
        <v>173</v>
      </c>
      <c r="AT29" s="155">
        <v>1</v>
      </c>
      <c r="AU29" s="155">
        <v>59</v>
      </c>
      <c r="AV29" s="155">
        <v>39</v>
      </c>
      <c r="AW29" s="155">
        <v>60</v>
      </c>
      <c r="AX29" s="155">
        <v>40</v>
      </c>
      <c r="AY29" s="155">
        <v>40</v>
      </c>
      <c r="AZ29" s="155">
        <v>6</v>
      </c>
      <c r="BA29" s="155">
        <v>123</v>
      </c>
      <c r="BB29" s="155">
        <v>92</v>
      </c>
      <c r="BC29" s="155">
        <v>152</v>
      </c>
      <c r="BD29" s="155">
        <v>190</v>
      </c>
      <c r="BE29" s="155">
        <v>67</v>
      </c>
      <c r="BF29" s="552">
        <v>150</v>
      </c>
      <c r="BG29" s="155">
        <v>5</v>
      </c>
      <c r="BH29" s="155">
        <v>7</v>
      </c>
      <c r="BI29" s="155">
        <v>138</v>
      </c>
      <c r="BJ29" s="155">
        <v>42</v>
      </c>
      <c r="BK29" s="155">
        <v>2</v>
      </c>
      <c r="BL29" s="155">
        <v>6</v>
      </c>
      <c r="BM29" s="155">
        <v>144</v>
      </c>
      <c r="BN29" s="155">
        <v>91</v>
      </c>
      <c r="BO29" s="155">
        <v>3</v>
      </c>
      <c r="BP29" s="155">
        <v>43</v>
      </c>
      <c r="BQ29" s="155">
        <v>57</v>
      </c>
      <c r="BR29" s="552">
        <v>49</v>
      </c>
      <c r="BS29" s="155">
        <v>4</v>
      </c>
      <c r="BT29" s="155">
        <v>55</v>
      </c>
      <c r="BU29" s="155">
        <v>37</v>
      </c>
      <c r="BV29" s="155">
        <v>94</v>
      </c>
      <c r="BW29" s="155">
        <v>83</v>
      </c>
      <c r="BX29" s="155">
        <v>78</v>
      </c>
      <c r="BY29" s="155">
        <v>86</v>
      </c>
      <c r="BZ29" s="155">
        <v>87</v>
      </c>
      <c r="CA29" s="155">
        <v>27</v>
      </c>
      <c r="CB29" s="552">
        <v>91</v>
      </c>
      <c r="CC29" s="155">
        <v>105</v>
      </c>
      <c r="CD29" s="155">
        <v>68</v>
      </c>
      <c r="CE29" s="155">
        <v>115</v>
      </c>
      <c r="CF29" s="155">
        <v>12</v>
      </c>
      <c r="CG29" s="155">
        <v>161</v>
      </c>
      <c r="CH29" s="155">
        <v>161</v>
      </c>
      <c r="CI29" s="155">
        <v>37</v>
      </c>
      <c r="CJ29" s="155">
        <v>109</v>
      </c>
      <c r="CK29" s="156">
        <v>163</v>
      </c>
      <c r="CL29" s="320">
        <v>3179</v>
      </c>
    </row>
    <row r="30" spans="1:90">
      <c r="A30" s="80">
        <f>ROWS($A$3:A28)</f>
        <v>26</v>
      </c>
      <c r="B30" s="53" t="s">
        <v>256</v>
      </c>
      <c r="C30" s="261"/>
      <c r="D30" s="260" t="s">
        <v>1</v>
      </c>
      <c r="E30" s="447">
        <v>42887</v>
      </c>
      <c r="F30" s="539">
        <f>F35/F23</f>
        <v>35.892733297372274</v>
      </c>
      <c r="G30" s="521">
        <f>G35/G23</f>
        <v>44.829787234042556</v>
      </c>
      <c r="H30" s="521">
        <f>H35/H23</f>
        <v>25.739140985197768</v>
      </c>
      <c r="I30" s="540">
        <f>I35/I23</f>
        <v>40.000748362956031</v>
      </c>
      <c r="J30" s="173"/>
      <c r="K30" s="178">
        <f>BF30</f>
        <v>38.098389982110909</v>
      </c>
      <c r="L30" s="179">
        <f t="shared" si="36"/>
        <v>22.733156028368793</v>
      </c>
      <c r="M30" s="179">
        <f t="shared" si="37"/>
        <v>50.523247232472322</v>
      </c>
      <c r="N30" s="179">
        <f t="shared" si="38"/>
        <v>38.791724137931034</v>
      </c>
      <c r="O30" s="179">
        <f t="shared" si="39"/>
        <v>48.732472324723247</v>
      </c>
      <c r="P30" s="168">
        <f>P35/P23</f>
        <v>28.867230233714569</v>
      </c>
      <c r="Q30" s="179">
        <f>'2016'!AU30</f>
        <v>40.085714285714289</v>
      </c>
      <c r="R30" s="168">
        <f>R35/R23</f>
        <v>25.400291120815137</v>
      </c>
      <c r="S30" s="179">
        <f t="shared" si="41"/>
        <v>31.450236966824644</v>
      </c>
      <c r="T30" s="179">
        <f t="shared" si="42"/>
        <v>38.103825136612024</v>
      </c>
      <c r="U30" s="180">
        <f t="shared" si="42"/>
        <v>40.610992529348984</v>
      </c>
      <c r="V30" s="168">
        <f>V35/V23</f>
        <v>28.3125</v>
      </c>
      <c r="W30" s="179">
        <f t="shared" si="44"/>
        <v>39.763102725366878</v>
      </c>
      <c r="X30" s="168">
        <f>X35/X23</f>
        <v>52.804375804375802</v>
      </c>
      <c r="Y30" s="168">
        <f>Y35/Y23</f>
        <v>42.912228796844182</v>
      </c>
      <c r="Z30" s="179">
        <f t="shared" si="47"/>
        <v>55.544578313253012</v>
      </c>
      <c r="AA30" s="168">
        <f>AA35/AA23</f>
        <v>46.886104783599087</v>
      </c>
      <c r="AB30" s="180">
        <f t="shared" si="49"/>
        <v>40.082959641255606</v>
      </c>
      <c r="AC30" s="179">
        <f t="shared" si="50"/>
        <v>39.647727272727273</v>
      </c>
      <c r="AD30" s="179">
        <f t="shared" si="51"/>
        <v>17.532385466034754</v>
      </c>
      <c r="AE30" s="168">
        <f>AE35/AE23</f>
        <v>19.037518037518037</v>
      </c>
      <c r="AF30" s="179">
        <f t="shared" si="53"/>
        <v>23.973084886128365</v>
      </c>
      <c r="AG30" s="179">
        <f t="shared" si="54"/>
        <v>17.050228310502284</v>
      </c>
      <c r="AH30" s="179">
        <f t="shared" si="55"/>
        <v>41.149198520345251</v>
      </c>
      <c r="AI30" s="179">
        <f t="shared" si="56"/>
        <v>39.662269129287601</v>
      </c>
      <c r="AJ30" s="179">
        <f t="shared" si="57"/>
        <v>57.160377358490564</v>
      </c>
      <c r="AK30" s="180">
        <f t="shared" si="58"/>
        <v>34.165318957771788</v>
      </c>
      <c r="AL30" s="179">
        <f t="shared" si="59"/>
        <v>49.48216833095578</v>
      </c>
      <c r="AM30" s="179">
        <f t="shared" si="60"/>
        <v>44.15227537922987</v>
      </c>
      <c r="AN30" s="179">
        <f t="shared" si="61"/>
        <v>36.770085470085469</v>
      </c>
      <c r="AO30" s="179">
        <f t="shared" si="62"/>
        <v>43.095944609297725</v>
      </c>
      <c r="AP30" s="179">
        <f t="shared" si="62"/>
        <v>52.225388601036272</v>
      </c>
      <c r="AQ30" s="179">
        <f t="shared" si="63"/>
        <v>46.934875749785775</v>
      </c>
      <c r="AR30" s="179">
        <f t="shared" si="64"/>
        <v>22.205298013245034</v>
      </c>
      <c r="AS30" s="169">
        <f>AS35/AS23</f>
        <v>42.542181622783453</v>
      </c>
      <c r="AT30" s="521">
        <f>AT35/AT23</f>
        <v>13.146596858638743</v>
      </c>
      <c r="AU30" s="521">
        <f>AU35/AU23</f>
        <v>40.085714285714289</v>
      </c>
      <c r="AV30" s="521">
        <f t="shared" ref="AV30:CL30" si="67">AV35/AV23</f>
        <v>31.450236966824644</v>
      </c>
      <c r="AW30" s="521">
        <f t="shared" si="67"/>
        <v>38.791724137931034</v>
      </c>
      <c r="AX30" s="521">
        <f>AX35/AX23</f>
        <v>27.378698224852069</v>
      </c>
      <c r="AY30" s="521">
        <f t="shared" si="67"/>
        <v>22.733156028368793</v>
      </c>
      <c r="AZ30" s="521">
        <f t="shared" si="67"/>
        <v>23.941860465116278</v>
      </c>
      <c r="BA30" s="521">
        <f t="shared" si="67"/>
        <v>29.327895595432299</v>
      </c>
      <c r="BB30" s="521">
        <f t="shared" si="67"/>
        <v>38.103825136612024</v>
      </c>
      <c r="BC30" s="521">
        <f t="shared" si="67"/>
        <v>40.610992529348984</v>
      </c>
      <c r="BD30" s="521">
        <f>BD35/BD23</f>
        <v>50.523247232472322</v>
      </c>
      <c r="BE30" s="521">
        <f t="shared" si="67"/>
        <v>48.732472324723247</v>
      </c>
      <c r="BF30" s="559">
        <f t="shared" si="67"/>
        <v>38.098389982110909</v>
      </c>
      <c r="BG30" s="521">
        <f t="shared" si="67"/>
        <v>15.085714285714285</v>
      </c>
      <c r="BH30" s="521">
        <f>BH35/BH23</f>
        <v>41.887096774193552</v>
      </c>
      <c r="BI30" s="521">
        <f>BI35/BI23</f>
        <v>53.751048951048951</v>
      </c>
      <c r="BJ30" s="521">
        <f>BJ35/BJ23</f>
        <v>31.261146496815286</v>
      </c>
      <c r="BK30" s="521">
        <f t="shared" si="67"/>
        <v>24.648648648648649</v>
      </c>
      <c r="BL30" s="521">
        <f t="shared" si="67"/>
        <v>49.406779661016948</v>
      </c>
      <c r="BM30" s="521">
        <f>BM35/BM23</f>
        <v>55.544578313253012</v>
      </c>
      <c r="BN30" s="521">
        <f t="shared" si="67"/>
        <v>44.011350737797954</v>
      </c>
      <c r="BO30" s="521">
        <f t="shared" si="67"/>
        <v>38.799999999999997</v>
      </c>
      <c r="BP30" s="521">
        <f t="shared" si="67"/>
        <v>40.082959641255606</v>
      </c>
      <c r="BQ30" s="521">
        <f>BQ35/BQ23</f>
        <v>47.374396135265698</v>
      </c>
      <c r="BR30" s="559">
        <f t="shared" si="67"/>
        <v>39.763102725366878</v>
      </c>
      <c r="BS30" s="521">
        <f t="shared" si="67"/>
        <v>19.055248618784532</v>
      </c>
      <c r="BT30" s="521">
        <f t="shared" si="67"/>
        <v>19.036279428791971</v>
      </c>
      <c r="BU30" s="521">
        <f t="shared" si="67"/>
        <v>17.532385466034754</v>
      </c>
      <c r="BV30" s="521">
        <f t="shared" si="67"/>
        <v>17.050228310502284</v>
      </c>
      <c r="BW30" s="521">
        <f t="shared" si="67"/>
        <v>39.662269129287601</v>
      </c>
      <c r="BX30" s="521">
        <f t="shared" si="67"/>
        <v>39.647727272727273</v>
      </c>
      <c r="BY30" s="521">
        <f t="shared" si="67"/>
        <v>57.160377358490564</v>
      </c>
      <c r="BZ30" s="521">
        <f t="shared" si="67"/>
        <v>41.149198520345251</v>
      </c>
      <c r="CA30" s="521">
        <f t="shared" si="67"/>
        <v>23.973084886128365</v>
      </c>
      <c r="CB30" s="559">
        <f t="shared" si="67"/>
        <v>34.165318957771788</v>
      </c>
      <c r="CC30" s="521">
        <f t="shared" si="67"/>
        <v>43.095944609297725</v>
      </c>
      <c r="CD30" s="521">
        <f t="shared" si="67"/>
        <v>52.225388601036272</v>
      </c>
      <c r="CE30" s="521">
        <f t="shared" si="67"/>
        <v>49.48216833095578</v>
      </c>
      <c r="CF30" s="521">
        <f t="shared" si="67"/>
        <v>43.018518518518519</v>
      </c>
      <c r="CG30" s="521">
        <f t="shared" si="67"/>
        <v>42.512835139760412</v>
      </c>
      <c r="CH30" s="521">
        <f t="shared" si="67"/>
        <v>44.15227537922987</v>
      </c>
      <c r="CI30" s="521">
        <f t="shared" si="67"/>
        <v>22.205298013245034</v>
      </c>
      <c r="CJ30" s="521">
        <f t="shared" si="67"/>
        <v>36.770085470085469</v>
      </c>
      <c r="CK30" s="540">
        <f t="shared" si="67"/>
        <v>46.934875749785775</v>
      </c>
      <c r="CL30" s="560">
        <f t="shared" si="67"/>
        <v>34.885806499297843</v>
      </c>
    </row>
    <row r="31" spans="1:90">
      <c r="A31" s="80">
        <f>ROWS($A$3:A29)</f>
        <v>27</v>
      </c>
      <c r="B31" s="53" t="str">
        <f>"Entwicklung Betriebe ab 5 ha LF von 2001 / "&amp;C22</f>
        <v>Entwicklung Betriebe ab 5 ha LF von 2001 / 2016</v>
      </c>
      <c r="C31" s="261"/>
      <c r="D31" s="260" t="s">
        <v>3</v>
      </c>
      <c r="E31" s="447">
        <v>42887</v>
      </c>
      <c r="F31" s="530">
        <f>(F23-F24)/('2001'!F23-'2001'!F24)%-100</f>
        <v>-27.429424538545064</v>
      </c>
      <c r="G31" s="531">
        <f>(G23-G24)/('2001'!G23-'2001'!G24)%-100</f>
        <v>-23.594180102241452</v>
      </c>
      <c r="H31" s="531">
        <f>(H23-H24)/('2001'!H23-'2001'!H24)%-100</f>
        <v>-23.334141022534524</v>
      </c>
      <c r="I31" s="532">
        <f>(I23-I24)/('2001'!I23-'2001'!I24)%-100</f>
        <v>-27.857976086322537</v>
      </c>
      <c r="J31" s="141"/>
      <c r="K31" s="116">
        <f t="shared" si="35"/>
        <v>-29.411764705882362</v>
      </c>
      <c r="L31" s="137">
        <f t="shared" si="36"/>
        <v>-22.950819672131146</v>
      </c>
      <c r="M31" s="137">
        <f t="shared" si="37"/>
        <v>-35.548352242031342</v>
      </c>
      <c r="N31" s="137">
        <f t="shared" si="38"/>
        <v>-22.716627634660412</v>
      </c>
      <c r="O31" s="137">
        <f t="shared" si="39"/>
        <v>-21.674140508221228</v>
      </c>
      <c r="P31" s="143">
        <f>100-(P23%/((AZ23%)/(100-AZ31)+(BA23%)/(100-BA31)))</f>
        <v>-24.027080751806011</v>
      </c>
      <c r="Q31" s="146">
        <f>'2016'!AU31</f>
        <v>-27.97783933518005</v>
      </c>
      <c r="R31" s="143">
        <f>100-(R23%/((AT23%)/(100-AT31)+(AX23%)/(100-AX31)))</f>
        <v>-20.037999911039407</v>
      </c>
      <c r="S31" s="146">
        <f t="shared" si="41"/>
        <v>-19.119878603945367</v>
      </c>
      <c r="T31" s="146">
        <f t="shared" si="42"/>
        <v>-32.302936630602773</v>
      </c>
      <c r="U31" s="147">
        <f t="shared" si="42"/>
        <v>-29.173290937996825</v>
      </c>
      <c r="V31" s="143">
        <f>100-(V23%/((BG23%)/(100-BG31)+(BJ23%)/(100-BJ31)))</f>
        <v>-9.7500780976451864</v>
      </c>
      <c r="W31" s="146">
        <f t="shared" si="44"/>
        <v>-27.689873417721529</v>
      </c>
      <c r="X31" s="143">
        <f>100-(X23%/((BH23%)/(100-BH31)+(BI23%)/(100-BI31)))</f>
        <v>-18.625349125684409</v>
      </c>
      <c r="Y31" s="143">
        <f>100-(Y23%/((BK23%)/(100-BK31)+(BL23%)/(100-BL31)+(BN23%)/(100-BN31)))</f>
        <v>-24.65397599579677</v>
      </c>
      <c r="Z31" s="146">
        <f t="shared" si="47"/>
        <v>-28.818181818181813</v>
      </c>
      <c r="AA31" s="143">
        <f>100-(AA23%/((BO23%)/(100-BO31)+(BQ23%)/(100-BQ31)))</f>
        <v>-18.823719034739625</v>
      </c>
      <c r="AB31" s="147">
        <f t="shared" si="49"/>
        <v>-26.306620209059233</v>
      </c>
      <c r="AC31" s="146">
        <f t="shared" si="50"/>
        <v>-25.23510971786834</v>
      </c>
      <c r="AD31" s="146">
        <f t="shared" si="51"/>
        <v>-19.791666666666671</v>
      </c>
      <c r="AE31" s="143">
        <f>100-(AE23%/((BS23%)/(100-BS31)+(BT23%)/(100-BT31)))</f>
        <v>-17.943853607546615</v>
      </c>
      <c r="AF31" s="146">
        <f t="shared" si="53"/>
        <v>-23.85834109972042</v>
      </c>
      <c r="AG31" s="146">
        <f t="shared" si="54"/>
        <v>-20.637829912023463</v>
      </c>
      <c r="AH31" s="146">
        <f t="shared" si="55"/>
        <v>-25.462459194776926</v>
      </c>
      <c r="AI31" s="146">
        <f t="shared" si="56"/>
        <v>-25.278058645096067</v>
      </c>
      <c r="AJ31" s="146">
        <f t="shared" si="57"/>
        <v>-30.666666666666671</v>
      </c>
      <c r="AK31" s="147">
        <f t="shared" si="58"/>
        <v>-30.769230769230774</v>
      </c>
      <c r="AL31" s="146">
        <f t="shared" si="59"/>
        <v>-26.025917926565867</v>
      </c>
      <c r="AM31" s="146">
        <f t="shared" si="60"/>
        <v>-28.336221837088388</v>
      </c>
      <c r="AN31" s="146">
        <f t="shared" si="61"/>
        <v>-27.631578947368411</v>
      </c>
      <c r="AO31" s="146">
        <f t="shared" si="62"/>
        <v>-26.003086419753089</v>
      </c>
      <c r="AP31" s="146">
        <f t="shared" si="62"/>
        <v>-28.772635814889327</v>
      </c>
      <c r="AQ31" s="146">
        <f t="shared" si="63"/>
        <v>-30.437461491065932</v>
      </c>
      <c r="AR31" s="146">
        <f t="shared" si="64"/>
        <v>-23.940820443846661</v>
      </c>
      <c r="AS31" s="144">
        <f>100-(AS23%/((CF23%)/(100-CF31)+(CG23%)/(100-CG31)))</f>
        <v>-29.77999625203941</v>
      </c>
      <c r="AT31" s="542">
        <f>(AT23-AT24)/('2001'!AT23-'2001'!AT24)%-100</f>
        <v>-4.0816326530612201</v>
      </c>
      <c r="AU31" s="155">
        <f>(AU23-AU24)/('2001'!AU23-'2001'!AU24)%-100</f>
        <v>-27.97783933518005</v>
      </c>
      <c r="AV31" s="155">
        <f>(AV23-AV24)/('2001'!AV23-'2001'!AV24)%-100</f>
        <v>-19.119878603945367</v>
      </c>
      <c r="AW31" s="155">
        <f>(AW23-AW24)/('2001'!AW23-'2001'!AW24)%-100</f>
        <v>-22.716627634660412</v>
      </c>
      <c r="AX31" s="155">
        <f>(AX23-AX24)/('2001'!AX23-'2001'!AX24)%-100</f>
        <v>-23.084577114427873</v>
      </c>
      <c r="AY31" s="155">
        <f>(AY23-AY24)/('2001'!AY23-'2001'!AY24)%-100</f>
        <v>-22.950819672131146</v>
      </c>
      <c r="AZ31" s="155">
        <f>(AZ23-AZ24)/('2001'!AZ23-'2001'!AZ24)%-100</f>
        <v>-22.222222222222229</v>
      </c>
      <c r="BA31" s="155">
        <f>(BA23-BA24)/('2001'!BA23-'2001'!BA24)%-100</f>
        <v>-24.198617221873036</v>
      </c>
      <c r="BB31" s="155">
        <f>(BB23-BB24)/('2001'!BB23-'2001'!BB24)%-100</f>
        <v>-32.302936630602773</v>
      </c>
      <c r="BC31" s="155">
        <f>(BC23-BC24)/('2001'!BC23-'2001'!BC24)%-100</f>
        <v>-29.173290937996825</v>
      </c>
      <c r="BD31" s="155">
        <f>(BD23-BD24)/('2001'!BD23-'2001'!BD24)%-100</f>
        <v>-35.548352242031342</v>
      </c>
      <c r="BE31" s="155">
        <f>(BE23-BE24)/('2001'!BE23-'2001'!BE24)%-100</f>
        <v>-21.674140508221228</v>
      </c>
      <c r="BF31" s="552">
        <f>(BF23-BF24)/('2001'!BF23-'2001'!BF24)%-100</f>
        <v>-29.411764705882362</v>
      </c>
      <c r="BG31" s="155">
        <f>(BG23-BG24)/('2001'!BG23-'2001'!BG24)%-100</f>
        <v>-2.2222222222222285</v>
      </c>
      <c r="BH31" s="155">
        <f>(BH23-BH24)/('2001'!BH23-'2001'!BH24)%-100</f>
        <v>-19.047619047619051</v>
      </c>
      <c r="BI31" s="155">
        <f>(BI23-BI24)/('2001'!BI23-'2001'!BI24)%-100</f>
        <v>-18.588873812754414</v>
      </c>
      <c r="BJ31" s="155">
        <f>(BJ23-BJ24)/('2001'!BJ23-'2001'!BJ24)%-100</f>
        <v>-11.58192090395481</v>
      </c>
      <c r="BK31" s="155">
        <f>(BK23-BK24)/('2001'!BK23-'2001'!BK24)%-100</f>
        <v>-16.176470588235304</v>
      </c>
      <c r="BL31" s="155">
        <f>(BL23-BL24)/('2001'!BL23-'2001'!BL24)%-100</f>
        <v>-35.13513513513513</v>
      </c>
      <c r="BM31" s="155">
        <f>(BM23-BM24)/('2001'!BM23-'2001'!BM24)%-100</f>
        <v>-28.818181818181813</v>
      </c>
      <c r="BN31" s="155">
        <f>(BN23-BN24)/('2001'!BN23-'2001'!BN24)%-100</f>
        <v>-24.77064220183486</v>
      </c>
      <c r="BO31" s="155">
        <f>(BO23-BO24)/('2001'!BO23-'2001'!BO24)%-100</f>
        <v>-23.80952380952381</v>
      </c>
      <c r="BP31" s="155">
        <f>(BP23-BP24)/('2001'!BP23-'2001'!BP24)%-100</f>
        <v>-26.306620209059233</v>
      </c>
      <c r="BQ31" s="155">
        <f>(BQ23-BQ24)/('2001'!BQ23-'2001'!BQ24)%-100</f>
        <v>-18.535469107551492</v>
      </c>
      <c r="BR31" s="552">
        <f>(BR23-BR24)/('2001'!BR23-'2001'!BR24)%-100</f>
        <v>-27.689873417721529</v>
      </c>
      <c r="BS31" s="155">
        <f>(BS23-BS24)/('2001'!BS23-'2001'!BS24)%-100</f>
        <v>-18.644067796610159</v>
      </c>
      <c r="BT31" s="155">
        <f>(BT23-BT24)/('2001'!BT23-'2001'!BT24)%-100</f>
        <v>-17.895247332686722</v>
      </c>
      <c r="BU31" s="155">
        <f>(BU23-BU24)/('2001'!BU23-'2001'!BU24)%-100</f>
        <v>-19.791666666666671</v>
      </c>
      <c r="BV31" s="155">
        <f>(BV23-BV24)/('2001'!BV23-'2001'!BV24)%-100</f>
        <v>-20.637829912023463</v>
      </c>
      <c r="BW31" s="155">
        <f>(BW23-BW24)/('2001'!BW23-'2001'!BW24)%-100</f>
        <v>-25.278058645096067</v>
      </c>
      <c r="BX31" s="155">
        <f>(BX23-BX24)/('2001'!BX23-'2001'!BX24)%-100</f>
        <v>-25.23510971786834</v>
      </c>
      <c r="BY31" s="155">
        <f>(BY23-BY24)/('2001'!BY23-'2001'!BY24)%-100</f>
        <v>-30.666666666666671</v>
      </c>
      <c r="BZ31" s="155">
        <f>(BZ23-BZ24)/('2001'!BZ23-'2001'!BZ24)%-100</f>
        <v>-25.462459194776926</v>
      </c>
      <c r="CA31" s="155">
        <f>(CA23-CA24)/('2001'!CA23-'2001'!CA24)%-100</f>
        <v>-23.85834109972042</v>
      </c>
      <c r="CB31" s="552">
        <f>(CB23-CB24)/('2001'!CB23-'2001'!CB24)%-100</f>
        <v>-30.769230769230774</v>
      </c>
      <c r="CC31" s="155">
        <f>(CC23-CC24)/('2001'!CC23-'2001'!CC24)%-100</f>
        <v>-26.003086419753089</v>
      </c>
      <c r="CD31" s="155">
        <f>(CD23-CD24)/('2001'!CD23-'2001'!CD24)%-100</f>
        <v>-28.772635814889327</v>
      </c>
      <c r="CE31" s="155">
        <f>(CE23-CE24)/('2001'!CE23-'2001'!CE24)%-100</f>
        <v>-26.025917926565867</v>
      </c>
      <c r="CF31" s="155">
        <f>(CF23-CF24)/('2001'!CF23-'2001'!CF24)%-100</f>
        <v>-31.159420289855063</v>
      </c>
      <c r="CG31" s="155">
        <f>(CG23-CG24)/('2001'!CG23-'2001'!CG24)%-100</f>
        <v>-29.695960016659726</v>
      </c>
      <c r="CH31" s="155">
        <f>(CH23-CH24)/('2001'!CH23-'2001'!CH24)%-100</f>
        <v>-28.336221837088388</v>
      </c>
      <c r="CI31" s="155">
        <f>(CI23-CI24)/('2001'!CI23-'2001'!CI24)%-100</f>
        <v>-23.940820443846661</v>
      </c>
      <c r="CJ31" s="155">
        <f>(CJ23-CJ24)/('2001'!CJ23-'2001'!CJ24)%-100</f>
        <v>-27.631578947368411</v>
      </c>
      <c r="CK31" s="156">
        <f>(CK23-CK24)/('2001'!CK23-'2001'!CK24)%-100</f>
        <v>-30.437461491065932</v>
      </c>
      <c r="CL31" s="320">
        <f>(CL23-CL24)/('2001'!CL23-'2001'!CL24)%-100</f>
        <v>-26.028441385918683</v>
      </c>
    </row>
    <row r="32" spans="1:90">
      <c r="A32" s="80">
        <f>ROWS($A$3:A30)</f>
        <v>28</v>
      </c>
      <c r="B32" s="53" t="s">
        <v>170</v>
      </c>
      <c r="C32" s="261"/>
      <c r="D32" s="260" t="s">
        <v>3</v>
      </c>
      <c r="E32" s="451"/>
      <c r="F32" s="154">
        <v>37</v>
      </c>
      <c r="G32" s="155">
        <v>31</v>
      </c>
      <c r="H32" s="155">
        <v>28</v>
      </c>
      <c r="I32" s="156">
        <v>42</v>
      </c>
      <c r="J32" s="141"/>
      <c r="K32" s="116">
        <f t="shared" si="35"/>
        <v>35</v>
      </c>
      <c r="L32" s="137">
        <f t="shared" si="36"/>
        <v>35</v>
      </c>
      <c r="M32" s="137">
        <f t="shared" si="37"/>
        <v>34</v>
      </c>
      <c r="N32" s="137">
        <f t="shared" si="38"/>
        <v>42</v>
      </c>
      <c r="O32" s="137">
        <f t="shared" si="39"/>
        <v>41</v>
      </c>
      <c r="P32" s="143">
        <f>(AZ23*AZ32+BA23*BA32)/P23</f>
        <v>40.79612133267031</v>
      </c>
      <c r="Q32" s="146">
        <f>'2016'!AU32</f>
        <v>30</v>
      </c>
      <c r="R32" s="143">
        <f>(AT23*AT32+AX23*AX32)/R23</f>
        <v>41.336244541484717</v>
      </c>
      <c r="S32" s="146">
        <f t="shared" si="41"/>
        <v>35</v>
      </c>
      <c r="T32" s="146">
        <f t="shared" si="42"/>
        <v>38</v>
      </c>
      <c r="U32" s="147">
        <f t="shared" si="42"/>
        <v>47</v>
      </c>
      <c r="V32" s="143">
        <f>(BG23*BG32+BJ23*BJ32)/V23</f>
        <v>16.817708333333332</v>
      </c>
      <c r="W32" s="146">
        <f t="shared" si="44"/>
        <v>25</v>
      </c>
      <c r="X32" s="143">
        <f>(BH23*BH32+BI23*BI32)/X23</f>
        <v>33.71814671814672</v>
      </c>
      <c r="Y32" s="143">
        <f>(BK23*BK32+BL23*BL32+BN23*BN32)/Y23</f>
        <v>43.520710059171599</v>
      </c>
      <c r="Z32" s="146">
        <f t="shared" si="47"/>
        <v>33</v>
      </c>
      <c r="AA32" s="143">
        <f>(BO23*BO32+BQ23*BQ32)/AA23</f>
        <v>32.082004555808659</v>
      </c>
      <c r="AB32" s="147">
        <f t="shared" si="49"/>
        <v>26</v>
      </c>
      <c r="AC32" s="146">
        <f t="shared" si="50"/>
        <v>36</v>
      </c>
      <c r="AD32" s="146">
        <f t="shared" si="51"/>
        <v>28</v>
      </c>
      <c r="AE32" s="143">
        <f>(BS23*BS32+BT23*BT32)/AE23</f>
        <v>32.130591630591631</v>
      </c>
      <c r="AF32" s="146">
        <f t="shared" si="53"/>
        <v>29</v>
      </c>
      <c r="AG32" s="146">
        <f t="shared" si="54"/>
        <v>30</v>
      </c>
      <c r="AH32" s="146">
        <f t="shared" si="55"/>
        <v>45</v>
      </c>
      <c r="AI32" s="146">
        <f t="shared" si="56"/>
        <v>26</v>
      </c>
      <c r="AJ32" s="146">
        <f t="shared" si="57"/>
        <v>26</v>
      </c>
      <c r="AK32" s="147">
        <f t="shared" si="58"/>
        <v>27</v>
      </c>
      <c r="AL32" s="146">
        <f t="shared" si="59"/>
        <v>23</v>
      </c>
      <c r="AM32" s="146">
        <f t="shared" si="60"/>
        <v>49</v>
      </c>
      <c r="AN32" s="146">
        <f t="shared" si="61"/>
        <v>59</v>
      </c>
      <c r="AO32" s="146">
        <f t="shared" si="62"/>
        <v>28</v>
      </c>
      <c r="AP32" s="146">
        <f t="shared" si="62"/>
        <v>24</v>
      </c>
      <c r="AQ32" s="146">
        <f t="shared" si="63"/>
        <v>34</v>
      </c>
      <c r="AR32" s="146">
        <f t="shared" si="64"/>
        <v>48</v>
      </c>
      <c r="AS32" s="144">
        <f>(CF23*CF32+CG23*CG32)/AS23</f>
        <v>41.406233207952717</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c r="A33" s="80">
        <f>ROWS($A$3:A31)</f>
        <v>29</v>
      </c>
      <c r="B33" s="53" t="s">
        <v>68</v>
      </c>
      <c r="C33" s="261"/>
      <c r="D33" s="260" t="s">
        <v>3</v>
      </c>
      <c r="E33" s="451"/>
      <c r="F33" s="530">
        <f>100-F32</f>
        <v>63</v>
      </c>
      <c r="G33" s="531">
        <f>100-G32</f>
        <v>69</v>
      </c>
      <c r="H33" s="531">
        <f>100-H32</f>
        <v>72</v>
      </c>
      <c r="I33" s="532">
        <f>100-I32</f>
        <v>58</v>
      </c>
      <c r="J33" s="141"/>
      <c r="K33" s="145">
        <f t="shared" si="35"/>
        <v>65</v>
      </c>
      <c r="L33" s="146">
        <f t="shared" si="36"/>
        <v>65</v>
      </c>
      <c r="M33" s="146">
        <f t="shared" si="37"/>
        <v>66</v>
      </c>
      <c r="N33" s="146">
        <f t="shared" si="38"/>
        <v>58</v>
      </c>
      <c r="O33" s="146">
        <f t="shared" si="39"/>
        <v>59</v>
      </c>
      <c r="P33" s="143">
        <f>100-P32</f>
        <v>59.20387866732969</v>
      </c>
      <c r="Q33" s="146">
        <f>'2016'!AU33</f>
        <v>70</v>
      </c>
      <c r="R33" s="143">
        <f>100-R32</f>
        <v>58.663755458515283</v>
      </c>
      <c r="S33" s="146">
        <f t="shared" si="41"/>
        <v>65</v>
      </c>
      <c r="T33" s="146">
        <f t="shared" si="42"/>
        <v>62</v>
      </c>
      <c r="U33" s="147">
        <f t="shared" si="42"/>
        <v>53</v>
      </c>
      <c r="V33" s="143">
        <f>100-V32</f>
        <v>83.182291666666671</v>
      </c>
      <c r="W33" s="146">
        <f t="shared" si="44"/>
        <v>75</v>
      </c>
      <c r="X33" s="143">
        <f>100-X32</f>
        <v>66.281853281853273</v>
      </c>
      <c r="Y33" s="143">
        <f>100-Y32</f>
        <v>56.479289940828401</v>
      </c>
      <c r="Z33" s="146">
        <f t="shared" si="47"/>
        <v>67</v>
      </c>
      <c r="AA33" s="143">
        <f>100-AA32</f>
        <v>67.917995444191348</v>
      </c>
      <c r="AB33" s="147">
        <f t="shared" si="49"/>
        <v>74</v>
      </c>
      <c r="AC33" s="146">
        <f t="shared" si="50"/>
        <v>64</v>
      </c>
      <c r="AD33" s="146">
        <f t="shared" si="51"/>
        <v>72</v>
      </c>
      <c r="AE33" s="143">
        <f>100-AE32</f>
        <v>67.869408369408376</v>
      </c>
      <c r="AF33" s="146">
        <f t="shared" si="53"/>
        <v>71</v>
      </c>
      <c r="AG33" s="146">
        <f t="shared" si="54"/>
        <v>70</v>
      </c>
      <c r="AH33" s="146">
        <f t="shared" si="55"/>
        <v>55</v>
      </c>
      <c r="AI33" s="146">
        <f t="shared" si="56"/>
        <v>74</v>
      </c>
      <c r="AJ33" s="146">
        <f t="shared" si="57"/>
        <v>74</v>
      </c>
      <c r="AK33" s="147">
        <f t="shared" si="58"/>
        <v>73</v>
      </c>
      <c r="AL33" s="146">
        <f t="shared" si="59"/>
        <v>77</v>
      </c>
      <c r="AM33" s="146">
        <f t="shared" si="60"/>
        <v>51</v>
      </c>
      <c r="AN33" s="146">
        <f t="shared" si="61"/>
        <v>41</v>
      </c>
      <c r="AO33" s="146">
        <f t="shared" si="62"/>
        <v>72</v>
      </c>
      <c r="AP33" s="146">
        <f t="shared" si="62"/>
        <v>76</v>
      </c>
      <c r="AQ33" s="146">
        <f t="shared" si="63"/>
        <v>66</v>
      </c>
      <c r="AR33" s="146">
        <f t="shared" si="64"/>
        <v>52</v>
      </c>
      <c r="AS33" s="144">
        <f>100-AS32</f>
        <v>58.593766792047283</v>
      </c>
      <c r="AT33" s="531">
        <f>100-AT32</f>
        <v>38</v>
      </c>
      <c r="AU33" s="531">
        <f>100-AU32</f>
        <v>70</v>
      </c>
      <c r="AV33" s="531">
        <f t="shared" ref="AV33:CL33" si="68">100-AV32</f>
        <v>65</v>
      </c>
      <c r="AW33" s="531">
        <f t="shared" si="68"/>
        <v>58</v>
      </c>
      <c r="AX33" s="531">
        <f>100-AX32</f>
        <v>62</v>
      </c>
      <c r="AY33" s="531">
        <f t="shared" si="68"/>
        <v>65</v>
      </c>
      <c r="AZ33" s="531">
        <f t="shared" si="68"/>
        <v>40</v>
      </c>
      <c r="BA33" s="531">
        <f t="shared" si="68"/>
        <v>61</v>
      </c>
      <c r="BB33" s="531">
        <f t="shared" si="68"/>
        <v>62</v>
      </c>
      <c r="BC33" s="531">
        <f t="shared" si="68"/>
        <v>53</v>
      </c>
      <c r="BD33" s="531">
        <f t="shared" si="68"/>
        <v>66</v>
      </c>
      <c r="BE33" s="531">
        <f t="shared" si="68"/>
        <v>59</v>
      </c>
      <c r="BF33" s="555">
        <f t="shared" si="68"/>
        <v>65</v>
      </c>
      <c r="BG33" s="531">
        <f t="shared" si="68"/>
        <v>84</v>
      </c>
      <c r="BH33" s="531">
        <f>100-BH32</f>
        <v>58</v>
      </c>
      <c r="BI33" s="531">
        <f>100-BI32</f>
        <v>67</v>
      </c>
      <c r="BJ33" s="531">
        <f>100-BJ32</f>
        <v>83</v>
      </c>
      <c r="BK33" s="531">
        <f t="shared" si="68"/>
        <v>42</v>
      </c>
      <c r="BL33" s="531">
        <f t="shared" si="68"/>
        <v>37</v>
      </c>
      <c r="BM33" s="531">
        <f>100-BM32</f>
        <v>67</v>
      </c>
      <c r="BN33" s="531">
        <f t="shared" si="68"/>
        <v>59</v>
      </c>
      <c r="BO33" s="531">
        <f t="shared" si="68"/>
        <v>50</v>
      </c>
      <c r="BP33" s="531">
        <f t="shared" si="68"/>
        <v>74</v>
      </c>
      <c r="BQ33" s="531">
        <f>100-BQ32</f>
        <v>69</v>
      </c>
      <c r="BR33" s="555">
        <f t="shared" si="68"/>
        <v>75</v>
      </c>
      <c r="BS33" s="531">
        <f t="shared" si="68"/>
        <v>66</v>
      </c>
      <c r="BT33" s="531">
        <f t="shared" si="68"/>
        <v>68</v>
      </c>
      <c r="BU33" s="531">
        <f t="shared" si="68"/>
        <v>72</v>
      </c>
      <c r="BV33" s="531">
        <f t="shared" si="68"/>
        <v>70</v>
      </c>
      <c r="BW33" s="531">
        <f t="shared" si="68"/>
        <v>74</v>
      </c>
      <c r="BX33" s="531">
        <f t="shared" si="68"/>
        <v>64</v>
      </c>
      <c r="BY33" s="531">
        <f t="shared" si="68"/>
        <v>74</v>
      </c>
      <c r="BZ33" s="531">
        <f t="shared" si="68"/>
        <v>55</v>
      </c>
      <c r="CA33" s="531">
        <f t="shared" si="68"/>
        <v>71</v>
      </c>
      <c r="CB33" s="555">
        <f t="shared" si="68"/>
        <v>73</v>
      </c>
      <c r="CC33" s="531">
        <f t="shared" si="68"/>
        <v>72</v>
      </c>
      <c r="CD33" s="531">
        <f t="shared" si="68"/>
        <v>76</v>
      </c>
      <c r="CE33" s="531">
        <f t="shared" si="68"/>
        <v>77</v>
      </c>
      <c r="CF33" s="531">
        <f t="shared" si="68"/>
        <v>52</v>
      </c>
      <c r="CG33" s="531">
        <f t="shared" si="68"/>
        <v>59</v>
      </c>
      <c r="CH33" s="531">
        <f t="shared" si="68"/>
        <v>51</v>
      </c>
      <c r="CI33" s="531">
        <f t="shared" si="68"/>
        <v>52</v>
      </c>
      <c r="CJ33" s="531">
        <f t="shared" si="68"/>
        <v>41</v>
      </c>
      <c r="CK33" s="532">
        <f t="shared" si="68"/>
        <v>66</v>
      </c>
      <c r="CL33" s="556">
        <f t="shared" si="68"/>
        <v>64</v>
      </c>
    </row>
    <row r="34" spans="1:90">
      <c r="A34" s="80">
        <f>ROWS($A$3:A32)</f>
        <v>30</v>
      </c>
      <c r="B34" s="59" t="s">
        <v>69</v>
      </c>
      <c r="C34" s="204">
        <v>2016</v>
      </c>
      <c r="D34" s="260"/>
      <c r="E34" s="451"/>
      <c r="F34" s="154"/>
      <c r="G34" s="155"/>
      <c r="H34" s="155"/>
      <c r="I34" s="156"/>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c r="A35" s="80">
        <f>ROWS($A$3:A33)</f>
        <v>31</v>
      </c>
      <c r="B35" s="92" t="s">
        <v>71</v>
      </c>
      <c r="C35" s="205"/>
      <c r="D35" s="259" t="s">
        <v>1</v>
      </c>
      <c r="E35" s="447">
        <v>42888</v>
      </c>
      <c r="F35" s="154">
        <v>465780</v>
      </c>
      <c r="G35" s="155">
        <v>204379</v>
      </c>
      <c r="H35" s="155">
        <v>318213</v>
      </c>
      <c r="I35" s="156">
        <v>427608</v>
      </c>
      <c r="J35" s="141"/>
      <c r="K35" s="116">
        <f>BF35</f>
        <v>63891</v>
      </c>
      <c r="L35" s="137">
        <f>AY35</f>
        <v>25643</v>
      </c>
      <c r="M35" s="137">
        <f>BD35</f>
        <v>68459</v>
      </c>
      <c r="N35" s="137">
        <f>AW35</f>
        <v>28124</v>
      </c>
      <c r="O35" s="137">
        <f>BE35</f>
        <v>26413</v>
      </c>
      <c r="P35" s="137">
        <f>'2016'!AZ35+'2016'!BA35</f>
        <v>58052</v>
      </c>
      <c r="Q35" s="137">
        <f>'2016'!AU35</f>
        <v>22448</v>
      </c>
      <c r="R35" s="137">
        <f t="shared" ref="R35:R41" si="69">AT35+AX35</f>
        <v>34900</v>
      </c>
      <c r="S35" s="137">
        <f>AV35</f>
        <v>19908</v>
      </c>
      <c r="T35" s="137">
        <f t="shared" ref="T35:U39" si="70">BB35</f>
        <v>41838</v>
      </c>
      <c r="U35" s="139">
        <f t="shared" si="70"/>
        <v>76105</v>
      </c>
      <c r="V35" s="137">
        <f>BG35+BJ35</f>
        <v>16308</v>
      </c>
      <c r="W35" s="137">
        <f>BR35</f>
        <v>18967</v>
      </c>
      <c r="X35" s="137">
        <f>BH35+BI35</f>
        <v>41029</v>
      </c>
      <c r="Y35" s="137">
        <f>BK35+BL35+BN35</f>
        <v>43513</v>
      </c>
      <c r="Z35" s="137">
        <f>BM35</f>
        <v>46102</v>
      </c>
      <c r="AA35" s="137">
        <f>BO35+BQ35</f>
        <v>20583</v>
      </c>
      <c r="AB35" s="139">
        <f>BP35</f>
        <v>17877</v>
      </c>
      <c r="AC35" s="137">
        <f>BX35</f>
        <v>38379</v>
      </c>
      <c r="AD35" s="137">
        <f>BU35</f>
        <v>22196</v>
      </c>
      <c r="AE35" s="137">
        <f>BS35+BT35</f>
        <v>52772</v>
      </c>
      <c r="AF35" s="137">
        <f>CA35</f>
        <v>23158</v>
      </c>
      <c r="AG35" s="137">
        <f>BV35</f>
        <v>56010</v>
      </c>
      <c r="AH35" s="137">
        <f>BZ35</f>
        <v>33372</v>
      </c>
      <c r="AI35" s="137">
        <f>BW35</f>
        <v>30064</v>
      </c>
      <c r="AJ35" s="137">
        <f>BY35</f>
        <v>24236</v>
      </c>
      <c r="AK35" s="139">
        <f>CB35</f>
        <v>38026</v>
      </c>
      <c r="AL35" s="137">
        <f>CE35</f>
        <v>34687</v>
      </c>
      <c r="AM35" s="137">
        <f>CH35</f>
        <v>75677</v>
      </c>
      <c r="AN35" s="137">
        <f>CJ35</f>
        <v>86042</v>
      </c>
      <c r="AO35" s="137">
        <f t="shared" ref="AO35:AP39" si="71">CC35</f>
        <v>43570</v>
      </c>
      <c r="AP35" s="137">
        <f t="shared" si="71"/>
        <v>20159</v>
      </c>
      <c r="AQ35" s="137">
        <f>CK35</f>
        <v>54773</v>
      </c>
      <c r="AR35" s="137">
        <f>CI35</f>
        <v>33530</v>
      </c>
      <c r="AS35" s="138">
        <f>CF35+CG35</f>
        <v>79171</v>
      </c>
      <c r="AT35" s="155">
        <v>2511</v>
      </c>
      <c r="AU35" s="155">
        <v>22448</v>
      </c>
      <c r="AV35" s="155">
        <v>19908</v>
      </c>
      <c r="AW35" s="155">
        <v>28124</v>
      </c>
      <c r="AX35" s="155">
        <v>32389</v>
      </c>
      <c r="AY35" s="155">
        <v>25643</v>
      </c>
      <c r="AZ35" s="155">
        <v>4118</v>
      </c>
      <c r="BA35" s="155">
        <v>53934</v>
      </c>
      <c r="BB35" s="155">
        <v>41838</v>
      </c>
      <c r="BC35" s="155">
        <v>76105</v>
      </c>
      <c r="BD35" s="155">
        <v>68459</v>
      </c>
      <c r="BE35" s="155">
        <v>26413</v>
      </c>
      <c r="BF35" s="552">
        <v>63891</v>
      </c>
      <c r="BG35" s="155">
        <v>1584</v>
      </c>
      <c r="BH35" s="155">
        <v>2597</v>
      </c>
      <c r="BI35" s="155">
        <v>38432</v>
      </c>
      <c r="BJ35" s="155">
        <v>14724</v>
      </c>
      <c r="BK35" s="155">
        <v>1824</v>
      </c>
      <c r="BL35" s="155">
        <v>2915</v>
      </c>
      <c r="BM35" s="155">
        <v>46102</v>
      </c>
      <c r="BN35" s="155">
        <v>38774</v>
      </c>
      <c r="BO35" s="155">
        <v>970</v>
      </c>
      <c r="BP35" s="155">
        <v>17877</v>
      </c>
      <c r="BQ35" s="155">
        <v>19613</v>
      </c>
      <c r="BR35" s="552">
        <v>18967</v>
      </c>
      <c r="BS35" s="155">
        <v>3449</v>
      </c>
      <c r="BT35" s="155">
        <v>49323</v>
      </c>
      <c r="BU35" s="155">
        <v>22196</v>
      </c>
      <c r="BV35" s="155">
        <v>56010</v>
      </c>
      <c r="BW35" s="155">
        <v>30064</v>
      </c>
      <c r="BX35" s="155">
        <v>38379</v>
      </c>
      <c r="BY35" s="155">
        <v>24236</v>
      </c>
      <c r="BZ35" s="155">
        <v>33372</v>
      </c>
      <c r="CA35" s="155">
        <v>23158</v>
      </c>
      <c r="CB35" s="552">
        <v>38026</v>
      </c>
      <c r="CC35" s="155">
        <v>43570</v>
      </c>
      <c r="CD35" s="155">
        <v>20159</v>
      </c>
      <c r="CE35" s="155">
        <v>34687</v>
      </c>
      <c r="CF35" s="155">
        <v>4646</v>
      </c>
      <c r="CG35" s="155">
        <v>74525</v>
      </c>
      <c r="CH35" s="155">
        <v>75677</v>
      </c>
      <c r="CI35" s="155">
        <v>33530</v>
      </c>
      <c r="CJ35" s="155">
        <v>86042</v>
      </c>
      <c r="CK35" s="156">
        <v>54773</v>
      </c>
      <c r="CL35" s="320">
        <v>1415980</v>
      </c>
    </row>
    <row r="36" spans="1:90">
      <c r="A36" s="80">
        <f>ROWS($A$3:A34)</f>
        <v>32</v>
      </c>
      <c r="B36" s="92" t="s">
        <v>72</v>
      </c>
      <c r="C36" s="203"/>
      <c r="D36" s="259" t="s">
        <v>1</v>
      </c>
      <c r="E36" s="447">
        <v>42888</v>
      </c>
      <c r="F36" s="154">
        <v>309229</v>
      </c>
      <c r="G36" s="155">
        <v>139570</v>
      </c>
      <c r="H36" s="155">
        <v>139065</v>
      </c>
      <c r="I36" s="156">
        <v>231770</v>
      </c>
      <c r="J36" s="141"/>
      <c r="K36" s="116">
        <f>BF36</f>
        <v>34041</v>
      </c>
      <c r="L36" s="137">
        <f>AY36</f>
        <v>11589</v>
      </c>
      <c r="M36" s="137">
        <f>BD36</f>
        <v>58887</v>
      </c>
      <c r="N36" s="137">
        <f>AW36</f>
        <v>12241</v>
      </c>
      <c r="O36" s="137">
        <f>BE36</f>
        <v>17131</v>
      </c>
      <c r="P36" s="137">
        <f>'2016'!AZ36+'2016'!BA36</f>
        <v>43341</v>
      </c>
      <c r="Q36" s="137">
        <f>'2016'!AU36</f>
        <v>15217</v>
      </c>
      <c r="R36" s="137">
        <f t="shared" si="69"/>
        <v>25780</v>
      </c>
      <c r="S36" s="137">
        <f>AV36</f>
        <v>9988</v>
      </c>
      <c r="T36" s="137">
        <f t="shared" si="70"/>
        <v>30879</v>
      </c>
      <c r="U36" s="139">
        <f t="shared" si="70"/>
        <v>50133</v>
      </c>
      <c r="V36" s="137">
        <f>BG36+BJ36</f>
        <v>10162</v>
      </c>
      <c r="W36" s="137">
        <f>BR36</f>
        <v>9267</v>
      </c>
      <c r="X36" s="137">
        <f>BH36+BI36</f>
        <v>31447</v>
      </c>
      <c r="Y36" s="137">
        <f>BK36+BL36+BN36</f>
        <v>34090</v>
      </c>
      <c r="Z36" s="137">
        <f>BM36</f>
        <v>34160</v>
      </c>
      <c r="AA36" s="137">
        <f>BO36+BQ36</f>
        <v>12158</v>
      </c>
      <c r="AB36" s="139">
        <f>BP36</f>
        <v>8287</v>
      </c>
      <c r="AC36" s="137">
        <f>BX36</f>
        <v>15047</v>
      </c>
      <c r="AD36" s="137">
        <f>BU36</f>
        <v>10110</v>
      </c>
      <c r="AE36" s="137">
        <f>BS36+BT36</f>
        <v>20648</v>
      </c>
      <c r="AF36" s="137">
        <f>CA36</f>
        <v>7043</v>
      </c>
      <c r="AG36" s="137">
        <f>BV36</f>
        <v>27600</v>
      </c>
      <c r="AH36" s="137">
        <f>BZ36</f>
        <v>18648</v>
      </c>
      <c r="AI36" s="137">
        <f>BW36</f>
        <v>16499</v>
      </c>
      <c r="AJ36" s="137">
        <f>BY36</f>
        <v>8639</v>
      </c>
      <c r="AK36" s="139">
        <f>CB36</f>
        <v>14830</v>
      </c>
      <c r="AL36" s="137">
        <f>CE36</f>
        <v>12559</v>
      </c>
      <c r="AM36" s="137">
        <f>CH36</f>
        <v>51224</v>
      </c>
      <c r="AN36" s="137">
        <f>CJ36</f>
        <v>27384</v>
      </c>
      <c r="AO36" s="137">
        <f t="shared" si="71"/>
        <v>20463</v>
      </c>
      <c r="AP36" s="137">
        <f t="shared" si="71"/>
        <v>12925</v>
      </c>
      <c r="AQ36" s="137">
        <f>CK36</f>
        <v>34631</v>
      </c>
      <c r="AR36" s="137">
        <f>CI36</f>
        <v>13720</v>
      </c>
      <c r="AS36" s="138">
        <f>CF36+CG36</f>
        <v>58865</v>
      </c>
      <c r="AT36" s="155">
        <v>1500</v>
      </c>
      <c r="AU36" s="155">
        <v>15217</v>
      </c>
      <c r="AV36" s="155">
        <v>9988</v>
      </c>
      <c r="AW36" s="155">
        <v>12241</v>
      </c>
      <c r="AX36" s="155">
        <v>24280</v>
      </c>
      <c r="AY36" s="155">
        <v>11589</v>
      </c>
      <c r="AZ36" s="155">
        <v>3143</v>
      </c>
      <c r="BA36" s="155">
        <v>40198</v>
      </c>
      <c r="BB36" s="155">
        <v>30879</v>
      </c>
      <c r="BC36" s="155">
        <v>50133</v>
      </c>
      <c r="BD36" s="155">
        <v>58887</v>
      </c>
      <c r="BE36" s="155">
        <v>17131</v>
      </c>
      <c r="BF36" s="552">
        <v>34041</v>
      </c>
      <c r="BG36" s="155">
        <v>518</v>
      </c>
      <c r="BH36" s="155">
        <v>1898</v>
      </c>
      <c r="BI36" s="155">
        <v>29549</v>
      </c>
      <c r="BJ36" s="155">
        <v>9644</v>
      </c>
      <c r="BK36" s="155">
        <v>1502</v>
      </c>
      <c r="BL36" s="155">
        <v>2393</v>
      </c>
      <c r="BM36" s="155">
        <v>34160</v>
      </c>
      <c r="BN36" s="155">
        <v>30195</v>
      </c>
      <c r="BO36" s="155">
        <v>470</v>
      </c>
      <c r="BP36" s="155">
        <v>8287</v>
      </c>
      <c r="BQ36" s="155">
        <v>11688</v>
      </c>
      <c r="BR36" s="552">
        <v>9267</v>
      </c>
      <c r="BS36" s="155">
        <v>1591</v>
      </c>
      <c r="BT36" s="155">
        <v>19057</v>
      </c>
      <c r="BU36" s="155">
        <v>10110</v>
      </c>
      <c r="BV36" s="155">
        <v>27600</v>
      </c>
      <c r="BW36" s="155">
        <v>16499</v>
      </c>
      <c r="BX36" s="155">
        <v>15047</v>
      </c>
      <c r="BY36" s="155">
        <v>8639</v>
      </c>
      <c r="BZ36" s="155">
        <v>18648</v>
      </c>
      <c r="CA36" s="155">
        <v>7043</v>
      </c>
      <c r="CB36" s="552">
        <v>14830</v>
      </c>
      <c r="CC36" s="155">
        <v>20463</v>
      </c>
      <c r="CD36" s="155">
        <v>12925</v>
      </c>
      <c r="CE36" s="155">
        <v>12559</v>
      </c>
      <c r="CF36" s="155">
        <v>3984</v>
      </c>
      <c r="CG36" s="155">
        <v>54881</v>
      </c>
      <c r="CH36" s="155">
        <v>51224</v>
      </c>
      <c r="CI36" s="155">
        <v>13720</v>
      </c>
      <c r="CJ36" s="155">
        <v>27384</v>
      </c>
      <c r="CK36" s="156">
        <v>34631</v>
      </c>
      <c r="CL36" s="320">
        <v>819633</v>
      </c>
    </row>
    <row r="37" spans="1:90">
      <c r="A37" s="80">
        <f>ROWS($A$3:A35)</f>
        <v>33</v>
      </c>
      <c r="B37" s="92" t="s">
        <v>6</v>
      </c>
      <c r="C37" s="203"/>
      <c r="D37" s="259" t="s">
        <v>1</v>
      </c>
      <c r="E37" s="447">
        <v>42888</v>
      </c>
      <c r="F37" s="154">
        <v>140743</v>
      </c>
      <c r="G37" s="155">
        <v>60148</v>
      </c>
      <c r="H37" s="155">
        <v>159105</v>
      </c>
      <c r="I37" s="156">
        <v>185272</v>
      </c>
      <c r="J37" s="141"/>
      <c r="K37" s="116">
        <f>BF37</f>
        <v>29378</v>
      </c>
      <c r="L37" s="137">
        <f>AY37</f>
        <v>12351</v>
      </c>
      <c r="M37" s="137">
        <f>BD37</f>
        <v>8565</v>
      </c>
      <c r="N37" s="137">
        <f>AW37</f>
        <v>15746</v>
      </c>
      <c r="O37" s="137">
        <f>BE37</f>
        <v>9252</v>
      </c>
      <c r="P37" s="137">
        <f>'2016'!AZ37+'2016'!BA37</f>
        <v>7525</v>
      </c>
      <c r="Q37" s="137">
        <f>'2016'!AU37</f>
        <v>7108</v>
      </c>
      <c r="R37" s="137">
        <f t="shared" si="69"/>
        <v>6344</v>
      </c>
      <c r="S37" s="137">
        <f>AV37</f>
        <v>9495</v>
      </c>
      <c r="T37" s="137">
        <f t="shared" si="70"/>
        <v>9267</v>
      </c>
      <c r="U37" s="139">
        <f t="shared" si="70"/>
        <v>25712</v>
      </c>
      <c r="V37" s="137">
        <f>BG37+BJ37</f>
        <v>5125</v>
      </c>
      <c r="W37" s="137">
        <f>BR37</f>
        <v>9685</v>
      </c>
      <c r="X37" s="137">
        <f>BH37+BI37</f>
        <v>8437</v>
      </c>
      <c r="Y37" s="137">
        <f>BK37+BN37</f>
        <v>7635</v>
      </c>
      <c r="Z37" s="137">
        <f>BM37</f>
        <v>11046</v>
      </c>
      <c r="AA37" s="137">
        <f>BQ37</f>
        <v>7675</v>
      </c>
      <c r="AB37" s="139">
        <f>BP37</f>
        <v>9535</v>
      </c>
      <c r="AC37" s="137">
        <f>BX37</f>
        <v>23302</v>
      </c>
      <c r="AD37" s="137">
        <f>BU37</f>
        <v>9542</v>
      </c>
      <c r="AE37" s="137">
        <f>BS37+BT37</f>
        <v>25004</v>
      </c>
      <c r="AF37" s="137">
        <f>CA37</f>
        <v>14624</v>
      </c>
      <c r="AG37" s="137">
        <f>BV37</f>
        <v>21005</v>
      </c>
      <c r="AH37" s="137">
        <f>BZ37</f>
        <v>13548</v>
      </c>
      <c r="AI37" s="137">
        <f>BW37</f>
        <v>13536</v>
      </c>
      <c r="AJ37" s="137">
        <f>BY37</f>
        <v>15588</v>
      </c>
      <c r="AK37" s="139">
        <f>CB37</f>
        <v>22955</v>
      </c>
      <c r="AL37" s="137">
        <f>CE37</f>
        <v>22010</v>
      </c>
      <c r="AM37" s="137">
        <f>CH37</f>
        <v>24287</v>
      </c>
      <c r="AN37" s="137">
        <f>CJ37</f>
        <v>56968</v>
      </c>
      <c r="AO37" s="137">
        <f t="shared" si="71"/>
        <v>22961</v>
      </c>
      <c r="AP37" s="137">
        <f t="shared" si="71"/>
        <v>7166</v>
      </c>
      <c r="AQ37" s="137">
        <f>CK37</f>
        <v>20046</v>
      </c>
      <c r="AR37" s="137">
        <f>CI37</f>
        <v>11673</v>
      </c>
      <c r="AS37" s="138">
        <f>CF37+CG37</f>
        <v>20161</v>
      </c>
      <c r="AT37" s="155">
        <v>551</v>
      </c>
      <c r="AU37" s="155">
        <v>7108</v>
      </c>
      <c r="AV37" s="155">
        <v>9495</v>
      </c>
      <c r="AW37" s="155">
        <v>15746</v>
      </c>
      <c r="AX37" s="155">
        <v>5793</v>
      </c>
      <c r="AY37" s="155">
        <v>12351</v>
      </c>
      <c r="AZ37" s="155">
        <v>246</v>
      </c>
      <c r="BA37" s="155">
        <v>7279</v>
      </c>
      <c r="BB37" s="155">
        <v>9267</v>
      </c>
      <c r="BC37" s="155">
        <v>25712</v>
      </c>
      <c r="BD37" s="155">
        <v>8565</v>
      </c>
      <c r="BE37" s="155">
        <v>9252</v>
      </c>
      <c r="BF37" s="552">
        <v>29378</v>
      </c>
      <c r="BG37" s="155">
        <v>791</v>
      </c>
      <c r="BH37" s="155">
        <v>590</v>
      </c>
      <c r="BI37" s="155">
        <v>7847</v>
      </c>
      <c r="BJ37" s="155">
        <v>4334</v>
      </c>
      <c r="BK37" s="155">
        <v>238</v>
      </c>
      <c r="BL37" s="155" t="s">
        <v>308</v>
      </c>
      <c r="BM37" s="155">
        <v>11046</v>
      </c>
      <c r="BN37" s="155">
        <v>7397</v>
      </c>
      <c r="BO37" s="155" t="s">
        <v>308</v>
      </c>
      <c r="BP37" s="155">
        <v>9535</v>
      </c>
      <c r="BQ37" s="155">
        <v>7675</v>
      </c>
      <c r="BR37" s="552">
        <v>9685</v>
      </c>
      <c r="BS37" s="155">
        <v>995</v>
      </c>
      <c r="BT37" s="155">
        <v>24009</v>
      </c>
      <c r="BU37" s="155">
        <v>9542</v>
      </c>
      <c r="BV37" s="155">
        <v>21005</v>
      </c>
      <c r="BW37" s="155">
        <v>13536</v>
      </c>
      <c r="BX37" s="155">
        <v>23302</v>
      </c>
      <c r="BY37" s="155">
        <v>15588</v>
      </c>
      <c r="BZ37" s="155">
        <v>13548</v>
      </c>
      <c r="CA37" s="155">
        <v>14624</v>
      </c>
      <c r="CB37" s="552">
        <v>22955</v>
      </c>
      <c r="CC37" s="155">
        <v>22961</v>
      </c>
      <c r="CD37" s="155">
        <v>7166</v>
      </c>
      <c r="CE37" s="155">
        <v>22010</v>
      </c>
      <c r="CF37" s="155">
        <v>644</v>
      </c>
      <c r="CG37" s="155">
        <v>19517</v>
      </c>
      <c r="CH37" s="155">
        <v>24287</v>
      </c>
      <c r="CI37" s="155">
        <v>11673</v>
      </c>
      <c r="CJ37" s="155">
        <v>56968</v>
      </c>
      <c r="CK37" s="156">
        <v>20046</v>
      </c>
      <c r="CL37" s="320">
        <v>545269</v>
      </c>
    </row>
    <row r="38" spans="1:90">
      <c r="A38" s="80">
        <f>ROWS($A$3:A36)</f>
        <v>34</v>
      </c>
      <c r="B38" s="92" t="s">
        <v>244</v>
      </c>
      <c r="C38" s="203"/>
      <c r="D38" s="259" t="s">
        <v>1</v>
      </c>
      <c r="E38" s="447">
        <v>42888</v>
      </c>
      <c r="F38" s="154">
        <v>3542</v>
      </c>
      <c r="G38" s="155">
        <v>1300</v>
      </c>
      <c r="H38" s="155">
        <v>7353</v>
      </c>
      <c r="I38" s="156">
        <v>9296</v>
      </c>
      <c r="J38" s="141"/>
      <c r="K38" s="116">
        <f>BF38</f>
        <v>15</v>
      </c>
      <c r="L38" s="137">
        <f>AY38</f>
        <v>484</v>
      </c>
      <c r="M38" s="137">
        <f>BD38</f>
        <v>82</v>
      </c>
      <c r="N38" s="137">
        <f>AW38</f>
        <v>93</v>
      </c>
      <c r="O38" s="137">
        <f>BE38</f>
        <v>5</v>
      </c>
      <c r="P38" s="137">
        <f>'2016'!AZ38+'2016'!BA38</f>
        <v>1093</v>
      </c>
      <c r="Q38" s="137">
        <f>'2016'!AU38</f>
        <v>70</v>
      </c>
      <c r="R38" s="137">
        <f t="shared" si="69"/>
        <v>529</v>
      </c>
      <c r="S38" s="137">
        <f>AV38</f>
        <v>191</v>
      </c>
      <c r="T38" s="137">
        <f t="shared" si="70"/>
        <v>796</v>
      </c>
      <c r="U38" s="139">
        <f t="shared" si="70"/>
        <v>183</v>
      </c>
      <c r="V38" s="137">
        <f>BG38+BJ38</f>
        <v>422</v>
      </c>
      <c r="W38" s="137">
        <f>BR38</f>
        <v>7</v>
      </c>
      <c r="X38" s="137">
        <f>BI38</f>
        <v>157</v>
      </c>
      <c r="Y38" s="137">
        <f>BN38</f>
        <v>381</v>
      </c>
      <c r="Z38" s="137" t="str">
        <f>BM38</f>
        <v xml:space="preserve"> .</v>
      </c>
      <c r="AA38" s="137">
        <f>BQ38</f>
        <v>17</v>
      </c>
      <c r="AB38" s="139">
        <f>BP38</f>
        <v>1</v>
      </c>
      <c r="AC38" s="137" t="str">
        <f>BX38</f>
        <v xml:space="preserve"> .</v>
      </c>
      <c r="AD38" s="137">
        <f>BU38</f>
        <v>586</v>
      </c>
      <c r="AE38" s="137">
        <f>BS38+BT38</f>
        <v>869</v>
      </c>
      <c r="AF38" s="137">
        <f>CA38</f>
        <v>646</v>
      </c>
      <c r="AG38" s="137">
        <f>BV38</f>
        <v>4078</v>
      </c>
      <c r="AH38" s="137">
        <f>BZ38</f>
        <v>1032</v>
      </c>
      <c r="AI38" s="137" t="str">
        <f>BW38</f>
        <v xml:space="preserve"> .</v>
      </c>
      <c r="AJ38" s="137" t="str">
        <f>BY38</f>
        <v>–</v>
      </c>
      <c r="AK38" s="139">
        <f>CB38</f>
        <v>123</v>
      </c>
      <c r="AL38" s="137">
        <f>CE38</f>
        <v>7</v>
      </c>
      <c r="AM38" s="137">
        <f>CH38</f>
        <v>35</v>
      </c>
      <c r="AN38" s="137">
        <f>CJ38</f>
        <v>1536</v>
      </c>
      <c r="AO38" s="137">
        <f t="shared" si="71"/>
        <v>69</v>
      </c>
      <c r="AP38" s="137">
        <f t="shared" si="71"/>
        <v>47</v>
      </c>
      <c r="AQ38" s="137">
        <f>CK38</f>
        <v>21</v>
      </c>
      <c r="AR38" s="137">
        <f>CI38</f>
        <v>7523</v>
      </c>
      <c r="AS38" s="138">
        <f>CF38+CG38</f>
        <v>58</v>
      </c>
      <c r="AT38" s="155">
        <v>67</v>
      </c>
      <c r="AU38" s="155">
        <v>70</v>
      </c>
      <c r="AV38" s="155">
        <v>191</v>
      </c>
      <c r="AW38" s="155">
        <v>93</v>
      </c>
      <c r="AX38" s="155">
        <v>462</v>
      </c>
      <c r="AY38" s="155">
        <v>484</v>
      </c>
      <c r="AZ38" s="155">
        <v>51</v>
      </c>
      <c r="BA38" s="155">
        <v>1042</v>
      </c>
      <c r="BB38" s="155">
        <v>796</v>
      </c>
      <c r="BC38" s="155">
        <v>183</v>
      </c>
      <c r="BD38" s="155">
        <v>82</v>
      </c>
      <c r="BE38" s="155">
        <v>5</v>
      </c>
      <c r="BF38" s="552">
        <v>15</v>
      </c>
      <c r="BG38" s="155">
        <v>28</v>
      </c>
      <c r="BH38" s="155" t="s">
        <v>308</v>
      </c>
      <c r="BI38" s="155">
        <v>157</v>
      </c>
      <c r="BJ38" s="155">
        <v>394</v>
      </c>
      <c r="BK38" s="155">
        <v>23</v>
      </c>
      <c r="BL38" s="155" t="s">
        <v>308</v>
      </c>
      <c r="BM38" s="155" t="s">
        <v>308</v>
      </c>
      <c r="BN38" s="155">
        <v>381</v>
      </c>
      <c r="BO38" s="155" t="s">
        <v>308</v>
      </c>
      <c r="BP38" s="155">
        <v>1</v>
      </c>
      <c r="BQ38" s="155">
        <v>17</v>
      </c>
      <c r="BR38" s="552">
        <v>7</v>
      </c>
      <c r="BS38" s="155">
        <v>73</v>
      </c>
      <c r="BT38" s="155">
        <v>796</v>
      </c>
      <c r="BU38" s="155">
        <v>586</v>
      </c>
      <c r="BV38" s="155">
        <v>4078</v>
      </c>
      <c r="BW38" s="155" t="s">
        <v>308</v>
      </c>
      <c r="BX38" s="155" t="s">
        <v>308</v>
      </c>
      <c r="BY38" s="155" t="s">
        <v>41</v>
      </c>
      <c r="BZ38" s="155">
        <v>1032</v>
      </c>
      <c r="CA38" s="155">
        <v>646</v>
      </c>
      <c r="CB38" s="552">
        <v>123</v>
      </c>
      <c r="CC38" s="155">
        <v>69</v>
      </c>
      <c r="CD38" s="155">
        <v>47</v>
      </c>
      <c r="CE38" s="155">
        <v>7</v>
      </c>
      <c r="CF38" s="155">
        <v>5</v>
      </c>
      <c r="CG38" s="155">
        <v>53</v>
      </c>
      <c r="CH38" s="155">
        <v>35</v>
      </c>
      <c r="CI38" s="155">
        <v>7523</v>
      </c>
      <c r="CJ38" s="155">
        <v>1536</v>
      </c>
      <c r="CK38" s="156">
        <v>21</v>
      </c>
      <c r="CL38" s="320">
        <v>21491</v>
      </c>
    </row>
    <row r="39" spans="1:90">
      <c r="A39" s="80">
        <f>ROWS($A$3:A37)</f>
        <v>35</v>
      </c>
      <c r="B39" s="92" t="s">
        <v>245</v>
      </c>
      <c r="C39" s="203"/>
      <c r="D39" s="259" t="s">
        <v>1</v>
      </c>
      <c r="E39" s="447">
        <v>42888</v>
      </c>
      <c r="F39" s="154">
        <v>10602</v>
      </c>
      <c r="G39" s="155">
        <v>2230</v>
      </c>
      <c r="H39" s="155">
        <v>11548</v>
      </c>
      <c r="I39" s="156">
        <v>572</v>
      </c>
      <c r="J39" s="141"/>
      <c r="K39" s="116" t="str">
        <f>BF39</f>
        <v>–</v>
      </c>
      <c r="L39" s="137">
        <f>AY39</f>
        <v>1116</v>
      </c>
      <c r="M39" s="137">
        <f>BD39</f>
        <v>745</v>
      </c>
      <c r="N39" s="137" t="str">
        <f>AW39</f>
        <v xml:space="preserve"> .</v>
      </c>
      <c r="O39" s="137" t="str">
        <f>BE39</f>
        <v>–</v>
      </c>
      <c r="P39" s="137">
        <f>'2016'!AZ39+'2016'!BA39</f>
        <v>5731</v>
      </c>
      <c r="Q39" s="137" t="str">
        <f>'2016'!AU39</f>
        <v xml:space="preserve"> .</v>
      </c>
      <c r="R39" s="137">
        <f t="shared" si="69"/>
        <v>2089</v>
      </c>
      <c r="S39" s="137">
        <f>AV39</f>
        <v>120</v>
      </c>
      <c r="T39" s="137">
        <f t="shared" si="70"/>
        <v>801</v>
      </c>
      <c r="U39" s="139" t="str">
        <f t="shared" si="70"/>
        <v xml:space="preserve"> .</v>
      </c>
      <c r="V39" s="137">
        <f>BG39+BJ39</f>
        <v>517</v>
      </c>
      <c r="W39" s="137" t="str">
        <f>BR39</f>
        <v xml:space="preserve"> .</v>
      </c>
      <c r="X39" s="137">
        <f>BI39</f>
        <v>795</v>
      </c>
      <c r="Y39" s="137">
        <f>BN39</f>
        <v>642</v>
      </c>
      <c r="Z39" s="137" t="str">
        <f>BM39</f>
        <v>–</v>
      </c>
      <c r="AA39" s="137">
        <f>BQ39</f>
        <v>210</v>
      </c>
      <c r="AB39" s="139" t="str">
        <f>BP39</f>
        <v>–</v>
      </c>
      <c r="AC39" s="137" t="str">
        <f>BX39</f>
        <v>–</v>
      </c>
      <c r="AD39" s="137">
        <f>BU39</f>
        <v>1810</v>
      </c>
      <c r="AE39" s="137">
        <f>BT39</f>
        <v>5368</v>
      </c>
      <c r="AF39" s="137">
        <f>CA39</f>
        <v>786</v>
      </c>
      <c r="AG39" s="137">
        <f>BV39</f>
        <v>2677</v>
      </c>
      <c r="AH39" s="137">
        <f>BZ39</f>
        <v>66</v>
      </c>
      <c r="AI39" s="137" t="str">
        <f>BW39</f>
        <v>–</v>
      </c>
      <c r="AJ39" s="137" t="str">
        <f>BY39</f>
        <v>–</v>
      </c>
      <c r="AK39" s="139">
        <f>CB39</f>
        <v>63</v>
      </c>
      <c r="AL39" s="137" t="str">
        <f>CE39</f>
        <v>–</v>
      </c>
      <c r="AM39" s="137" t="str">
        <f>CH39</f>
        <v xml:space="preserve"> .</v>
      </c>
      <c r="AN39" s="137" t="str">
        <f>CJ39</f>
        <v>–</v>
      </c>
      <c r="AO39" s="137">
        <f t="shared" si="71"/>
        <v>17</v>
      </c>
      <c r="AP39" s="137">
        <f t="shared" si="71"/>
        <v>14</v>
      </c>
      <c r="AQ39" s="137" t="str">
        <f>CK39</f>
        <v>–</v>
      </c>
      <c r="AR39" s="137">
        <f>CI39</f>
        <v>539</v>
      </c>
      <c r="AS39" s="138" t="str">
        <f>CG39</f>
        <v xml:space="preserve"> .</v>
      </c>
      <c r="AT39" s="155">
        <v>368</v>
      </c>
      <c r="AU39" s="155" t="s">
        <v>308</v>
      </c>
      <c r="AV39" s="155">
        <v>120</v>
      </c>
      <c r="AW39" s="155" t="s">
        <v>308</v>
      </c>
      <c r="AX39" s="155">
        <v>1721</v>
      </c>
      <c r="AY39" s="155">
        <v>1116</v>
      </c>
      <c r="AZ39" s="155">
        <v>626</v>
      </c>
      <c r="BA39" s="155">
        <v>5105</v>
      </c>
      <c r="BB39" s="155">
        <v>801</v>
      </c>
      <c r="BC39" s="155" t="s">
        <v>308</v>
      </c>
      <c r="BD39" s="155">
        <v>745</v>
      </c>
      <c r="BE39" s="155" t="s">
        <v>41</v>
      </c>
      <c r="BF39" s="552" t="s">
        <v>41</v>
      </c>
      <c r="BG39" s="155">
        <v>203</v>
      </c>
      <c r="BH39" s="155" t="s">
        <v>308</v>
      </c>
      <c r="BI39" s="155">
        <v>795</v>
      </c>
      <c r="BJ39" s="155">
        <v>314</v>
      </c>
      <c r="BK39" s="155">
        <v>56</v>
      </c>
      <c r="BL39" s="155" t="s">
        <v>41</v>
      </c>
      <c r="BM39" s="155" t="s">
        <v>41</v>
      </c>
      <c r="BN39" s="155">
        <v>642</v>
      </c>
      <c r="BO39" s="155" t="s">
        <v>41</v>
      </c>
      <c r="BP39" s="155" t="s">
        <v>41</v>
      </c>
      <c r="BQ39" s="155">
        <v>210</v>
      </c>
      <c r="BR39" s="552" t="s">
        <v>308</v>
      </c>
      <c r="BS39" s="155">
        <v>779</v>
      </c>
      <c r="BT39" s="155">
        <v>5368</v>
      </c>
      <c r="BU39" s="155">
        <v>1810</v>
      </c>
      <c r="BV39" s="155">
        <v>2677</v>
      </c>
      <c r="BW39" s="155" t="s">
        <v>41</v>
      </c>
      <c r="BX39" s="155" t="s">
        <v>41</v>
      </c>
      <c r="BY39" s="155" t="s">
        <v>41</v>
      </c>
      <c r="BZ39" s="155">
        <v>66</v>
      </c>
      <c r="CA39" s="155">
        <v>786</v>
      </c>
      <c r="CB39" s="552">
        <v>63</v>
      </c>
      <c r="CC39" s="155">
        <v>17</v>
      </c>
      <c r="CD39" s="155">
        <v>14</v>
      </c>
      <c r="CE39" s="155" t="s">
        <v>41</v>
      </c>
      <c r="CF39" s="155" t="s">
        <v>41</v>
      </c>
      <c r="CG39" s="155" t="s">
        <v>308</v>
      </c>
      <c r="CH39" s="155" t="s">
        <v>308</v>
      </c>
      <c r="CI39" s="155">
        <v>539</v>
      </c>
      <c r="CJ39" s="155" t="s">
        <v>41</v>
      </c>
      <c r="CK39" s="156" t="s">
        <v>41</v>
      </c>
      <c r="CL39" s="320">
        <v>24952</v>
      </c>
    </row>
    <row r="40" spans="1:90">
      <c r="A40" s="80">
        <f>ROWS($A$3:A38)</f>
        <v>36</v>
      </c>
      <c r="B40" s="59" t="s">
        <v>98</v>
      </c>
      <c r="C40" s="201"/>
      <c r="D40" s="260"/>
      <c r="E40" s="451"/>
      <c r="F40" s="154"/>
      <c r="G40" s="155"/>
      <c r="H40" s="155"/>
      <c r="I40" s="156"/>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c r="A41" s="80">
        <f>ROWS($A$3:A39)</f>
        <v>37</v>
      </c>
      <c r="B41" s="92" t="s">
        <v>73</v>
      </c>
      <c r="C41" s="204">
        <v>2016</v>
      </c>
      <c r="D41" s="259" t="s">
        <v>7</v>
      </c>
      <c r="E41" s="447">
        <v>42887</v>
      </c>
      <c r="F41" s="154">
        <v>294342</v>
      </c>
      <c r="G41" s="155">
        <v>80649</v>
      </c>
      <c r="H41" s="155">
        <v>211319</v>
      </c>
      <c r="I41" s="156">
        <v>398053</v>
      </c>
      <c r="J41" s="141"/>
      <c r="K41" s="116">
        <f t="shared" ref="K41:K54" si="72">BF41</f>
        <v>72415</v>
      </c>
      <c r="L41" s="137">
        <f t="shared" ref="L41:L54" si="73">AY41</f>
        <v>20616</v>
      </c>
      <c r="M41" s="137">
        <f t="shared" ref="M41:M54" si="74">BD41</f>
        <v>19197</v>
      </c>
      <c r="N41" s="137">
        <f t="shared" ref="N41:N54" si="75">AW41</f>
        <v>29963</v>
      </c>
      <c r="O41" s="137">
        <f t="shared" ref="O41:O54" si="76">BE41</f>
        <v>20177</v>
      </c>
      <c r="P41" s="137">
        <f>'2016'!AZ41+'2016'!BA41</f>
        <v>13314</v>
      </c>
      <c r="Q41" s="137">
        <f>'2016'!AU41</f>
        <v>8844</v>
      </c>
      <c r="R41" s="137">
        <f t="shared" si="69"/>
        <v>14217</v>
      </c>
      <c r="S41" s="137">
        <f t="shared" ref="S41:S54" si="77">AV41</f>
        <v>8862</v>
      </c>
      <c r="T41" s="137">
        <f t="shared" ref="T41:U54" si="78">BB41</f>
        <v>21725</v>
      </c>
      <c r="U41" s="139">
        <f t="shared" si="78"/>
        <v>65012</v>
      </c>
      <c r="V41" s="137">
        <f>BG41+BJ41</f>
        <v>2429</v>
      </c>
      <c r="W41" s="137">
        <f t="shared" ref="W41:W54" si="79">BR41</f>
        <v>11940</v>
      </c>
      <c r="X41" s="137">
        <f>BH41+BI41</f>
        <v>6089</v>
      </c>
      <c r="Y41" s="137">
        <f>BK41+BL41+BN41</f>
        <v>12994</v>
      </c>
      <c r="Z41" s="137">
        <f t="shared" ref="Z41:Z54" si="80">BM41</f>
        <v>23670</v>
      </c>
      <c r="AA41" s="137">
        <f>BO41+BQ41</f>
        <v>10494</v>
      </c>
      <c r="AB41" s="139">
        <f t="shared" ref="AB41:AB54" si="81">BP41</f>
        <v>13033</v>
      </c>
      <c r="AC41" s="137">
        <f t="shared" ref="AC41:AC54" si="82">BX41</f>
        <v>31785</v>
      </c>
      <c r="AD41" s="137">
        <f t="shared" ref="AD41:AD54" si="83">BU41</f>
        <v>14116</v>
      </c>
      <c r="AE41" s="137">
        <f>BS41+BT41</f>
        <v>28410</v>
      </c>
      <c r="AF41" s="137">
        <f t="shared" ref="AF41:AF54" si="84">CA41</f>
        <v>14551</v>
      </c>
      <c r="AG41" s="137">
        <f t="shared" ref="AG41:AG54" si="85">BV41</f>
        <v>27980</v>
      </c>
      <c r="AH41" s="137">
        <f t="shared" ref="AH41:AH54" si="86">BZ41</f>
        <v>25707</v>
      </c>
      <c r="AI41" s="137">
        <f t="shared" ref="AI41:AI54" si="87">BW41</f>
        <v>17321</v>
      </c>
      <c r="AJ41" s="137">
        <f t="shared" ref="AJ41:AJ54" si="88">BY41</f>
        <v>16626</v>
      </c>
      <c r="AK41" s="139">
        <f t="shared" ref="AK41:AK54" si="89">CB41</f>
        <v>34823</v>
      </c>
      <c r="AL41" s="137">
        <f t="shared" ref="AL41:AL54" si="90">CE41</f>
        <v>14549</v>
      </c>
      <c r="AM41" s="137">
        <f t="shared" ref="AM41:AM54" si="91">CH41</f>
        <v>89165</v>
      </c>
      <c r="AN41" s="137">
        <f t="shared" ref="AN41:AN54" si="92">CJ41</f>
        <v>143904</v>
      </c>
      <c r="AO41" s="137">
        <f t="shared" ref="AO41:AP54" si="93">CC41</f>
        <v>29927</v>
      </c>
      <c r="AP41" s="137">
        <f t="shared" si="93"/>
        <v>5715</v>
      </c>
      <c r="AQ41" s="137">
        <f t="shared" ref="AQ41:AQ54" si="94">CK41</f>
        <v>37686</v>
      </c>
      <c r="AR41" s="137">
        <f t="shared" ref="AR41:AR54" si="95">CI41</f>
        <v>22726</v>
      </c>
      <c r="AS41" s="138">
        <f>CF41+CG41</f>
        <v>54381</v>
      </c>
      <c r="AT41" s="155">
        <v>904</v>
      </c>
      <c r="AU41" s="155">
        <v>8844</v>
      </c>
      <c r="AV41" s="155">
        <v>8862</v>
      </c>
      <c r="AW41" s="155">
        <v>29963</v>
      </c>
      <c r="AX41" s="155">
        <v>13313</v>
      </c>
      <c r="AY41" s="155">
        <v>20616</v>
      </c>
      <c r="AZ41" s="155">
        <v>115</v>
      </c>
      <c r="BA41" s="155">
        <v>13199</v>
      </c>
      <c r="BB41" s="155">
        <v>21725</v>
      </c>
      <c r="BC41" s="155">
        <v>65012</v>
      </c>
      <c r="BD41" s="155">
        <v>19197</v>
      </c>
      <c r="BE41" s="155">
        <v>20177</v>
      </c>
      <c r="BF41" s="552">
        <v>72415</v>
      </c>
      <c r="BG41" s="155">
        <v>235</v>
      </c>
      <c r="BH41" s="155">
        <v>364</v>
      </c>
      <c r="BI41" s="155">
        <v>5725</v>
      </c>
      <c r="BJ41" s="155">
        <v>2194</v>
      </c>
      <c r="BK41" s="155">
        <v>479</v>
      </c>
      <c r="BL41" s="155">
        <v>45</v>
      </c>
      <c r="BM41" s="155">
        <v>23670</v>
      </c>
      <c r="BN41" s="155">
        <v>12470</v>
      </c>
      <c r="BO41" s="155">
        <v>194</v>
      </c>
      <c r="BP41" s="155">
        <v>13033</v>
      </c>
      <c r="BQ41" s="155">
        <v>10300</v>
      </c>
      <c r="BR41" s="552">
        <v>11940</v>
      </c>
      <c r="BS41" s="155">
        <v>401</v>
      </c>
      <c r="BT41" s="155">
        <v>28009</v>
      </c>
      <c r="BU41" s="155">
        <v>14116</v>
      </c>
      <c r="BV41" s="155">
        <v>27980</v>
      </c>
      <c r="BW41" s="155">
        <v>17321</v>
      </c>
      <c r="BX41" s="155">
        <v>31785</v>
      </c>
      <c r="BY41" s="155">
        <v>16626</v>
      </c>
      <c r="BZ41" s="155">
        <v>25707</v>
      </c>
      <c r="CA41" s="155">
        <v>14551</v>
      </c>
      <c r="CB41" s="552">
        <v>34823</v>
      </c>
      <c r="CC41" s="155">
        <v>29927</v>
      </c>
      <c r="CD41" s="155">
        <v>5715</v>
      </c>
      <c r="CE41" s="155">
        <v>14549</v>
      </c>
      <c r="CF41" s="155">
        <v>2287</v>
      </c>
      <c r="CG41" s="155">
        <v>52094</v>
      </c>
      <c r="CH41" s="155">
        <v>89165</v>
      </c>
      <c r="CI41" s="155">
        <v>22726</v>
      </c>
      <c r="CJ41" s="155">
        <v>143904</v>
      </c>
      <c r="CK41" s="156">
        <v>37686</v>
      </c>
      <c r="CL41" s="320">
        <v>984363</v>
      </c>
    </row>
    <row r="42" spans="1:90">
      <c r="A42" s="80">
        <f>ROWS($A$3:A40)</f>
        <v>38</v>
      </c>
      <c r="B42" s="92" t="s">
        <v>305</v>
      </c>
      <c r="C42" s="203"/>
      <c r="D42" s="259" t="s">
        <v>7</v>
      </c>
      <c r="E42" s="447">
        <v>42887</v>
      </c>
      <c r="F42" s="154">
        <v>113120</v>
      </c>
      <c r="G42" s="155">
        <v>30674</v>
      </c>
      <c r="H42" s="155">
        <v>88354</v>
      </c>
      <c r="I42" s="156">
        <v>172090</v>
      </c>
      <c r="J42" s="141"/>
      <c r="K42" s="116">
        <f t="shared" si="72"/>
        <v>29041</v>
      </c>
      <c r="L42" s="137">
        <f t="shared" si="73"/>
        <v>8441</v>
      </c>
      <c r="M42" s="137">
        <f t="shared" si="74"/>
        <v>7137</v>
      </c>
      <c r="N42" s="137">
        <f t="shared" si="75"/>
        <v>12101</v>
      </c>
      <c r="O42" s="137">
        <f t="shared" si="76"/>
        <v>7204</v>
      </c>
      <c r="P42" s="137">
        <f>'2016'!BA42</f>
        <v>4625</v>
      </c>
      <c r="Q42" s="137">
        <f>'2016'!AU42</f>
        <v>3477</v>
      </c>
      <c r="R42" s="137">
        <f>AX42</f>
        <v>4703</v>
      </c>
      <c r="S42" s="137">
        <f t="shared" si="77"/>
        <v>3206</v>
      </c>
      <c r="T42" s="137">
        <f t="shared" si="78"/>
        <v>8331</v>
      </c>
      <c r="U42" s="139">
        <f t="shared" si="78"/>
        <v>24402</v>
      </c>
      <c r="V42" s="137">
        <f>BJ42</f>
        <v>919</v>
      </c>
      <c r="W42" s="137">
        <f t="shared" si="79"/>
        <v>4798</v>
      </c>
      <c r="X42" s="137">
        <f>BI42</f>
        <v>2019</v>
      </c>
      <c r="Y42" s="137">
        <f>BN42</f>
        <v>4475</v>
      </c>
      <c r="Z42" s="137">
        <f t="shared" si="80"/>
        <v>8778</v>
      </c>
      <c r="AA42" s="137">
        <f>BQ42</f>
        <v>4008</v>
      </c>
      <c r="AB42" s="139">
        <f t="shared" si="81"/>
        <v>5229</v>
      </c>
      <c r="AC42" s="137">
        <f t="shared" si="82"/>
        <v>14564</v>
      </c>
      <c r="AD42" s="137">
        <f t="shared" si="83"/>
        <v>5051</v>
      </c>
      <c r="AE42" s="137">
        <f>BS42+BT42</f>
        <v>13567</v>
      </c>
      <c r="AF42" s="137">
        <f t="shared" si="84"/>
        <v>5987</v>
      </c>
      <c r="AG42" s="137">
        <f t="shared" si="85"/>
        <v>10889</v>
      </c>
      <c r="AH42" s="137">
        <f t="shared" si="86"/>
        <v>10403</v>
      </c>
      <c r="AI42" s="137">
        <f t="shared" si="87"/>
        <v>6126</v>
      </c>
      <c r="AJ42" s="137">
        <f t="shared" si="88"/>
        <v>7425</v>
      </c>
      <c r="AK42" s="139">
        <f t="shared" si="89"/>
        <v>14342</v>
      </c>
      <c r="AL42" s="137">
        <f t="shared" si="90"/>
        <v>5566</v>
      </c>
      <c r="AM42" s="137">
        <f t="shared" si="91"/>
        <v>35448</v>
      </c>
      <c r="AN42" s="137">
        <f t="shared" si="92"/>
        <v>72472</v>
      </c>
      <c r="AO42" s="137">
        <f t="shared" si="93"/>
        <v>9671</v>
      </c>
      <c r="AP42" s="137">
        <f t="shared" si="93"/>
        <v>1542</v>
      </c>
      <c r="AQ42" s="137">
        <f t="shared" si="94"/>
        <v>15272</v>
      </c>
      <c r="AR42" s="137">
        <f t="shared" si="95"/>
        <v>10251</v>
      </c>
      <c r="AS42" s="138">
        <f>CF42+CG42</f>
        <v>21229</v>
      </c>
      <c r="AT42" s="155">
        <v>0</v>
      </c>
      <c r="AU42" s="155">
        <v>3477</v>
      </c>
      <c r="AV42" s="155">
        <v>3206</v>
      </c>
      <c r="AW42" s="155">
        <v>12101</v>
      </c>
      <c r="AX42" s="155">
        <v>4703</v>
      </c>
      <c r="AY42" s="155">
        <v>8441</v>
      </c>
      <c r="AZ42" s="155">
        <v>0</v>
      </c>
      <c r="BA42" s="155">
        <v>4625</v>
      </c>
      <c r="BB42" s="155">
        <v>8331</v>
      </c>
      <c r="BC42" s="155">
        <v>24402</v>
      </c>
      <c r="BD42" s="155">
        <v>7137</v>
      </c>
      <c r="BE42" s="155">
        <v>7204</v>
      </c>
      <c r="BF42" s="552">
        <v>29041</v>
      </c>
      <c r="BG42" s="155">
        <v>72</v>
      </c>
      <c r="BH42" s="155">
        <v>0</v>
      </c>
      <c r="BI42" s="155">
        <v>2019</v>
      </c>
      <c r="BJ42" s="155">
        <v>919</v>
      </c>
      <c r="BK42" s="155">
        <v>0</v>
      </c>
      <c r="BL42" s="155">
        <v>15</v>
      </c>
      <c r="BM42" s="155">
        <v>8778</v>
      </c>
      <c r="BN42" s="155">
        <v>4475</v>
      </c>
      <c r="BO42" s="155">
        <v>69</v>
      </c>
      <c r="BP42" s="155">
        <v>5229</v>
      </c>
      <c r="BQ42" s="155">
        <v>4008</v>
      </c>
      <c r="BR42" s="552">
        <v>4798</v>
      </c>
      <c r="BS42" s="155">
        <v>144</v>
      </c>
      <c r="BT42" s="155">
        <v>13423</v>
      </c>
      <c r="BU42" s="155">
        <v>5051</v>
      </c>
      <c r="BV42" s="155">
        <v>10889</v>
      </c>
      <c r="BW42" s="155">
        <v>6126</v>
      </c>
      <c r="BX42" s="155">
        <v>14564</v>
      </c>
      <c r="BY42" s="155">
        <v>7425</v>
      </c>
      <c r="BZ42" s="155">
        <v>10403</v>
      </c>
      <c r="CA42" s="155">
        <v>5987</v>
      </c>
      <c r="CB42" s="552">
        <v>14342</v>
      </c>
      <c r="CC42" s="155">
        <v>9671</v>
      </c>
      <c r="CD42" s="155">
        <v>1542</v>
      </c>
      <c r="CE42" s="155">
        <v>5566</v>
      </c>
      <c r="CF42" s="155">
        <v>1009</v>
      </c>
      <c r="CG42" s="155">
        <v>20220</v>
      </c>
      <c r="CH42" s="155">
        <v>35448</v>
      </c>
      <c r="CI42" s="155">
        <v>10251</v>
      </c>
      <c r="CJ42" s="155">
        <v>72472</v>
      </c>
      <c r="CK42" s="156">
        <v>15272</v>
      </c>
      <c r="CL42" s="320">
        <v>404268</v>
      </c>
    </row>
    <row r="43" spans="1:90">
      <c r="A43" s="80">
        <f>ROWS($A$3:A41)</f>
        <v>39</v>
      </c>
      <c r="B43" s="92" t="s">
        <v>14</v>
      </c>
      <c r="C43" s="203"/>
      <c r="D43" s="259" t="s">
        <v>7</v>
      </c>
      <c r="E43" s="447">
        <v>42887</v>
      </c>
      <c r="F43" s="154">
        <v>97633</v>
      </c>
      <c r="G43" s="155">
        <v>23588</v>
      </c>
      <c r="H43" s="155">
        <v>67004</v>
      </c>
      <c r="I43" s="156">
        <v>158681</v>
      </c>
      <c r="J43" s="141"/>
      <c r="K43" s="116">
        <f>BF43</f>
        <v>25398</v>
      </c>
      <c r="L43" s="137">
        <f>AY43</f>
        <v>6859</v>
      </c>
      <c r="M43" s="137">
        <f>BD43</f>
        <v>6228</v>
      </c>
      <c r="N43" s="137">
        <f>AW43</f>
        <v>10269</v>
      </c>
      <c r="O43" s="137">
        <f>BE43</f>
        <v>6686</v>
      </c>
      <c r="P43" s="137">
        <f>'2016'!BA43</f>
        <v>3735</v>
      </c>
      <c r="Q43" s="137">
        <f>'2016'!AU43</f>
        <v>2826</v>
      </c>
      <c r="R43" s="137">
        <f>AX43</f>
        <v>4408</v>
      </c>
      <c r="S43" s="137">
        <f>AV43</f>
        <v>2271</v>
      </c>
      <c r="T43" s="137">
        <f>BB43</f>
        <v>7103</v>
      </c>
      <c r="U43" s="139">
        <f>BC43</f>
        <v>21434</v>
      </c>
      <c r="V43" s="137">
        <f>BJ43</f>
        <v>338</v>
      </c>
      <c r="W43" s="137">
        <f>BR43</f>
        <v>3836</v>
      </c>
      <c r="X43" s="137">
        <f>BI43</f>
        <v>1362</v>
      </c>
      <c r="Y43" s="137">
        <f>BN43</f>
        <v>3299</v>
      </c>
      <c r="Z43" s="137">
        <f>BM43</f>
        <v>7671</v>
      </c>
      <c r="AA43" s="137">
        <f>BQ43</f>
        <v>3113</v>
      </c>
      <c r="AB43" s="139">
        <f>BP43</f>
        <v>3798</v>
      </c>
      <c r="AC43" s="137">
        <f>BX43</f>
        <v>12770</v>
      </c>
      <c r="AD43" s="137">
        <f>BU43</f>
        <v>3140</v>
      </c>
      <c r="AE43" s="137">
        <f>BS43+BT43</f>
        <v>9987</v>
      </c>
      <c r="AF43" s="137">
        <f>CA43</f>
        <v>3127</v>
      </c>
      <c r="AG43" s="137">
        <f>BV43</f>
        <v>6890</v>
      </c>
      <c r="AH43" s="137">
        <f>BZ43</f>
        <v>9151</v>
      </c>
      <c r="AI43" s="137">
        <f>BW43</f>
        <v>4654</v>
      </c>
      <c r="AJ43" s="137">
        <f>BY43</f>
        <v>6327</v>
      </c>
      <c r="AK43" s="139">
        <f>CB43</f>
        <v>10958</v>
      </c>
      <c r="AL43" s="137">
        <f>CE43</f>
        <v>3237</v>
      </c>
      <c r="AM43" s="137">
        <f>CH43</f>
        <v>33356</v>
      </c>
      <c r="AN43" s="137">
        <f>CJ43</f>
        <v>70163</v>
      </c>
      <c r="AO43" s="137">
        <f>CC43</f>
        <v>8110</v>
      </c>
      <c r="AP43" s="137">
        <f>CD43</f>
        <v>1542</v>
      </c>
      <c r="AQ43" s="137">
        <f>CK43</f>
        <v>13646</v>
      </c>
      <c r="AR43" s="137">
        <f>CI43</f>
        <v>9226</v>
      </c>
      <c r="AS43" s="138">
        <f>CF43+CG43</f>
        <v>19401</v>
      </c>
      <c r="AT43" s="155" t="s">
        <v>304</v>
      </c>
      <c r="AU43" s="155">
        <v>2826</v>
      </c>
      <c r="AV43" s="155">
        <v>2271</v>
      </c>
      <c r="AW43" s="155">
        <v>10269</v>
      </c>
      <c r="AX43" s="155">
        <v>4408</v>
      </c>
      <c r="AY43" s="155">
        <v>6859</v>
      </c>
      <c r="AZ43" s="155" t="s">
        <v>304</v>
      </c>
      <c r="BA43" s="155">
        <v>3735</v>
      </c>
      <c r="BB43" s="155">
        <v>7103</v>
      </c>
      <c r="BC43" s="155">
        <v>21434</v>
      </c>
      <c r="BD43" s="155">
        <v>6228</v>
      </c>
      <c r="BE43" s="155">
        <v>6686</v>
      </c>
      <c r="BF43" s="552">
        <v>25398</v>
      </c>
      <c r="BG43" s="155" t="s">
        <v>41</v>
      </c>
      <c r="BH43" s="155" t="s">
        <v>304</v>
      </c>
      <c r="BI43" s="155">
        <v>1362</v>
      </c>
      <c r="BJ43" s="155">
        <v>338</v>
      </c>
      <c r="BK43" s="155" t="s">
        <v>304</v>
      </c>
      <c r="BL43" s="155" t="s">
        <v>41</v>
      </c>
      <c r="BM43" s="155">
        <v>7671</v>
      </c>
      <c r="BN43" s="155">
        <v>3299</v>
      </c>
      <c r="BO43" s="155" t="s">
        <v>41</v>
      </c>
      <c r="BP43" s="155">
        <v>3798</v>
      </c>
      <c r="BQ43" s="155">
        <v>3113</v>
      </c>
      <c r="BR43" s="552">
        <v>3836</v>
      </c>
      <c r="BS43" s="155">
        <v>101</v>
      </c>
      <c r="BT43" s="155">
        <v>9886</v>
      </c>
      <c r="BU43" s="155">
        <v>3140</v>
      </c>
      <c r="BV43" s="155">
        <v>6890</v>
      </c>
      <c r="BW43" s="155">
        <v>4654</v>
      </c>
      <c r="BX43" s="155">
        <v>12770</v>
      </c>
      <c r="BY43" s="155">
        <v>6327</v>
      </c>
      <c r="BZ43" s="155">
        <v>9151</v>
      </c>
      <c r="CA43" s="155">
        <v>3127</v>
      </c>
      <c r="CB43" s="552">
        <v>10958</v>
      </c>
      <c r="CC43" s="155">
        <v>8110</v>
      </c>
      <c r="CD43" s="155">
        <v>1542</v>
      </c>
      <c r="CE43" s="155">
        <v>3237</v>
      </c>
      <c r="CF43" s="155">
        <v>1009</v>
      </c>
      <c r="CG43" s="155">
        <v>18392</v>
      </c>
      <c r="CH43" s="155">
        <v>33356</v>
      </c>
      <c r="CI43" s="155">
        <v>9226</v>
      </c>
      <c r="CJ43" s="155">
        <v>70163</v>
      </c>
      <c r="CK43" s="156">
        <v>13646</v>
      </c>
      <c r="CL43" s="320">
        <v>346936</v>
      </c>
    </row>
    <row r="44" spans="1:90">
      <c r="A44" s="80">
        <f>ROWS($A$3:A42)</f>
        <v>40</v>
      </c>
      <c r="B44" s="388" t="s">
        <v>20</v>
      </c>
      <c r="C44" s="252"/>
      <c r="D44" s="259" t="s">
        <v>241</v>
      </c>
      <c r="E44" s="447">
        <v>42887</v>
      </c>
      <c r="F44" s="541">
        <f>IF(ISERROR(F43/F123)=TRUE,"*",F43/F123)</f>
        <v>45.368494423791823</v>
      </c>
      <c r="G44" s="542">
        <f t="shared" ref="G44:BR44" si="96">IF(ISERROR(G43/G123)=TRUE,"*",G43/G123)</f>
        <v>52.301552106430158</v>
      </c>
      <c r="H44" s="542">
        <f t="shared" si="96"/>
        <v>34.502574665293508</v>
      </c>
      <c r="I44" s="543">
        <f t="shared" si="96"/>
        <v>52.421869838123555</v>
      </c>
      <c r="J44" s="141"/>
      <c r="K44" s="116">
        <f t="shared" si="96"/>
        <v>48.102272727272727</v>
      </c>
      <c r="L44" s="137">
        <f t="shared" si="96"/>
        <v>38.971590909090907</v>
      </c>
      <c r="M44" s="137">
        <f t="shared" si="96"/>
        <v>39.417721518987342</v>
      </c>
      <c r="N44" s="137">
        <f t="shared" si="96"/>
        <v>48.9</v>
      </c>
      <c r="O44" s="137">
        <f t="shared" si="96"/>
        <v>46.110344827586204</v>
      </c>
      <c r="P44" s="143">
        <f t="shared" si="96"/>
        <v>47.278481012658226</v>
      </c>
      <c r="Q44" s="137">
        <f t="shared" si="96"/>
        <v>50.464285714285715</v>
      </c>
      <c r="R44" s="143">
        <f t="shared" si="96"/>
        <v>46.4</v>
      </c>
      <c r="S44" s="137">
        <f t="shared" si="96"/>
        <v>33.397058823529413</v>
      </c>
      <c r="T44" s="137">
        <f t="shared" si="96"/>
        <v>47.039735099337747</v>
      </c>
      <c r="U44" s="139">
        <f t="shared" si="96"/>
        <v>45.50743099787686</v>
      </c>
      <c r="V44" s="143">
        <f t="shared" si="96"/>
        <v>30.727272727272727</v>
      </c>
      <c r="W44" s="137">
        <f t="shared" si="96"/>
        <v>46.216867469879517</v>
      </c>
      <c r="X44" s="143">
        <f t="shared" si="96"/>
        <v>64.857142857142861</v>
      </c>
      <c r="Y44" s="143">
        <f t="shared" si="96"/>
        <v>61.092592592592595</v>
      </c>
      <c r="Z44" s="137">
        <f t="shared" si="96"/>
        <v>54.404255319148938</v>
      </c>
      <c r="AA44" s="143">
        <f t="shared" si="96"/>
        <v>55.589285714285715</v>
      </c>
      <c r="AB44" s="139">
        <f t="shared" si="96"/>
        <v>48.075949367088604</v>
      </c>
      <c r="AC44" s="137">
        <f t="shared" si="96"/>
        <v>34.513513513513516</v>
      </c>
      <c r="AD44" s="137">
        <f t="shared" si="96"/>
        <v>24.53125</v>
      </c>
      <c r="AE44" s="143">
        <f t="shared" si="96"/>
        <v>29.635014836795254</v>
      </c>
      <c r="AF44" s="137">
        <f t="shared" si="96"/>
        <v>28.427272727272726</v>
      </c>
      <c r="AG44" s="137">
        <f t="shared" si="96"/>
        <v>21.942675159235669</v>
      </c>
      <c r="AH44" s="137">
        <f t="shared" si="96"/>
        <v>55.798780487804876</v>
      </c>
      <c r="AI44" s="137">
        <f t="shared" si="96"/>
        <v>29.270440251572328</v>
      </c>
      <c r="AJ44" s="137">
        <f t="shared" si="96"/>
        <v>63.27</v>
      </c>
      <c r="AK44" s="139">
        <f t="shared" si="96"/>
        <v>43.14173228346457</v>
      </c>
      <c r="AL44" s="137">
        <f t="shared" si="96"/>
        <v>55.810344827586206</v>
      </c>
      <c r="AM44" s="137">
        <f t="shared" si="96"/>
        <v>53.284345047923324</v>
      </c>
      <c r="AN44" s="137">
        <f t="shared" si="96"/>
        <v>54.516705516705514</v>
      </c>
      <c r="AO44" s="137">
        <f t="shared" si="96"/>
        <v>50.6875</v>
      </c>
      <c r="AP44" s="137">
        <f t="shared" si="96"/>
        <v>51.4</v>
      </c>
      <c r="AQ44" s="137">
        <f t="shared" si="96"/>
        <v>55.024193548387096</v>
      </c>
      <c r="AR44" s="137">
        <f t="shared" si="96"/>
        <v>43.93333333333333</v>
      </c>
      <c r="AS44" s="144">
        <f t="shared" si="96"/>
        <v>49.492346938775512</v>
      </c>
      <c r="AT44" s="155" t="str">
        <f t="shared" si="96"/>
        <v>*</v>
      </c>
      <c r="AU44" s="155">
        <f t="shared" si="96"/>
        <v>50.464285714285715</v>
      </c>
      <c r="AV44" s="155">
        <f t="shared" si="96"/>
        <v>33.397058823529413</v>
      </c>
      <c r="AW44" s="155">
        <f t="shared" si="96"/>
        <v>48.9</v>
      </c>
      <c r="AX44" s="155">
        <f t="shared" si="96"/>
        <v>46.4</v>
      </c>
      <c r="AY44" s="155">
        <f t="shared" si="96"/>
        <v>38.971590909090907</v>
      </c>
      <c r="AZ44" s="155" t="str">
        <f t="shared" si="96"/>
        <v>*</v>
      </c>
      <c r="BA44" s="155">
        <f t="shared" si="96"/>
        <v>47.278481012658226</v>
      </c>
      <c r="BB44" s="155">
        <f t="shared" si="96"/>
        <v>47.039735099337747</v>
      </c>
      <c r="BC44" s="155">
        <f t="shared" si="96"/>
        <v>45.50743099787686</v>
      </c>
      <c r="BD44" s="155">
        <f t="shared" si="96"/>
        <v>39.417721518987342</v>
      </c>
      <c r="BE44" s="155">
        <f t="shared" si="96"/>
        <v>46.110344827586204</v>
      </c>
      <c r="BF44" s="552">
        <f t="shared" si="96"/>
        <v>48.102272727272727</v>
      </c>
      <c r="BG44" s="155" t="str">
        <f t="shared" si="96"/>
        <v>*</v>
      </c>
      <c r="BH44" s="155" t="str">
        <f t="shared" si="96"/>
        <v>*</v>
      </c>
      <c r="BI44" s="155">
        <f t="shared" si="96"/>
        <v>64.857142857142861</v>
      </c>
      <c r="BJ44" s="155">
        <f t="shared" si="96"/>
        <v>30.727272727272727</v>
      </c>
      <c r="BK44" s="155" t="str">
        <f t="shared" si="96"/>
        <v>*</v>
      </c>
      <c r="BL44" s="155" t="str">
        <f t="shared" si="96"/>
        <v>*</v>
      </c>
      <c r="BM44" s="155">
        <f t="shared" si="96"/>
        <v>54.404255319148938</v>
      </c>
      <c r="BN44" s="155">
        <f t="shared" si="96"/>
        <v>61.092592592592595</v>
      </c>
      <c r="BO44" s="155" t="str">
        <f t="shared" si="96"/>
        <v>*</v>
      </c>
      <c r="BP44" s="155">
        <f t="shared" si="96"/>
        <v>48.075949367088604</v>
      </c>
      <c r="BQ44" s="155">
        <f t="shared" si="96"/>
        <v>55.589285714285715</v>
      </c>
      <c r="BR44" s="552">
        <f t="shared" si="96"/>
        <v>46.216867469879517</v>
      </c>
      <c r="BS44" s="155">
        <f t="shared" ref="BS44:CL44" si="97">IF(ISERROR(BS43/BS123)=TRUE,"*",BS43/BS123)</f>
        <v>16.833333333333332</v>
      </c>
      <c r="BT44" s="155">
        <f t="shared" si="97"/>
        <v>29.335311572700295</v>
      </c>
      <c r="BU44" s="155">
        <f t="shared" si="97"/>
        <v>24.53125</v>
      </c>
      <c r="BV44" s="155">
        <f t="shared" si="97"/>
        <v>21.942675159235669</v>
      </c>
      <c r="BW44" s="155">
        <f t="shared" si="97"/>
        <v>29.270440251572328</v>
      </c>
      <c r="BX44" s="155">
        <f t="shared" si="97"/>
        <v>34.513513513513516</v>
      </c>
      <c r="BY44" s="155">
        <f t="shared" si="97"/>
        <v>63.27</v>
      </c>
      <c r="BZ44" s="155">
        <f t="shared" si="97"/>
        <v>55.798780487804876</v>
      </c>
      <c r="CA44" s="155">
        <f t="shared" si="97"/>
        <v>28.427272727272726</v>
      </c>
      <c r="CB44" s="552">
        <f t="shared" si="97"/>
        <v>43.14173228346457</v>
      </c>
      <c r="CC44" s="155">
        <f t="shared" si="97"/>
        <v>50.6875</v>
      </c>
      <c r="CD44" s="155">
        <f t="shared" si="97"/>
        <v>51.4</v>
      </c>
      <c r="CE44" s="155">
        <f>IF(ISERROR(CE43/CE123)=TRUE,"*",CE43/CE123)</f>
        <v>55.810344827586206</v>
      </c>
      <c r="CF44" s="155">
        <f t="shared" si="97"/>
        <v>63.0625</v>
      </c>
      <c r="CG44" s="155">
        <f t="shared" si="97"/>
        <v>46.918367346938773</v>
      </c>
      <c r="CH44" s="155">
        <f t="shared" si="97"/>
        <v>53.284345047923324</v>
      </c>
      <c r="CI44" s="155">
        <f t="shared" si="97"/>
        <v>43.93333333333333</v>
      </c>
      <c r="CJ44" s="155">
        <f t="shared" si="97"/>
        <v>54.516705516705514</v>
      </c>
      <c r="CK44" s="156">
        <f t="shared" si="97"/>
        <v>55.024193548387096</v>
      </c>
      <c r="CL44" s="320">
        <f t="shared" si="97"/>
        <v>45.81827786582145</v>
      </c>
    </row>
    <row r="45" spans="1:90">
      <c r="A45" s="80">
        <f>ROWS($A$3:A43)</f>
        <v>41</v>
      </c>
      <c r="B45" s="92" t="s">
        <v>74</v>
      </c>
      <c r="C45" s="204">
        <v>2016</v>
      </c>
      <c r="D45" s="259" t="s">
        <v>7</v>
      </c>
      <c r="E45" s="447">
        <v>42887</v>
      </c>
      <c r="F45" s="154">
        <v>1024111</v>
      </c>
      <c r="G45" s="155">
        <v>77555</v>
      </c>
      <c r="H45" s="155">
        <v>122684</v>
      </c>
      <c r="I45" s="156">
        <v>651276</v>
      </c>
      <c r="J45" s="141"/>
      <c r="K45" s="116">
        <f t="shared" si="72"/>
        <v>144405</v>
      </c>
      <c r="L45" s="137">
        <f t="shared" si="73"/>
        <v>11410</v>
      </c>
      <c r="M45" s="137">
        <f t="shared" si="74"/>
        <v>126479</v>
      </c>
      <c r="N45" s="137">
        <f t="shared" si="75"/>
        <v>28645</v>
      </c>
      <c r="O45" s="137">
        <f t="shared" si="76"/>
        <v>43964</v>
      </c>
      <c r="P45" s="808">
        <f>IF(ISERROR(AZ45+BA45),BA45,AZ45+BA45)</f>
        <v>26152</v>
      </c>
      <c r="Q45" s="137">
        <f>'2016'!AU45</f>
        <v>20551</v>
      </c>
      <c r="R45" s="808">
        <f>IF(ISERROR(AT45+AX45),AX45,AT45+AX45)</f>
        <v>33909</v>
      </c>
      <c r="S45" s="137" t="str">
        <f t="shared" si="77"/>
        <v>.</v>
      </c>
      <c r="T45" s="137">
        <f t="shared" si="78"/>
        <v>158050</v>
      </c>
      <c r="U45" s="139">
        <f t="shared" si="78"/>
        <v>424418</v>
      </c>
      <c r="V45" s="808">
        <f>IF(ISERROR(BG45+BJ45),BJ45,(BG45+BJ45))</f>
        <v>3896</v>
      </c>
      <c r="W45" s="137">
        <f t="shared" si="79"/>
        <v>7626</v>
      </c>
      <c r="X45" s="808">
        <f>IF(ISERROR(BH45+BI45),BI45,(BH45+BI45))</f>
        <v>2360</v>
      </c>
      <c r="Y45" s="808">
        <f>IF(ISERROR(BK45+BL45+BN45),BK45+BN45,(BK45+BL45+BN45))</f>
        <v>18693</v>
      </c>
      <c r="Z45" s="137">
        <f t="shared" si="80"/>
        <v>32847</v>
      </c>
      <c r="AA45" s="808">
        <f>IF(ISERROR(BO45+BQ45),BQ45,(BO45+BQ45))</f>
        <v>5913</v>
      </c>
      <c r="AB45" s="139">
        <f t="shared" si="81"/>
        <v>4864</v>
      </c>
      <c r="AC45" s="137">
        <f t="shared" si="82"/>
        <v>19287</v>
      </c>
      <c r="AD45" s="137">
        <f t="shared" si="83"/>
        <v>2679</v>
      </c>
      <c r="AE45" s="808">
        <f>IF(ISERROR(BS45+BT45),BT45,(BS45+BT45))</f>
        <v>7079</v>
      </c>
      <c r="AF45" s="137">
        <f t="shared" si="84"/>
        <v>2283</v>
      </c>
      <c r="AG45" s="137">
        <f t="shared" si="85"/>
        <v>24213</v>
      </c>
      <c r="AH45" s="137">
        <f t="shared" si="86"/>
        <v>15012</v>
      </c>
      <c r="AI45" s="137">
        <f t="shared" si="87"/>
        <v>33230</v>
      </c>
      <c r="AJ45" s="137">
        <f t="shared" si="88"/>
        <v>7129</v>
      </c>
      <c r="AK45" s="139">
        <f t="shared" si="89"/>
        <v>11772</v>
      </c>
      <c r="AL45" s="137">
        <f t="shared" si="90"/>
        <v>7335</v>
      </c>
      <c r="AM45" s="137">
        <f t="shared" si="91"/>
        <v>176291</v>
      </c>
      <c r="AN45" s="137">
        <f t="shared" si="92"/>
        <v>50978</v>
      </c>
      <c r="AO45" s="137">
        <f t="shared" si="93"/>
        <v>21489</v>
      </c>
      <c r="AP45" s="137">
        <f t="shared" si="93"/>
        <v>12282</v>
      </c>
      <c r="AQ45" s="137">
        <f t="shared" si="94"/>
        <v>100727</v>
      </c>
      <c r="AR45" s="137">
        <f t="shared" si="95"/>
        <v>14273</v>
      </c>
      <c r="AS45" s="138">
        <f>CF45+CG45</f>
        <v>267901</v>
      </c>
      <c r="AT45" s="155" t="s">
        <v>41</v>
      </c>
      <c r="AU45" s="155">
        <v>20551</v>
      </c>
      <c r="AV45" s="155" t="s">
        <v>304</v>
      </c>
      <c r="AW45" s="155">
        <v>28645</v>
      </c>
      <c r="AX45" s="155">
        <v>33909</v>
      </c>
      <c r="AY45" s="155">
        <v>11410</v>
      </c>
      <c r="AZ45" s="155" t="s">
        <v>304</v>
      </c>
      <c r="BA45" s="155">
        <v>26152</v>
      </c>
      <c r="BB45" s="155">
        <v>158050</v>
      </c>
      <c r="BC45" s="155">
        <v>424418</v>
      </c>
      <c r="BD45" s="155">
        <v>126479</v>
      </c>
      <c r="BE45" s="155">
        <v>43964</v>
      </c>
      <c r="BF45" s="552">
        <v>144405</v>
      </c>
      <c r="BG45" s="155" t="s">
        <v>41</v>
      </c>
      <c r="BH45" s="155" t="s">
        <v>304</v>
      </c>
      <c r="BI45" s="155">
        <v>2360</v>
      </c>
      <c r="BJ45" s="155">
        <v>3896</v>
      </c>
      <c r="BK45" s="155">
        <v>481</v>
      </c>
      <c r="BL45" s="155" t="s">
        <v>304</v>
      </c>
      <c r="BM45" s="155">
        <v>32847</v>
      </c>
      <c r="BN45" s="155">
        <v>18212</v>
      </c>
      <c r="BO45" s="155" t="s">
        <v>304</v>
      </c>
      <c r="BP45" s="155">
        <v>4864</v>
      </c>
      <c r="BQ45" s="155">
        <v>5913</v>
      </c>
      <c r="BR45" s="552">
        <v>7626</v>
      </c>
      <c r="BS45" s="155">
        <v>403</v>
      </c>
      <c r="BT45" s="155">
        <v>6676</v>
      </c>
      <c r="BU45" s="155">
        <v>2679</v>
      </c>
      <c r="BV45" s="155">
        <v>24213</v>
      </c>
      <c r="BW45" s="155">
        <v>33230</v>
      </c>
      <c r="BX45" s="155">
        <v>19287</v>
      </c>
      <c r="BY45" s="155">
        <v>7129</v>
      </c>
      <c r="BZ45" s="155">
        <v>15012</v>
      </c>
      <c r="CA45" s="155">
        <v>2283</v>
      </c>
      <c r="CB45" s="552">
        <v>11772</v>
      </c>
      <c r="CC45" s="155">
        <v>21489</v>
      </c>
      <c r="CD45" s="155">
        <v>12282</v>
      </c>
      <c r="CE45" s="155">
        <v>7335</v>
      </c>
      <c r="CF45" s="155">
        <v>17661</v>
      </c>
      <c r="CG45" s="155">
        <v>250240</v>
      </c>
      <c r="CH45" s="155">
        <v>176291</v>
      </c>
      <c r="CI45" s="155">
        <v>14273</v>
      </c>
      <c r="CJ45" s="155">
        <v>50978</v>
      </c>
      <c r="CK45" s="156">
        <v>100727</v>
      </c>
      <c r="CL45" s="320">
        <v>1875626</v>
      </c>
    </row>
    <row r="46" spans="1:90">
      <c r="A46" s="80">
        <f>ROWS($A$3:A44)</f>
        <v>42</v>
      </c>
      <c r="B46" s="92" t="s">
        <v>8</v>
      </c>
      <c r="C46" s="203"/>
      <c r="D46" s="259" t="s">
        <v>7</v>
      </c>
      <c r="E46" s="447">
        <v>42887</v>
      </c>
      <c r="F46" s="154">
        <v>98587</v>
      </c>
      <c r="G46" s="155">
        <v>4322</v>
      </c>
      <c r="H46" s="155">
        <v>10836</v>
      </c>
      <c r="I46" s="156">
        <v>58503</v>
      </c>
      <c r="J46" s="141"/>
      <c r="K46" s="116">
        <f t="shared" si="72"/>
        <v>17844</v>
      </c>
      <c r="L46" s="137" t="str">
        <f t="shared" si="73"/>
        <v>.</v>
      </c>
      <c r="M46" s="137">
        <f t="shared" si="74"/>
        <v>13073</v>
      </c>
      <c r="N46" s="137">
        <f t="shared" si="75"/>
        <v>2601</v>
      </c>
      <c r="O46" s="137">
        <f t="shared" si="76"/>
        <v>2383</v>
      </c>
      <c r="P46" s="808">
        <f>IF(ISERROR(AZ46+BA46),BA46,AZ46+BA46)</f>
        <v>2320</v>
      </c>
      <c r="Q46" s="137">
        <f>'2016'!AU46</f>
        <v>2054</v>
      </c>
      <c r="R46" s="808">
        <f>IF(ISERROR(AT46+AX46),AX46,AT46+AX46)</f>
        <v>2412</v>
      </c>
      <c r="S46" s="137" t="str">
        <f t="shared" si="77"/>
        <v>.</v>
      </c>
      <c r="T46" s="137">
        <f t="shared" si="78"/>
        <v>15131</v>
      </c>
      <c r="U46" s="139">
        <f t="shared" si="78"/>
        <v>39834</v>
      </c>
      <c r="V46" s="808">
        <f>IF(ISERROR(BG46+BJ46),BJ46,(BG46+BJ46))</f>
        <v>293</v>
      </c>
      <c r="W46" s="137">
        <f t="shared" si="79"/>
        <v>807</v>
      </c>
      <c r="X46" s="808" t="str">
        <f>IF(ISERROR(BH46+BI46),BI46,(BH46+BI46))</f>
        <v>.</v>
      </c>
      <c r="Y46" s="808">
        <f>IF(ISERROR(BK46+BL46+BN46),BN46,(BK46+BL46+BN46))</f>
        <v>1152</v>
      </c>
      <c r="Z46" s="137">
        <f t="shared" si="80"/>
        <v>1551</v>
      </c>
      <c r="AA46" s="808">
        <f>IF(ISERROR(BO46+BQ46),BQ46,(BO46+BQ46))</f>
        <v>194</v>
      </c>
      <c r="AB46" s="139">
        <f t="shared" si="81"/>
        <v>296</v>
      </c>
      <c r="AC46" s="137">
        <f t="shared" si="82"/>
        <v>1600</v>
      </c>
      <c r="AD46" s="137">
        <f t="shared" si="83"/>
        <v>276</v>
      </c>
      <c r="AE46" s="808">
        <f>IF(ISERROR(BS46+BT46),BT46,(BS46+BT46))</f>
        <v>459</v>
      </c>
      <c r="AF46" s="137">
        <f t="shared" si="84"/>
        <v>47</v>
      </c>
      <c r="AG46" s="137">
        <f t="shared" si="85"/>
        <v>2273</v>
      </c>
      <c r="AH46" s="137">
        <f t="shared" si="86"/>
        <v>1157</v>
      </c>
      <c r="AI46" s="137">
        <f t="shared" si="87"/>
        <v>3114</v>
      </c>
      <c r="AJ46" s="137">
        <f t="shared" si="88"/>
        <v>1018</v>
      </c>
      <c r="AK46" s="139">
        <f t="shared" si="89"/>
        <v>892</v>
      </c>
      <c r="AL46" s="137">
        <f t="shared" si="90"/>
        <v>561</v>
      </c>
      <c r="AM46" s="137">
        <f t="shared" si="91"/>
        <v>16690</v>
      </c>
      <c r="AN46" s="137">
        <f t="shared" si="92"/>
        <v>6612</v>
      </c>
      <c r="AO46" s="137">
        <f t="shared" si="93"/>
        <v>1884</v>
      </c>
      <c r="AP46" s="137">
        <f t="shared" si="93"/>
        <v>673</v>
      </c>
      <c r="AQ46" s="137">
        <f t="shared" si="94"/>
        <v>10928</v>
      </c>
      <c r="AR46" s="137">
        <f t="shared" si="95"/>
        <v>1002</v>
      </c>
      <c r="AS46" s="138">
        <f>CF46+CG46</f>
        <v>20153</v>
      </c>
      <c r="AT46" s="155" t="s">
        <v>41</v>
      </c>
      <c r="AU46" s="155">
        <v>2054</v>
      </c>
      <c r="AV46" s="155" t="s">
        <v>304</v>
      </c>
      <c r="AW46" s="155">
        <v>2601</v>
      </c>
      <c r="AX46" s="155">
        <v>2412</v>
      </c>
      <c r="AY46" s="155" t="s">
        <v>304</v>
      </c>
      <c r="AZ46" s="155" t="s">
        <v>41</v>
      </c>
      <c r="BA46" s="155">
        <v>2320</v>
      </c>
      <c r="BB46" s="155">
        <v>15131</v>
      </c>
      <c r="BC46" s="155">
        <v>39834</v>
      </c>
      <c r="BD46" s="155">
        <v>13073</v>
      </c>
      <c r="BE46" s="155">
        <v>2383</v>
      </c>
      <c r="BF46" s="552">
        <v>17844</v>
      </c>
      <c r="BG46" s="155" t="s">
        <v>41</v>
      </c>
      <c r="BH46" s="155" t="s">
        <v>304</v>
      </c>
      <c r="BI46" s="155" t="s">
        <v>304</v>
      </c>
      <c r="BJ46" s="155">
        <v>293</v>
      </c>
      <c r="BK46" s="155" t="s">
        <v>304</v>
      </c>
      <c r="BL46" s="155" t="s">
        <v>41</v>
      </c>
      <c r="BM46" s="155">
        <v>1551</v>
      </c>
      <c r="BN46" s="155">
        <v>1152</v>
      </c>
      <c r="BO46" s="155" t="s">
        <v>304</v>
      </c>
      <c r="BP46" s="155">
        <v>296</v>
      </c>
      <c r="BQ46" s="155">
        <v>194</v>
      </c>
      <c r="BR46" s="552">
        <v>807</v>
      </c>
      <c r="BS46" s="155">
        <v>65</v>
      </c>
      <c r="BT46" s="155">
        <v>394</v>
      </c>
      <c r="BU46" s="155">
        <v>276</v>
      </c>
      <c r="BV46" s="155">
        <v>2273</v>
      </c>
      <c r="BW46" s="155">
        <v>3114</v>
      </c>
      <c r="BX46" s="155">
        <v>1600</v>
      </c>
      <c r="BY46" s="155">
        <v>1018</v>
      </c>
      <c r="BZ46" s="155">
        <v>1157</v>
      </c>
      <c r="CA46" s="155">
        <v>47</v>
      </c>
      <c r="CB46" s="552">
        <v>892</v>
      </c>
      <c r="CC46" s="155">
        <v>1884</v>
      </c>
      <c r="CD46" s="155">
        <v>673</v>
      </c>
      <c r="CE46" s="155">
        <v>561</v>
      </c>
      <c r="CF46" s="155">
        <v>886</v>
      </c>
      <c r="CG46" s="155">
        <v>19267</v>
      </c>
      <c r="CH46" s="155">
        <v>16690</v>
      </c>
      <c r="CI46" s="155">
        <v>1002</v>
      </c>
      <c r="CJ46" s="155">
        <v>6612</v>
      </c>
      <c r="CK46" s="156">
        <v>10928</v>
      </c>
      <c r="CL46" s="320">
        <v>172248</v>
      </c>
    </row>
    <row r="47" spans="1:90">
      <c r="A47" s="80">
        <f>ROWS($A$3:A45)</f>
        <v>43</v>
      </c>
      <c r="B47" s="388" t="s">
        <v>19</v>
      </c>
      <c r="C47" s="252"/>
      <c r="D47" s="259" t="s">
        <v>241</v>
      </c>
      <c r="E47" s="447">
        <v>42887</v>
      </c>
      <c r="F47" s="154">
        <f>F125/F124</f>
        <v>254.17103882476391</v>
      </c>
      <c r="G47" s="155">
        <f>G125/G124</f>
        <v>124.05225653206651</v>
      </c>
      <c r="H47" s="155">
        <f>H125/H124</f>
        <v>59.275173611111114</v>
      </c>
      <c r="I47" s="156">
        <f>I125/I124</f>
        <v>249.14727011494253</v>
      </c>
      <c r="J47" s="141"/>
      <c r="K47" s="116">
        <f t="shared" si="72"/>
        <v>159.94630872483222</v>
      </c>
      <c r="L47" s="137">
        <f t="shared" si="73"/>
        <v>69.833333333333329</v>
      </c>
      <c r="M47" s="137">
        <f t="shared" si="74"/>
        <v>227.88163265306122</v>
      </c>
      <c r="N47" s="137">
        <f t="shared" si="75"/>
        <v>187.58571428571429</v>
      </c>
      <c r="O47" s="137">
        <f t="shared" si="76"/>
        <v>283.27433628318585</v>
      </c>
      <c r="P47" s="808">
        <f>IF(ISERROR((BA45*BA47+AZ45*AZ47)/P45),BA47,(BA45*BA47+AZ45*AZ47)/P45)</f>
        <v>209.41791044776119</v>
      </c>
      <c r="Q47" s="137">
        <f>'2016'!AU47</f>
        <v>173.28070175438597</v>
      </c>
      <c r="R47" s="808">
        <f>IF(ISERROR((AT47*AT45+AX45*AX47)/R45),AX47,(AT47*AT45+AX45*AX47)/R45)</f>
        <v>285.56578947368422</v>
      </c>
      <c r="S47" s="137" t="str">
        <f>AV47</f>
        <v>*</v>
      </c>
      <c r="T47" s="137">
        <f t="shared" si="78"/>
        <v>310.25</v>
      </c>
      <c r="U47" s="139">
        <f t="shared" si="78"/>
        <v>339.61764705882354</v>
      </c>
      <c r="V47" s="808">
        <f>IF(ISERROR((BG47*BG45+BJ45*BJ47)/V45),BJ47,(BG47*BG45+BJ45*BJ47)/V45)</f>
        <v>94.037037037037038</v>
      </c>
      <c r="W47" s="137">
        <f t="shared" si="79"/>
        <v>55.912280701754383</v>
      </c>
      <c r="X47" s="808">
        <f>IF(ISERROR((BH45*BH47+BI45*BI47)/X45),BI47,(BH45*BH47+BI45*BI47)/X45)</f>
        <v>54.292682926829265</v>
      </c>
      <c r="Y47" s="808">
        <f>(BK47*BK45+BN47*BN45)/Y45</f>
        <v>168.00769213294259</v>
      </c>
      <c r="Z47" s="137">
        <f t="shared" si="80"/>
        <v>199.71929824561403</v>
      </c>
      <c r="AA47" s="808">
        <f>IF(ISERROR((BO47*BO45+BQ47*BQ45)/AA45),BQ47,(BO47*BO45+BQ47*BQ45)/AA45)</f>
        <v>122.35897435897436</v>
      </c>
      <c r="AB47" s="139">
        <f t="shared" si="81"/>
        <v>48.763636363636365</v>
      </c>
      <c r="AC47" s="137">
        <f t="shared" si="82"/>
        <v>69.83552631578948</v>
      </c>
      <c r="AD47" s="137" t="str">
        <f t="shared" si="83"/>
        <v>*</v>
      </c>
      <c r="AE47" s="808">
        <f>IF(ISERROR((BS45*BS47+BT45*BT47)/AE45),BT47,(BS45*BS47+BT45*BT47)/AE45)</f>
        <v>28.674285714285713</v>
      </c>
      <c r="AF47" s="137">
        <f t="shared" si="84"/>
        <v>30.953846153846154</v>
      </c>
      <c r="AG47" s="137">
        <f t="shared" si="85"/>
        <v>36.712871287128714</v>
      </c>
      <c r="AH47" s="137">
        <f t="shared" si="86"/>
        <v>127.88333333333334</v>
      </c>
      <c r="AI47" s="137">
        <f t="shared" si="87"/>
        <v>152.45588235294119</v>
      </c>
      <c r="AJ47" s="137">
        <f t="shared" si="88"/>
        <v>67.833333333333329</v>
      </c>
      <c r="AK47" s="139">
        <f t="shared" si="89"/>
        <v>46.847999999999999</v>
      </c>
      <c r="AL47" s="137">
        <f t="shared" si="90"/>
        <v>81.962962962962962</v>
      </c>
      <c r="AM47" s="137">
        <f t="shared" si="91"/>
        <v>298.89</v>
      </c>
      <c r="AN47" s="137">
        <f t="shared" si="92"/>
        <v>128.63448275862069</v>
      </c>
      <c r="AO47" s="137">
        <f t="shared" si="93"/>
        <v>100.92727272727272</v>
      </c>
      <c r="AP47" s="137">
        <f t="shared" si="93"/>
        <v>232.02702702702703</v>
      </c>
      <c r="AQ47" s="137">
        <f t="shared" si="94"/>
        <v>241.35680751173709</v>
      </c>
      <c r="AR47" s="137">
        <f t="shared" si="95"/>
        <v>148.87142857142857</v>
      </c>
      <c r="AS47" s="144">
        <f>(CF45*CF47+CG45*CG47)/AS45</f>
        <v>333.01720199538875</v>
      </c>
      <c r="AT47" s="155" t="s">
        <v>58</v>
      </c>
      <c r="AU47" s="155">
        <f t="shared" ref="AU47:CJ47" si="98">AU125/AU124</f>
        <v>173.28070175438597</v>
      </c>
      <c r="AV47" s="155" t="s">
        <v>233</v>
      </c>
      <c r="AW47" s="155">
        <f t="shared" si="98"/>
        <v>187.58571428571429</v>
      </c>
      <c r="AX47" s="155">
        <f t="shared" si="98"/>
        <v>285.56578947368422</v>
      </c>
      <c r="AY47" s="155">
        <f t="shared" si="98"/>
        <v>69.833333333333329</v>
      </c>
      <c r="AZ47" s="155" t="s">
        <v>58</v>
      </c>
      <c r="BA47" s="155">
        <f t="shared" si="98"/>
        <v>209.41791044776119</v>
      </c>
      <c r="BB47" s="155">
        <f t="shared" si="98"/>
        <v>310.25</v>
      </c>
      <c r="BC47" s="155">
        <f t="shared" si="98"/>
        <v>339.61764705882354</v>
      </c>
      <c r="BD47" s="155">
        <f t="shared" si="98"/>
        <v>227.88163265306122</v>
      </c>
      <c r="BE47" s="155">
        <f t="shared" si="98"/>
        <v>283.27433628318585</v>
      </c>
      <c r="BF47" s="552">
        <f t="shared" si="98"/>
        <v>159.94630872483222</v>
      </c>
      <c r="BG47" s="155" t="s">
        <v>58</v>
      </c>
      <c r="BH47" s="155" t="s">
        <v>233</v>
      </c>
      <c r="BI47" s="155">
        <f t="shared" si="98"/>
        <v>54.292682926829265</v>
      </c>
      <c r="BJ47" s="155">
        <f t="shared" si="98"/>
        <v>94.037037037037038</v>
      </c>
      <c r="BK47" s="155">
        <f t="shared" si="98"/>
        <v>82.2</v>
      </c>
      <c r="BL47" s="155" t="s">
        <v>58</v>
      </c>
      <c r="BM47" s="155">
        <f t="shared" si="98"/>
        <v>199.71929824561403</v>
      </c>
      <c r="BN47" s="155">
        <f t="shared" si="98"/>
        <v>170.27397260273972</v>
      </c>
      <c r="BO47" s="155" t="s">
        <v>58</v>
      </c>
      <c r="BP47" s="155">
        <f t="shared" si="98"/>
        <v>48.763636363636365</v>
      </c>
      <c r="BQ47" s="155">
        <f t="shared" si="98"/>
        <v>122.35897435897436</v>
      </c>
      <c r="BR47" s="552">
        <f t="shared" si="98"/>
        <v>55.912280701754383</v>
      </c>
      <c r="BS47" s="155" t="s">
        <v>233</v>
      </c>
      <c r="BT47" s="155">
        <f t="shared" si="98"/>
        <v>28.674285714285713</v>
      </c>
      <c r="BU47" s="155" t="s">
        <v>233</v>
      </c>
      <c r="BV47" s="155">
        <f t="shared" si="98"/>
        <v>36.712871287128714</v>
      </c>
      <c r="BW47" s="155">
        <f t="shared" si="98"/>
        <v>152.45588235294119</v>
      </c>
      <c r="BX47" s="155">
        <f t="shared" si="98"/>
        <v>69.83552631578948</v>
      </c>
      <c r="BY47" s="155">
        <f t="shared" si="98"/>
        <v>67.833333333333329</v>
      </c>
      <c r="BZ47" s="155">
        <f t="shared" si="98"/>
        <v>127.88333333333334</v>
      </c>
      <c r="CA47" s="155">
        <f t="shared" si="98"/>
        <v>30.953846153846154</v>
      </c>
      <c r="CB47" s="552">
        <f t="shared" si="98"/>
        <v>46.847999999999999</v>
      </c>
      <c r="CC47" s="155">
        <f t="shared" si="98"/>
        <v>100.92727272727272</v>
      </c>
      <c r="CD47" s="155">
        <f t="shared" si="98"/>
        <v>232.02702702702703</v>
      </c>
      <c r="CE47" s="155">
        <f t="shared" si="98"/>
        <v>81.962962962962962</v>
      </c>
      <c r="CF47" s="155">
        <f t="shared" si="98"/>
        <v>512.31818181818187</v>
      </c>
      <c r="CG47" s="155">
        <f t="shared" si="98"/>
        <v>320.36281179138319</v>
      </c>
      <c r="CH47" s="155">
        <f t="shared" si="98"/>
        <v>298.89</v>
      </c>
      <c r="CI47" s="155">
        <f t="shared" si="98"/>
        <v>148.87142857142857</v>
      </c>
      <c r="CJ47" s="155">
        <f t="shared" si="98"/>
        <v>128.63448275862069</v>
      </c>
      <c r="CK47" s="156">
        <f>CK125/CK124</f>
        <v>241.35680751173709</v>
      </c>
      <c r="CL47" s="320">
        <f>CL125/CL124</f>
        <v>195.39601724491891</v>
      </c>
    </row>
    <row r="48" spans="1:90">
      <c r="A48" s="80">
        <f>ROWS($A$3:A46)</f>
        <v>44</v>
      </c>
      <c r="B48" s="196" t="s">
        <v>239</v>
      </c>
      <c r="C48" s="204">
        <v>2016</v>
      </c>
      <c r="D48" s="259" t="s">
        <v>7</v>
      </c>
      <c r="E48" s="447">
        <v>42887</v>
      </c>
      <c r="F48" s="154">
        <v>19387</v>
      </c>
      <c r="G48" s="155">
        <v>11644</v>
      </c>
      <c r="H48" s="155">
        <v>14061</v>
      </c>
      <c r="I48" s="156">
        <v>17164</v>
      </c>
      <c r="J48" s="141"/>
      <c r="K48" s="116">
        <f t="shared" si="72"/>
        <v>3185</v>
      </c>
      <c r="L48" s="137">
        <f t="shared" si="73"/>
        <v>2171</v>
      </c>
      <c r="M48" s="137">
        <f t="shared" si="74"/>
        <v>905</v>
      </c>
      <c r="N48" s="137">
        <f t="shared" si="75"/>
        <v>1846</v>
      </c>
      <c r="O48" s="137">
        <f t="shared" si="76"/>
        <v>665</v>
      </c>
      <c r="P48" s="137">
        <f>'2016'!BA48</f>
        <v>1508</v>
      </c>
      <c r="Q48" s="137">
        <f>'2016'!AU48</f>
        <v>2195</v>
      </c>
      <c r="R48" s="137">
        <f>AX48</f>
        <v>1998</v>
      </c>
      <c r="S48" s="137">
        <f t="shared" si="77"/>
        <v>2667</v>
      </c>
      <c r="T48" s="137">
        <f t="shared" si="78"/>
        <v>687</v>
      </c>
      <c r="U48" s="139">
        <f t="shared" si="78"/>
        <v>1360</v>
      </c>
      <c r="V48" s="137">
        <f>BG48+BJ48</f>
        <v>909</v>
      </c>
      <c r="W48" s="137">
        <f t="shared" si="79"/>
        <v>850</v>
      </c>
      <c r="X48" s="137">
        <f>BH48+BI48</f>
        <v>2783</v>
      </c>
      <c r="Y48" s="137">
        <f>BK48+BL48+BN48</f>
        <v>2728</v>
      </c>
      <c r="Z48" s="137">
        <f t="shared" si="80"/>
        <v>1662</v>
      </c>
      <c r="AA48" s="137">
        <f>BO48+BQ48</f>
        <v>1410</v>
      </c>
      <c r="AB48" s="139">
        <f t="shared" si="81"/>
        <v>1302</v>
      </c>
      <c r="AC48" s="137">
        <f t="shared" si="82"/>
        <v>1095</v>
      </c>
      <c r="AD48" s="137">
        <f t="shared" si="83"/>
        <v>891</v>
      </c>
      <c r="AE48" s="137">
        <f>BS48+BT48</f>
        <v>2480</v>
      </c>
      <c r="AF48" s="137">
        <f t="shared" si="84"/>
        <v>1866</v>
      </c>
      <c r="AG48" s="137">
        <f t="shared" si="85"/>
        <v>1647</v>
      </c>
      <c r="AH48" s="137">
        <f t="shared" si="86"/>
        <v>1984</v>
      </c>
      <c r="AI48" s="137">
        <f t="shared" si="87"/>
        <v>968</v>
      </c>
      <c r="AJ48" s="137">
        <f t="shared" si="88"/>
        <v>729</v>
      </c>
      <c r="AK48" s="139">
        <f t="shared" si="89"/>
        <v>2401</v>
      </c>
      <c r="AL48" s="137">
        <f t="shared" si="90"/>
        <v>1654</v>
      </c>
      <c r="AM48" s="137">
        <f t="shared" si="91"/>
        <v>2123</v>
      </c>
      <c r="AN48" s="137">
        <f t="shared" si="92"/>
        <v>3599</v>
      </c>
      <c r="AO48" s="137">
        <f t="shared" si="93"/>
        <v>2927</v>
      </c>
      <c r="AP48" s="137">
        <f t="shared" si="93"/>
        <v>1187</v>
      </c>
      <c r="AQ48" s="137">
        <f t="shared" si="94"/>
        <v>1617</v>
      </c>
      <c r="AR48" s="137">
        <f t="shared" si="95"/>
        <v>1656</v>
      </c>
      <c r="AS48" s="138">
        <f>CF48+CG48</f>
        <v>2401</v>
      </c>
      <c r="AT48" s="155" t="s">
        <v>304</v>
      </c>
      <c r="AU48" s="155">
        <v>2195</v>
      </c>
      <c r="AV48" s="155">
        <v>2667</v>
      </c>
      <c r="AW48" s="155">
        <v>1846</v>
      </c>
      <c r="AX48" s="155">
        <v>1998</v>
      </c>
      <c r="AY48" s="155">
        <v>2171</v>
      </c>
      <c r="AZ48" s="155" t="s">
        <v>304</v>
      </c>
      <c r="BA48" s="155">
        <v>1508</v>
      </c>
      <c r="BB48" s="155">
        <v>687</v>
      </c>
      <c r="BC48" s="155">
        <v>1360</v>
      </c>
      <c r="BD48" s="155">
        <v>905</v>
      </c>
      <c r="BE48" s="155">
        <v>665</v>
      </c>
      <c r="BF48" s="552">
        <v>3185</v>
      </c>
      <c r="BG48" s="155">
        <v>64</v>
      </c>
      <c r="BH48" s="155">
        <v>132</v>
      </c>
      <c r="BI48" s="155">
        <v>2651</v>
      </c>
      <c r="BJ48" s="155">
        <v>845</v>
      </c>
      <c r="BK48" s="155">
        <v>52</v>
      </c>
      <c r="BL48" s="155">
        <v>452</v>
      </c>
      <c r="BM48" s="155">
        <v>1662</v>
      </c>
      <c r="BN48" s="155">
        <v>2224</v>
      </c>
      <c r="BO48" s="155">
        <v>96</v>
      </c>
      <c r="BP48" s="155">
        <v>1302</v>
      </c>
      <c r="BQ48" s="155">
        <v>1314</v>
      </c>
      <c r="BR48" s="552">
        <v>850</v>
      </c>
      <c r="BS48" s="155">
        <v>263</v>
      </c>
      <c r="BT48" s="155">
        <v>2217</v>
      </c>
      <c r="BU48" s="155">
        <v>891</v>
      </c>
      <c r="BV48" s="155">
        <v>1647</v>
      </c>
      <c r="BW48" s="155">
        <v>968</v>
      </c>
      <c r="BX48" s="155">
        <v>1095</v>
      </c>
      <c r="BY48" s="155">
        <v>729</v>
      </c>
      <c r="BZ48" s="155">
        <v>1984</v>
      </c>
      <c r="CA48" s="155">
        <v>1866</v>
      </c>
      <c r="CB48" s="552">
        <v>2401</v>
      </c>
      <c r="CC48" s="155">
        <v>2927</v>
      </c>
      <c r="CD48" s="155">
        <v>1187</v>
      </c>
      <c r="CE48" s="155">
        <v>1654</v>
      </c>
      <c r="CF48" s="155">
        <v>258</v>
      </c>
      <c r="CG48" s="155">
        <v>2143</v>
      </c>
      <c r="CH48" s="155">
        <v>2123</v>
      </c>
      <c r="CI48" s="155">
        <v>1656</v>
      </c>
      <c r="CJ48" s="155">
        <v>3599</v>
      </c>
      <c r="CK48" s="156">
        <v>1617</v>
      </c>
      <c r="CL48" s="320">
        <v>62256</v>
      </c>
    </row>
    <row r="49" spans="1:90">
      <c r="A49" s="80">
        <f>ROWS($A$3:A47)</f>
        <v>45</v>
      </c>
      <c r="B49" s="92" t="s">
        <v>75</v>
      </c>
      <c r="C49" s="204">
        <v>2016</v>
      </c>
      <c r="D49" s="259" t="s">
        <v>7</v>
      </c>
      <c r="E49" s="447">
        <v>42887</v>
      </c>
      <c r="F49" s="154">
        <v>88966</v>
      </c>
      <c r="G49" s="155">
        <v>37847</v>
      </c>
      <c r="H49" s="155">
        <v>46150</v>
      </c>
      <c r="I49" s="156">
        <v>70595</v>
      </c>
      <c r="J49" s="141"/>
      <c r="K49" s="116">
        <f t="shared" si="72"/>
        <v>10007</v>
      </c>
      <c r="L49" s="137">
        <f t="shared" si="73"/>
        <v>7356</v>
      </c>
      <c r="M49" s="137">
        <f t="shared" si="74"/>
        <v>3794</v>
      </c>
      <c r="N49" s="137">
        <f t="shared" si="75"/>
        <v>10735</v>
      </c>
      <c r="O49" s="137">
        <f t="shared" si="76"/>
        <v>9940</v>
      </c>
      <c r="P49" s="137">
        <f>'2016'!BA49</f>
        <v>9714</v>
      </c>
      <c r="Q49" s="137">
        <f>'2016'!AU49</f>
        <v>4992</v>
      </c>
      <c r="R49" s="137">
        <f>AX49</f>
        <v>2478</v>
      </c>
      <c r="S49" s="137">
        <f t="shared" si="77"/>
        <v>13335</v>
      </c>
      <c r="T49" s="137">
        <f t="shared" si="78"/>
        <v>4598</v>
      </c>
      <c r="U49" s="139">
        <f t="shared" si="78"/>
        <v>11970</v>
      </c>
      <c r="V49" s="137">
        <f>BG49+BJ49</f>
        <v>4376</v>
      </c>
      <c r="W49" s="137">
        <f t="shared" si="79"/>
        <v>8282</v>
      </c>
      <c r="X49" s="137">
        <f>BH49+BI49</f>
        <v>4500</v>
      </c>
      <c r="Y49" s="137">
        <f>BN49</f>
        <v>4293</v>
      </c>
      <c r="Z49" s="137">
        <f t="shared" si="80"/>
        <v>2407</v>
      </c>
      <c r="AA49" s="137">
        <f>BQ49</f>
        <v>1704</v>
      </c>
      <c r="AB49" s="139">
        <f t="shared" si="81"/>
        <v>11540</v>
      </c>
      <c r="AC49" s="137">
        <f t="shared" si="82"/>
        <v>3319</v>
      </c>
      <c r="AD49" s="137">
        <f t="shared" si="83"/>
        <v>2192</v>
      </c>
      <c r="AE49" s="137">
        <f>BS49+BT49</f>
        <v>8937</v>
      </c>
      <c r="AF49" s="137">
        <f t="shared" si="84"/>
        <v>4375</v>
      </c>
      <c r="AG49" s="137">
        <f t="shared" si="85"/>
        <v>6491</v>
      </c>
      <c r="AH49" s="137">
        <f t="shared" si="86"/>
        <v>4388</v>
      </c>
      <c r="AI49" s="137">
        <f t="shared" si="87"/>
        <v>7360</v>
      </c>
      <c r="AJ49" s="137">
        <f t="shared" si="88"/>
        <v>5083</v>
      </c>
      <c r="AK49" s="139">
        <f t="shared" si="89"/>
        <v>4005</v>
      </c>
      <c r="AL49" s="137">
        <f t="shared" si="90"/>
        <v>15072</v>
      </c>
      <c r="AM49" s="137">
        <f t="shared" si="91"/>
        <v>3505</v>
      </c>
      <c r="AN49" s="137">
        <f t="shared" si="92"/>
        <v>5279</v>
      </c>
      <c r="AO49" s="137">
        <f t="shared" si="93"/>
        <v>19763</v>
      </c>
      <c r="AP49" s="137">
        <f t="shared" si="93"/>
        <v>6568</v>
      </c>
      <c r="AQ49" s="137">
        <f t="shared" si="94"/>
        <v>3887</v>
      </c>
      <c r="AR49" s="137">
        <f t="shared" si="95"/>
        <v>4296</v>
      </c>
      <c r="AS49" s="138">
        <f>CG49</f>
        <v>12104</v>
      </c>
      <c r="AT49" s="155" t="s">
        <v>304</v>
      </c>
      <c r="AU49" s="155">
        <v>4992</v>
      </c>
      <c r="AV49" s="155">
        <v>13335</v>
      </c>
      <c r="AW49" s="155">
        <v>10735</v>
      </c>
      <c r="AX49" s="155">
        <v>2478</v>
      </c>
      <c r="AY49" s="155">
        <v>7356</v>
      </c>
      <c r="AZ49" s="155" t="s">
        <v>304</v>
      </c>
      <c r="BA49" s="155">
        <v>9714</v>
      </c>
      <c r="BB49" s="155">
        <v>4598</v>
      </c>
      <c r="BC49" s="155">
        <v>11970</v>
      </c>
      <c r="BD49" s="155">
        <v>3794</v>
      </c>
      <c r="BE49" s="155">
        <v>9940</v>
      </c>
      <c r="BF49" s="552">
        <v>10007</v>
      </c>
      <c r="BG49" s="155">
        <v>1726</v>
      </c>
      <c r="BH49" s="155">
        <v>153</v>
      </c>
      <c r="BI49" s="155">
        <v>4347</v>
      </c>
      <c r="BJ49" s="155">
        <v>2650</v>
      </c>
      <c r="BK49" s="155" t="s">
        <v>304</v>
      </c>
      <c r="BL49" s="155" t="s">
        <v>304</v>
      </c>
      <c r="BM49" s="155">
        <v>2407</v>
      </c>
      <c r="BN49" s="155">
        <v>4293</v>
      </c>
      <c r="BO49" s="155">
        <v>554</v>
      </c>
      <c r="BP49" s="155">
        <v>11540</v>
      </c>
      <c r="BQ49" s="155">
        <v>1704</v>
      </c>
      <c r="BR49" s="552">
        <v>8282</v>
      </c>
      <c r="BS49" s="155">
        <v>3087</v>
      </c>
      <c r="BT49" s="155">
        <v>5850</v>
      </c>
      <c r="BU49" s="155">
        <v>2192</v>
      </c>
      <c r="BV49" s="155">
        <v>6491</v>
      </c>
      <c r="BW49" s="155">
        <v>7360</v>
      </c>
      <c r="BX49" s="155">
        <v>3319</v>
      </c>
      <c r="BY49" s="155">
        <v>5083</v>
      </c>
      <c r="BZ49" s="155">
        <v>4388</v>
      </c>
      <c r="CA49" s="155">
        <v>4375</v>
      </c>
      <c r="CB49" s="552">
        <v>4005</v>
      </c>
      <c r="CC49" s="155">
        <v>19763</v>
      </c>
      <c r="CD49" s="155">
        <v>6568</v>
      </c>
      <c r="CE49" s="155">
        <v>15072</v>
      </c>
      <c r="CF49" s="155">
        <v>121</v>
      </c>
      <c r="CG49" s="155">
        <v>12104</v>
      </c>
      <c r="CH49" s="155">
        <v>3505</v>
      </c>
      <c r="CI49" s="155">
        <v>4296</v>
      </c>
      <c r="CJ49" s="155">
        <v>5279</v>
      </c>
      <c r="CK49" s="156">
        <v>3887</v>
      </c>
      <c r="CL49" s="320">
        <v>243558</v>
      </c>
    </row>
    <row r="50" spans="1:90">
      <c r="A50" s="80">
        <f>ROWS($A$3:A48)</f>
        <v>46</v>
      </c>
      <c r="B50" s="52" t="s">
        <v>76</v>
      </c>
      <c r="C50" s="204">
        <v>2016</v>
      </c>
      <c r="D50" s="260" t="s">
        <v>21</v>
      </c>
      <c r="E50" s="447">
        <v>42888</v>
      </c>
      <c r="F50" s="154">
        <v>61.56</v>
      </c>
      <c r="G50" s="155">
        <v>33.86</v>
      </c>
      <c r="H50" s="155">
        <v>56.13</v>
      </c>
      <c r="I50" s="156">
        <v>78.58</v>
      </c>
      <c r="J50" s="141"/>
      <c r="K50" s="116">
        <f t="shared" si="72"/>
        <v>107.60000000000001</v>
      </c>
      <c r="L50" s="137">
        <f t="shared" si="73"/>
        <v>78.5</v>
      </c>
      <c r="M50" s="137">
        <f t="shared" si="74"/>
        <v>37.6</v>
      </c>
      <c r="N50" s="137">
        <f t="shared" si="75"/>
        <v>96</v>
      </c>
      <c r="O50" s="137">
        <f t="shared" si="76"/>
        <v>76.8</v>
      </c>
      <c r="P50" s="143">
        <f>(AZ50*AZ35+BA50*BA35)/P35</f>
        <v>24.154275477158411</v>
      </c>
      <c r="Q50" s="137">
        <f>'2016'!AU50</f>
        <v>48.699999999999996</v>
      </c>
      <c r="R50" s="143">
        <f>(AT50*AT35+AX50*AX35)/R35</f>
        <v>47.415034383954151</v>
      </c>
      <c r="S50" s="137">
        <f t="shared" si="77"/>
        <v>51.7</v>
      </c>
      <c r="T50" s="137">
        <f t="shared" si="78"/>
        <v>74.599999999999994</v>
      </c>
      <c r="U50" s="139">
        <f t="shared" si="78"/>
        <v>116.10000000000001</v>
      </c>
      <c r="V50" s="143">
        <f>(BG50*BG35+BJ50*BJ35)/V35</f>
        <v>21.771964679911701</v>
      </c>
      <c r="W50" s="137">
        <f t="shared" si="79"/>
        <v>57.699999999999996</v>
      </c>
      <c r="X50" s="143">
        <f>(BH50*BH35+BI50*BI35)/X35</f>
        <v>18.946813229666823</v>
      </c>
      <c r="Y50" s="143">
        <f>(BK50*BK35+BL50*BL35+BN50*BN35)/Y35</f>
        <v>32.920552478569618</v>
      </c>
      <c r="Z50" s="137">
        <f t="shared" si="80"/>
        <v>47.8</v>
      </c>
      <c r="AA50" s="143">
        <f>(BO50*BO35+BQ50*BQ35)/AA35</f>
        <v>47.88103774959918</v>
      </c>
      <c r="AB50" s="139">
        <f t="shared" si="81"/>
        <v>67.400000000000006</v>
      </c>
      <c r="AC50" s="137">
        <f t="shared" si="82"/>
        <v>71.099999999999994</v>
      </c>
      <c r="AD50" s="137">
        <f t="shared" si="83"/>
        <v>51.6</v>
      </c>
      <c r="AE50" s="143">
        <f>(BS50*BS35+BT50*BT35)/AE35</f>
        <v>49.55497801864626</v>
      </c>
      <c r="AF50" s="137">
        <f t="shared" si="84"/>
        <v>57.099999999999994</v>
      </c>
      <c r="AG50" s="137">
        <f t="shared" si="85"/>
        <v>44.2</v>
      </c>
      <c r="AH50" s="137">
        <f t="shared" si="86"/>
        <v>67.2</v>
      </c>
      <c r="AI50" s="137">
        <f t="shared" si="87"/>
        <v>57.999999999999993</v>
      </c>
      <c r="AJ50" s="137">
        <f t="shared" si="88"/>
        <v>60</v>
      </c>
      <c r="AK50" s="139">
        <f t="shared" si="89"/>
        <v>76.2</v>
      </c>
      <c r="AL50" s="137">
        <f t="shared" si="90"/>
        <v>41.3</v>
      </c>
      <c r="AM50" s="137">
        <f t="shared" si="91"/>
        <v>112.3</v>
      </c>
      <c r="AN50" s="137">
        <f t="shared" si="92"/>
        <v>141.30000000000001</v>
      </c>
      <c r="AO50" s="137">
        <f t="shared" si="93"/>
        <v>62</v>
      </c>
      <c r="AP50" s="137">
        <f t="shared" si="93"/>
        <v>38.299999999999997</v>
      </c>
      <c r="AQ50" s="137">
        <f t="shared" si="94"/>
        <v>72.599999999999994</v>
      </c>
      <c r="AR50" s="137">
        <f t="shared" si="95"/>
        <v>61.7</v>
      </c>
      <c r="AS50" s="144">
        <f>(CF50*CF35+CG50*CG35)/AS35</f>
        <v>89.070658448169155</v>
      </c>
      <c r="AT50" s="466">
        <v>36</v>
      </c>
      <c r="AU50" s="466">
        <v>48.699999999999996</v>
      </c>
      <c r="AV50" s="466">
        <v>51.7</v>
      </c>
      <c r="AW50" s="466">
        <v>96</v>
      </c>
      <c r="AX50" s="466">
        <v>48.3</v>
      </c>
      <c r="AY50" s="466">
        <v>78.5</v>
      </c>
      <c r="AZ50" s="466">
        <v>2.6</v>
      </c>
      <c r="BA50" s="466">
        <v>25.8</v>
      </c>
      <c r="BB50" s="466">
        <v>74.599999999999994</v>
      </c>
      <c r="BC50" s="466">
        <v>116.10000000000001</v>
      </c>
      <c r="BD50" s="466">
        <v>37.6</v>
      </c>
      <c r="BE50" s="466">
        <v>76.8</v>
      </c>
      <c r="BF50" s="558">
        <v>107.60000000000001</v>
      </c>
      <c r="BG50" s="466">
        <v>24.3</v>
      </c>
      <c r="BH50" s="466">
        <v>15.2</v>
      </c>
      <c r="BI50" s="466">
        <v>19.2</v>
      </c>
      <c r="BJ50" s="466">
        <v>21.5</v>
      </c>
      <c r="BK50" s="466">
        <v>24.9</v>
      </c>
      <c r="BL50" s="466">
        <v>15.6</v>
      </c>
      <c r="BM50" s="466">
        <v>47.8</v>
      </c>
      <c r="BN50" s="466">
        <v>34.599999999999994</v>
      </c>
      <c r="BO50" s="466">
        <v>29.299999999999997</v>
      </c>
      <c r="BP50" s="466">
        <v>67.400000000000006</v>
      </c>
      <c r="BQ50" s="466">
        <v>48.8</v>
      </c>
      <c r="BR50" s="558">
        <v>57.699999999999996</v>
      </c>
      <c r="BS50" s="466">
        <v>24.6</v>
      </c>
      <c r="BT50" s="466">
        <v>51.300000000000004</v>
      </c>
      <c r="BU50" s="466">
        <v>51.6</v>
      </c>
      <c r="BV50" s="466">
        <v>44.2</v>
      </c>
      <c r="BW50" s="466">
        <v>57.999999999999993</v>
      </c>
      <c r="BX50" s="466">
        <v>71.099999999999994</v>
      </c>
      <c r="BY50" s="466">
        <v>60</v>
      </c>
      <c r="BZ50" s="466">
        <v>67.2</v>
      </c>
      <c r="CA50" s="466">
        <v>57.099999999999994</v>
      </c>
      <c r="CB50" s="558">
        <v>76.2</v>
      </c>
      <c r="CC50" s="466">
        <v>62</v>
      </c>
      <c r="CD50" s="466">
        <v>38.299999999999997</v>
      </c>
      <c r="CE50" s="466">
        <v>41.3</v>
      </c>
      <c r="CF50" s="466">
        <v>88.6</v>
      </c>
      <c r="CG50" s="466">
        <v>89.1</v>
      </c>
      <c r="CH50" s="466">
        <v>112.3</v>
      </c>
      <c r="CI50" s="466">
        <v>61.7</v>
      </c>
      <c r="CJ50" s="466">
        <v>141.30000000000001</v>
      </c>
      <c r="CK50" s="466">
        <v>72.599999999999994</v>
      </c>
      <c r="CL50" s="319">
        <v>76</v>
      </c>
    </row>
    <row r="51" spans="1:90">
      <c r="A51" s="80">
        <f>ROWS($A$3:A49)</f>
        <v>47</v>
      </c>
      <c r="B51" s="388" t="s">
        <v>92</v>
      </c>
      <c r="C51" s="204">
        <v>2014</v>
      </c>
      <c r="D51" s="259" t="s">
        <v>9</v>
      </c>
      <c r="E51" s="447">
        <v>42909</v>
      </c>
      <c r="F51" s="541">
        <v>6855</v>
      </c>
      <c r="G51" s="542">
        <v>6849</v>
      </c>
      <c r="H51" s="542">
        <v>6182</v>
      </c>
      <c r="I51" s="543">
        <v>6909</v>
      </c>
      <c r="J51" s="141"/>
      <c r="K51" s="145">
        <f t="shared" si="72"/>
        <v>7366</v>
      </c>
      <c r="L51" s="146">
        <f t="shared" si="73"/>
        <v>6603</v>
      </c>
      <c r="M51" s="146">
        <f t="shared" si="74"/>
        <v>6958</v>
      </c>
      <c r="N51" s="146">
        <f t="shared" si="75"/>
        <v>6265</v>
      </c>
      <c r="O51" s="146">
        <f t="shared" si="76"/>
        <v>6267</v>
      </c>
      <c r="P51" s="143">
        <f>IF(ISERROR(P95/P42)=TRUE,0,ROUND(P95/P42*1000,0))</f>
        <v>5924</v>
      </c>
      <c r="Q51" s="146">
        <f>'2010'!AU51</f>
        <v>4651</v>
      </c>
      <c r="R51" s="143">
        <f>IF(ISERROR(R95/R42)=TRUE,0,ROUND(R95/R42*1000,0))</f>
        <v>6124</v>
      </c>
      <c r="S51" s="146">
        <f t="shared" si="77"/>
        <v>5573</v>
      </c>
      <c r="T51" s="146">
        <f t="shared" si="78"/>
        <v>6480</v>
      </c>
      <c r="U51" s="147">
        <f t="shared" si="78"/>
        <v>6923</v>
      </c>
      <c r="V51" s="143">
        <f>IF(ISERROR(V95/V42)=TRUE,0,ROUND(V95/V42*1000,0))</f>
        <v>2067</v>
      </c>
      <c r="W51" s="146">
        <f t="shared" si="79"/>
        <v>6659</v>
      </c>
      <c r="X51" s="143">
        <f>IF(ISERROR(X95/X42)=TRUE,0,ROUND(X95/X42*1000,0))</f>
        <v>3170</v>
      </c>
      <c r="Y51" s="143">
        <f>IF(ISERROR(Y95/Y42)=TRUE,0,ROUND(Y95/Y42*1000,0))</f>
        <v>5073</v>
      </c>
      <c r="Z51" s="146">
        <f t="shared" si="80"/>
        <v>6863</v>
      </c>
      <c r="AA51" s="143">
        <f>IF(ISERROR(AA95/AA42)=TRUE,0,ROUND(AA95/AA42*1000,0))</f>
        <v>4641</v>
      </c>
      <c r="AB51" s="147">
        <f t="shared" si="81"/>
        <v>6693</v>
      </c>
      <c r="AC51" s="146">
        <f t="shared" si="82"/>
        <v>6137</v>
      </c>
      <c r="AD51" s="146">
        <f t="shared" si="83"/>
        <v>5489</v>
      </c>
      <c r="AE51" s="143">
        <f>IF(ISERROR(AE95/AE42)=TRUE,0,ROUND(AE95/AE42*1000,0))</f>
        <v>4150</v>
      </c>
      <c r="AF51" s="146">
        <f t="shared" si="84"/>
        <v>5311</v>
      </c>
      <c r="AG51" s="146">
        <f t="shared" si="85"/>
        <v>5340</v>
      </c>
      <c r="AH51" s="146">
        <f t="shared" si="86"/>
        <v>6744</v>
      </c>
      <c r="AI51" s="146">
        <f t="shared" si="87"/>
        <v>5984</v>
      </c>
      <c r="AJ51" s="146">
        <f t="shared" si="88"/>
        <v>7040</v>
      </c>
      <c r="AK51" s="147">
        <f t="shared" si="89"/>
        <v>6591</v>
      </c>
      <c r="AL51" s="146">
        <f t="shared" si="90"/>
        <v>6999</v>
      </c>
      <c r="AM51" s="146">
        <f t="shared" si="91"/>
        <v>6780</v>
      </c>
      <c r="AN51" s="146">
        <f t="shared" si="92"/>
        <v>6929</v>
      </c>
      <c r="AO51" s="146">
        <f t="shared" si="93"/>
        <v>6692</v>
      </c>
      <c r="AP51" s="146" t="str">
        <f t="shared" si="93"/>
        <v>*</v>
      </c>
      <c r="AQ51" s="146">
        <f t="shared" si="94"/>
        <v>7132</v>
      </c>
      <c r="AR51" s="146">
        <f t="shared" si="95"/>
        <v>6742</v>
      </c>
      <c r="AS51" s="144">
        <f>IF(ISERROR(AS95/AS42)=TRUE,0,ROUND(AS95/AS42*1000,0))</f>
        <v>5822</v>
      </c>
      <c r="AT51" s="542"/>
      <c r="AU51" s="542">
        <v>6697</v>
      </c>
      <c r="AV51" s="542">
        <v>5573</v>
      </c>
      <c r="AW51" s="542">
        <v>6265</v>
      </c>
      <c r="AX51" s="542">
        <v>7278</v>
      </c>
      <c r="AY51" s="542">
        <v>6603</v>
      </c>
      <c r="AZ51" s="542"/>
      <c r="BA51" s="542">
        <v>7394</v>
      </c>
      <c r="BB51" s="542">
        <v>6480</v>
      </c>
      <c r="BC51" s="542">
        <v>6923</v>
      </c>
      <c r="BD51" s="542">
        <v>6958</v>
      </c>
      <c r="BE51" s="542">
        <v>6267</v>
      </c>
      <c r="BF51" s="562">
        <v>7366</v>
      </c>
      <c r="BG51" s="542"/>
      <c r="BH51" s="542"/>
      <c r="BI51" s="542">
        <v>5949</v>
      </c>
      <c r="BJ51" s="542">
        <v>5479</v>
      </c>
      <c r="BK51" s="542"/>
      <c r="BL51" s="542"/>
      <c r="BM51" s="542">
        <v>6863</v>
      </c>
      <c r="BN51" s="542">
        <v>7482</v>
      </c>
      <c r="BO51" s="542"/>
      <c r="BP51" s="542">
        <v>6693</v>
      </c>
      <c r="BQ51" s="542">
        <v>7054</v>
      </c>
      <c r="BR51" s="562">
        <v>6659</v>
      </c>
      <c r="BS51" s="542"/>
      <c r="BT51" s="542">
        <v>5970</v>
      </c>
      <c r="BU51" s="542">
        <v>5489</v>
      </c>
      <c r="BV51" s="542">
        <v>5340</v>
      </c>
      <c r="BW51" s="542">
        <v>5984</v>
      </c>
      <c r="BX51" s="542">
        <v>6137</v>
      </c>
      <c r="BY51" s="542">
        <v>7040</v>
      </c>
      <c r="BZ51" s="542">
        <v>6744</v>
      </c>
      <c r="CA51" s="542">
        <v>5311</v>
      </c>
      <c r="CB51" s="562">
        <v>6591</v>
      </c>
      <c r="CC51" s="542">
        <v>6692</v>
      </c>
      <c r="CD51" s="542" t="s">
        <v>233</v>
      </c>
      <c r="CE51" s="542">
        <v>6999</v>
      </c>
      <c r="CF51" s="542"/>
      <c r="CG51" s="542">
        <v>6973</v>
      </c>
      <c r="CH51" s="542">
        <v>6780</v>
      </c>
      <c r="CI51" s="542">
        <v>6742</v>
      </c>
      <c r="CJ51" s="542">
        <v>6929</v>
      </c>
      <c r="CK51" s="543">
        <v>7132</v>
      </c>
      <c r="CL51" s="553">
        <v>6750</v>
      </c>
    </row>
    <row r="52" spans="1:90">
      <c r="A52" s="80">
        <f>ROWS($A$3:A50)</f>
        <v>48</v>
      </c>
      <c r="B52" s="388" t="s">
        <v>357</v>
      </c>
      <c r="C52" s="387">
        <v>2014</v>
      </c>
      <c r="D52" s="259" t="s">
        <v>358</v>
      </c>
      <c r="E52" s="447">
        <v>42909</v>
      </c>
      <c r="F52" s="536">
        <v>676.4</v>
      </c>
      <c r="G52" s="537">
        <v>162.30000000000001</v>
      </c>
      <c r="H52" s="537">
        <v>415.8</v>
      </c>
      <c r="I52" s="538">
        <v>1102.0999999999999</v>
      </c>
      <c r="J52" s="141"/>
      <c r="K52" s="178">
        <f t="shared" si="72"/>
        <v>185</v>
      </c>
      <c r="L52" s="179">
        <f t="shared" si="73"/>
        <v>46.2</v>
      </c>
      <c r="M52" s="179">
        <f t="shared" si="74"/>
        <v>44.8</v>
      </c>
      <c r="N52" s="179">
        <f t="shared" si="75"/>
        <v>65.099999999999994</v>
      </c>
      <c r="O52" s="179">
        <f t="shared" si="76"/>
        <v>43.8</v>
      </c>
      <c r="P52" s="179">
        <f>BA52</f>
        <v>28.3</v>
      </c>
      <c r="Q52" s="179">
        <f>'2009'!AU52</f>
        <v>18.2</v>
      </c>
      <c r="R52" s="179">
        <f>AT52+AX52</f>
        <v>33.9</v>
      </c>
      <c r="S52" s="179">
        <f t="shared" si="77"/>
        <v>13.4</v>
      </c>
      <c r="T52" s="179">
        <f t="shared" si="78"/>
        <v>47.7</v>
      </c>
      <c r="U52" s="180">
        <f t="shared" si="78"/>
        <v>150.19999999999999</v>
      </c>
      <c r="V52" s="179">
        <f>BJ52</f>
        <v>2.1</v>
      </c>
      <c r="W52" s="179">
        <f t="shared" si="79"/>
        <v>27</v>
      </c>
      <c r="X52" s="179">
        <f>BI52</f>
        <v>8.4</v>
      </c>
      <c r="Y52" s="179">
        <f>BN52</f>
        <v>25</v>
      </c>
      <c r="Z52" s="179">
        <f t="shared" si="80"/>
        <v>53.8</v>
      </c>
      <c r="AA52" s="179">
        <f>BQ52</f>
        <v>21.4</v>
      </c>
      <c r="AB52" s="180">
        <f t="shared" si="81"/>
        <v>24.6</v>
      </c>
      <c r="AC52" s="179">
        <f t="shared" si="82"/>
        <v>76.5</v>
      </c>
      <c r="AD52" s="179">
        <f t="shared" si="83"/>
        <v>18.600000000000001</v>
      </c>
      <c r="AE52" s="179">
        <f>BT52</f>
        <v>58.4</v>
      </c>
      <c r="AF52" s="179">
        <f t="shared" si="84"/>
        <v>17.2</v>
      </c>
      <c r="AG52" s="179">
        <f t="shared" si="85"/>
        <v>39.299999999999997</v>
      </c>
      <c r="AH52" s="179">
        <f t="shared" si="86"/>
        <v>64.900000000000006</v>
      </c>
      <c r="AI52" s="179">
        <f t="shared" si="87"/>
        <v>28.1</v>
      </c>
      <c r="AJ52" s="179">
        <f t="shared" si="88"/>
        <v>41.7</v>
      </c>
      <c r="AK52" s="180">
        <f t="shared" si="89"/>
        <v>70.400000000000006</v>
      </c>
      <c r="AL52" s="179">
        <f t="shared" si="90"/>
        <v>24.9</v>
      </c>
      <c r="AM52" s="179">
        <f t="shared" si="91"/>
        <v>229.4</v>
      </c>
      <c r="AN52" s="179">
        <f t="shared" si="92"/>
        <v>489.5</v>
      </c>
      <c r="AO52" s="179">
        <f t="shared" si="93"/>
        <v>54.9</v>
      </c>
      <c r="AP52" s="179">
        <f t="shared" si="93"/>
        <v>10.6</v>
      </c>
      <c r="AQ52" s="179">
        <f t="shared" si="94"/>
        <v>95.7</v>
      </c>
      <c r="AR52" s="179">
        <f t="shared" si="95"/>
        <v>62.7</v>
      </c>
      <c r="AS52" s="391">
        <f>CG52</f>
        <v>134.19999999999999</v>
      </c>
      <c r="AT52" s="537">
        <v>2.2000000000000002</v>
      </c>
      <c r="AU52" s="537">
        <v>18.7</v>
      </c>
      <c r="AV52" s="537">
        <v>13.4</v>
      </c>
      <c r="AW52" s="537">
        <v>65.099999999999994</v>
      </c>
      <c r="AX52" s="537">
        <v>31.7</v>
      </c>
      <c r="AY52" s="537">
        <v>46.2</v>
      </c>
      <c r="AZ52" s="537" t="s">
        <v>233</v>
      </c>
      <c r="BA52" s="537">
        <v>28.3</v>
      </c>
      <c r="BB52" s="537">
        <v>47.7</v>
      </c>
      <c r="BC52" s="537">
        <v>150.19999999999999</v>
      </c>
      <c r="BD52" s="537">
        <v>44.8</v>
      </c>
      <c r="BE52" s="537">
        <v>43.8</v>
      </c>
      <c r="BF52" s="563">
        <v>185</v>
      </c>
      <c r="BG52" s="537" t="s">
        <v>233</v>
      </c>
      <c r="BH52" s="537" t="s">
        <v>233</v>
      </c>
      <c r="BI52" s="537">
        <v>8.4</v>
      </c>
      <c r="BJ52" s="537">
        <v>2.1</v>
      </c>
      <c r="BK52" s="537" t="s">
        <v>233</v>
      </c>
      <c r="BL52" s="537" t="s">
        <v>233</v>
      </c>
      <c r="BM52" s="537">
        <v>53.8</v>
      </c>
      <c r="BN52" s="537">
        <v>25</v>
      </c>
      <c r="BO52" s="537" t="s">
        <v>233</v>
      </c>
      <c r="BP52" s="537">
        <v>24.6</v>
      </c>
      <c r="BQ52" s="537">
        <v>21.4</v>
      </c>
      <c r="BR52" s="563">
        <v>27</v>
      </c>
      <c r="BS52" s="537" t="s">
        <v>233</v>
      </c>
      <c r="BT52" s="537">
        <v>58.4</v>
      </c>
      <c r="BU52" s="537">
        <v>18.600000000000001</v>
      </c>
      <c r="BV52" s="537">
        <v>39.299999999999997</v>
      </c>
      <c r="BW52" s="537">
        <v>28.1</v>
      </c>
      <c r="BX52" s="537">
        <v>76.5</v>
      </c>
      <c r="BY52" s="537">
        <v>41.7</v>
      </c>
      <c r="BZ52" s="537">
        <v>64.900000000000006</v>
      </c>
      <c r="CA52" s="537">
        <v>17.2</v>
      </c>
      <c r="CB52" s="563">
        <v>70.400000000000006</v>
      </c>
      <c r="CC52" s="537">
        <v>54.9</v>
      </c>
      <c r="CD52" s="537">
        <v>10.6</v>
      </c>
      <c r="CE52" s="537">
        <v>24.9</v>
      </c>
      <c r="CF52" s="537" t="s">
        <v>233</v>
      </c>
      <c r="CG52" s="537">
        <v>134.19999999999999</v>
      </c>
      <c r="CH52" s="537">
        <v>229.4</v>
      </c>
      <c r="CI52" s="537">
        <v>62.7</v>
      </c>
      <c r="CJ52" s="537">
        <v>489.5</v>
      </c>
      <c r="CK52" s="538">
        <v>95.7</v>
      </c>
      <c r="CL52" s="564">
        <v>2356.6</v>
      </c>
    </row>
    <row r="53" spans="1:90">
      <c r="A53" s="80">
        <f>ROWS($A$3:A51)</f>
        <v>49</v>
      </c>
      <c r="B53" s="498" t="str">
        <f>"Änderung der Milcherzeugung "&amp;C51&amp;"/"&amp;"2010"</f>
        <v>Änderung der Milcherzeugung 2014/2010</v>
      </c>
      <c r="C53" s="252">
        <v>2014</v>
      </c>
      <c r="D53" s="259" t="s">
        <v>3</v>
      </c>
      <c r="E53" s="447">
        <v>42919</v>
      </c>
      <c r="F53" s="539">
        <f>F52/'2010'!F52%-100</f>
        <v>4.5117428924598215</v>
      </c>
      <c r="G53" s="521">
        <f>G52/'2010'!G52%-100</f>
        <v>8.4168336673346857</v>
      </c>
      <c r="H53" s="521">
        <f>H52/'2010'!H52%-100</f>
        <v>7.082152974504254</v>
      </c>
      <c r="I53" s="540">
        <f>I52/'2010'!I52%-100</f>
        <v>4.6529294463963566</v>
      </c>
      <c r="J53" s="173"/>
      <c r="K53" s="178">
        <f>K52/'2010'!K52%-100</f>
        <v>6.4441887226697219</v>
      </c>
      <c r="L53" s="179">
        <f>L52/'2010'!L52%-100</f>
        <v>5</v>
      </c>
      <c r="M53" s="179">
        <f>M52/'2010'!M52%-100</f>
        <v>2.0501138952163984</v>
      </c>
      <c r="N53" s="179">
        <f>N52/'2010'!N52%-100</f>
        <v>7.9601990049751237</v>
      </c>
      <c r="O53" s="179">
        <f>O52/'2010'!O52%-100</f>
        <v>-4.9891540130151952</v>
      </c>
      <c r="P53" s="168">
        <f>P52/'2010'!P52%-100</f>
        <v>-1.3937282229965007</v>
      </c>
      <c r="Q53" s="179">
        <f>Q52/'2010'!Q52%-100</f>
        <v>0</v>
      </c>
      <c r="R53" s="168">
        <f>R52/'2010'!R52%-100</f>
        <v>4.6296296296296191</v>
      </c>
      <c r="S53" s="179">
        <f>S52/'2010'!S52%-100</f>
        <v>3.8759689922480618</v>
      </c>
      <c r="T53" s="179">
        <f>T52/'2010'!T52%-100</f>
        <v>5.2980132450331325</v>
      </c>
      <c r="U53" s="180">
        <f>U52/'2010'!U52%-100</f>
        <v>5.9985885673959132</v>
      </c>
      <c r="V53" s="168">
        <f>V52/'2010'!V52%-100</f>
        <v>5</v>
      </c>
      <c r="W53" s="179">
        <f>W52/'2010'!W52%-100</f>
        <v>12.033195020746874</v>
      </c>
      <c r="X53" s="168">
        <f>X52/'2010'!X52%-100</f>
        <v>25.373134328358205</v>
      </c>
      <c r="Y53" s="168">
        <f>Y52/'2010'!Y52%-100</f>
        <v>0</v>
      </c>
      <c r="Z53" s="179">
        <f>Z52/'2010'!Z52%-100</f>
        <v>6.958250497017886</v>
      </c>
      <c r="AA53" s="168">
        <f>AA52/'2010'!AA52%-100</f>
        <v>-45.128205128205131</v>
      </c>
      <c r="AB53" s="180">
        <f>AB52/'2010'!AB52%-100</f>
        <v>11.312217194570138</v>
      </c>
      <c r="AC53" s="179">
        <f>AC52/'2010'!AC52%-100</f>
        <v>12.334801762114552</v>
      </c>
      <c r="AD53" s="179">
        <f>AD52/'2010'!AD52%-100</f>
        <v>-3.125</v>
      </c>
      <c r="AE53" s="168">
        <f>AE52/'2010'!AE52%-100</f>
        <v>-1.0169491525423666</v>
      </c>
      <c r="AF53" s="179">
        <f>AF52/'2010'!AF52%-100</f>
        <v>-8.5106382978723474</v>
      </c>
      <c r="AG53" s="179">
        <f>AG52/'2010'!AG52%-100</f>
        <v>-3.4398034398034554</v>
      </c>
      <c r="AH53" s="179">
        <f>AH52/'2010'!AH52%-100</f>
        <v>9.6283783783783718</v>
      </c>
      <c r="AI53" s="179">
        <f>AI52/'2010'!AI52%-100</f>
        <v>-0.35460992907799493</v>
      </c>
      <c r="AJ53" s="179">
        <f>AJ52/'2010'!AJ52%-100</f>
        <v>20.869565217391326</v>
      </c>
      <c r="AK53" s="180">
        <f>AK52/'2010'!AK52%-100</f>
        <v>15.789473684210535</v>
      </c>
      <c r="AL53" s="179">
        <f>AL52/'2010'!AL52%-100</f>
        <v>12.162162162162161</v>
      </c>
      <c r="AM53" s="179">
        <f>AM52/'2010'!AM52%-100</f>
        <v>0.79086115992971884</v>
      </c>
      <c r="AN53" s="179">
        <f>AN52/'2010'!AN52%-100</f>
        <v>5.2009456264775338</v>
      </c>
      <c r="AO53" s="179">
        <f>AO52/'2010'!AO52%-100</f>
        <v>5.1724137931034448</v>
      </c>
      <c r="AP53" s="179">
        <f>AP52/'2010'!AP52%-100</f>
        <v>10.416666666666657</v>
      </c>
      <c r="AQ53" s="179">
        <f>AQ52/'2010'!AQ52%-100</f>
        <v>16.992665036674822</v>
      </c>
      <c r="AR53" s="179">
        <f>AR52/'2010'!AR52%-100</f>
        <v>-3.3898305084745743</v>
      </c>
      <c r="AS53" s="169">
        <f>AS52/'2010'!AS52%-100</f>
        <v>3.629343629343623</v>
      </c>
      <c r="AT53" s="521">
        <f>AT52/'2010'!AT52%-100</f>
        <v>0</v>
      </c>
      <c r="AU53" s="521">
        <f>AU52/'2010'!AU52%-100</f>
        <v>3.8888888888888857</v>
      </c>
      <c r="AV53" s="521">
        <f>AV52/'2010'!AV52%-100</f>
        <v>3.8759689922480618</v>
      </c>
      <c r="AW53" s="521">
        <f>AW52/'2010'!AW52%-100</f>
        <v>7.9601990049751237</v>
      </c>
      <c r="AX53" s="521">
        <f>AX52/'2010'!AX52%-100</f>
        <v>4.966887417218544</v>
      </c>
      <c r="AY53" s="521">
        <f>AY52/'2010'!AY52%-100</f>
        <v>5</v>
      </c>
      <c r="AZ53" s="521" t="s">
        <v>233</v>
      </c>
      <c r="BA53" s="521">
        <f>BA52/'2010'!BA52%-100</f>
        <v>-1.3937282229965007</v>
      </c>
      <c r="BB53" s="521">
        <f>BB52/'2010'!BB52%-100</f>
        <v>5.2980132450331325</v>
      </c>
      <c r="BC53" s="521">
        <f>BC52/'2010'!BC52%-100</f>
        <v>5.9985885673959132</v>
      </c>
      <c r="BD53" s="521">
        <f>BD52/'2010'!BD52%-100</f>
        <v>2.0501138952163984</v>
      </c>
      <c r="BE53" s="521">
        <f>BE52/'2010'!BE52%-100</f>
        <v>-4.9891540130151952</v>
      </c>
      <c r="BF53" s="559">
        <f>BF52/'2010'!BF52%-100</f>
        <v>6.4441887226697219</v>
      </c>
      <c r="BG53" s="521" t="s">
        <v>233</v>
      </c>
      <c r="BH53" s="521" t="s">
        <v>233</v>
      </c>
      <c r="BI53" s="521">
        <f>BI52/'2010'!BI52%-100</f>
        <v>25.373134328358205</v>
      </c>
      <c r="BJ53" s="521">
        <f>BJ52/'2010'!BJ52%-100</f>
        <v>5</v>
      </c>
      <c r="BK53" s="521" t="s">
        <v>233</v>
      </c>
      <c r="BL53" s="521" t="s">
        <v>233</v>
      </c>
      <c r="BM53" s="521">
        <f>BM52/'2010'!BM52%-100</f>
        <v>6.958250497017886</v>
      </c>
      <c r="BN53" s="521">
        <f>BN52/'2010'!BN52%-100</f>
        <v>0</v>
      </c>
      <c r="BO53" s="521" t="s">
        <v>233</v>
      </c>
      <c r="BP53" s="521">
        <f>BP52/'2010'!BP52%-100</f>
        <v>11.312217194570138</v>
      </c>
      <c r="BQ53" s="521">
        <f>BQ52/'2010'!BQ52%-100</f>
        <v>9.7435897435897374</v>
      </c>
      <c r="BR53" s="559">
        <f>BR52/'2010'!BR52%-100</f>
        <v>12.033195020746874</v>
      </c>
      <c r="BS53" s="521" t="s">
        <v>233</v>
      </c>
      <c r="BT53" s="521">
        <f>BT52/'2010'!BT52%-100</f>
        <v>-1.0169491525423666</v>
      </c>
      <c r="BU53" s="521">
        <f>BU52/'2010'!BU52%-100</f>
        <v>-3.125</v>
      </c>
      <c r="BV53" s="521">
        <f>BV52/'2010'!BV52%-100</f>
        <v>-3.4398034398034554</v>
      </c>
      <c r="BW53" s="521">
        <f>BW52/'2010'!BW52%-100</f>
        <v>-0.35460992907799493</v>
      </c>
      <c r="BX53" s="521">
        <f>BX52/'2010'!BX52%-100</f>
        <v>12.334801762114552</v>
      </c>
      <c r="BY53" s="521">
        <f>BY52/'2010'!BY52%-100</f>
        <v>20.869565217391326</v>
      </c>
      <c r="BZ53" s="521">
        <f>BZ52/'2010'!BZ52%-100</f>
        <v>9.6283783783783718</v>
      </c>
      <c r="CA53" s="521">
        <f>CA52/'2010'!CA52%-100</f>
        <v>-8.5106382978723474</v>
      </c>
      <c r="CB53" s="559">
        <f>CB52/'2010'!CB52%-100</f>
        <v>15.789473684210535</v>
      </c>
      <c r="CC53" s="521">
        <f>CC52/'2010'!CC52%-100</f>
        <v>5.1724137931034448</v>
      </c>
      <c r="CD53" s="521">
        <f>CD52/'2010'!CD52%-100</f>
        <v>10.416666666666657</v>
      </c>
      <c r="CE53" s="521">
        <f>CE52/'2010'!CE52%-100</f>
        <v>12.162162162162161</v>
      </c>
      <c r="CF53" s="521" t="s">
        <v>233</v>
      </c>
      <c r="CG53" s="521">
        <f>CG52/'2010'!CG52%-100</f>
        <v>3.629343629343623</v>
      </c>
      <c r="CH53" s="521">
        <f>CH52/'2010'!CH52%-100</f>
        <v>0.79086115992971884</v>
      </c>
      <c r="CI53" s="521">
        <f>CI52/'2010'!CI52%-100</f>
        <v>-3.3898305084745743</v>
      </c>
      <c r="CJ53" s="521">
        <f>CJ52/'2010'!CJ52%-100</f>
        <v>5.2009456264775338</v>
      </c>
      <c r="CK53" s="540">
        <f>CK52/'2010'!CK52%-100</f>
        <v>16.992665036674822</v>
      </c>
      <c r="CL53" s="560">
        <f>CL52/'2010'!CL52%-100</f>
        <v>5.6060945552318913</v>
      </c>
    </row>
    <row r="54" spans="1:90">
      <c r="A54" s="80">
        <f>ROWS($A$3:A52)</f>
        <v>50</v>
      </c>
      <c r="B54" s="499" t="str">
        <f>"Änderung der Milchkühe "&amp;C51&amp;"/"&amp;C97</f>
        <v>Änderung der Milchkühe 2014/2001</v>
      </c>
      <c r="C54" s="253">
        <v>2014</v>
      </c>
      <c r="D54" s="262" t="s">
        <v>3</v>
      </c>
      <c r="E54" s="452">
        <v>40441</v>
      </c>
      <c r="F54" s="544">
        <f>IF(ISERROR(F42/F97)=FALSE,ROUND((F42-F97)/F97%,3)," -")</f>
        <v>-7.835</v>
      </c>
      <c r="G54" s="545">
        <f>IF(ISERROR(G42/G97)=FALSE,ROUND((G42-G97)/G97%,3)," -")</f>
        <v>1.4390000000000001</v>
      </c>
      <c r="H54" s="545">
        <f>IF(ISERROR(H42/H97)=FALSE,ROUND((H42-H97)/H97%,3)," -")</f>
        <v>7.6319999999999997</v>
      </c>
      <c r="I54" s="546">
        <f>IF(ISERROR(I42/I97)=FALSE,ROUND((I42-I97)/I97%,3)," -")</f>
        <v>-7.89</v>
      </c>
      <c r="J54" s="279"/>
      <c r="K54" s="184">
        <f t="shared" si="72"/>
        <v>-3.0000000000000001E-3</v>
      </c>
      <c r="L54" s="185">
        <f t="shared" si="73"/>
        <v>-2.653</v>
      </c>
      <c r="M54" s="185">
        <f t="shared" si="74"/>
        <v>-26.018000000000001</v>
      </c>
      <c r="N54" s="185">
        <f t="shared" si="75"/>
        <v>-0.44400000000000001</v>
      </c>
      <c r="O54" s="185">
        <f t="shared" si="76"/>
        <v>-18.891999999999999</v>
      </c>
      <c r="P54" s="182">
        <f>IF(ISERROR(P42/P97)=FALSE,ROUND((P42-P97)/P97%,3)," -")</f>
        <v>-31.481000000000002</v>
      </c>
      <c r="Q54" s="185">
        <f>'2010'!AU54</f>
        <v>2.2530000000000001</v>
      </c>
      <c r="R54" s="182">
        <f>IF(ISERROR(R42/R97)=FALSE,ROUND((R42-R97)/R97%,3)," -")</f>
        <v>-26.042000000000002</v>
      </c>
      <c r="S54" s="185">
        <f t="shared" si="77"/>
        <v>-10.87</v>
      </c>
      <c r="T54" s="185">
        <f t="shared" si="78"/>
        <v>-7.9240000000000004</v>
      </c>
      <c r="U54" s="186">
        <f t="shared" si="78"/>
        <v>-2.431</v>
      </c>
      <c r="V54" s="182">
        <f>IF(ISERROR(V42/V97)=FALSE,ROUND((V42-V97)/V97%,3)," -")</f>
        <v>25.375</v>
      </c>
      <c r="W54" s="185">
        <f t="shared" si="79"/>
        <v>1.1379999999999999</v>
      </c>
      <c r="X54" s="182">
        <f>IF(ISERROR(X42/X97)=FALSE,ROUND((X42-X97)/X97%,3)," -")</f>
        <v>-3.9489999999999998</v>
      </c>
      <c r="Y54" s="182">
        <f>IF(ISERROR(Y42/Y97)=FALSE,ROUND((Y42-Y97)/Y97%,3)," -")</f>
        <v>-13.526999999999999</v>
      </c>
      <c r="Z54" s="185">
        <f t="shared" si="80"/>
        <v>-9.6259999999999994</v>
      </c>
      <c r="AA54" s="182">
        <f>IF(ISERROR(AA42/AA97)=FALSE,ROUND((AA42-AA97)/AA97%,3)," -")</f>
        <v>21.381</v>
      </c>
      <c r="AB54" s="186">
        <f t="shared" si="81"/>
        <v>16.98</v>
      </c>
      <c r="AC54" s="185">
        <f t="shared" si="82"/>
        <v>6.1980000000000004</v>
      </c>
      <c r="AD54" s="185">
        <f t="shared" si="83"/>
        <v>10.356</v>
      </c>
      <c r="AE54" s="182">
        <f>IF(ISERROR(AE42/AE97)=FALSE,ROUND((AE42-AE97)/AE97%,3)," -")</f>
        <v>7.8890000000000002</v>
      </c>
      <c r="AF54" s="185">
        <f t="shared" si="84"/>
        <v>17.878</v>
      </c>
      <c r="AG54" s="185">
        <f t="shared" si="85"/>
        <v>-4.2809999999999997</v>
      </c>
      <c r="AH54" s="185">
        <f t="shared" si="86"/>
        <v>1.1180000000000001</v>
      </c>
      <c r="AI54" s="185">
        <f t="shared" si="87"/>
        <v>-12.058999999999999</v>
      </c>
      <c r="AJ54" s="185">
        <f t="shared" si="88"/>
        <v>30.975000000000001</v>
      </c>
      <c r="AK54" s="186">
        <f t="shared" si="89"/>
        <v>21.07</v>
      </c>
      <c r="AL54" s="185">
        <f t="shared" si="90"/>
        <v>51.167999999999999</v>
      </c>
      <c r="AM54" s="185">
        <f t="shared" si="91"/>
        <v>-11.484</v>
      </c>
      <c r="AN54" s="185">
        <f t="shared" si="92"/>
        <v>-6.9279999999999999</v>
      </c>
      <c r="AO54" s="185">
        <f t="shared" si="93"/>
        <v>-7.57</v>
      </c>
      <c r="AP54" s="185">
        <f t="shared" si="93"/>
        <v>-29.524999999999999</v>
      </c>
      <c r="AQ54" s="185">
        <f t="shared" si="94"/>
        <v>-4.8470000000000004</v>
      </c>
      <c r="AR54" s="185">
        <f t="shared" si="95"/>
        <v>-22.564</v>
      </c>
      <c r="AS54" s="183">
        <f>IF(ISERROR(AS42/AS97)=FALSE,ROUND((AS42-AS97)/AS97%,3)," -")</f>
        <v>-8.8770000000000007</v>
      </c>
      <c r="AT54" s="545">
        <f>IF(ISERROR(AT42/AT97)=FALSE,ROUND((AT42-AT97)/AT97%,3)," -")</f>
        <v>-100</v>
      </c>
      <c r="AU54" s="545">
        <f t="shared" ref="AU54:CL54" si="99">IF(ISERROR(AU42/AU97)=FALSE,ROUND((AU42-AU97)/AU97%,3)," -")</f>
        <v>-3.3090000000000002</v>
      </c>
      <c r="AV54" s="545">
        <f t="shared" si="99"/>
        <v>-10.87</v>
      </c>
      <c r="AW54" s="545">
        <f t="shared" si="99"/>
        <v>-0.44400000000000001</v>
      </c>
      <c r="AX54" s="545">
        <f t="shared" si="99"/>
        <v>-19.893999999999998</v>
      </c>
      <c r="AY54" s="545">
        <f t="shared" si="99"/>
        <v>-2.653</v>
      </c>
      <c r="AZ54" s="545">
        <f t="shared" si="99"/>
        <v>-100</v>
      </c>
      <c r="BA54" s="545">
        <f t="shared" si="99"/>
        <v>-28.670999999999999</v>
      </c>
      <c r="BB54" s="545">
        <f t="shared" si="99"/>
        <v>-7.9240000000000004</v>
      </c>
      <c r="BC54" s="545">
        <f t="shared" si="99"/>
        <v>-2.431</v>
      </c>
      <c r="BD54" s="545">
        <f t="shared" si="99"/>
        <v>-26.018000000000001</v>
      </c>
      <c r="BE54" s="545">
        <f t="shared" si="99"/>
        <v>-18.891999999999999</v>
      </c>
      <c r="BF54" s="568">
        <f t="shared" si="99"/>
        <v>-3.0000000000000001E-3</v>
      </c>
      <c r="BG54" s="545" t="str">
        <f t="shared" si="99"/>
        <v xml:space="preserve"> -</v>
      </c>
      <c r="BH54" s="545">
        <f t="shared" si="99"/>
        <v>-100</v>
      </c>
      <c r="BI54" s="545">
        <f t="shared" si="99"/>
        <v>1.508</v>
      </c>
      <c r="BJ54" s="545">
        <f t="shared" si="99"/>
        <v>25.375</v>
      </c>
      <c r="BK54" s="545">
        <f t="shared" si="99"/>
        <v>-100</v>
      </c>
      <c r="BL54" s="545">
        <f t="shared" si="99"/>
        <v>-61.537999999999997</v>
      </c>
      <c r="BM54" s="545">
        <f t="shared" si="99"/>
        <v>-9.6259999999999994</v>
      </c>
      <c r="BN54" s="545">
        <f t="shared" si="99"/>
        <v>-8.2989999999999995</v>
      </c>
      <c r="BO54" s="545">
        <f t="shared" si="99"/>
        <v>-38.938000000000002</v>
      </c>
      <c r="BP54" s="545">
        <f t="shared" si="99"/>
        <v>16.98</v>
      </c>
      <c r="BQ54" s="545">
        <f t="shared" si="99"/>
        <v>25.681999999999999</v>
      </c>
      <c r="BR54" s="568">
        <f t="shared" si="99"/>
        <v>1.1379999999999999</v>
      </c>
      <c r="BS54" s="545" t="str">
        <f t="shared" si="99"/>
        <v xml:space="preserve"> -</v>
      </c>
      <c r="BT54" s="545">
        <f t="shared" si="99"/>
        <v>6.7439999999999998</v>
      </c>
      <c r="BU54" s="545">
        <f t="shared" si="99"/>
        <v>10.356</v>
      </c>
      <c r="BV54" s="545">
        <f t="shared" si="99"/>
        <v>-4.2809999999999997</v>
      </c>
      <c r="BW54" s="545">
        <f t="shared" si="99"/>
        <v>-12.058999999999999</v>
      </c>
      <c r="BX54" s="545">
        <f t="shared" si="99"/>
        <v>6.1980000000000004</v>
      </c>
      <c r="BY54" s="545">
        <f t="shared" si="99"/>
        <v>30.975000000000001</v>
      </c>
      <c r="BZ54" s="545">
        <f t="shared" si="99"/>
        <v>1.1180000000000001</v>
      </c>
      <c r="CA54" s="545">
        <f t="shared" si="99"/>
        <v>17.878</v>
      </c>
      <c r="CB54" s="568">
        <f t="shared" si="99"/>
        <v>21.07</v>
      </c>
      <c r="CC54" s="545">
        <f t="shared" si="99"/>
        <v>-7.57</v>
      </c>
      <c r="CD54" s="545">
        <f t="shared" si="99"/>
        <v>-29.524999999999999</v>
      </c>
      <c r="CE54" s="545">
        <f t="shared" si="99"/>
        <v>51.167999999999999</v>
      </c>
      <c r="CF54" s="545">
        <f t="shared" si="99"/>
        <v>0.69899999999999995</v>
      </c>
      <c r="CG54" s="545">
        <f t="shared" si="99"/>
        <v>-9.3070000000000004</v>
      </c>
      <c r="CH54" s="545">
        <f t="shared" si="99"/>
        <v>-11.484</v>
      </c>
      <c r="CI54" s="545">
        <f t="shared" si="99"/>
        <v>-22.564</v>
      </c>
      <c r="CJ54" s="545">
        <f t="shared" si="99"/>
        <v>-6.9279999999999999</v>
      </c>
      <c r="CK54" s="546">
        <f t="shared" si="99"/>
        <v>-4.8470000000000004</v>
      </c>
      <c r="CL54" s="569">
        <f t="shared" si="99"/>
        <v>-4.1779999999999999</v>
      </c>
    </row>
    <row r="55" spans="1:90" ht="14.25">
      <c r="A55" s="80">
        <f>ROWS($A$3:A53)</f>
        <v>51</v>
      </c>
      <c r="B55" s="59" t="s">
        <v>208</v>
      </c>
      <c r="C55" s="201"/>
      <c r="D55" s="260"/>
      <c r="E55" s="451"/>
      <c r="F55" s="154"/>
      <c r="G55" s="155"/>
      <c r="H55" s="155"/>
      <c r="I55" s="156"/>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c r="A56" s="80">
        <f>ROWS($A$3:A54)</f>
        <v>52</v>
      </c>
      <c r="B56" s="92" t="s">
        <v>54</v>
      </c>
      <c r="C56" s="204">
        <v>2016</v>
      </c>
      <c r="D56" s="259" t="s">
        <v>13</v>
      </c>
      <c r="E56" s="447">
        <v>42549</v>
      </c>
      <c r="F56" s="154">
        <v>257</v>
      </c>
      <c r="G56" s="155">
        <v>227</v>
      </c>
      <c r="H56" s="155">
        <v>266</v>
      </c>
      <c r="I56" s="156">
        <v>302</v>
      </c>
      <c r="J56" s="141"/>
      <c r="K56" s="116">
        <f t="shared" ref="K56:K63" si="100">BF56</f>
        <v>42</v>
      </c>
      <c r="L56" s="137">
        <f t="shared" ref="L56:L63" si="101">AY56</f>
        <v>26</v>
      </c>
      <c r="M56" s="137">
        <f t="shared" ref="M56:M63" si="102">BD56</f>
        <v>36</v>
      </c>
      <c r="N56" s="137">
        <f t="shared" ref="N56:N63" si="103">AW56</f>
        <v>19</v>
      </c>
      <c r="O56" s="137">
        <f t="shared" ref="O56:O63" si="104">BE56</f>
        <v>13</v>
      </c>
      <c r="P56" s="137">
        <f>'2016'!AZ56+'2016'!BA56</f>
        <v>25</v>
      </c>
      <c r="Q56" s="137">
        <f>'2016'!AU56</f>
        <v>20</v>
      </c>
      <c r="R56" s="137">
        <f t="shared" ref="R56:R63" si="105">AT56+AX56</f>
        <v>27</v>
      </c>
      <c r="S56" s="137">
        <f t="shared" ref="S56:S63" si="106">AV56</f>
        <v>29</v>
      </c>
      <c r="T56" s="137">
        <f t="shared" ref="T56:U63" si="107">BB56</f>
        <v>21</v>
      </c>
      <c r="U56" s="139">
        <f t="shared" si="107"/>
        <v>18</v>
      </c>
      <c r="V56" s="137">
        <f t="shared" ref="V56:V63" si="108">BG56+BJ56</f>
        <v>36</v>
      </c>
      <c r="W56" s="137">
        <f t="shared" ref="W56:W63" si="109">BR56</f>
        <v>18</v>
      </c>
      <c r="X56" s="137">
        <f t="shared" ref="X56:X63" si="110">BH56+BI56</f>
        <v>50</v>
      </c>
      <c r="Y56" s="137">
        <f t="shared" ref="Y56:Y63" si="111">BK56+BL56+BN56</f>
        <v>64</v>
      </c>
      <c r="Z56" s="137">
        <f t="shared" ref="Z56:Z63" si="112">BM56</f>
        <v>27</v>
      </c>
      <c r="AA56" s="137">
        <f t="shared" ref="AA56:AA63" si="113">BO56+BQ56</f>
        <v>32</v>
      </c>
      <c r="AB56" s="139">
        <f t="shared" ref="AB56:AB63" si="114">BP56</f>
        <v>26</v>
      </c>
      <c r="AC56" s="137">
        <f t="shared" ref="AC56:AC63" si="115">BX56</f>
        <v>26</v>
      </c>
      <c r="AD56" s="137">
        <f t="shared" ref="AD56:AD63" si="116">BU56</f>
        <v>19</v>
      </c>
      <c r="AE56" s="137">
        <f t="shared" ref="AE56:AE63" si="117">BS56+BT56</f>
        <v>55</v>
      </c>
      <c r="AF56" s="137">
        <f t="shared" ref="AF56:AF63" si="118">CA56</f>
        <v>26</v>
      </c>
      <c r="AG56" s="137">
        <f t="shared" ref="AG56:AG63" si="119">BV56</f>
        <v>23</v>
      </c>
      <c r="AH56" s="137">
        <f t="shared" ref="AH56:AH63" si="120">BZ56</f>
        <v>65</v>
      </c>
      <c r="AI56" s="137">
        <f t="shared" ref="AI56:AI63" si="121">BW56</f>
        <v>10</v>
      </c>
      <c r="AJ56" s="137">
        <f t="shared" ref="AJ56:AJ63" si="122">BY56</f>
        <v>24</v>
      </c>
      <c r="AK56" s="139">
        <f t="shared" ref="AK56:AK63" si="123">CB56</f>
        <v>37</v>
      </c>
      <c r="AL56" s="137">
        <f t="shared" ref="AL56:AL63" si="124">CE56</f>
        <v>53</v>
      </c>
      <c r="AM56" s="137">
        <f t="shared" ref="AM56:AM63" si="125">CH56</f>
        <v>31</v>
      </c>
      <c r="AN56" s="137">
        <f t="shared" ref="AN56:AN63" si="126">CJ56</f>
        <v>76</v>
      </c>
      <c r="AO56" s="137">
        <f t="shared" ref="AO56:AP63" si="127">CC56</f>
        <v>42</v>
      </c>
      <c r="AP56" s="137">
        <f t="shared" si="127"/>
        <v>22</v>
      </c>
      <c r="AQ56" s="137">
        <f t="shared" ref="AQ56:AQ63" si="128">CK56</f>
        <v>25</v>
      </c>
      <c r="AR56" s="137">
        <f t="shared" ref="AR56:AR63" si="129">CI56</f>
        <v>33</v>
      </c>
      <c r="AS56" s="138">
        <f t="shared" ref="AS56:AS63" si="130">CF56+CG56</f>
        <v>35</v>
      </c>
      <c r="AT56" s="155">
        <v>7</v>
      </c>
      <c r="AU56" s="155">
        <v>20</v>
      </c>
      <c r="AV56" s="155">
        <v>29</v>
      </c>
      <c r="AW56" s="155">
        <v>19</v>
      </c>
      <c r="AX56" s="155">
        <v>20</v>
      </c>
      <c r="AY56" s="155">
        <v>26</v>
      </c>
      <c r="AZ56" s="155">
        <v>5</v>
      </c>
      <c r="BA56" s="155">
        <v>20</v>
      </c>
      <c r="BB56" s="155">
        <v>21</v>
      </c>
      <c r="BC56" s="155">
        <v>18</v>
      </c>
      <c r="BD56" s="155">
        <v>36</v>
      </c>
      <c r="BE56" s="155">
        <v>13</v>
      </c>
      <c r="BF56" s="552">
        <v>42</v>
      </c>
      <c r="BG56" s="155">
        <v>7</v>
      </c>
      <c r="BH56" s="155">
        <v>9</v>
      </c>
      <c r="BI56" s="155">
        <v>41</v>
      </c>
      <c r="BJ56" s="155">
        <v>29</v>
      </c>
      <c r="BK56" s="155">
        <v>5</v>
      </c>
      <c r="BL56" s="155">
        <v>9</v>
      </c>
      <c r="BM56" s="155">
        <v>27</v>
      </c>
      <c r="BN56" s="155">
        <v>50</v>
      </c>
      <c r="BO56" s="155">
        <v>3</v>
      </c>
      <c r="BP56" s="155">
        <v>26</v>
      </c>
      <c r="BQ56" s="155">
        <v>29</v>
      </c>
      <c r="BR56" s="552">
        <v>18</v>
      </c>
      <c r="BS56" s="155">
        <v>7</v>
      </c>
      <c r="BT56" s="155">
        <v>48</v>
      </c>
      <c r="BU56" s="155">
        <v>19</v>
      </c>
      <c r="BV56" s="155">
        <v>23</v>
      </c>
      <c r="BW56" s="155">
        <v>10</v>
      </c>
      <c r="BX56" s="155">
        <v>26</v>
      </c>
      <c r="BY56" s="155">
        <v>24</v>
      </c>
      <c r="BZ56" s="155">
        <v>65</v>
      </c>
      <c r="CA56" s="155">
        <v>26</v>
      </c>
      <c r="CB56" s="552">
        <v>37</v>
      </c>
      <c r="CC56" s="155">
        <v>42</v>
      </c>
      <c r="CD56" s="155">
        <v>22</v>
      </c>
      <c r="CE56" s="155">
        <v>53</v>
      </c>
      <c r="CF56" s="155">
        <v>2</v>
      </c>
      <c r="CG56" s="155">
        <v>33</v>
      </c>
      <c r="CH56" s="155">
        <v>31</v>
      </c>
      <c r="CI56" s="155">
        <v>33</v>
      </c>
      <c r="CJ56" s="155">
        <v>76</v>
      </c>
      <c r="CK56" s="156">
        <v>25</v>
      </c>
      <c r="CL56" s="320">
        <v>1052</v>
      </c>
    </row>
    <row r="57" spans="1:90">
      <c r="A57" s="80">
        <f>ROWS($A$3:A55)</f>
        <v>53</v>
      </c>
      <c r="B57" s="92"/>
      <c r="C57" s="203"/>
      <c r="D57" s="259" t="s">
        <v>1</v>
      </c>
      <c r="E57" s="451"/>
      <c r="F57" s="154">
        <v>15464.99</v>
      </c>
      <c r="G57" s="155">
        <v>18628.23</v>
      </c>
      <c r="H57" s="155">
        <v>31661.46</v>
      </c>
      <c r="I57" s="156">
        <v>19269.580000000002</v>
      </c>
      <c r="J57" s="141"/>
      <c r="K57" s="116">
        <f t="shared" si="100"/>
        <v>2050.5100000000002</v>
      </c>
      <c r="L57" s="137">
        <f t="shared" si="101"/>
        <v>833.37</v>
      </c>
      <c r="M57" s="137">
        <f t="shared" si="102"/>
        <v>1093.8499999999999</v>
      </c>
      <c r="N57" s="137">
        <f t="shared" si="103"/>
        <v>2876.77</v>
      </c>
      <c r="O57" s="137">
        <f t="shared" si="104"/>
        <v>1198.06</v>
      </c>
      <c r="P57" s="137">
        <f>'2016'!AZ57+'2016'!BA57</f>
        <v>489.18999999999994</v>
      </c>
      <c r="Q57" s="137">
        <f>'2016'!AU57</f>
        <v>733.65</v>
      </c>
      <c r="R57" s="137">
        <f t="shared" si="105"/>
        <v>1999.5900000000001</v>
      </c>
      <c r="S57" s="137">
        <f t="shared" si="106"/>
        <v>2320.5700000000002</v>
      </c>
      <c r="T57" s="137">
        <f t="shared" si="107"/>
        <v>486.16</v>
      </c>
      <c r="U57" s="139">
        <f t="shared" si="107"/>
        <v>1383.29</v>
      </c>
      <c r="V57" s="137">
        <f t="shared" si="108"/>
        <v>4719.47</v>
      </c>
      <c r="W57" s="137">
        <f t="shared" si="109"/>
        <v>1206.49</v>
      </c>
      <c r="X57" s="137">
        <f t="shared" si="110"/>
        <v>3916.9399999999996</v>
      </c>
      <c r="Y57" s="137">
        <f t="shared" si="111"/>
        <v>3814.47</v>
      </c>
      <c r="Z57" s="137">
        <f t="shared" si="112"/>
        <v>1069.8900000000001</v>
      </c>
      <c r="AA57" s="137">
        <f t="shared" si="113"/>
        <v>1669.94</v>
      </c>
      <c r="AB57" s="139">
        <f t="shared" si="114"/>
        <v>2231.04</v>
      </c>
      <c r="AC57" s="137">
        <f t="shared" si="115"/>
        <v>2085.39</v>
      </c>
      <c r="AD57" s="137">
        <f t="shared" si="116"/>
        <v>3872.7</v>
      </c>
      <c r="AE57" s="137">
        <f t="shared" si="117"/>
        <v>6340.75</v>
      </c>
      <c r="AF57" s="137">
        <f t="shared" si="118"/>
        <v>6162.82</v>
      </c>
      <c r="AG57" s="137">
        <f t="shared" si="119"/>
        <v>3109.84</v>
      </c>
      <c r="AH57" s="137">
        <f t="shared" si="120"/>
        <v>3673.25</v>
      </c>
      <c r="AI57" s="137">
        <f t="shared" si="121"/>
        <v>437.31</v>
      </c>
      <c r="AJ57" s="137">
        <f t="shared" si="122"/>
        <v>2329.13</v>
      </c>
      <c r="AK57" s="139">
        <f t="shared" si="123"/>
        <v>3650.26</v>
      </c>
      <c r="AL57" s="137">
        <f t="shared" si="124"/>
        <v>1561.57</v>
      </c>
      <c r="AM57" s="137">
        <f t="shared" si="125"/>
        <v>3592.83</v>
      </c>
      <c r="AN57" s="137">
        <f t="shared" si="126"/>
        <v>5860.52</v>
      </c>
      <c r="AO57" s="137">
        <f t="shared" si="127"/>
        <v>1973.33</v>
      </c>
      <c r="AP57" s="137">
        <f t="shared" si="127"/>
        <v>1193.76</v>
      </c>
      <c r="AQ57" s="137">
        <f t="shared" si="128"/>
        <v>1982.3</v>
      </c>
      <c r="AR57" s="137">
        <f t="shared" si="129"/>
        <v>1204.5</v>
      </c>
      <c r="AS57" s="138">
        <f t="shared" si="130"/>
        <v>1900.77</v>
      </c>
      <c r="AT57" s="155">
        <v>1353.19</v>
      </c>
      <c r="AU57" s="155">
        <v>733.65</v>
      </c>
      <c r="AV57" s="155">
        <v>2320.5700000000002</v>
      </c>
      <c r="AW57" s="155">
        <v>2876.77</v>
      </c>
      <c r="AX57" s="155">
        <v>646.4</v>
      </c>
      <c r="AY57" s="155">
        <v>833.37</v>
      </c>
      <c r="AZ57" s="155">
        <v>97.91</v>
      </c>
      <c r="BA57" s="155">
        <v>391.28</v>
      </c>
      <c r="BB57" s="155">
        <v>486.16</v>
      </c>
      <c r="BC57" s="155">
        <v>1383.29</v>
      </c>
      <c r="BD57" s="155">
        <v>1093.8499999999999</v>
      </c>
      <c r="BE57" s="155">
        <v>1198.06</v>
      </c>
      <c r="BF57" s="552">
        <v>2050.5100000000002</v>
      </c>
      <c r="BG57" s="155">
        <v>692.86</v>
      </c>
      <c r="BH57" s="155">
        <v>728.74</v>
      </c>
      <c r="BI57" s="155">
        <v>3188.2</v>
      </c>
      <c r="BJ57" s="155">
        <v>4026.61</v>
      </c>
      <c r="BK57" s="155">
        <v>85.43</v>
      </c>
      <c r="BL57" s="155">
        <v>699.57</v>
      </c>
      <c r="BM57" s="155">
        <v>1069.8900000000001</v>
      </c>
      <c r="BN57" s="155">
        <v>3029.47</v>
      </c>
      <c r="BO57" s="155">
        <v>196.8</v>
      </c>
      <c r="BP57" s="155">
        <v>2231.04</v>
      </c>
      <c r="BQ57" s="155">
        <v>1473.14</v>
      </c>
      <c r="BR57" s="552">
        <v>1206.49</v>
      </c>
      <c r="BS57" s="155">
        <v>683.11</v>
      </c>
      <c r="BT57" s="155">
        <v>5657.64</v>
      </c>
      <c r="BU57" s="155">
        <v>3872.7</v>
      </c>
      <c r="BV57" s="155">
        <v>3109.84</v>
      </c>
      <c r="BW57" s="155">
        <v>437.31</v>
      </c>
      <c r="BX57" s="155">
        <v>2085.39</v>
      </c>
      <c r="BY57" s="155">
        <v>2329.13</v>
      </c>
      <c r="BZ57" s="155">
        <v>3673.25</v>
      </c>
      <c r="CA57" s="155">
        <v>6162.82</v>
      </c>
      <c r="CB57" s="552">
        <v>3650.26</v>
      </c>
      <c r="CC57" s="155">
        <v>1973.33</v>
      </c>
      <c r="CD57" s="155">
        <v>1193.76</v>
      </c>
      <c r="CE57" s="155">
        <v>1561.57</v>
      </c>
      <c r="CF57" s="155">
        <v>137.05000000000001</v>
      </c>
      <c r="CG57" s="155">
        <v>1763.72</v>
      </c>
      <c r="CH57" s="155">
        <v>3592.83</v>
      </c>
      <c r="CI57" s="155">
        <v>1204.5</v>
      </c>
      <c r="CJ57" s="155">
        <v>5860.52</v>
      </c>
      <c r="CK57" s="156">
        <v>1982.3</v>
      </c>
      <c r="CL57" s="320">
        <v>85949.91</v>
      </c>
    </row>
    <row r="58" spans="1:90">
      <c r="A58" s="80">
        <f>ROWS($A$3:A56)</f>
        <v>54</v>
      </c>
      <c r="B58" s="92" t="s">
        <v>231</v>
      </c>
      <c r="C58" s="204">
        <v>2016</v>
      </c>
      <c r="D58" s="260" t="s">
        <v>13</v>
      </c>
      <c r="E58" s="447">
        <v>42549</v>
      </c>
      <c r="F58" s="154">
        <v>56</v>
      </c>
      <c r="G58" s="155">
        <v>53</v>
      </c>
      <c r="H58" s="155">
        <v>67</v>
      </c>
      <c r="I58" s="156">
        <v>62</v>
      </c>
      <c r="J58" s="141"/>
      <c r="K58" s="116">
        <f t="shared" si="100"/>
        <v>14</v>
      </c>
      <c r="L58" s="137">
        <f t="shared" si="101"/>
        <v>5</v>
      </c>
      <c r="M58" s="137">
        <f t="shared" si="102"/>
        <v>10</v>
      </c>
      <c r="N58" s="137">
        <f t="shared" si="103"/>
        <v>8</v>
      </c>
      <c r="O58" s="137">
        <f t="shared" si="104"/>
        <v>6</v>
      </c>
      <c r="P58" s="137">
        <f>'2016'!AZ58+'2016'!BA58</f>
        <v>12</v>
      </c>
      <c r="Q58" s="137">
        <f>'2016'!AU58</f>
        <v>5</v>
      </c>
      <c r="R58" s="137">
        <f t="shared" si="105"/>
        <v>9</v>
      </c>
      <c r="S58" s="137">
        <f t="shared" si="106"/>
        <v>7</v>
      </c>
      <c r="T58" s="137">
        <f t="shared" si="107"/>
        <v>6</v>
      </c>
      <c r="U58" s="139">
        <f t="shared" si="107"/>
        <v>13</v>
      </c>
      <c r="V58" s="137">
        <f t="shared" si="108"/>
        <v>18</v>
      </c>
      <c r="W58" s="137">
        <f t="shared" si="109"/>
        <v>7</v>
      </c>
      <c r="X58" s="137">
        <f t="shared" si="110"/>
        <v>25</v>
      </c>
      <c r="Y58" s="137">
        <f t="shared" si="111"/>
        <v>18</v>
      </c>
      <c r="Z58" s="137">
        <f t="shared" si="112"/>
        <v>8</v>
      </c>
      <c r="AA58" s="137">
        <f t="shared" si="113"/>
        <v>12</v>
      </c>
      <c r="AB58" s="139">
        <f t="shared" si="114"/>
        <v>8</v>
      </c>
      <c r="AC58" s="137">
        <f t="shared" si="115"/>
        <v>8</v>
      </c>
      <c r="AD58" s="137">
        <f t="shared" si="116"/>
        <v>8</v>
      </c>
      <c r="AE58" s="137">
        <f t="shared" si="117"/>
        <v>21</v>
      </c>
      <c r="AF58" s="137">
        <f t="shared" si="118"/>
        <v>9</v>
      </c>
      <c r="AG58" s="137">
        <f t="shared" si="119"/>
        <v>14</v>
      </c>
      <c r="AH58" s="137">
        <f t="shared" si="120"/>
        <v>9</v>
      </c>
      <c r="AI58" s="137">
        <f t="shared" si="121"/>
        <v>8</v>
      </c>
      <c r="AJ58" s="137">
        <f t="shared" si="122"/>
        <v>8</v>
      </c>
      <c r="AK58" s="139">
        <f t="shared" si="123"/>
        <v>13</v>
      </c>
      <c r="AL58" s="137">
        <f t="shared" si="124"/>
        <v>17</v>
      </c>
      <c r="AM58" s="137">
        <f t="shared" si="125"/>
        <v>9</v>
      </c>
      <c r="AN58" s="137">
        <f t="shared" si="126"/>
        <v>16</v>
      </c>
      <c r="AO58" s="137">
        <f t="shared" si="127"/>
        <v>14</v>
      </c>
      <c r="AP58" s="137">
        <f t="shared" si="127"/>
        <v>6</v>
      </c>
      <c r="AQ58" s="137">
        <f t="shared" si="128"/>
        <v>12</v>
      </c>
      <c r="AR58" s="137">
        <f t="shared" si="129"/>
        <v>9</v>
      </c>
      <c r="AS58" s="138">
        <f t="shared" si="130"/>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238</v>
      </c>
    </row>
    <row r="59" spans="1:90">
      <c r="A59" s="80">
        <f>ROWS($A$3:A57)</f>
        <v>55</v>
      </c>
      <c r="B59" s="92"/>
      <c r="C59" s="201"/>
      <c r="D59" s="260" t="s">
        <v>1</v>
      </c>
      <c r="E59" s="451"/>
      <c r="F59" s="154">
        <v>92673.58</v>
      </c>
      <c r="G59" s="155">
        <v>96932.96</v>
      </c>
      <c r="H59" s="155">
        <v>131563.07</v>
      </c>
      <c r="I59" s="156">
        <v>94128.52</v>
      </c>
      <c r="J59" s="141"/>
      <c r="K59" s="116">
        <f t="shared" si="100"/>
        <v>10647.95</v>
      </c>
      <c r="L59" s="137">
        <f t="shared" si="101"/>
        <v>3094.18</v>
      </c>
      <c r="M59" s="137">
        <f t="shared" si="102"/>
        <v>8239.0300000000007</v>
      </c>
      <c r="N59" s="137">
        <f t="shared" si="103"/>
        <v>9429.69</v>
      </c>
      <c r="O59" s="137">
        <f t="shared" si="104"/>
        <v>7368.27</v>
      </c>
      <c r="P59" s="137">
        <f>'2016'!AZ59+'2016'!BA59</f>
        <v>11732.09</v>
      </c>
      <c r="Q59" s="137">
        <f>'2016'!AU59</f>
        <v>6854.1</v>
      </c>
      <c r="R59" s="137">
        <f t="shared" si="105"/>
        <v>10375.720000000001</v>
      </c>
      <c r="S59" s="137">
        <f t="shared" si="106"/>
        <v>8925.42</v>
      </c>
      <c r="T59" s="137">
        <f t="shared" si="107"/>
        <v>8628.2099999999991</v>
      </c>
      <c r="U59" s="139">
        <f t="shared" si="107"/>
        <v>7378.93</v>
      </c>
      <c r="V59" s="137">
        <f t="shared" si="108"/>
        <v>14709.06</v>
      </c>
      <c r="W59" s="137">
        <f t="shared" si="109"/>
        <v>5684.12</v>
      </c>
      <c r="X59" s="137">
        <f t="shared" si="110"/>
        <v>30185.63</v>
      </c>
      <c r="Y59" s="137">
        <f t="shared" si="111"/>
        <v>19398.03</v>
      </c>
      <c r="Z59" s="137">
        <f t="shared" si="112"/>
        <v>9679.44</v>
      </c>
      <c r="AA59" s="137">
        <f t="shared" si="113"/>
        <v>11875.439999999999</v>
      </c>
      <c r="AB59" s="139">
        <f t="shared" si="114"/>
        <v>5401.25</v>
      </c>
      <c r="AC59" s="137">
        <f t="shared" si="115"/>
        <v>8425.56</v>
      </c>
      <c r="AD59" s="137">
        <f t="shared" si="116"/>
        <v>10406.870000000001</v>
      </c>
      <c r="AE59" s="137">
        <f t="shared" si="117"/>
        <v>22675.86</v>
      </c>
      <c r="AF59" s="137">
        <f t="shared" si="118"/>
        <v>16080.45</v>
      </c>
      <c r="AG59" s="137">
        <f t="shared" si="119"/>
        <v>18368.13</v>
      </c>
      <c r="AH59" s="137">
        <f t="shared" si="120"/>
        <v>14604.38</v>
      </c>
      <c r="AI59" s="137">
        <f t="shared" si="121"/>
        <v>6048.28</v>
      </c>
      <c r="AJ59" s="137">
        <f t="shared" si="122"/>
        <v>12368.84</v>
      </c>
      <c r="AK59" s="139">
        <f t="shared" si="123"/>
        <v>22584.7</v>
      </c>
      <c r="AL59" s="137">
        <f t="shared" si="124"/>
        <v>12289.67</v>
      </c>
      <c r="AM59" s="137">
        <f t="shared" si="125"/>
        <v>8163.29</v>
      </c>
      <c r="AN59" s="137">
        <f t="shared" si="126"/>
        <v>12900.04</v>
      </c>
      <c r="AO59" s="137">
        <f t="shared" si="127"/>
        <v>22382.68</v>
      </c>
      <c r="AP59" s="137">
        <f t="shared" si="127"/>
        <v>12991.68</v>
      </c>
      <c r="AQ59" s="137">
        <f t="shared" si="128"/>
        <v>9825.44</v>
      </c>
      <c r="AR59" s="137">
        <f t="shared" si="129"/>
        <v>3966.79</v>
      </c>
      <c r="AS59" s="138">
        <f t="shared" si="130"/>
        <v>11608.939999999999</v>
      </c>
      <c r="AT59" s="155">
        <v>2321.13</v>
      </c>
      <c r="AU59" s="155">
        <v>6854.1</v>
      </c>
      <c r="AV59" s="155">
        <v>8925.42</v>
      </c>
      <c r="AW59" s="155">
        <v>9429.69</v>
      </c>
      <c r="AX59" s="155">
        <v>8054.59</v>
      </c>
      <c r="AY59" s="155">
        <v>3094.18</v>
      </c>
      <c r="AZ59" s="155">
        <v>1057.5999999999999</v>
      </c>
      <c r="BA59" s="155">
        <v>10674.49</v>
      </c>
      <c r="BB59" s="155">
        <v>8628.2099999999991</v>
      </c>
      <c r="BC59" s="155">
        <v>7378.93</v>
      </c>
      <c r="BD59" s="155">
        <v>8239.0300000000007</v>
      </c>
      <c r="BE59" s="155">
        <v>7368.27</v>
      </c>
      <c r="BF59" s="552">
        <v>10647.95</v>
      </c>
      <c r="BG59" s="155">
        <v>1534.08</v>
      </c>
      <c r="BH59" s="155">
        <v>4357.2299999999996</v>
      </c>
      <c r="BI59" s="155">
        <v>25828.400000000001</v>
      </c>
      <c r="BJ59" s="155">
        <v>13174.98</v>
      </c>
      <c r="BK59" s="155">
        <v>2350.92</v>
      </c>
      <c r="BL59" s="155">
        <v>1630.33</v>
      </c>
      <c r="BM59" s="155">
        <v>9679.44</v>
      </c>
      <c r="BN59" s="155">
        <v>15416.78</v>
      </c>
      <c r="BO59" s="155">
        <v>1427.79</v>
      </c>
      <c r="BP59" s="155">
        <v>5401.25</v>
      </c>
      <c r="BQ59" s="155">
        <v>10447.65</v>
      </c>
      <c r="BR59" s="552">
        <v>5684.12</v>
      </c>
      <c r="BS59" s="155">
        <v>3178.13</v>
      </c>
      <c r="BT59" s="155">
        <v>19497.73</v>
      </c>
      <c r="BU59" s="155">
        <v>10406.870000000001</v>
      </c>
      <c r="BV59" s="155">
        <v>18368.13</v>
      </c>
      <c r="BW59" s="155">
        <v>6048.28</v>
      </c>
      <c r="BX59" s="155">
        <v>8425.56</v>
      </c>
      <c r="BY59" s="155">
        <v>12368.84</v>
      </c>
      <c r="BZ59" s="155">
        <v>14604.38</v>
      </c>
      <c r="CA59" s="155">
        <v>16080.45</v>
      </c>
      <c r="CB59" s="552">
        <v>22584.7</v>
      </c>
      <c r="CC59" s="155">
        <v>22382.68</v>
      </c>
      <c r="CD59" s="155">
        <v>12991.68</v>
      </c>
      <c r="CE59" s="155">
        <v>12289.67</v>
      </c>
      <c r="CF59" s="155">
        <v>571.05999999999995</v>
      </c>
      <c r="CG59" s="155">
        <v>11037.88</v>
      </c>
      <c r="CH59" s="155">
        <v>8163.29</v>
      </c>
      <c r="CI59" s="155">
        <v>3966.79</v>
      </c>
      <c r="CJ59" s="155">
        <v>12900.04</v>
      </c>
      <c r="CK59" s="156">
        <v>9825.44</v>
      </c>
      <c r="CL59" s="320">
        <v>428597.92</v>
      </c>
    </row>
    <row r="60" spans="1:90">
      <c r="A60" s="80">
        <f>ROWS($A$3:A58)</f>
        <v>56</v>
      </c>
      <c r="B60" s="92" t="s">
        <v>232</v>
      </c>
      <c r="C60" s="204">
        <v>2016</v>
      </c>
      <c r="D60" s="260" t="s">
        <v>13</v>
      </c>
      <c r="E60" s="447">
        <v>42549</v>
      </c>
      <c r="F60" s="154">
        <v>21</v>
      </c>
      <c r="G60" s="281">
        <v>23</v>
      </c>
      <c r="H60" s="281">
        <v>34</v>
      </c>
      <c r="I60" s="156">
        <v>23</v>
      </c>
      <c r="J60" s="141"/>
      <c r="K60" s="116">
        <f t="shared" si="100"/>
        <v>6</v>
      </c>
      <c r="L60" s="137">
        <f t="shared" si="101"/>
        <v>2</v>
      </c>
      <c r="M60" s="137">
        <f t="shared" si="102"/>
        <v>2</v>
      </c>
      <c r="N60" s="137">
        <f t="shared" si="103"/>
        <v>3</v>
      </c>
      <c r="O60" s="137">
        <f t="shared" si="104"/>
        <v>3</v>
      </c>
      <c r="P60" s="137">
        <f>'2016'!AZ60+'2016'!BA60</f>
        <v>3</v>
      </c>
      <c r="Q60" s="137">
        <f>'2016'!AU60</f>
        <v>1</v>
      </c>
      <c r="R60" s="137">
        <f t="shared" si="105"/>
        <v>5</v>
      </c>
      <c r="S60" s="137">
        <f t="shared" si="106"/>
        <v>4</v>
      </c>
      <c r="T60" s="137">
        <f t="shared" si="107"/>
        <v>2</v>
      </c>
      <c r="U60" s="139">
        <f t="shared" si="107"/>
        <v>3</v>
      </c>
      <c r="V60" s="137">
        <f t="shared" si="108"/>
        <v>6</v>
      </c>
      <c r="W60" s="137">
        <f t="shared" si="109"/>
        <v>1</v>
      </c>
      <c r="X60" s="137">
        <f t="shared" si="110"/>
        <v>10</v>
      </c>
      <c r="Y60" s="137">
        <f t="shared" si="111"/>
        <v>9</v>
      </c>
      <c r="Z60" s="137">
        <f t="shared" si="112"/>
        <v>3</v>
      </c>
      <c r="AA60" s="137">
        <f t="shared" si="113"/>
        <v>3</v>
      </c>
      <c r="AB60" s="139">
        <f t="shared" si="114"/>
        <v>2</v>
      </c>
      <c r="AC60" s="137">
        <f t="shared" si="115"/>
        <v>3</v>
      </c>
      <c r="AD60" s="137">
        <f t="shared" si="116"/>
        <v>7</v>
      </c>
      <c r="AE60" s="137">
        <f t="shared" si="117"/>
        <v>14</v>
      </c>
      <c r="AF60" s="137">
        <f t="shared" si="118"/>
        <v>3</v>
      </c>
      <c r="AG60" s="137">
        <f t="shared" si="119"/>
        <v>12</v>
      </c>
      <c r="AH60" s="137">
        <f t="shared" si="120"/>
        <v>6</v>
      </c>
      <c r="AI60" s="137">
        <f t="shared" si="121"/>
        <v>6</v>
      </c>
      <c r="AJ60" s="137">
        <f t="shared" si="122"/>
        <v>3</v>
      </c>
      <c r="AK60" s="139">
        <f t="shared" si="123"/>
        <v>2</v>
      </c>
      <c r="AL60" s="137">
        <f t="shared" si="124"/>
        <v>3</v>
      </c>
      <c r="AM60" s="137">
        <f t="shared" si="125"/>
        <v>3</v>
      </c>
      <c r="AN60" s="137">
        <f t="shared" si="126"/>
        <v>7</v>
      </c>
      <c r="AO60" s="137">
        <f t="shared" si="127"/>
        <v>3</v>
      </c>
      <c r="AP60" s="137">
        <f t="shared" si="127"/>
        <v>5</v>
      </c>
      <c r="AQ60" s="137">
        <f t="shared" si="128"/>
        <v>3</v>
      </c>
      <c r="AR60" s="137">
        <f t="shared" si="129"/>
        <v>3</v>
      </c>
      <c r="AS60" s="138">
        <f t="shared" si="130"/>
        <v>6</v>
      </c>
      <c r="AT60" s="155">
        <v>1</v>
      </c>
      <c r="AU60" s="281">
        <v>1</v>
      </c>
      <c r="AV60" s="281">
        <v>4</v>
      </c>
      <c r="AW60" s="281">
        <v>3</v>
      </c>
      <c r="AX60" s="281">
        <v>4</v>
      </c>
      <c r="AY60" s="281">
        <v>2</v>
      </c>
      <c r="AZ60" s="281">
        <v>0</v>
      </c>
      <c r="BA60" s="281">
        <v>3</v>
      </c>
      <c r="BB60" s="281">
        <v>2</v>
      </c>
      <c r="BC60" s="281">
        <v>3</v>
      </c>
      <c r="BD60" s="281">
        <v>2</v>
      </c>
      <c r="BE60" s="281">
        <v>3</v>
      </c>
      <c r="BF60" s="552">
        <v>6</v>
      </c>
      <c r="BG60" s="281">
        <v>1</v>
      </c>
      <c r="BH60" s="281">
        <v>4</v>
      </c>
      <c r="BI60" s="281">
        <v>6</v>
      </c>
      <c r="BJ60" s="281">
        <v>5</v>
      </c>
      <c r="BK60" s="281">
        <v>1</v>
      </c>
      <c r="BL60" s="281">
        <v>1</v>
      </c>
      <c r="BM60" s="281">
        <v>3</v>
      </c>
      <c r="BN60" s="281">
        <v>7</v>
      </c>
      <c r="BO60" s="281">
        <v>0</v>
      </c>
      <c r="BP60" s="281">
        <v>2</v>
      </c>
      <c r="BQ60" s="281">
        <v>3</v>
      </c>
      <c r="BR60" s="552">
        <v>1</v>
      </c>
      <c r="BS60" s="281">
        <v>3</v>
      </c>
      <c r="BT60" s="281">
        <v>11</v>
      </c>
      <c r="BU60" s="281">
        <v>7</v>
      </c>
      <c r="BV60" s="281">
        <v>12</v>
      </c>
      <c r="BW60" s="281">
        <v>6</v>
      </c>
      <c r="BX60" s="281">
        <v>3</v>
      </c>
      <c r="BY60" s="281">
        <v>3</v>
      </c>
      <c r="BZ60" s="281">
        <v>6</v>
      </c>
      <c r="CA60" s="281">
        <v>3</v>
      </c>
      <c r="CB60" s="552">
        <v>2</v>
      </c>
      <c r="CC60" s="281">
        <v>3</v>
      </c>
      <c r="CD60" s="281">
        <v>5</v>
      </c>
      <c r="CE60" s="281">
        <v>3</v>
      </c>
      <c r="CF60" s="281">
        <v>1</v>
      </c>
      <c r="CG60" s="281">
        <v>5</v>
      </c>
      <c r="CH60" s="281">
        <v>3</v>
      </c>
      <c r="CI60" s="281">
        <v>3</v>
      </c>
      <c r="CJ60" s="281">
        <v>7</v>
      </c>
      <c r="CK60" s="156">
        <v>3</v>
      </c>
      <c r="CL60" s="320">
        <v>101</v>
      </c>
    </row>
    <row r="61" spans="1:90">
      <c r="A61" s="80">
        <f>ROWS($A$3:A59)</f>
        <v>57</v>
      </c>
      <c r="B61" s="52"/>
      <c r="C61" s="201"/>
      <c r="D61" s="260" t="s">
        <v>1</v>
      </c>
      <c r="E61" s="451"/>
      <c r="F61" s="154">
        <v>69128.23</v>
      </c>
      <c r="G61" s="155">
        <v>56214.11</v>
      </c>
      <c r="H61" s="155">
        <v>181976.13</v>
      </c>
      <c r="I61" s="156">
        <v>83744.05</v>
      </c>
      <c r="J61" s="141"/>
      <c r="K61" s="116">
        <f t="shared" si="100"/>
        <v>3640.6</v>
      </c>
      <c r="L61" s="137">
        <f t="shared" si="101"/>
        <v>2438.31</v>
      </c>
      <c r="M61" s="137">
        <f t="shared" si="102"/>
        <v>2646.18</v>
      </c>
      <c r="N61" s="137">
        <f t="shared" si="103"/>
        <v>18786.78</v>
      </c>
      <c r="O61" s="137">
        <f t="shared" si="104"/>
        <v>7507.33</v>
      </c>
      <c r="P61" s="137">
        <f>'2016'!AZ61+'2016'!BA61</f>
        <v>2511.94</v>
      </c>
      <c r="Q61" s="137">
        <f>'2016'!AU61</f>
        <v>5384.64</v>
      </c>
      <c r="R61" s="137">
        <f t="shared" si="105"/>
        <v>6609.3</v>
      </c>
      <c r="S61" s="137">
        <f t="shared" si="106"/>
        <v>17681.96</v>
      </c>
      <c r="T61" s="137">
        <f t="shared" si="107"/>
        <v>713.74</v>
      </c>
      <c r="U61" s="139">
        <f t="shared" si="107"/>
        <v>1207.45</v>
      </c>
      <c r="V61" s="137">
        <f t="shared" si="108"/>
        <v>14511.39</v>
      </c>
      <c r="W61" s="137">
        <f t="shared" si="109"/>
        <v>17414.150000000001</v>
      </c>
      <c r="X61" s="137">
        <f t="shared" si="110"/>
        <v>12530.210000000001</v>
      </c>
      <c r="Y61" s="137">
        <f t="shared" si="111"/>
        <v>6488.93</v>
      </c>
      <c r="Z61" s="137">
        <f t="shared" si="112"/>
        <v>218.49</v>
      </c>
      <c r="AA61" s="137">
        <f t="shared" si="113"/>
        <v>2407.1</v>
      </c>
      <c r="AB61" s="139">
        <f t="shared" si="114"/>
        <v>2643.84</v>
      </c>
      <c r="AC61" s="137">
        <f t="shared" si="115"/>
        <v>50305.78</v>
      </c>
      <c r="AD61" s="137">
        <f t="shared" si="116"/>
        <v>12559.86</v>
      </c>
      <c r="AE61" s="137">
        <f t="shared" si="117"/>
        <v>29117.7</v>
      </c>
      <c r="AF61" s="137">
        <f t="shared" si="118"/>
        <v>11381.72</v>
      </c>
      <c r="AG61" s="137">
        <f t="shared" si="119"/>
        <v>27567.38</v>
      </c>
      <c r="AH61" s="137">
        <f t="shared" si="120"/>
        <v>9555.84</v>
      </c>
      <c r="AI61" s="137">
        <f t="shared" si="121"/>
        <v>3426.68</v>
      </c>
      <c r="AJ61" s="137">
        <f t="shared" si="122"/>
        <v>20646.07</v>
      </c>
      <c r="AK61" s="139">
        <f t="shared" si="123"/>
        <v>17415.11</v>
      </c>
      <c r="AL61" s="137">
        <f t="shared" si="124"/>
        <v>19750.669999999998</v>
      </c>
      <c r="AM61" s="137">
        <f t="shared" si="125"/>
        <v>2982.45</v>
      </c>
      <c r="AN61" s="137">
        <f t="shared" si="126"/>
        <v>8762.36</v>
      </c>
      <c r="AO61" s="137">
        <f t="shared" si="127"/>
        <v>21889.26</v>
      </c>
      <c r="AP61" s="137">
        <f t="shared" si="127"/>
        <v>13710.3</v>
      </c>
      <c r="AQ61" s="137">
        <f t="shared" si="128"/>
        <v>8600.44</v>
      </c>
      <c r="AR61" s="137">
        <f t="shared" si="129"/>
        <v>882.97</v>
      </c>
      <c r="AS61" s="138">
        <f t="shared" si="130"/>
        <v>7165.59</v>
      </c>
      <c r="AT61" s="155">
        <v>3.01</v>
      </c>
      <c r="AU61" s="155">
        <v>5384.64</v>
      </c>
      <c r="AV61" s="155">
        <v>17681.96</v>
      </c>
      <c r="AW61" s="155">
        <v>18786.78</v>
      </c>
      <c r="AX61" s="155">
        <v>6606.29</v>
      </c>
      <c r="AY61" s="155">
        <v>2438.31</v>
      </c>
      <c r="AZ61" s="155">
        <v>0</v>
      </c>
      <c r="BA61" s="155">
        <v>2511.94</v>
      </c>
      <c r="BB61" s="155">
        <v>713.74</v>
      </c>
      <c r="BC61" s="155">
        <v>1207.45</v>
      </c>
      <c r="BD61" s="155">
        <v>2646.18</v>
      </c>
      <c r="BE61" s="155">
        <v>7507.33</v>
      </c>
      <c r="BF61" s="552">
        <v>3640.6</v>
      </c>
      <c r="BG61" s="155">
        <v>365.57</v>
      </c>
      <c r="BH61" s="155">
        <v>2893.59</v>
      </c>
      <c r="BI61" s="155">
        <v>9636.6200000000008</v>
      </c>
      <c r="BJ61" s="155">
        <v>14145.82</v>
      </c>
      <c r="BK61" s="155">
        <v>3.96</v>
      </c>
      <c r="BL61" s="155">
        <v>418.25</v>
      </c>
      <c r="BM61" s="155">
        <v>218.49</v>
      </c>
      <c r="BN61" s="155">
        <v>6066.72</v>
      </c>
      <c r="BO61" s="155">
        <v>0</v>
      </c>
      <c r="BP61" s="155">
        <v>2643.84</v>
      </c>
      <c r="BQ61" s="155">
        <v>2407.1</v>
      </c>
      <c r="BR61" s="552">
        <v>17414.150000000001</v>
      </c>
      <c r="BS61" s="155">
        <v>2995.61</v>
      </c>
      <c r="BT61" s="155">
        <v>26122.09</v>
      </c>
      <c r="BU61" s="155">
        <v>12559.86</v>
      </c>
      <c r="BV61" s="155">
        <v>27567.38</v>
      </c>
      <c r="BW61" s="155">
        <v>3426.68</v>
      </c>
      <c r="BX61" s="155">
        <v>50305.78</v>
      </c>
      <c r="BY61" s="155">
        <v>20646.07</v>
      </c>
      <c r="BZ61" s="155">
        <v>9555.84</v>
      </c>
      <c r="CA61" s="155">
        <v>11381.72</v>
      </c>
      <c r="CB61" s="552">
        <v>17415.11</v>
      </c>
      <c r="CC61" s="155">
        <v>21889.26</v>
      </c>
      <c r="CD61" s="155">
        <v>13710.3</v>
      </c>
      <c r="CE61" s="155">
        <v>19750.669999999998</v>
      </c>
      <c r="CF61" s="155">
        <v>132.03</v>
      </c>
      <c r="CG61" s="155">
        <v>7033.56</v>
      </c>
      <c r="CH61" s="155">
        <v>2982.45</v>
      </c>
      <c r="CI61" s="155">
        <v>882.97</v>
      </c>
      <c r="CJ61" s="155">
        <v>8762.36</v>
      </c>
      <c r="CK61" s="156">
        <v>8600.44</v>
      </c>
      <c r="CL61" s="320">
        <v>397044.05</v>
      </c>
    </row>
    <row r="62" spans="1:90">
      <c r="A62" s="80">
        <f>ROWS($A$3:A60)</f>
        <v>58</v>
      </c>
      <c r="B62" s="92" t="s">
        <v>56</v>
      </c>
      <c r="C62" s="204">
        <v>2016</v>
      </c>
      <c r="D62" s="259" t="s">
        <v>13</v>
      </c>
      <c r="E62" s="447">
        <v>42549</v>
      </c>
      <c r="F62" s="154">
        <v>775</v>
      </c>
      <c r="G62" s="155">
        <v>404</v>
      </c>
      <c r="H62" s="155">
        <v>995</v>
      </c>
      <c r="I62" s="156">
        <v>384</v>
      </c>
      <c r="J62" s="141"/>
      <c r="K62" s="116">
        <f t="shared" si="100"/>
        <v>70</v>
      </c>
      <c r="L62" s="137">
        <f t="shared" si="101"/>
        <v>171</v>
      </c>
      <c r="M62" s="137">
        <f t="shared" si="102"/>
        <v>49</v>
      </c>
      <c r="N62" s="137">
        <f t="shared" si="103"/>
        <v>35</v>
      </c>
      <c r="O62" s="137">
        <f t="shared" si="104"/>
        <v>15</v>
      </c>
      <c r="P62" s="137">
        <f>'2016'!AZ62+'2016'!BA62</f>
        <v>101</v>
      </c>
      <c r="Q62" s="137">
        <f>'2016'!AU62</f>
        <v>26</v>
      </c>
      <c r="R62" s="137">
        <f t="shared" si="105"/>
        <v>43</v>
      </c>
      <c r="S62" s="137">
        <f t="shared" si="106"/>
        <v>36</v>
      </c>
      <c r="T62" s="137">
        <f t="shared" si="107"/>
        <v>67</v>
      </c>
      <c r="U62" s="139">
        <f t="shared" si="107"/>
        <v>81</v>
      </c>
      <c r="V62" s="137">
        <f t="shared" si="108"/>
        <v>66</v>
      </c>
      <c r="W62" s="137">
        <f t="shared" si="109"/>
        <v>41</v>
      </c>
      <c r="X62" s="137">
        <f t="shared" si="110"/>
        <v>43</v>
      </c>
      <c r="Y62" s="137">
        <f t="shared" si="111"/>
        <v>54</v>
      </c>
      <c r="Z62" s="137">
        <f t="shared" si="112"/>
        <v>35</v>
      </c>
      <c r="AA62" s="137">
        <f t="shared" si="113"/>
        <v>37</v>
      </c>
      <c r="AB62" s="139">
        <f t="shared" si="114"/>
        <v>51</v>
      </c>
      <c r="AC62" s="137">
        <f t="shared" si="115"/>
        <v>120</v>
      </c>
      <c r="AD62" s="137">
        <f t="shared" si="116"/>
        <v>72</v>
      </c>
      <c r="AE62" s="137">
        <f t="shared" si="117"/>
        <v>126</v>
      </c>
      <c r="AF62" s="137">
        <f t="shared" si="118"/>
        <v>109</v>
      </c>
      <c r="AG62" s="137">
        <f t="shared" si="119"/>
        <v>138</v>
      </c>
      <c r="AH62" s="137">
        <f t="shared" si="120"/>
        <v>100</v>
      </c>
      <c r="AI62" s="137">
        <f t="shared" si="121"/>
        <v>39</v>
      </c>
      <c r="AJ62" s="137">
        <f t="shared" si="122"/>
        <v>42</v>
      </c>
      <c r="AK62" s="139">
        <f t="shared" si="123"/>
        <v>177</v>
      </c>
      <c r="AL62" s="137">
        <f t="shared" si="124"/>
        <v>34</v>
      </c>
      <c r="AM62" s="137">
        <f t="shared" si="125"/>
        <v>44</v>
      </c>
      <c r="AN62" s="137">
        <f t="shared" si="126"/>
        <v>70</v>
      </c>
      <c r="AO62" s="137">
        <f t="shared" si="127"/>
        <v>33</v>
      </c>
      <c r="AP62" s="137">
        <f t="shared" si="127"/>
        <v>12</v>
      </c>
      <c r="AQ62" s="137">
        <f t="shared" si="128"/>
        <v>57</v>
      </c>
      <c r="AR62" s="137">
        <f t="shared" si="129"/>
        <v>38</v>
      </c>
      <c r="AS62" s="138">
        <f t="shared" si="130"/>
        <v>33</v>
      </c>
      <c r="AT62" s="155">
        <v>2</v>
      </c>
      <c r="AU62" s="281">
        <v>26</v>
      </c>
      <c r="AV62" s="281">
        <v>36</v>
      </c>
      <c r="AW62" s="281">
        <v>35</v>
      </c>
      <c r="AX62" s="281">
        <v>41</v>
      </c>
      <c r="AY62" s="281">
        <v>171</v>
      </c>
      <c r="AZ62" s="281">
        <v>5</v>
      </c>
      <c r="BA62" s="281">
        <v>96</v>
      </c>
      <c r="BB62" s="281">
        <v>67</v>
      </c>
      <c r="BC62" s="281">
        <v>81</v>
      </c>
      <c r="BD62" s="281">
        <v>49</v>
      </c>
      <c r="BE62" s="281">
        <v>15</v>
      </c>
      <c r="BF62" s="552">
        <v>70</v>
      </c>
      <c r="BG62" s="281">
        <v>7</v>
      </c>
      <c r="BH62" s="281">
        <v>3</v>
      </c>
      <c r="BI62" s="281">
        <v>40</v>
      </c>
      <c r="BJ62" s="281">
        <v>59</v>
      </c>
      <c r="BK62" s="281">
        <v>5</v>
      </c>
      <c r="BL62" s="281">
        <v>2</v>
      </c>
      <c r="BM62" s="281">
        <v>35</v>
      </c>
      <c r="BN62" s="281">
        <v>47</v>
      </c>
      <c r="BO62" s="281">
        <v>2</v>
      </c>
      <c r="BP62" s="281">
        <v>51</v>
      </c>
      <c r="BQ62" s="281">
        <v>35</v>
      </c>
      <c r="BR62" s="552">
        <v>41</v>
      </c>
      <c r="BS62" s="281">
        <v>5</v>
      </c>
      <c r="BT62" s="281">
        <v>121</v>
      </c>
      <c r="BU62" s="281">
        <v>72</v>
      </c>
      <c r="BV62" s="281">
        <v>138</v>
      </c>
      <c r="BW62" s="281">
        <v>39</v>
      </c>
      <c r="BX62" s="281">
        <v>120</v>
      </c>
      <c r="BY62" s="281">
        <v>42</v>
      </c>
      <c r="BZ62" s="281">
        <v>100</v>
      </c>
      <c r="CA62" s="281">
        <v>109</v>
      </c>
      <c r="CB62" s="552">
        <v>177</v>
      </c>
      <c r="CC62" s="281">
        <v>33</v>
      </c>
      <c r="CD62" s="281">
        <v>12</v>
      </c>
      <c r="CE62" s="281">
        <v>34</v>
      </c>
      <c r="CF62" s="281">
        <v>2</v>
      </c>
      <c r="CG62" s="281">
        <v>31</v>
      </c>
      <c r="CH62" s="281">
        <v>44</v>
      </c>
      <c r="CI62" s="281">
        <v>38</v>
      </c>
      <c r="CJ62" s="281">
        <v>70</v>
      </c>
      <c r="CK62" s="156">
        <v>57</v>
      </c>
      <c r="CL62" s="320">
        <v>2265</v>
      </c>
    </row>
    <row r="63" spans="1:90">
      <c r="A63" s="80">
        <f>ROWS($A$3:A61)</f>
        <v>59</v>
      </c>
      <c r="B63" s="92"/>
      <c r="C63" s="203"/>
      <c r="D63" s="259" t="s">
        <v>1</v>
      </c>
      <c r="E63" s="451"/>
      <c r="F63" s="154">
        <v>279240</v>
      </c>
      <c r="G63" s="155">
        <v>200783</v>
      </c>
      <c r="H63" s="155">
        <v>157188</v>
      </c>
      <c r="I63" s="156">
        <v>305333</v>
      </c>
      <c r="J63" s="141"/>
      <c r="K63" s="116">
        <f t="shared" si="100"/>
        <v>16938.849999999999</v>
      </c>
      <c r="L63" s="137">
        <f t="shared" si="101"/>
        <v>7445.2699999999986</v>
      </c>
      <c r="M63" s="137">
        <f t="shared" si="102"/>
        <v>54163.430000000008</v>
      </c>
      <c r="N63" s="137">
        <f t="shared" si="103"/>
        <v>21258.05</v>
      </c>
      <c r="O63" s="137">
        <f t="shared" si="104"/>
        <v>68472.180000000008</v>
      </c>
      <c r="P63" s="137">
        <f>'2016'!AZ63+'2016'!BA63</f>
        <v>28600.820000000007</v>
      </c>
      <c r="Q63" s="137">
        <f>'2016'!AU63</f>
        <v>23580.449999999997</v>
      </c>
      <c r="R63" s="137">
        <f t="shared" si="105"/>
        <v>21226.1</v>
      </c>
      <c r="S63" s="137">
        <f t="shared" si="106"/>
        <v>12955.949999999999</v>
      </c>
      <c r="T63" s="137">
        <f t="shared" si="107"/>
        <v>13245.599999999997</v>
      </c>
      <c r="U63" s="139">
        <f t="shared" si="107"/>
        <v>5177.1599999999989</v>
      </c>
      <c r="V63" s="137">
        <f t="shared" si="108"/>
        <v>20813.570000000003</v>
      </c>
      <c r="W63" s="137">
        <f t="shared" si="109"/>
        <v>16027.159999999998</v>
      </c>
      <c r="X63" s="137">
        <f t="shared" si="110"/>
        <v>43231.960000000006</v>
      </c>
      <c r="Y63" s="137">
        <f t="shared" si="111"/>
        <v>40669.950000000004</v>
      </c>
      <c r="Z63" s="137">
        <f t="shared" si="112"/>
        <v>27966.929999999993</v>
      </c>
      <c r="AA63" s="137">
        <f t="shared" si="113"/>
        <v>23575.539999999997</v>
      </c>
      <c r="AB63" s="139">
        <f t="shared" si="114"/>
        <v>28286.890000000003</v>
      </c>
      <c r="AC63" s="137">
        <f t="shared" si="115"/>
        <v>16776.750000000004</v>
      </c>
      <c r="AD63" s="137">
        <f t="shared" si="116"/>
        <v>8690.27</v>
      </c>
      <c r="AE63" s="137">
        <f t="shared" si="117"/>
        <v>19653.369999999992</v>
      </c>
      <c r="AF63" s="137">
        <f t="shared" si="118"/>
        <v>9694.690000000006</v>
      </c>
      <c r="AG63" s="137">
        <f t="shared" si="119"/>
        <v>19851.240000000009</v>
      </c>
      <c r="AH63" s="137">
        <f t="shared" si="120"/>
        <v>26637.330000000009</v>
      </c>
      <c r="AI63" s="137">
        <f t="shared" si="121"/>
        <v>21599.480000000003</v>
      </c>
      <c r="AJ63" s="137">
        <f t="shared" si="122"/>
        <v>11316.08</v>
      </c>
      <c r="AK63" s="139">
        <f t="shared" si="123"/>
        <v>21473.16</v>
      </c>
      <c r="AL63" s="137">
        <f t="shared" si="124"/>
        <v>32297.29</v>
      </c>
      <c r="AM63" s="137">
        <f t="shared" si="125"/>
        <v>28238.520000000008</v>
      </c>
      <c r="AN63" s="137">
        <f t="shared" si="126"/>
        <v>21332.28</v>
      </c>
      <c r="AO63" s="137">
        <f t="shared" si="127"/>
        <v>55163.66</v>
      </c>
      <c r="AP63" s="137">
        <f t="shared" si="127"/>
        <v>15659.609999999999</v>
      </c>
      <c r="AQ63" s="137">
        <f t="shared" si="128"/>
        <v>43911.03</v>
      </c>
      <c r="AR63" s="137">
        <f t="shared" si="129"/>
        <v>9631.3799999999992</v>
      </c>
      <c r="AS63" s="138">
        <f t="shared" si="130"/>
        <v>114718.48000000001</v>
      </c>
      <c r="AT63" s="155">
        <v>1642.1299999999999</v>
      </c>
      <c r="AU63" s="155">
        <v>23580.449999999997</v>
      </c>
      <c r="AV63" s="155">
        <v>12955.949999999999</v>
      </c>
      <c r="AW63" s="155">
        <v>21258.05</v>
      </c>
      <c r="AX63" s="155">
        <v>19583.969999999998</v>
      </c>
      <c r="AY63" s="155">
        <v>7445.2699999999986</v>
      </c>
      <c r="AZ63" s="155">
        <v>802.22</v>
      </c>
      <c r="BA63" s="155">
        <v>27798.600000000006</v>
      </c>
      <c r="BB63" s="155">
        <v>13245.599999999997</v>
      </c>
      <c r="BC63" s="155">
        <v>5177.1599999999989</v>
      </c>
      <c r="BD63" s="155">
        <v>54163.430000000008</v>
      </c>
      <c r="BE63" s="155">
        <v>68472.180000000008</v>
      </c>
      <c r="BF63" s="552">
        <v>16938.849999999999</v>
      </c>
      <c r="BG63" s="155">
        <v>3990.3899999999994</v>
      </c>
      <c r="BH63" s="155">
        <v>8534.01</v>
      </c>
      <c r="BI63" s="155">
        <v>34697.950000000004</v>
      </c>
      <c r="BJ63" s="155">
        <v>16823.180000000004</v>
      </c>
      <c r="BK63" s="155">
        <v>2044.9399999999998</v>
      </c>
      <c r="BL63" s="155">
        <v>6646.3899999999994</v>
      </c>
      <c r="BM63" s="155">
        <v>27966.929999999993</v>
      </c>
      <c r="BN63" s="155">
        <v>31978.620000000006</v>
      </c>
      <c r="BO63" s="155">
        <v>3303.2</v>
      </c>
      <c r="BP63" s="155">
        <v>28286.890000000003</v>
      </c>
      <c r="BQ63" s="155">
        <v>20272.339999999997</v>
      </c>
      <c r="BR63" s="552">
        <v>16027.159999999998</v>
      </c>
      <c r="BS63" s="155">
        <v>1160.2599999999998</v>
      </c>
      <c r="BT63" s="155">
        <v>18493.109999999993</v>
      </c>
      <c r="BU63" s="155">
        <v>8690.27</v>
      </c>
      <c r="BV63" s="155">
        <v>19851.240000000009</v>
      </c>
      <c r="BW63" s="155">
        <v>21599.480000000003</v>
      </c>
      <c r="BX63" s="155">
        <v>16776.750000000004</v>
      </c>
      <c r="BY63" s="155">
        <v>11316.08</v>
      </c>
      <c r="BZ63" s="155">
        <v>26637.330000000009</v>
      </c>
      <c r="CA63" s="155">
        <v>9694.690000000006</v>
      </c>
      <c r="CB63" s="552">
        <v>21473.16</v>
      </c>
      <c r="CC63" s="155">
        <v>55163.66</v>
      </c>
      <c r="CD63" s="155">
        <v>15659.609999999999</v>
      </c>
      <c r="CE63" s="155">
        <v>32297.29</v>
      </c>
      <c r="CF63" s="155">
        <v>599.70000000000005</v>
      </c>
      <c r="CG63" s="155">
        <v>114118.78000000001</v>
      </c>
      <c r="CH63" s="155">
        <v>28238.520000000008</v>
      </c>
      <c r="CI63" s="155">
        <v>9631.3799999999992</v>
      </c>
      <c r="CJ63" s="155">
        <v>21332.28</v>
      </c>
      <c r="CK63" s="156">
        <v>43911.03</v>
      </c>
      <c r="CL63" s="320">
        <v>950280.48</v>
      </c>
    </row>
    <row r="64" spans="1:90">
      <c r="A64" s="80">
        <f>ROWS($A$3:A62)</f>
        <v>60</v>
      </c>
      <c r="B64" s="59" t="s">
        <v>80</v>
      </c>
      <c r="C64" s="201"/>
      <c r="D64" s="260"/>
      <c r="E64" s="451"/>
      <c r="F64" s="154"/>
      <c r="G64" s="155"/>
      <c r="H64" s="155"/>
      <c r="I64" s="156"/>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c r="A65" s="80">
        <f>ROWS($A$3:A63)</f>
        <v>61</v>
      </c>
      <c r="B65" s="53" t="str">
        <f>'Stand der Daten'!B66</f>
        <v>Gebietskulisse</v>
      </c>
      <c r="C65" s="204">
        <v>2012</v>
      </c>
      <c r="D65" s="260" t="s">
        <v>59</v>
      </c>
      <c r="E65" s="447">
        <v>42909</v>
      </c>
      <c r="F65" s="530">
        <f>SUM(AT65:BF65)</f>
        <v>314479.37931325939</v>
      </c>
      <c r="G65" s="531">
        <f>SUM(BG65:BR65)</f>
        <v>89897.598673236018</v>
      </c>
      <c r="H65" s="531">
        <f>SUM(BS65:CB65)</f>
        <v>243038.02430056274</v>
      </c>
      <c r="I65" s="532">
        <f>SUM(CC65:CK65)</f>
        <v>253397.00401661822</v>
      </c>
      <c r="J65" s="141"/>
      <c r="K65" s="145">
        <f>BF65</f>
        <v>67088.18121349439</v>
      </c>
      <c r="L65" s="146">
        <f>AY65</f>
        <v>21694.709696189002</v>
      </c>
      <c r="M65" s="146">
        <f>BD65</f>
        <v>50743.632540982115</v>
      </c>
      <c r="N65" s="146">
        <f>AW65</f>
        <v>23858.964067028599</v>
      </c>
      <c r="O65" s="146">
        <f>BE65</f>
        <v>13645.5788599189</v>
      </c>
      <c r="P65" s="146">
        <f>'2016'!AZ65+'2016'!BA65</f>
        <v>7281.3166639667988</v>
      </c>
      <c r="Q65" s="146">
        <f>'2016'!AU65</f>
        <v>13241.415086714902</v>
      </c>
      <c r="R65" s="146">
        <f>AT65+AX65</f>
        <v>298.92548990300003</v>
      </c>
      <c r="S65" s="146">
        <f>AV65</f>
        <v>16464.466047333601</v>
      </c>
      <c r="T65" s="146">
        <f>BB65</f>
        <v>24314.555380037702</v>
      </c>
      <c r="U65" s="147">
        <f>BC65</f>
        <v>75847.634267690344</v>
      </c>
      <c r="V65" s="146">
        <f>BG65+BJ65</f>
        <v>4782.2159732278005</v>
      </c>
      <c r="W65" s="146">
        <f>BR65</f>
        <v>19006.765023481599</v>
      </c>
      <c r="X65" s="146">
        <f>BH65+BI65</f>
        <v>2395.2442394348</v>
      </c>
      <c r="Y65" s="146">
        <f>BK65+BL65+BN65</f>
        <v>3495.0278979200002</v>
      </c>
      <c r="Z65" s="146">
        <f>BM65</f>
        <v>33553.801581314015</v>
      </c>
      <c r="AA65" s="146">
        <f>BO65+BQ65</f>
        <v>11118.094937060299</v>
      </c>
      <c r="AB65" s="147">
        <f>BP65</f>
        <v>15546.4490207975</v>
      </c>
      <c r="AC65" s="146">
        <f>BX65</f>
        <v>41771.511534796999</v>
      </c>
      <c r="AD65" s="146">
        <f>BU65</f>
        <v>11015.238704522701</v>
      </c>
      <c r="AE65" s="146">
        <f>BS65+BT65</f>
        <v>27698.816682424698</v>
      </c>
      <c r="AF65" s="146">
        <f>CA65</f>
        <v>15108.251329657398</v>
      </c>
      <c r="AG65" s="146">
        <f>BV65</f>
        <v>22911.120215382292</v>
      </c>
      <c r="AH65" s="146">
        <f>BZ65</f>
        <v>21429.034589089897</v>
      </c>
      <c r="AI65" s="146">
        <f>BW65</f>
        <v>32481.177064181302</v>
      </c>
      <c r="AJ65" s="146">
        <f>BY65</f>
        <v>27337.876733838995</v>
      </c>
      <c r="AK65" s="147">
        <f>CB65</f>
        <v>43284.997446668494</v>
      </c>
      <c r="AL65" s="146">
        <f>CE65</f>
        <v>37587.49923149489</v>
      </c>
      <c r="AM65" s="146">
        <f>CH65</f>
        <v>11780.271234555999</v>
      </c>
      <c r="AN65" s="146">
        <f>CJ65</f>
        <v>53315.547431706007</v>
      </c>
      <c r="AO65" s="146">
        <f>CC65</f>
        <v>48696.591738932875</v>
      </c>
      <c r="AP65" s="146">
        <f>CD65</f>
        <v>13425.063013786003</v>
      </c>
      <c r="AQ65" s="146">
        <f>CK65</f>
        <v>43548.144464026969</v>
      </c>
      <c r="AR65" s="146">
        <f>CI65</f>
        <v>10746.678063158999</v>
      </c>
      <c r="AS65" s="150">
        <f>CF65+CG65</f>
        <v>34297.208838956503</v>
      </c>
      <c r="AT65" s="281">
        <v>0</v>
      </c>
      <c r="AU65" s="281">
        <v>13241.415086714902</v>
      </c>
      <c r="AV65" s="281">
        <v>16464.466047333601</v>
      </c>
      <c r="AW65" s="281">
        <v>23858.964067028599</v>
      </c>
      <c r="AX65" s="281">
        <v>298.92548990300003</v>
      </c>
      <c r="AY65" s="281">
        <v>21694.709696189002</v>
      </c>
      <c r="AZ65" s="281">
        <v>0</v>
      </c>
      <c r="BA65" s="281">
        <v>7281.3166639667988</v>
      </c>
      <c r="BB65" s="281">
        <v>24314.555380037702</v>
      </c>
      <c r="BC65" s="281">
        <v>75847.634267690344</v>
      </c>
      <c r="BD65" s="281">
        <v>50743.632540982115</v>
      </c>
      <c r="BE65" s="281">
        <v>13645.5788599189</v>
      </c>
      <c r="BF65" s="299">
        <v>67088.18121349439</v>
      </c>
      <c r="BG65" s="281">
        <v>1368.2561210222</v>
      </c>
      <c r="BH65" s="281">
        <v>0</v>
      </c>
      <c r="BI65" s="281">
        <v>2395.2442394348</v>
      </c>
      <c r="BJ65" s="281">
        <v>3413.9598522056003</v>
      </c>
      <c r="BK65" s="281">
        <v>0</v>
      </c>
      <c r="BL65" s="281">
        <v>0</v>
      </c>
      <c r="BM65" s="281">
        <v>33553.801581314015</v>
      </c>
      <c r="BN65" s="281">
        <v>3495.0278979200002</v>
      </c>
      <c r="BO65" s="281">
        <v>408.51585075379995</v>
      </c>
      <c r="BP65" s="281">
        <v>15546.4490207975</v>
      </c>
      <c r="BQ65" s="281">
        <v>10709.579086306499</v>
      </c>
      <c r="BR65" s="299">
        <v>19006.765023481599</v>
      </c>
      <c r="BS65" s="281">
        <v>1030.3934755529999</v>
      </c>
      <c r="BT65" s="281">
        <v>26668.423206871699</v>
      </c>
      <c r="BU65" s="281">
        <v>11015.238704522701</v>
      </c>
      <c r="BV65" s="281">
        <v>22911.120215382292</v>
      </c>
      <c r="BW65" s="281">
        <v>32481.177064181302</v>
      </c>
      <c r="BX65" s="281">
        <v>41771.511534796999</v>
      </c>
      <c r="BY65" s="281">
        <v>27337.876733838995</v>
      </c>
      <c r="BZ65" s="281">
        <v>21429.034589089897</v>
      </c>
      <c r="CA65" s="281">
        <v>15108.251329657398</v>
      </c>
      <c r="CB65" s="299">
        <v>43284.997446668494</v>
      </c>
      <c r="CC65" s="281">
        <v>48696.591738932875</v>
      </c>
      <c r="CD65" s="281">
        <v>13425.063013786003</v>
      </c>
      <c r="CE65" s="281">
        <v>37587.49923149489</v>
      </c>
      <c r="CF65" s="281">
        <v>438.39042787099999</v>
      </c>
      <c r="CG65" s="281">
        <v>33858.8184110855</v>
      </c>
      <c r="CH65" s="281">
        <v>11780.271234555999</v>
      </c>
      <c r="CI65" s="281">
        <v>10746.678063158999</v>
      </c>
      <c r="CJ65" s="281">
        <v>53315.547431706007</v>
      </c>
      <c r="CK65" s="300">
        <v>43548.144464026969</v>
      </c>
      <c r="CL65" s="301">
        <v>900812.00630367652</v>
      </c>
    </row>
    <row r="66" spans="1:90">
      <c r="A66" s="80">
        <f>ROWS($A$3:A64)</f>
        <v>62</v>
      </c>
      <c r="B66" s="92" t="s">
        <v>364</v>
      </c>
      <c r="C66" s="201">
        <v>2001</v>
      </c>
      <c r="D66" s="259" t="s">
        <v>59</v>
      </c>
      <c r="E66" s="447">
        <v>42909</v>
      </c>
      <c r="F66" s="530">
        <f>SUM(AT66:BF66)</f>
        <v>6117</v>
      </c>
      <c r="G66" s="531">
        <f>SUM(BG66:BR66)</f>
        <v>2329</v>
      </c>
      <c r="H66" s="531">
        <f>SUM(BS66:CB66)</f>
        <v>72232</v>
      </c>
      <c r="I66" s="532">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155">
        <v>0</v>
      </c>
      <c r="AU66" s="155">
        <v>0</v>
      </c>
      <c r="AV66" s="155">
        <v>1168</v>
      </c>
      <c r="AW66" s="155">
        <v>4624</v>
      </c>
      <c r="AX66" s="155">
        <v>0</v>
      </c>
      <c r="AY66" s="155">
        <v>0</v>
      </c>
      <c r="AZ66" s="155">
        <v>0</v>
      </c>
      <c r="BA66" s="155">
        <v>0</v>
      </c>
      <c r="BB66" s="155">
        <v>0</v>
      </c>
      <c r="BC66" s="155">
        <v>0</v>
      </c>
      <c r="BD66" s="155">
        <v>0</v>
      </c>
      <c r="BE66" s="155">
        <v>0</v>
      </c>
      <c r="BF66" s="552">
        <v>325</v>
      </c>
      <c r="BG66" s="155">
        <v>0</v>
      </c>
      <c r="BH66" s="155">
        <v>0</v>
      </c>
      <c r="BI66" s="155">
        <v>0</v>
      </c>
      <c r="BJ66" s="155">
        <v>111</v>
      </c>
      <c r="BK66" s="155">
        <v>0</v>
      </c>
      <c r="BL66" s="155">
        <v>0</v>
      </c>
      <c r="BM66" s="155">
        <v>0</v>
      </c>
      <c r="BN66" s="155">
        <v>0</v>
      </c>
      <c r="BO66" s="155">
        <v>0</v>
      </c>
      <c r="BP66" s="155">
        <v>636</v>
      </c>
      <c r="BQ66" s="155">
        <v>0</v>
      </c>
      <c r="BR66" s="552">
        <v>1582</v>
      </c>
      <c r="BS66" s="155">
        <v>0</v>
      </c>
      <c r="BT66" s="155">
        <v>20148</v>
      </c>
      <c r="BU66" s="155">
        <v>1668</v>
      </c>
      <c r="BV66" s="155">
        <v>2692</v>
      </c>
      <c r="BW66" s="155">
        <v>2362</v>
      </c>
      <c r="BX66" s="155">
        <v>13560</v>
      </c>
      <c r="BY66" s="155">
        <v>8825</v>
      </c>
      <c r="BZ66" s="155">
        <v>0</v>
      </c>
      <c r="CA66" s="155">
        <v>9601</v>
      </c>
      <c r="CB66" s="552">
        <v>13376</v>
      </c>
      <c r="CC66" s="155">
        <v>1824</v>
      </c>
      <c r="CD66" s="155">
        <v>0</v>
      </c>
      <c r="CE66" s="155">
        <v>13639</v>
      </c>
      <c r="CF66" s="155">
        <v>0</v>
      </c>
      <c r="CG66" s="155">
        <v>1526</v>
      </c>
      <c r="CH66" s="155">
        <v>0</v>
      </c>
      <c r="CI66" s="155">
        <v>415</v>
      </c>
      <c r="CJ66" s="155">
        <v>1289</v>
      </c>
      <c r="CK66" s="156">
        <v>2073</v>
      </c>
      <c r="CL66" s="320">
        <v>101444</v>
      </c>
    </row>
    <row r="67" spans="1:90">
      <c r="A67" s="80">
        <f>ROWS($A$3:A65)</f>
        <v>63</v>
      </c>
      <c r="B67" s="92" t="s">
        <v>363</v>
      </c>
      <c r="C67" s="201">
        <v>2016</v>
      </c>
      <c r="D67" s="260" t="s">
        <v>3</v>
      </c>
      <c r="E67" s="447">
        <v>42909</v>
      </c>
      <c r="F67" s="381">
        <f>IF(F65/F35%&gt;100,100,F65/F35%)</f>
        <v>67.516720192635873</v>
      </c>
      <c r="G67" s="384">
        <f t="shared" ref="G67:BR67" si="131">IF(G65/G35%&gt;100,100,G65/G35%)</f>
        <v>43.985731740167054</v>
      </c>
      <c r="H67" s="384">
        <f t="shared" si="131"/>
        <v>76.375894228256769</v>
      </c>
      <c r="I67" s="383">
        <f t="shared" si="131"/>
        <v>59.259182245565619</v>
      </c>
      <c r="J67" s="173"/>
      <c r="K67" s="170">
        <f t="shared" si="131"/>
        <v>100</v>
      </c>
      <c r="L67" s="171">
        <f t="shared" si="131"/>
        <v>84.602853395425655</v>
      </c>
      <c r="M67" s="171">
        <f t="shared" si="131"/>
        <v>74.122661068642714</v>
      </c>
      <c r="N67" s="171">
        <f t="shared" si="131"/>
        <v>84.834888589918208</v>
      </c>
      <c r="O67" s="171">
        <f t="shared" si="131"/>
        <v>51.662358913864004</v>
      </c>
      <c r="P67" s="171">
        <f t="shared" si="131"/>
        <v>12.542749024954867</v>
      </c>
      <c r="Q67" s="171">
        <f t="shared" si="131"/>
        <v>58.987059367047856</v>
      </c>
      <c r="R67" s="171">
        <f t="shared" si="131"/>
        <v>0.85652002837535823</v>
      </c>
      <c r="S67" s="171">
        <f t="shared" si="131"/>
        <v>82.702762946220616</v>
      </c>
      <c r="T67" s="171">
        <f t="shared" si="131"/>
        <v>58.115960084224156</v>
      </c>
      <c r="U67" s="172">
        <f t="shared" si="131"/>
        <v>99.661828089731756</v>
      </c>
      <c r="V67" s="171">
        <f t="shared" si="131"/>
        <v>29.324355980057643</v>
      </c>
      <c r="W67" s="171">
        <f t="shared" si="131"/>
        <v>100</v>
      </c>
      <c r="X67" s="171">
        <f t="shared" si="131"/>
        <v>5.8379298531156012</v>
      </c>
      <c r="Y67" s="171">
        <f t="shared" si="131"/>
        <v>8.0321464801783389</v>
      </c>
      <c r="Z67" s="171">
        <f t="shared" si="131"/>
        <v>72.781661492590374</v>
      </c>
      <c r="AA67" s="171">
        <f t="shared" si="131"/>
        <v>54.015910883060286</v>
      </c>
      <c r="AB67" s="172">
        <f t="shared" si="131"/>
        <v>86.963411203208025</v>
      </c>
      <c r="AC67" s="171">
        <f t="shared" si="131"/>
        <v>100</v>
      </c>
      <c r="AD67" s="171">
        <f t="shared" si="131"/>
        <v>49.627134188694811</v>
      </c>
      <c r="AE67" s="171">
        <f t="shared" si="131"/>
        <v>52.48771447438925</v>
      </c>
      <c r="AF67" s="171">
        <f t="shared" si="131"/>
        <v>65.239879651340345</v>
      </c>
      <c r="AG67" s="171">
        <f t="shared" si="131"/>
        <v>40.905410132801805</v>
      </c>
      <c r="AH67" s="171">
        <f t="shared" si="131"/>
        <v>64.212617131397266</v>
      </c>
      <c r="AI67" s="171">
        <f t="shared" si="131"/>
        <v>100</v>
      </c>
      <c r="AJ67" s="171">
        <f t="shared" si="131"/>
        <v>100</v>
      </c>
      <c r="AK67" s="172">
        <f t="shared" si="131"/>
        <v>100</v>
      </c>
      <c r="AL67" s="171">
        <f t="shared" si="131"/>
        <v>100</v>
      </c>
      <c r="AM67" s="171">
        <f t="shared" si="131"/>
        <v>15.566514574515374</v>
      </c>
      <c r="AN67" s="171">
        <f t="shared" si="131"/>
        <v>61.964560832739835</v>
      </c>
      <c r="AO67" s="171">
        <f t="shared" si="131"/>
        <v>100</v>
      </c>
      <c r="AP67" s="171">
        <f t="shared" si="131"/>
        <v>66.59587784010121</v>
      </c>
      <c r="AQ67" s="171">
        <f t="shared" si="131"/>
        <v>79.506589860016732</v>
      </c>
      <c r="AR67" s="171">
        <f t="shared" si="131"/>
        <v>32.050933680760508</v>
      </c>
      <c r="AS67" s="174">
        <f t="shared" si="131"/>
        <v>43.32041888943742</v>
      </c>
      <c r="AT67" s="384">
        <f t="shared" si="131"/>
        <v>0</v>
      </c>
      <c r="AU67" s="384">
        <f t="shared" si="131"/>
        <v>58.987059367047856</v>
      </c>
      <c r="AV67" s="384">
        <f t="shared" si="131"/>
        <v>82.702762946220616</v>
      </c>
      <c r="AW67" s="384">
        <f t="shared" si="131"/>
        <v>84.834888589918208</v>
      </c>
      <c r="AX67" s="384">
        <f t="shared" si="131"/>
        <v>0.92292287475068713</v>
      </c>
      <c r="AY67" s="384">
        <f t="shared" si="131"/>
        <v>84.602853395425655</v>
      </c>
      <c r="AZ67" s="384">
        <f t="shared" si="131"/>
        <v>0</v>
      </c>
      <c r="BA67" s="384">
        <f t="shared" si="131"/>
        <v>13.500420261739901</v>
      </c>
      <c r="BB67" s="384">
        <f t="shared" si="131"/>
        <v>58.115960084224156</v>
      </c>
      <c r="BC67" s="384">
        <f t="shared" si="131"/>
        <v>99.661828089731756</v>
      </c>
      <c r="BD67" s="384">
        <f t="shared" si="131"/>
        <v>74.122661068642714</v>
      </c>
      <c r="BE67" s="384">
        <f t="shared" si="131"/>
        <v>51.662358913864004</v>
      </c>
      <c r="BF67" s="385">
        <f t="shared" si="131"/>
        <v>100</v>
      </c>
      <c r="BG67" s="384">
        <f t="shared" si="131"/>
        <v>86.379805620088376</v>
      </c>
      <c r="BH67" s="384">
        <f t="shared" si="131"/>
        <v>0</v>
      </c>
      <c r="BI67" s="384">
        <f t="shared" si="131"/>
        <v>6.2324215222595756</v>
      </c>
      <c r="BJ67" s="384">
        <f t="shared" si="131"/>
        <v>23.186361397756045</v>
      </c>
      <c r="BK67" s="384">
        <f t="shared" si="131"/>
        <v>0</v>
      </c>
      <c r="BL67" s="384">
        <f t="shared" si="131"/>
        <v>0</v>
      </c>
      <c r="BM67" s="384">
        <f t="shared" si="131"/>
        <v>72.781661492590374</v>
      </c>
      <c r="BN67" s="384">
        <f t="shared" si="131"/>
        <v>9.013844065404653</v>
      </c>
      <c r="BO67" s="384">
        <f t="shared" si="131"/>
        <v>42.115036160185568</v>
      </c>
      <c r="BP67" s="384">
        <f t="shared" si="131"/>
        <v>86.963411203208025</v>
      </c>
      <c r="BQ67" s="384">
        <f t="shared" si="131"/>
        <v>54.604492358672815</v>
      </c>
      <c r="BR67" s="385">
        <f t="shared" si="131"/>
        <v>100</v>
      </c>
      <c r="BS67" s="384">
        <f t="shared" ref="BS67:CL67" si="132">IF(BS65/BS35%&gt;100,100,BS65/BS35%)</f>
        <v>29.875137012264421</v>
      </c>
      <c r="BT67" s="384">
        <f t="shared" si="132"/>
        <v>54.068939859440214</v>
      </c>
      <c r="BU67" s="384">
        <f t="shared" si="132"/>
        <v>49.627134188694811</v>
      </c>
      <c r="BV67" s="384">
        <f t="shared" si="132"/>
        <v>40.905410132801805</v>
      </c>
      <c r="BW67" s="384">
        <f t="shared" si="132"/>
        <v>100</v>
      </c>
      <c r="BX67" s="384">
        <f t="shared" si="132"/>
        <v>100</v>
      </c>
      <c r="BY67" s="384">
        <f t="shared" si="132"/>
        <v>100</v>
      </c>
      <c r="BZ67" s="384">
        <f t="shared" si="132"/>
        <v>64.212617131397266</v>
      </c>
      <c r="CA67" s="384">
        <f t="shared" si="132"/>
        <v>65.239879651340345</v>
      </c>
      <c r="CB67" s="385">
        <f t="shared" si="132"/>
        <v>100</v>
      </c>
      <c r="CC67" s="384">
        <f t="shared" si="132"/>
        <v>100</v>
      </c>
      <c r="CD67" s="384">
        <f t="shared" si="132"/>
        <v>66.59587784010121</v>
      </c>
      <c r="CE67" s="384">
        <f t="shared" si="132"/>
        <v>100</v>
      </c>
      <c r="CF67" s="384">
        <f t="shared" si="132"/>
        <v>9.4358680127206203</v>
      </c>
      <c r="CG67" s="384">
        <f t="shared" si="132"/>
        <v>45.432832487199597</v>
      </c>
      <c r="CH67" s="384">
        <f t="shared" si="132"/>
        <v>15.566514574515374</v>
      </c>
      <c r="CI67" s="384">
        <f t="shared" si="132"/>
        <v>32.050933680760508</v>
      </c>
      <c r="CJ67" s="384">
        <f t="shared" si="132"/>
        <v>61.964560832739835</v>
      </c>
      <c r="CK67" s="383">
        <f t="shared" si="132"/>
        <v>79.506589860016732</v>
      </c>
      <c r="CL67" s="319">
        <f t="shared" si="132"/>
        <v>63.617565665028927</v>
      </c>
    </row>
    <row r="68" spans="1:90">
      <c r="A68" s="80">
        <f>ROWS($A$3:A66)</f>
        <v>64</v>
      </c>
      <c r="B68" s="59" t="s">
        <v>81</v>
      </c>
      <c r="C68" s="201"/>
      <c r="D68" s="260"/>
      <c r="E68" s="451"/>
      <c r="F68" s="154"/>
      <c r="G68" s="155"/>
      <c r="H68" s="155"/>
      <c r="I68" s="156"/>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c r="A69" s="80">
        <f>ROWS($A$3:A67)</f>
        <v>65</v>
      </c>
      <c r="B69" s="92" t="s">
        <v>265</v>
      </c>
      <c r="C69" s="202">
        <v>2016</v>
      </c>
      <c r="D69" s="259" t="s">
        <v>13</v>
      </c>
      <c r="E69" s="447">
        <v>42920</v>
      </c>
      <c r="F69" s="154">
        <f>SUM(AT69:BF69)</f>
        <v>917</v>
      </c>
      <c r="G69" s="155">
        <f>SUM(BG69:BR69)</f>
        <v>298</v>
      </c>
      <c r="H69" s="155">
        <f>SUM(BS69:CB69)</f>
        <v>1148</v>
      </c>
      <c r="I69" s="156">
        <f>SUM(CC69:CK69)</f>
        <v>1083</v>
      </c>
      <c r="J69" s="141"/>
      <c r="K69" s="116">
        <f>BF69</f>
        <v>109</v>
      </c>
      <c r="L69" s="137">
        <f>AY69</f>
        <v>147</v>
      </c>
      <c r="M69" s="137">
        <f>BD69</f>
        <v>103</v>
      </c>
      <c r="N69" s="137">
        <f>AW69</f>
        <v>60</v>
      </c>
      <c r="O69" s="137">
        <f>BE69</f>
        <v>53</v>
      </c>
      <c r="P69" s="137">
        <f>SUM(AZ69,BA69)</f>
        <v>85</v>
      </c>
      <c r="Q69" s="137">
        <f>'2010'!AU69</f>
        <v>29</v>
      </c>
      <c r="R69" s="137">
        <f>SUM(AT69+AX69)</f>
        <v>64</v>
      </c>
      <c r="S69" s="137">
        <f>AV69</f>
        <v>49</v>
      </c>
      <c r="T69" s="137">
        <f>BB69</f>
        <v>65</v>
      </c>
      <c r="U69" s="139">
        <f>BC69</f>
        <v>149</v>
      </c>
      <c r="V69" s="137">
        <f>SUM(BG69,BJ69)</f>
        <v>21</v>
      </c>
      <c r="W69" s="137">
        <f>BR69</f>
        <v>42</v>
      </c>
      <c r="X69" s="137">
        <f>SUM(BH69,BI69)</f>
        <v>51</v>
      </c>
      <c r="Y69" s="137">
        <f>SUM(BK69,BL69,BN69)</f>
        <v>49</v>
      </c>
      <c r="Z69" s="137">
        <f>BM69</f>
        <v>51</v>
      </c>
      <c r="AA69" s="137">
        <f>SUM(BO69,BQ69)</f>
        <v>47</v>
      </c>
      <c r="AB69" s="139">
        <f>BP69</f>
        <v>37</v>
      </c>
      <c r="AC69" s="137">
        <f>BX69</f>
        <v>133</v>
      </c>
      <c r="AD69" s="137">
        <f>BU69</f>
        <v>69</v>
      </c>
      <c r="AE69" s="137">
        <f>SUM(BS69+BT69)</f>
        <v>308</v>
      </c>
      <c r="AF69" s="137">
        <f>CA69</f>
        <v>99</v>
      </c>
      <c r="AG69" s="137">
        <f>BV69</f>
        <v>139</v>
      </c>
      <c r="AH69" s="137">
        <f>BZ69</f>
        <v>101</v>
      </c>
      <c r="AI69" s="137">
        <f>BW69</f>
        <v>66</v>
      </c>
      <c r="AJ69" s="137">
        <f>BY69</f>
        <v>52</v>
      </c>
      <c r="AK69" s="139">
        <f>CB69</f>
        <v>181</v>
      </c>
      <c r="AL69" s="137">
        <f>CE69</f>
        <v>88</v>
      </c>
      <c r="AM69" s="137">
        <f>CH69</f>
        <v>97</v>
      </c>
      <c r="AN69" s="137">
        <f>CJ69</f>
        <v>357</v>
      </c>
      <c r="AO69" s="137">
        <f>CC69</f>
        <v>115</v>
      </c>
      <c r="AP69" s="137">
        <f>CD69</f>
        <v>48</v>
      </c>
      <c r="AQ69" s="137">
        <f>CK69</f>
        <v>98</v>
      </c>
      <c r="AR69" s="137">
        <f>CI69</f>
        <v>170</v>
      </c>
      <c r="AS69" s="138">
        <f>SUM(CF69:CG69)</f>
        <v>110</v>
      </c>
      <c r="AT69" s="155">
        <v>8</v>
      </c>
      <c r="AU69" s="155">
        <v>33</v>
      </c>
      <c r="AV69" s="155">
        <v>49</v>
      </c>
      <c r="AW69" s="155">
        <v>60</v>
      </c>
      <c r="AX69" s="155">
        <v>56</v>
      </c>
      <c r="AY69" s="155">
        <v>147</v>
      </c>
      <c r="AZ69" s="155">
        <v>9</v>
      </c>
      <c r="BA69" s="155">
        <v>76</v>
      </c>
      <c r="BB69" s="155">
        <v>65</v>
      </c>
      <c r="BC69" s="155">
        <v>149</v>
      </c>
      <c r="BD69" s="155">
        <v>103</v>
      </c>
      <c r="BE69" s="155">
        <v>53</v>
      </c>
      <c r="BF69" s="552">
        <v>109</v>
      </c>
      <c r="BG69" s="155">
        <v>5</v>
      </c>
      <c r="BH69" s="155">
        <v>8</v>
      </c>
      <c r="BI69" s="155">
        <v>43</v>
      </c>
      <c r="BJ69" s="155">
        <v>16</v>
      </c>
      <c r="BK69" s="155">
        <v>6</v>
      </c>
      <c r="BL69" s="155" t="s">
        <v>41</v>
      </c>
      <c r="BM69" s="155">
        <v>51</v>
      </c>
      <c r="BN69" s="155">
        <v>43</v>
      </c>
      <c r="BO69" s="155">
        <v>2</v>
      </c>
      <c r="BP69" s="155">
        <v>37</v>
      </c>
      <c r="BQ69" s="155">
        <v>45</v>
      </c>
      <c r="BR69" s="552">
        <v>42</v>
      </c>
      <c r="BS69" s="155">
        <v>16</v>
      </c>
      <c r="BT69" s="155">
        <v>292</v>
      </c>
      <c r="BU69" s="155">
        <v>69</v>
      </c>
      <c r="BV69" s="155">
        <v>139</v>
      </c>
      <c r="BW69" s="155">
        <v>66</v>
      </c>
      <c r="BX69" s="155">
        <v>133</v>
      </c>
      <c r="BY69" s="155">
        <v>52</v>
      </c>
      <c r="BZ69" s="155">
        <v>101</v>
      </c>
      <c r="CA69" s="155">
        <v>99</v>
      </c>
      <c r="CB69" s="552">
        <v>181</v>
      </c>
      <c r="CC69" s="155">
        <v>115</v>
      </c>
      <c r="CD69" s="155">
        <v>48</v>
      </c>
      <c r="CE69" s="155">
        <v>88</v>
      </c>
      <c r="CF69" s="155">
        <v>2</v>
      </c>
      <c r="CG69" s="155">
        <v>108</v>
      </c>
      <c r="CH69" s="155">
        <v>97</v>
      </c>
      <c r="CI69" s="155">
        <v>170</v>
      </c>
      <c r="CJ69" s="155">
        <v>357</v>
      </c>
      <c r="CK69" s="156">
        <v>98</v>
      </c>
      <c r="CL69" s="320">
        <f>SUM(AT69:CK69)</f>
        <v>3446</v>
      </c>
    </row>
    <row r="70" spans="1:90">
      <c r="A70" s="80">
        <f>ROWS($A$3:A68)</f>
        <v>66</v>
      </c>
      <c r="B70" s="92" t="s">
        <v>70</v>
      </c>
      <c r="C70" s="252"/>
      <c r="D70" s="259" t="s">
        <v>1</v>
      </c>
      <c r="E70" s="451"/>
      <c r="F70" s="154">
        <v>34156</v>
      </c>
      <c r="G70" s="155">
        <v>14204</v>
      </c>
      <c r="H70" s="155">
        <f>SUM(BS70:CB70)</f>
        <v>39635</v>
      </c>
      <c r="I70" s="156">
        <v>43866</v>
      </c>
      <c r="J70" s="141"/>
      <c r="K70" s="116">
        <f>BF70</f>
        <v>3936</v>
      </c>
      <c r="L70" s="137">
        <f>AY70</f>
        <v>3380</v>
      </c>
      <c r="M70" s="137">
        <f>BD70</f>
        <v>5380</v>
      </c>
      <c r="N70" s="137">
        <f>AW70</f>
        <v>2214</v>
      </c>
      <c r="O70" s="137">
        <f>BE70</f>
        <v>2828</v>
      </c>
      <c r="P70" s="137">
        <f>SUM(AZ70,BA70)</f>
        <v>2741</v>
      </c>
      <c r="Q70" s="137">
        <f>'2010'!AU70</f>
        <v>1115</v>
      </c>
      <c r="R70" s="137">
        <f>SUM(AT70+AX70)</f>
        <v>1776</v>
      </c>
      <c r="S70" s="137">
        <f>AV70</f>
        <v>1650</v>
      </c>
      <c r="T70" s="137">
        <f>BB70</f>
        <v>2982</v>
      </c>
      <c r="U70" s="139">
        <f>BC70</f>
        <v>5868</v>
      </c>
      <c r="V70" s="137">
        <f>SUM(BG70,BJ70)</f>
        <v>669</v>
      </c>
      <c r="W70" s="137">
        <f>BR70</f>
        <v>1907</v>
      </c>
      <c r="X70" s="137">
        <f>SUM(BH70,BI70)</f>
        <v>2743</v>
      </c>
      <c r="Y70" s="137">
        <f>SUM(BK70,BL70,BN70)</f>
        <v>1899</v>
      </c>
      <c r="Z70" s="137">
        <f>BM70</f>
        <v>2532</v>
      </c>
      <c r="AA70" s="137">
        <f>SUM(BO70,BQ70)</f>
        <v>2645</v>
      </c>
      <c r="AB70" s="139">
        <f>BP70</f>
        <v>1420</v>
      </c>
      <c r="AC70" s="137">
        <f>BX70</f>
        <v>5085</v>
      </c>
      <c r="AD70" s="137">
        <f>BU70</f>
        <v>1598</v>
      </c>
      <c r="AE70" s="137">
        <f>SUM(BS70+BT70)</f>
        <v>8384</v>
      </c>
      <c r="AF70" s="137">
        <f>CA70</f>
        <v>3274</v>
      </c>
      <c r="AG70" s="137">
        <f>BV70</f>
        <v>4429</v>
      </c>
      <c r="AH70" s="137">
        <f>BZ70</f>
        <v>3700</v>
      </c>
      <c r="AI70" s="137">
        <f>BW70</f>
        <v>2710</v>
      </c>
      <c r="AJ70" s="137">
        <f>BY70</f>
        <v>3276</v>
      </c>
      <c r="AK70" s="139">
        <f>CB70</f>
        <v>7179</v>
      </c>
      <c r="AL70" s="137">
        <f>CE70</f>
        <v>5524</v>
      </c>
      <c r="AM70" s="137">
        <f>CH70</f>
        <v>4837</v>
      </c>
      <c r="AN70" s="137">
        <f>CJ70</f>
        <v>12352</v>
      </c>
      <c r="AO70" s="137">
        <f>CC70</f>
        <v>5232</v>
      </c>
      <c r="AP70" s="137" t="str">
        <f>CD70</f>
        <v>.</v>
      </c>
      <c r="AQ70" s="137">
        <f>CK70</f>
        <v>4448</v>
      </c>
      <c r="AR70" s="137">
        <f>CI70</f>
        <v>3603</v>
      </c>
      <c r="AS70" s="138">
        <f>SUM(CF70:CG70)</f>
        <v>4425</v>
      </c>
      <c r="AT70" s="155">
        <v>200</v>
      </c>
      <c r="AU70" s="155">
        <v>1402</v>
      </c>
      <c r="AV70" s="155">
        <v>1650</v>
      </c>
      <c r="AW70" s="155">
        <v>2214</v>
      </c>
      <c r="AX70" s="155">
        <v>1576</v>
      </c>
      <c r="AY70" s="155">
        <v>3380</v>
      </c>
      <c r="AZ70" s="155">
        <v>137</v>
      </c>
      <c r="BA70" s="155">
        <v>2604</v>
      </c>
      <c r="BB70" s="155">
        <v>2982</v>
      </c>
      <c r="BC70" s="155">
        <v>5868</v>
      </c>
      <c r="BD70" s="155">
        <v>5380</v>
      </c>
      <c r="BE70" s="155">
        <v>2828</v>
      </c>
      <c r="BF70" s="552">
        <v>3936</v>
      </c>
      <c r="BG70" s="155">
        <v>264</v>
      </c>
      <c r="BH70" s="155">
        <v>231</v>
      </c>
      <c r="BI70" s="155">
        <v>2512</v>
      </c>
      <c r="BJ70" s="155">
        <v>405</v>
      </c>
      <c r="BK70" s="155" t="s">
        <v>304</v>
      </c>
      <c r="BL70" s="155" t="s">
        <v>41</v>
      </c>
      <c r="BM70" s="155">
        <v>2532</v>
      </c>
      <c r="BN70" s="155">
        <v>1899</v>
      </c>
      <c r="BO70" s="155" t="s">
        <v>304</v>
      </c>
      <c r="BP70" s="155">
        <v>1420</v>
      </c>
      <c r="BQ70" s="155">
        <v>2645</v>
      </c>
      <c r="BR70" s="552">
        <v>1907</v>
      </c>
      <c r="BS70" s="155">
        <v>315</v>
      </c>
      <c r="BT70" s="155">
        <v>8069</v>
      </c>
      <c r="BU70" s="155">
        <v>1598</v>
      </c>
      <c r="BV70" s="155">
        <v>4429</v>
      </c>
      <c r="BW70" s="155">
        <v>2710</v>
      </c>
      <c r="BX70" s="155">
        <v>5085</v>
      </c>
      <c r="BY70" s="155">
        <v>3276</v>
      </c>
      <c r="BZ70" s="155">
        <v>3700</v>
      </c>
      <c r="CA70" s="155">
        <v>3274</v>
      </c>
      <c r="CB70" s="552">
        <v>7179</v>
      </c>
      <c r="CC70" s="155">
        <v>5232</v>
      </c>
      <c r="CD70" s="155" t="s">
        <v>304</v>
      </c>
      <c r="CE70" s="155">
        <v>5524</v>
      </c>
      <c r="CF70" s="155" t="s">
        <v>304</v>
      </c>
      <c r="CG70" s="155">
        <v>4425</v>
      </c>
      <c r="CH70" s="155">
        <v>4837</v>
      </c>
      <c r="CI70" s="155">
        <v>3603</v>
      </c>
      <c r="CJ70" s="155">
        <v>12352</v>
      </c>
      <c r="CK70" s="156">
        <v>4448</v>
      </c>
      <c r="CL70" s="320">
        <v>131861</v>
      </c>
    </row>
    <row r="71" spans="1:90">
      <c r="A71" s="80">
        <f>ROWS($A$3:A69)</f>
        <v>67</v>
      </c>
      <c r="B71" s="54" t="s">
        <v>266</v>
      </c>
      <c r="C71" s="252"/>
      <c r="D71" s="259" t="s">
        <v>1</v>
      </c>
      <c r="E71" s="451"/>
      <c r="F71" s="539">
        <f>IF(ISERROR(F70/F69)=FALSE,F70/F69," -")</f>
        <v>37.24754634678299</v>
      </c>
      <c r="G71" s="521">
        <f>IF(ISERROR(G70/G69)=FALSE,G70/G69," -")</f>
        <v>47.664429530201339</v>
      </c>
      <c r="H71" s="521">
        <f>IF(ISERROR(H70/H69)=FALSE,H70/H69," -")</f>
        <v>34.525261324041814</v>
      </c>
      <c r="I71" s="540">
        <f>IF(ISERROR(I70/I69)=FALSE,I70/I69," -")</f>
        <v>40.504155124653742</v>
      </c>
      <c r="J71" s="173"/>
      <c r="K71" s="167">
        <f t="shared" ref="K71:BV71" si="133">IF(ISERROR(K70/K69)=FALSE,K70/K69," -")</f>
        <v>36.110091743119263</v>
      </c>
      <c r="L71" s="168">
        <f t="shared" si="133"/>
        <v>22.993197278911566</v>
      </c>
      <c r="M71" s="168">
        <f t="shared" si="133"/>
        <v>52.233009708737868</v>
      </c>
      <c r="N71" s="168">
        <f t="shared" si="133"/>
        <v>36.9</v>
      </c>
      <c r="O71" s="168">
        <f t="shared" si="133"/>
        <v>53.358490566037737</v>
      </c>
      <c r="P71" s="168">
        <f t="shared" si="133"/>
        <v>32.247058823529414</v>
      </c>
      <c r="Q71" s="168">
        <f t="shared" si="133"/>
        <v>38.448275862068968</v>
      </c>
      <c r="R71" s="168">
        <f t="shared" si="133"/>
        <v>27.75</v>
      </c>
      <c r="S71" s="168">
        <f t="shared" si="133"/>
        <v>33.673469387755105</v>
      </c>
      <c r="T71" s="168">
        <f t="shared" si="133"/>
        <v>45.876923076923077</v>
      </c>
      <c r="U71" s="176">
        <f t="shared" si="133"/>
        <v>39.382550335570471</v>
      </c>
      <c r="V71" s="168">
        <f t="shared" si="133"/>
        <v>31.857142857142858</v>
      </c>
      <c r="W71" s="168">
        <f t="shared" si="133"/>
        <v>45.404761904761905</v>
      </c>
      <c r="X71" s="168">
        <f t="shared" si="133"/>
        <v>53.784313725490193</v>
      </c>
      <c r="Y71" s="168">
        <f t="shared" si="133"/>
        <v>38.755102040816325</v>
      </c>
      <c r="Z71" s="168">
        <f t="shared" si="133"/>
        <v>49.647058823529413</v>
      </c>
      <c r="AA71" s="168">
        <f t="shared" si="133"/>
        <v>56.276595744680854</v>
      </c>
      <c r="AB71" s="176">
        <f t="shared" si="133"/>
        <v>38.378378378378379</v>
      </c>
      <c r="AC71" s="168">
        <f t="shared" si="133"/>
        <v>38.233082706766915</v>
      </c>
      <c r="AD71" s="168">
        <f t="shared" si="133"/>
        <v>23.159420289855074</v>
      </c>
      <c r="AE71" s="168">
        <f t="shared" si="133"/>
        <v>27.220779220779221</v>
      </c>
      <c r="AF71" s="168">
        <f t="shared" si="133"/>
        <v>33.070707070707073</v>
      </c>
      <c r="AG71" s="168">
        <f t="shared" si="133"/>
        <v>31.863309352517987</v>
      </c>
      <c r="AH71" s="168">
        <f t="shared" si="133"/>
        <v>36.633663366336634</v>
      </c>
      <c r="AI71" s="168">
        <f t="shared" si="133"/>
        <v>41.060606060606062</v>
      </c>
      <c r="AJ71" s="168">
        <f t="shared" si="133"/>
        <v>63</v>
      </c>
      <c r="AK71" s="176">
        <f t="shared" si="133"/>
        <v>39.662983425414367</v>
      </c>
      <c r="AL71" s="168">
        <f t="shared" si="133"/>
        <v>62.772727272727273</v>
      </c>
      <c r="AM71" s="168">
        <f t="shared" si="133"/>
        <v>49.865979381443296</v>
      </c>
      <c r="AN71" s="168">
        <f t="shared" si="133"/>
        <v>34.599439775910362</v>
      </c>
      <c r="AO71" s="168">
        <f t="shared" si="133"/>
        <v>45.495652173913044</v>
      </c>
      <c r="AP71" s="168" t="str">
        <f t="shared" si="133"/>
        <v xml:space="preserve"> -</v>
      </c>
      <c r="AQ71" s="168">
        <f t="shared" si="133"/>
        <v>45.387755102040813</v>
      </c>
      <c r="AR71" s="168">
        <f t="shared" si="133"/>
        <v>21.194117647058825</v>
      </c>
      <c r="AS71" s="169">
        <f t="shared" si="133"/>
        <v>40.227272727272727</v>
      </c>
      <c r="AT71" s="521">
        <f t="shared" si="133"/>
        <v>25</v>
      </c>
      <c r="AU71" s="521">
        <f t="shared" si="133"/>
        <v>42.484848484848484</v>
      </c>
      <c r="AV71" s="521">
        <f t="shared" si="133"/>
        <v>33.673469387755105</v>
      </c>
      <c r="AW71" s="521">
        <f t="shared" si="133"/>
        <v>36.9</v>
      </c>
      <c r="AX71" s="521">
        <f t="shared" si="133"/>
        <v>28.142857142857142</v>
      </c>
      <c r="AY71" s="521">
        <f t="shared" si="133"/>
        <v>22.993197278911566</v>
      </c>
      <c r="AZ71" s="521">
        <f t="shared" si="133"/>
        <v>15.222222222222221</v>
      </c>
      <c r="BA71" s="521">
        <f t="shared" si="133"/>
        <v>34.263157894736842</v>
      </c>
      <c r="BB71" s="521">
        <f t="shared" si="133"/>
        <v>45.876923076923077</v>
      </c>
      <c r="BC71" s="521">
        <f t="shared" si="133"/>
        <v>39.382550335570471</v>
      </c>
      <c r="BD71" s="521">
        <f t="shared" si="133"/>
        <v>52.233009708737868</v>
      </c>
      <c r="BE71" s="521">
        <f t="shared" si="133"/>
        <v>53.358490566037737</v>
      </c>
      <c r="BF71" s="559">
        <f t="shared" si="133"/>
        <v>36.110091743119263</v>
      </c>
      <c r="BG71" s="521">
        <f t="shared" si="133"/>
        <v>52.8</v>
      </c>
      <c r="BH71" s="521">
        <f t="shared" si="133"/>
        <v>28.875</v>
      </c>
      <c r="BI71" s="521">
        <f t="shared" si="133"/>
        <v>58.418604651162788</v>
      </c>
      <c r="BJ71" s="521">
        <f t="shared" si="133"/>
        <v>25.3125</v>
      </c>
      <c r="BK71" s="521" t="str">
        <f t="shared" si="133"/>
        <v xml:space="preserve"> -</v>
      </c>
      <c r="BL71" s="521" t="str">
        <f t="shared" si="133"/>
        <v xml:space="preserve"> -</v>
      </c>
      <c r="BM71" s="521">
        <f t="shared" si="133"/>
        <v>49.647058823529413</v>
      </c>
      <c r="BN71" s="521">
        <f t="shared" si="133"/>
        <v>44.162790697674417</v>
      </c>
      <c r="BO71" s="521" t="str">
        <f t="shared" si="133"/>
        <v xml:space="preserve"> -</v>
      </c>
      <c r="BP71" s="521">
        <f t="shared" si="133"/>
        <v>38.378378378378379</v>
      </c>
      <c r="BQ71" s="521">
        <f t="shared" si="133"/>
        <v>58.777777777777779</v>
      </c>
      <c r="BR71" s="559">
        <f t="shared" si="133"/>
        <v>45.404761904761905</v>
      </c>
      <c r="BS71" s="521">
        <f t="shared" si="133"/>
        <v>19.6875</v>
      </c>
      <c r="BT71" s="521">
        <f t="shared" si="133"/>
        <v>27.633561643835616</v>
      </c>
      <c r="BU71" s="521">
        <f t="shared" si="133"/>
        <v>23.159420289855074</v>
      </c>
      <c r="BV71" s="521">
        <f t="shared" si="133"/>
        <v>31.863309352517987</v>
      </c>
      <c r="BW71" s="521">
        <f t="shared" ref="BW71:CK71" si="134">IF(ISERROR(BW70/BW69)=FALSE,BW70/BW69," -")</f>
        <v>41.060606060606062</v>
      </c>
      <c r="BX71" s="521">
        <f t="shared" si="134"/>
        <v>38.233082706766915</v>
      </c>
      <c r="BY71" s="521">
        <f t="shared" si="134"/>
        <v>63</v>
      </c>
      <c r="BZ71" s="521">
        <f t="shared" si="134"/>
        <v>36.633663366336634</v>
      </c>
      <c r="CA71" s="521">
        <f t="shared" si="134"/>
        <v>33.070707070707073</v>
      </c>
      <c r="CB71" s="559">
        <f t="shared" si="134"/>
        <v>39.662983425414367</v>
      </c>
      <c r="CC71" s="521">
        <f t="shared" si="134"/>
        <v>45.495652173913044</v>
      </c>
      <c r="CD71" s="521" t="str">
        <f t="shared" si="134"/>
        <v xml:space="preserve"> -</v>
      </c>
      <c r="CE71" s="521">
        <f t="shared" si="134"/>
        <v>62.772727272727273</v>
      </c>
      <c r="CF71" s="521" t="str">
        <f t="shared" si="134"/>
        <v xml:space="preserve"> -</v>
      </c>
      <c r="CG71" s="521">
        <f t="shared" si="134"/>
        <v>40.972222222222221</v>
      </c>
      <c r="CH71" s="521">
        <f t="shared" si="134"/>
        <v>49.865979381443296</v>
      </c>
      <c r="CI71" s="521">
        <f t="shared" si="134"/>
        <v>21.194117647058825</v>
      </c>
      <c r="CJ71" s="521">
        <f t="shared" si="134"/>
        <v>34.599439775910362</v>
      </c>
      <c r="CK71" s="540">
        <f t="shared" si="134"/>
        <v>45.387755102040813</v>
      </c>
      <c r="CL71" s="560">
        <f>IF(OR(CL69&lt;0.1,CL70&lt;0.1),0,CL70/CL69)</f>
        <v>38.264944863609983</v>
      </c>
    </row>
    <row r="72" spans="1:90">
      <c r="A72" s="80">
        <f>ROWS($A$3:A70)</f>
        <v>68</v>
      </c>
      <c r="B72" s="59" t="s">
        <v>83</v>
      </c>
      <c r="C72" s="201"/>
      <c r="D72" s="260"/>
      <c r="E72" s="451"/>
      <c r="F72" s="154"/>
      <c r="G72" s="155"/>
      <c r="H72" s="155"/>
      <c r="I72" s="156"/>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c r="A73" s="80">
        <f>ROWS($A$3:A71)</f>
        <v>69</v>
      </c>
      <c r="B73" s="92" t="s">
        <v>84</v>
      </c>
      <c r="C73" s="202">
        <v>2016</v>
      </c>
      <c r="D73" s="259" t="s">
        <v>13</v>
      </c>
      <c r="E73" s="447">
        <v>42920</v>
      </c>
      <c r="F73" s="154">
        <v>3331</v>
      </c>
      <c r="G73" s="155">
        <v>1688</v>
      </c>
      <c r="H73" s="155">
        <v>2270</v>
      </c>
      <c r="I73" s="156">
        <v>2972</v>
      </c>
      <c r="J73" s="141"/>
      <c r="K73" s="116">
        <f t="shared" ref="K73:K78" si="135">BF73</f>
        <v>341</v>
      </c>
      <c r="L73" s="137">
        <f t="shared" ref="L73:L78" si="136">AY73</f>
        <v>149</v>
      </c>
      <c r="M73" s="137">
        <f t="shared" ref="M73:M78" si="137">BD73</f>
        <v>668</v>
      </c>
      <c r="N73" s="137">
        <f t="shared" ref="N73:N78" si="138">AW73</f>
        <v>127</v>
      </c>
      <c r="O73" s="137">
        <f t="shared" ref="O73:O78" si="139">BE73</f>
        <v>179</v>
      </c>
      <c r="P73" s="137">
        <f t="shared" ref="P73:P78" si="140">SUM(AZ73,BA73)</f>
        <v>489</v>
      </c>
      <c r="Q73" s="137">
        <f>'2010'!AU73</f>
        <v>256</v>
      </c>
      <c r="R73" s="137">
        <f t="shared" ref="R73:R78" si="141">SUM(AT73,AX73)</f>
        <v>320</v>
      </c>
      <c r="S73" s="137">
        <f t="shared" ref="S73:S78" si="142">AV73</f>
        <v>164</v>
      </c>
      <c r="T73" s="137">
        <f t="shared" ref="T73:U78" si="143">BB73</f>
        <v>244</v>
      </c>
      <c r="U73" s="139">
        <f t="shared" si="143"/>
        <v>387</v>
      </c>
      <c r="V73" s="137">
        <f t="shared" ref="V73:V78" si="144">SUM(BG73,BJ73)</f>
        <v>120</v>
      </c>
      <c r="W73" s="137">
        <f t="shared" ref="W73:W78" si="145">BR73</f>
        <v>165</v>
      </c>
      <c r="X73" s="137">
        <f t="shared" ref="X73:X78" si="146">SUM(BH73,BI73)</f>
        <v>361</v>
      </c>
      <c r="Y73" s="137">
        <f t="shared" ref="Y73:Y78" si="147">SUM(BK73,BL73,BN73)</f>
        <v>451</v>
      </c>
      <c r="Z73" s="137">
        <f t="shared" ref="Z73:Z78" si="148">BM73</f>
        <v>359</v>
      </c>
      <c r="AA73" s="137">
        <f t="shared" ref="AA73:AA78" si="149">SUM(BO73,BQ73)</f>
        <v>122</v>
      </c>
      <c r="AB73" s="139">
        <f t="shared" ref="AB73:AB78" si="150">BP73</f>
        <v>110</v>
      </c>
      <c r="AC73" s="137">
        <f t="shared" ref="AC73:AC78" si="151">BX73</f>
        <v>230</v>
      </c>
      <c r="AD73" s="137">
        <f t="shared" ref="AD73:AD78" si="152">BU73</f>
        <v>159</v>
      </c>
      <c r="AE73" s="137">
        <f t="shared" ref="AE73:AE78" si="153">SUM(BS73,BT73)</f>
        <v>365</v>
      </c>
      <c r="AF73" s="137">
        <f t="shared" ref="AF73:AF78" si="154">CA73</f>
        <v>137</v>
      </c>
      <c r="AG73" s="137">
        <f t="shared" ref="AG73:AG78" si="155">BV73</f>
        <v>486</v>
      </c>
      <c r="AH73" s="137">
        <f t="shared" ref="AH73:AH78" si="156">BZ73</f>
        <v>215</v>
      </c>
      <c r="AI73" s="137">
        <f t="shared" ref="AI73:AI78" si="157">BW73</f>
        <v>244</v>
      </c>
      <c r="AJ73" s="137">
        <f t="shared" ref="AJ73:AJ78" si="158">BY73</f>
        <v>169</v>
      </c>
      <c r="AK73" s="139">
        <f t="shared" ref="AK73:AK78" si="159">CB73</f>
        <v>265</v>
      </c>
      <c r="AL73" s="137">
        <f t="shared" ref="AL73:AL78" si="160">CE73</f>
        <v>314</v>
      </c>
      <c r="AM73" s="137">
        <f t="shared" ref="AM73:AM78" si="161">CH73</f>
        <v>481</v>
      </c>
      <c r="AN73" s="137">
        <f t="shared" ref="AN73:AN78" si="162">CJ73</f>
        <v>286</v>
      </c>
      <c r="AO73" s="137">
        <f t="shared" ref="AO73:AP78" si="163">CC73</f>
        <v>389</v>
      </c>
      <c r="AP73" s="137">
        <f t="shared" si="163"/>
        <v>190</v>
      </c>
      <c r="AQ73" s="137">
        <f t="shared" ref="AQ73:AQ78" si="164">CK73</f>
        <v>435</v>
      </c>
      <c r="AR73" s="137">
        <f t="shared" ref="AR73:AR78" si="165">CI73</f>
        <v>195</v>
      </c>
      <c r="AS73" s="138">
        <f t="shared" ref="AS73:AS78" si="166">SUM(CF73,CG73)</f>
        <v>682</v>
      </c>
      <c r="AT73" s="155">
        <v>32</v>
      </c>
      <c r="AU73" s="155">
        <v>263</v>
      </c>
      <c r="AV73" s="155">
        <v>164</v>
      </c>
      <c r="AW73" s="155">
        <v>127</v>
      </c>
      <c r="AX73" s="155">
        <v>288</v>
      </c>
      <c r="AY73" s="155">
        <v>149</v>
      </c>
      <c r="AZ73" s="155">
        <v>58</v>
      </c>
      <c r="BA73" s="155">
        <v>431</v>
      </c>
      <c r="BB73" s="155">
        <v>244</v>
      </c>
      <c r="BC73" s="155">
        <v>387</v>
      </c>
      <c r="BD73" s="155">
        <v>668</v>
      </c>
      <c r="BE73" s="155">
        <v>179</v>
      </c>
      <c r="BF73" s="552">
        <v>341</v>
      </c>
      <c r="BG73" s="155">
        <v>7</v>
      </c>
      <c r="BH73" s="155">
        <v>26</v>
      </c>
      <c r="BI73" s="155">
        <v>335</v>
      </c>
      <c r="BJ73" s="155">
        <v>113</v>
      </c>
      <c r="BK73" s="155">
        <v>28</v>
      </c>
      <c r="BL73" s="155">
        <v>34</v>
      </c>
      <c r="BM73" s="155">
        <v>359</v>
      </c>
      <c r="BN73" s="155">
        <v>389</v>
      </c>
      <c r="BO73" s="155">
        <v>4</v>
      </c>
      <c r="BP73" s="155">
        <v>110</v>
      </c>
      <c r="BQ73" s="155">
        <v>118</v>
      </c>
      <c r="BR73" s="552">
        <v>165</v>
      </c>
      <c r="BS73" s="155">
        <v>21</v>
      </c>
      <c r="BT73" s="155">
        <v>344</v>
      </c>
      <c r="BU73" s="155">
        <v>159</v>
      </c>
      <c r="BV73" s="155">
        <v>486</v>
      </c>
      <c r="BW73" s="155">
        <v>244</v>
      </c>
      <c r="BX73" s="155">
        <v>230</v>
      </c>
      <c r="BY73" s="155">
        <v>169</v>
      </c>
      <c r="BZ73" s="155">
        <v>215</v>
      </c>
      <c r="CA73" s="155">
        <v>137</v>
      </c>
      <c r="CB73" s="552">
        <v>265</v>
      </c>
      <c r="CC73" s="155">
        <v>389</v>
      </c>
      <c r="CD73" s="155">
        <v>190</v>
      </c>
      <c r="CE73" s="155">
        <v>314</v>
      </c>
      <c r="CF73" s="155">
        <v>44</v>
      </c>
      <c r="CG73" s="155">
        <v>638</v>
      </c>
      <c r="CH73" s="155">
        <v>481</v>
      </c>
      <c r="CI73" s="155">
        <v>195</v>
      </c>
      <c r="CJ73" s="155">
        <v>286</v>
      </c>
      <c r="CK73" s="156">
        <v>435</v>
      </c>
      <c r="CL73" s="320">
        <v>10261</v>
      </c>
    </row>
    <row r="74" spans="1:90">
      <c r="A74" s="80">
        <f>ROWS($A$3:A72)</f>
        <v>70</v>
      </c>
      <c r="B74" s="92" t="s">
        <v>85</v>
      </c>
      <c r="C74" s="203"/>
      <c r="D74" s="259" t="s">
        <v>13</v>
      </c>
      <c r="E74" s="451"/>
      <c r="F74" s="154">
        <v>389</v>
      </c>
      <c r="G74" s="155">
        <v>188</v>
      </c>
      <c r="H74" s="155">
        <v>261</v>
      </c>
      <c r="I74" s="156">
        <v>158</v>
      </c>
      <c r="J74" s="141"/>
      <c r="K74" s="116">
        <f t="shared" si="135"/>
        <v>35</v>
      </c>
      <c r="L74" s="137">
        <f t="shared" si="136"/>
        <v>61</v>
      </c>
      <c r="M74" s="137">
        <f t="shared" si="137"/>
        <v>8</v>
      </c>
      <c r="N74" s="137">
        <f t="shared" si="138"/>
        <v>22</v>
      </c>
      <c r="O74" s="137">
        <f t="shared" si="139"/>
        <v>9</v>
      </c>
      <c r="P74" s="137">
        <f t="shared" si="140"/>
        <v>50</v>
      </c>
      <c r="Q74" s="137">
        <f>'2010'!AU74</f>
        <v>20</v>
      </c>
      <c r="R74" s="137">
        <f t="shared" si="141"/>
        <v>115</v>
      </c>
      <c r="S74" s="137">
        <f t="shared" si="142"/>
        <v>46</v>
      </c>
      <c r="T74" s="137">
        <f t="shared" si="143"/>
        <v>12</v>
      </c>
      <c r="U74" s="139">
        <f t="shared" si="143"/>
        <v>16</v>
      </c>
      <c r="V74" s="137">
        <f t="shared" si="144"/>
        <v>24</v>
      </c>
      <c r="W74" s="137">
        <f t="shared" si="145"/>
        <v>8</v>
      </c>
      <c r="X74" s="137">
        <f t="shared" si="146"/>
        <v>44</v>
      </c>
      <c r="Y74" s="137">
        <f t="shared" si="147"/>
        <v>65</v>
      </c>
      <c r="Z74" s="137">
        <f t="shared" si="148"/>
        <v>9</v>
      </c>
      <c r="AA74" s="137">
        <f t="shared" si="149"/>
        <v>23</v>
      </c>
      <c r="AB74" s="139">
        <f t="shared" si="150"/>
        <v>15</v>
      </c>
      <c r="AC74" s="137">
        <f t="shared" si="151"/>
        <v>7</v>
      </c>
      <c r="AD74" s="137">
        <f t="shared" si="152"/>
        <v>22</v>
      </c>
      <c r="AE74" s="137">
        <f t="shared" si="153"/>
        <v>45</v>
      </c>
      <c r="AF74" s="137">
        <f t="shared" si="154"/>
        <v>19</v>
      </c>
      <c r="AG74" s="137">
        <f t="shared" si="155"/>
        <v>62</v>
      </c>
      <c r="AH74" s="137">
        <f t="shared" si="156"/>
        <v>81</v>
      </c>
      <c r="AI74" s="137">
        <f t="shared" si="157"/>
        <v>10</v>
      </c>
      <c r="AJ74" s="137">
        <f t="shared" si="158"/>
        <v>4</v>
      </c>
      <c r="AK74" s="139">
        <f t="shared" si="159"/>
        <v>11</v>
      </c>
      <c r="AL74" s="137">
        <f t="shared" si="160"/>
        <v>11</v>
      </c>
      <c r="AM74" s="137">
        <f t="shared" si="161"/>
        <v>17</v>
      </c>
      <c r="AN74" s="137">
        <f t="shared" si="162"/>
        <v>28</v>
      </c>
      <c r="AO74" s="137">
        <f t="shared" si="163"/>
        <v>24</v>
      </c>
      <c r="AP74" s="137">
        <f t="shared" si="163"/>
        <v>20</v>
      </c>
      <c r="AQ74" s="137">
        <f t="shared" si="164"/>
        <v>11</v>
      </c>
      <c r="AR74" s="137">
        <f t="shared" si="165"/>
        <v>17</v>
      </c>
      <c r="AS74" s="138">
        <f t="shared" si="166"/>
        <v>30</v>
      </c>
      <c r="AT74" s="155">
        <v>30</v>
      </c>
      <c r="AU74" s="155">
        <v>15</v>
      </c>
      <c r="AV74" s="155">
        <v>46</v>
      </c>
      <c r="AW74" s="155">
        <v>22</v>
      </c>
      <c r="AX74" s="155">
        <v>85</v>
      </c>
      <c r="AY74" s="155">
        <v>61</v>
      </c>
      <c r="AZ74" s="155">
        <v>11</v>
      </c>
      <c r="BA74" s="155">
        <v>39</v>
      </c>
      <c r="BB74" s="155">
        <v>12</v>
      </c>
      <c r="BC74" s="155">
        <v>16</v>
      </c>
      <c r="BD74" s="155">
        <v>8</v>
      </c>
      <c r="BE74" s="155">
        <v>9</v>
      </c>
      <c r="BF74" s="552">
        <v>35</v>
      </c>
      <c r="BG74" s="155">
        <v>6</v>
      </c>
      <c r="BH74" s="155">
        <v>14</v>
      </c>
      <c r="BI74" s="155">
        <v>30</v>
      </c>
      <c r="BJ74" s="155">
        <v>18</v>
      </c>
      <c r="BK74" s="155">
        <v>19</v>
      </c>
      <c r="BL74" s="155">
        <v>11</v>
      </c>
      <c r="BM74" s="155">
        <v>9</v>
      </c>
      <c r="BN74" s="155">
        <v>35</v>
      </c>
      <c r="BO74" s="155">
        <v>8</v>
      </c>
      <c r="BP74" s="155">
        <v>15</v>
      </c>
      <c r="BQ74" s="155">
        <v>15</v>
      </c>
      <c r="BR74" s="552">
        <v>8</v>
      </c>
      <c r="BS74" s="155">
        <v>7</v>
      </c>
      <c r="BT74" s="155">
        <v>38</v>
      </c>
      <c r="BU74" s="155">
        <v>22</v>
      </c>
      <c r="BV74" s="155">
        <v>62</v>
      </c>
      <c r="BW74" s="155">
        <v>10</v>
      </c>
      <c r="BX74" s="155">
        <v>7</v>
      </c>
      <c r="BY74" s="155">
        <v>4</v>
      </c>
      <c r="BZ74" s="155">
        <v>81</v>
      </c>
      <c r="CA74" s="155">
        <v>19</v>
      </c>
      <c r="CB74" s="552">
        <v>11</v>
      </c>
      <c r="CC74" s="155">
        <v>24</v>
      </c>
      <c r="CD74" s="155">
        <v>20</v>
      </c>
      <c r="CE74" s="155">
        <v>11</v>
      </c>
      <c r="CF74" s="155">
        <v>12</v>
      </c>
      <c r="CG74" s="155">
        <v>18</v>
      </c>
      <c r="CH74" s="155">
        <v>17</v>
      </c>
      <c r="CI74" s="155">
        <v>17</v>
      </c>
      <c r="CJ74" s="155">
        <v>28</v>
      </c>
      <c r="CK74" s="156">
        <v>11</v>
      </c>
      <c r="CL74" s="320">
        <v>996</v>
      </c>
    </row>
    <row r="75" spans="1:90">
      <c r="A75" s="80">
        <f>ROWS($A$3:A73)</f>
        <v>71</v>
      </c>
      <c r="B75" s="92" t="s">
        <v>86</v>
      </c>
      <c r="C75" s="203"/>
      <c r="D75" s="259" t="s">
        <v>13</v>
      </c>
      <c r="E75" s="451"/>
      <c r="F75" s="154">
        <v>2546</v>
      </c>
      <c r="G75" s="155">
        <v>683</v>
      </c>
      <c r="H75" s="155">
        <v>3738</v>
      </c>
      <c r="I75" s="156">
        <v>995</v>
      </c>
      <c r="J75" s="141"/>
      <c r="K75" s="116">
        <f t="shared" si="135"/>
        <v>16</v>
      </c>
      <c r="L75" s="137">
        <f t="shared" si="136"/>
        <v>376</v>
      </c>
      <c r="M75" s="137">
        <f t="shared" si="137"/>
        <v>175</v>
      </c>
      <c r="N75" s="137">
        <f t="shared" si="138"/>
        <v>26</v>
      </c>
      <c r="O75" s="137">
        <f t="shared" si="139"/>
        <v>3</v>
      </c>
      <c r="P75" s="137">
        <f t="shared" si="140"/>
        <v>1038</v>
      </c>
      <c r="Q75" s="137">
        <f>'2010'!AU75</f>
        <v>31</v>
      </c>
      <c r="R75" s="137">
        <f t="shared" si="141"/>
        <v>537</v>
      </c>
      <c r="S75" s="137">
        <f t="shared" si="142"/>
        <v>67</v>
      </c>
      <c r="T75" s="137">
        <f t="shared" si="143"/>
        <v>285</v>
      </c>
      <c r="U75" s="139">
        <f t="shared" si="143"/>
        <v>6</v>
      </c>
      <c r="V75" s="137">
        <f t="shared" si="144"/>
        <v>261</v>
      </c>
      <c r="W75" s="137">
        <f t="shared" si="145"/>
        <v>3</v>
      </c>
      <c r="X75" s="137">
        <f t="shared" si="146"/>
        <v>130</v>
      </c>
      <c r="Y75" s="137">
        <f t="shared" si="147"/>
        <v>167</v>
      </c>
      <c r="Z75" s="137">
        <f t="shared" si="148"/>
        <v>57</v>
      </c>
      <c r="AA75" s="137">
        <f t="shared" si="149"/>
        <v>60</v>
      </c>
      <c r="AB75" s="139">
        <f t="shared" si="150"/>
        <v>5</v>
      </c>
      <c r="AC75" s="137">
        <f t="shared" si="151"/>
        <v>2</v>
      </c>
      <c r="AD75" s="137">
        <f t="shared" si="152"/>
        <v>496</v>
      </c>
      <c r="AE75" s="137">
        <f t="shared" si="153"/>
        <v>1328</v>
      </c>
      <c r="AF75" s="137">
        <f t="shared" si="154"/>
        <v>196</v>
      </c>
      <c r="AG75" s="137">
        <f t="shared" si="155"/>
        <v>1581</v>
      </c>
      <c r="AH75" s="137">
        <f t="shared" si="156"/>
        <v>99</v>
      </c>
      <c r="AI75" s="137">
        <f t="shared" si="157"/>
        <v>5</v>
      </c>
      <c r="AJ75" s="137" t="str">
        <f t="shared" si="158"/>
        <v>–</v>
      </c>
      <c r="AK75" s="139">
        <f t="shared" si="159"/>
        <v>31</v>
      </c>
      <c r="AL75" s="137">
        <f t="shared" si="160"/>
        <v>2</v>
      </c>
      <c r="AM75" s="137">
        <f t="shared" si="161"/>
        <v>6</v>
      </c>
      <c r="AN75" s="137">
        <f t="shared" si="162"/>
        <v>130</v>
      </c>
      <c r="AO75" s="137">
        <f t="shared" si="163"/>
        <v>21</v>
      </c>
      <c r="AP75" s="137">
        <f t="shared" si="163"/>
        <v>12</v>
      </c>
      <c r="AQ75" s="137">
        <f t="shared" si="164"/>
        <v>12</v>
      </c>
      <c r="AR75" s="137">
        <f t="shared" si="165"/>
        <v>801</v>
      </c>
      <c r="AS75" s="138">
        <f t="shared" si="166"/>
        <v>11</v>
      </c>
      <c r="AT75" s="155">
        <v>101</v>
      </c>
      <c r="AU75" s="155">
        <v>17</v>
      </c>
      <c r="AV75" s="281">
        <v>67</v>
      </c>
      <c r="AW75" s="281">
        <v>26</v>
      </c>
      <c r="AX75" s="281">
        <v>436</v>
      </c>
      <c r="AY75" s="281">
        <v>376</v>
      </c>
      <c r="AZ75" s="281">
        <v>89</v>
      </c>
      <c r="BA75" s="281">
        <v>949</v>
      </c>
      <c r="BB75" s="281">
        <v>285</v>
      </c>
      <c r="BC75" s="281">
        <v>6</v>
      </c>
      <c r="BD75" s="281">
        <v>175</v>
      </c>
      <c r="BE75" s="281">
        <v>3</v>
      </c>
      <c r="BF75" s="552">
        <v>16</v>
      </c>
      <c r="BG75" s="281">
        <v>73</v>
      </c>
      <c r="BH75" s="281">
        <v>4</v>
      </c>
      <c r="BI75" s="281">
        <v>126</v>
      </c>
      <c r="BJ75" s="281">
        <v>188</v>
      </c>
      <c r="BK75" s="281">
        <v>8</v>
      </c>
      <c r="BL75" s="281" t="s">
        <v>41</v>
      </c>
      <c r="BM75" s="281">
        <v>57</v>
      </c>
      <c r="BN75" s="281">
        <v>159</v>
      </c>
      <c r="BO75" s="281">
        <v>1</v>
      </c>
      <c r="BP75" s="281">
        <v>5</v>
      </c>
      <c r="BQ75" s="281">
        <v>59</v>
      </c>
      <c r="BR75" s="552">
        <v>3</v>
      </c>
      <c r="BS75" s="281">
        <v>116</v>
      </c>
      <c r="BT75" s="281">
        <v>1212</v>
      </c>
      <c r="BU75" s="281">
        <v>496</v>
      </c>
      <c r="BV75" s="281">
        <v>1581</v>
      </c>
      <c r="BW75" s="281">
        <v>5</v>
      </c>
      <c r="BX75" s="281">
        <v>2</v>
      </c>
      <c r="BY75" s="281" t="s">
        <v>41</v>
      </c>
      <c r="BZ75" s="281">
        <v>99</v>
      </c>
      <c r="CA75" s="281">
        <v>196</v>
      </c>
      <c r="CB75" s="552">
        <v>31</v>
      </c>
      <c r="CC75" s="281">
        <v>21</v>
      </c>
      <c r="CD75" s="281">
        <v>12</v>
      </c>
      <c r="CE75" s="281">
        <v>2</v>
      </c>
      <c r="CF75" s="281">
        <v>1</v>
      </c>
      <c r="CG75" s="281">
        <v>10</v>
      </c>
      <c r="CH75" s="281">
        <v>6</v>
      </c>
      <c r="CI75" s="281">
        <v>801</v>
      </c>
      <c r="CJ75" s="281">
        <v>130</v>
      </c>
      <c r="CK75" s="156">
        <v>12</v>
      </c>
      <c r="CL75" s="320">
        <v>7962</v>
      </c>
    </row>
    <row r="76" spans="1:90">
      <c r="A76" s="80">
        <f>ROWS($A$3:A74)</f>
        <v>72</v>
      </c>
      <c r="B76" s="92" t="s">
        <v>87</v>
      </c>
      <c r="C76" s="203"/>
      <c r="D76" s="259" t="s">
        <v>13</v>
      </c>
      <c r="E76" s="451"/>
      <c r="F76" s="154">
        <v>3759</v>
      </c>
      <c r="G76" s="155">
        <v>1200</v>
      </c>
      <c r="H76" s="155">
        <v>4664</v>
      </c>
      <c r="I76" s="156">
        <v>4651</v>
      </c>
      <c r="J76" s="141"/>
      <c r="K76" s="116">
        <f t="shared" si="135"/>
        <v>975</v>
      </c>
      <c r="L76" s="137">
        <f t="shared" si="136"/>
        <v>384</v>
      </c>
      <c r="M76" s="137">
        <f t="shared" si="137"/>
        <v>173</v>
      </c>
      <c r="N76" s="137">
        <f t="shared" si="138"/>
        <v>445</v>
      </c>
      <c r="O76" s="137">
        <f t="shared" si="139"/>
        <v>199</v>
      </c>
      <c r="P76" s="137">
        <f t="shared" si="140"/>
        <v>134</v>
      </c>
      <c r="Q76" s="137">
        <f>'2010'!AU76</f>
        <v>122</v>
      </c>
      <c r="R76" s="137">
        <f t="shared" si="141"/>
        <v>118</v>
      </c>
      <c r="S76" s="137">
        <f t="shared" si="142"/>
        <v>201</v>
      </c>
      <c r="T76" s="137">
        <f t="shared" si="143"/>
        <v>219</v>
      </c>
      <c r="U76" s="139">
        <f t="shared" si="143"/>
        <v>800</v>
      </c>
      <c r="V76" s="137">
        <f t="shared" si="144"/>
        <v>105</v>
      </c>
      <c r="W76" s="137">
        <f t="shared" si="145"/>
        <v>230</v>
      </c>
      <c r="X76" s="137">
        <f t="shared" si="146"/>
        <v>132</v>
      </c>
      <c r="Y76" s="137">
        <f t="shared" si="147"/>
        <v>163</v>
      </c>
      <c r="Z76" s="137">
        <f t="shared" si="148"/>
        <v>217</v>
      </c>
      <c r="AA76" s="137">
        <f t="shared" si="149"/>
        <v>122</v>
      </c>
      <c r="AB76" s="139">
        <f t="shared" si="150"/>
        <v>231</v>
      </c>
      <c r="AC76" s="137">
        <f t="shared" si="151"/>
        <v>594</v>
      </c>
      <c r="AD76" s="137">
        <f t="shared" si="152"/>
        <v>466</v>
      </c>
      <c r="AE76" s="137">
        <f t="shared" si="153"/>
        <v>822</v>
      </c>
      <c r="AF76" s="137">
        <f t="shared" si="154"/>
        <v>490</v>
      </c>
      <c r="AG76" s="137">
        <f t="shared" si="155"/>
        <v>768</v>
      </c>
      <c r="AH76" s="137">
        <f t="shared" si="156"/>
        <v>284</v>
      </c>
      <c r="AI76" s="137">
        <f t="shared" si="157"/>
        <v>352</v>
      </c>
      <c r="AJ76" s="137">
        <f t="shared" si="158"/>
        <v>200</v>
      </c>
      <c r="AK76" s="139">
        <f t="shared" si="159"/>
        <v>688</v>
      </c>
      <c r="AL76" s="137">
        <f t="shared" si="160"/>
        <v>309</v>
      </c>
      <c r="AM76" s="137">
        <f t="shared" si="161"/>
        <v>867</v>
      </c>
      <c r="AN76" s="137">
        <f t="shared" si="162"/>
        <v>1721</v>
      </c>
      <c r="AO76" s="137">
        <f t="shared" si="163"/>
        <v>391</v>
      </c>
      <c r="AP76" s="137">
        <f t="shared" si="163"/>
        <v>85</v>
      </c>
      <c r="AQ76" s="137">
        <f t="shared" si="164"/>
        <v>427</v>
      </c>
      <c r="AR76" s="137">
        <f t="shared" si="165"/>
        <v>278</v>
      </c>
      <c r="AS76" s="138">
        <f t="shared" si="166"/>
        <v>573</v>
      </c>
      <c r="AT76" s="155">
        <v>10</v>
      </c>
      <c r="AU76" s="155">
        <v>111</v>
      </c>
      <c r="AV76" s="155">
        <v>201</v>
      </c>
      <c r="AW76" s="155">
        <v>445</v>
      </c>
      <c r="AX76" s="155">
        <v>108</v>
      </c>
      <c r="AY76" s="155">
        <v>384</v>
      </c>
      <c r="AZ76" s="155">
        <v>2</v>
      </c>
      <c r="BA76" s="155">
        <v>132</v>
      </c>
      <c r="BB76" s="155">
        <v>219</v>
      </c>
      <c r="BC76" s="155">
        <v>800</v>
      </c>
      <c r="BD76" s="155">
        <v>173</v>
      </c>
      <c r="BE76" s="155">
        <v>199</v>
      </c>
      <c r="BF76" s="552">
        <v>975</v>
      </c>
      <c r="BG76" s="155">
        <v>16</v>
      </c>
      <c r="BH76" s="155">
        <v>6</v>
      </c>
      <c r="BI76" s="155">
        <v>126</v>
      </c>
      <c r="BJ76" s="155">
        <v>89</v>
      </c>
      <c r="BK76" s="155">
        <v>6</v>
      </c>
      <c r="BL76" s="155">
        <v>6</v>
      </c>
      <c r="BM76" s="155">
        <v>217</v>
      </c>
      <c r="BN76" s="155">
        <v>151</v>
      </c>
      <c r="BO76" s="155">
        <v>7</v>
      </c>
      <c r="BP76" s="155">
        <v>231</v>
      </c>
      <c r="BQ76" s="155">
        <v>115</v>
      </c>
      <c r="BR76" s="552">
        <v>230</v>
      </c>
      <c r="BS76" s="155">
        <v>18</v>
      </c>
      <c r="BT76" s="155">
        <v>804</v>
      </c>
      <c r="BU76" s="155">
        <v>466</v>
      </c>
      <c r="BV76" s="155">
        <v>768</v>
      </c>
      <c r="BW76" s="155">
        <v>352</v>
      </c>
      <c r="BX76" s="155">
        <v>594</v>
      </c>
      <c r="BY76" s="155">
        <v>200</v>
      </c>
      <c r="BZ76" s="155">
        <v>284</v>
      </c>
      <c r="CA76" s="155">
        <v>490</v>
      </c>
      <c r="CB76" s="552">
        <v>688</v>
      </c>
      <c r="CC76" s="155">
        <v>391</v>
      </c>
      <c r="CD76" s="155">
        <v>85</v>
      </c>
      <c r="CE76" s="155">
        <v>309</v>
      </c>
      <c r="CF76" s="155">
        <v>19</v>
      </c>
      <c r="CG76" s="155">
        <v>554</v>
      </c>
      <c r="CH76" s="155">
        <v>867</v>
      </c>
      <c r="CI76" s="155">
        <v>278</v>
      </c>
      <c r="CJ76" s="155">
        <v>1721</v>
      </c>
      <c r="CK76" s="156">
        <v>427</v>
      </c>
      <c r="CL76" s="320">
        <v>14274</v>
      </c>
    </row>
    <row r="77" spans="1:90">
      <c r="A77" s="80">
        <f>ROWS($A$3:A75)</f>
        <v>73</v>
      </c>
      <c r="B77" s="92" t="s">
        <v>88</v>
      </c>
      <c r="C77" s="203"/>
      <c r="D77" s="259" t="s">
        <v>13</v>
      </c>
      <c r="E77" s="451"/>
      <c r="F77" s="154">
        <v>839</v>
      </c>
      <c r="G77" s="281">
        <v>61</v>
      </c>
      <c r="H77" s="281">
        <v>94</v>
      </c>
      <c r="I77" s="156">
        <v>471</v>
      </c>
      <c r="J77" s="141"/>
      <c r="K77" s="116">
        <f t="shared" si="135"/>
        <v>103</v>
      </c>
      <c r="L77" s="137">
        <f t="shared" si="136"/>
        <v>14</v>
      </c>
      <c r="M77" s="137">
        <f t="shared" si="137"/>
        <v>88</v>
      </c>
      <c r="N77" s="137">
        <f t="shared" si="138"/>
        <v>20</v>
      </c>
      <c r="O77" s="137">
        <f t="shared" si="139"/>
        <v>34</v>
      </c>
      <c r="P77" s="137">
        <f t="shared" si="140"/>
        <v>20</v>
      </c>
      <c r="Q77" s="137">
        <f>'2010'!AU77</f>
        <v>14</v>
      </c>
      <c r="R77" s="137">
        <f t="shared" si="141"/>
        <v>26</v>
      </c>
      <c r="S77" s="137">
        <f t="shared" si="142"/>
        <v>7</v>
      </c>
      <c r="T77" s="137">
        <f t="shared" si="143"/>
        <v>114</v>
      </c>
      <c r="U77" s="139">
        <f t="shared" si="143"/>
        <v>399</v>
      </c>
      <c r="V77" s="137">
        <f t="shared" si="144"/>
        <v>5</v>
      </c>
      <c r="W77" s="137">
        <f t="shared" si="145"/>
        <v>8</v>
      </c>
      <c r="X77" s="137">
        <f t="shared" si="146"/>
        <v>2</v>
      </c>
      <c r="Y77" s="137">
        <f t="shared" si="147"/>
        <v>18</v>
      </c>
      <c r="Z77" s="137">
        <f t="shared" si="148"/>
        <v>22</v>
      </c>
      <c r="AA77" s="137">
        <f t="shared" si="149"/>
        <v>4</v>
      </c>
      <c r="AB77" s="139">
        <f t="shared" si="150"/>
        <v>2</v>
      </c>
      <c r="AC77" s="137">
        <f t="shared" si="151"/>
        <v>11</v>
      </c>
      <c r="AD77" s="137">
        <f t="shared" si="152"/>
        <v>7</v>
      </c>
      <c r="AE77" s="137">
        <f t="shared" si="153"/>
        <v>6</v>
      </c>
      <c r="AF77" s="137">
        <f t="shared" si="154"/>
        <v>3</v>
      </c>
      <c r="AG77" s="137">
        <f t="shared" si="155"/>
        <v>22</v>
      </c>
      <c r="AH77" s="137">
        <f t="shared" si="156"/>
        <v>10</v>
      </c>
      <c r="AI77" s="137">
        <f t="shared" si="157"/>
        <v>17</v>
      </c>
      <c r="AJ77" s="137">
        <f t="shared" si="158"/>
        <v>6</v>
      </c>
      <c r="AK77" s="139">
        <f t="shared" si="159"/>
        <v>12</v>
      </c>
      <c r="AL77" s="137">
        <f t="shared" si="160"/>
        <v>5</v>
      </c>
      <c r="AM77" s="137">
        <f t="shared" si="161"/>
        <v>113</v>
      </c>
      <c r="AN77" s="137">
        <f t="shared" si="162"/>
        <v>43</v>
      </c>
      <c r="AO77" s="137">
        <f t="shared" si="163"/>
        <v>16</v>
      </c>
      <c r="AP77" s="137">
        <f t="shared" si="163"/>
        <v>10</v>
      </c>
      <c r="AQ77" s="137">
        <f t="shared" si="164"/>
        <v>66</v>
      </c>
      <c r="AR77" s="137">
        <f t="shared" si="165"/>
        <v>12</v>
      </c>
      <c r="AS77" s="138">
        <f t="shared" si="166"/>
        <v>206</v>
      </c>
      <c r="AT77" s="155" t="s">
        <v>41</v>
      </c>
      <c r="AU77" s="281">
        <v>14</v>
      </c>
      <c r="AV77" s="281">
        <v>7</v>
      </c>
      <c r="AW77" s="281">
        <v>20</v>
      </c>
      <c r="AX77" s="281">
        <v>26</v>
      </c>
      <c r="AY77" s="281">
        <v>14</v>
      </c>
      <c r="AZ77" s="281">
        <v>1</v>
      </c>
      <c r="BA77" s="281">
        <v>19</v>
      </c>
      <c r="BB77" s="281">
        <v>114</v>
      </c>
      <c r="BC77" s="281">
        <v>399</v>
      </c>
      <c r="BD77" s="281">
        <v>88</v>
      </c>
      <c r="BE77" s="281">
        <v>34</v>
      </c>
      <c r="BF77" s="552">
        <v>103</v>
      </c>
      <c r="BG77" s="281" t="s">
        <v>41</v>
      </c>
      <c r="BH77" s="281" t="s">
        <v>41</v>
      </c>
      <c r="BI77" s="281">
        <v>2</v>
      </c>
      <c r="BJ77" s="281">
        <v>5</v>
      </c>
      <c r="BK77" s="281">
        <v>1</v>
      </c>
      <c r="BL77" s="281" t="s">
        <v>41</v>
      </c>
      <c r="BM77" s="281">
        <v>22</v>
      </c>
      <c r="BN77" s="281">
        <v>17</v>
      </c>
      <c r="BO77" s="281" t="s">
        <v>41</v>
      </c>
      <c r="BP77" s="281">
        <v>2</v>
      </c>
      <c r="BQ77" s="281">
        <v>4</v>
      </c>
      <c r="BR77" s="552">
        <v>8</v>
      </c>
      <c r="BS77" s="281">
        <v>1</v>
      </c>
      <c r="BT77" s="281">
        <v>5</v>
      </c>
      <c r="BU77" s="281">
        <v>7</v>
      </c>
      <c r="BV77" s="281">
        <v>22</v>
      </c>
      <c r="BW77" s="281">
        <v>17</v>
      </c>
      <c r="BX77" s="281">
        <v>11</v>
      </c>
      <c r="BY77" s="281">
        <v>6</v>
      </c>
      <c r="BZ77" s="281">
        <v>10</v>
      </c>
      <c r="CA77" s="281">
        <v>3</v>
      </c>
      <c r="CB77" s="552">
        <v>12</v>
      </c>
      <c r="CC77" s="281">
        <v>16</v>
      </c>
      <c r="CD77" s="281">
        <v>10</v>
      </c>
      <c r="CE77" s="281">
        <v>5</v>
      </c>
      <c r="CF77" s="281">
        <v>10</v>
      </c>
      <c r="CG77" s="281">
        <v>196</v>
      </c>
      <c r="CH77" s="281">
        <v>113</v>
      </c>
      <c r="CI77" s="281">
        <v>12</v>
      </c>
      <c r="CJ77" s="281">
        <v>43</v>
      </c>
      <c r="CK77" s="156">
        <v>66</v>
      </c>
      <c r="CL77" s="320">
        <v>1465</v>
      </c>
    </row>
    <row r="78" spans="1:90">
      <c r="A78" s="80">
        <f>ROWS($A$3:A76)</f>
        <v>74</v>
      </c>
      <c r="B78" s="92" t="s">
        <v>89</v>
      </c>
      <c r="C78" s="203"/>
      <c r="D78" s="259" t="s">
        <v>13</v>
      </c>
      <c r="E78" s="451"/>
      <c r="F78" s="154">
        <v>2113</v>
      </c>
      <c r="G78" s="155">
        <v>739</v>
      </c>
      <c r="H78" s="155">
        <v>1336</v>
      </c>
      <c r="I78" s="156">
        <v>1443</v>
      </c>
      <c r="J78" s="141"/>
      <c r="K78" s="116">
        <f t="shared" si="135"/>
        <v>207</v>
      </c>
      <c r="L78" s="137">
        <f t="shared" si="136"/>
        <v>144</v>
      </c>
      <c r="M78" s="137">
        <f t="shared" si="137"/>
        <v>243</v>
      </c>
      <c r="N78" s="137">
        <f t="shared" si="138"/>
        <v>85</v>
      </c>
      <c r="O78" s="137">
        <f t="shared" si="139"/>
        <v>118</v>
      </c>
      <c r="P78" s="137">
        <f t="shared" si="140"/>
        <v>280</v>
      </c>
      <c r="Q78" s="137">
        <f>'2010'!AU78</f>
        <v>161</v>
      </c>
      <c r="R78" s="137">
        <f t="shared" si="141"/>
        <v>258</v>
      </c>
      <c r="S78" s="137">
        <f t="shared" si="142"/>
        <v>148</v>
      </c>
      <c r="T78" s="137">
        <f t="shared" si="143"/>
        <v>224</v>
      </c>
      <c r="U78" s="139">
        <f t="shared" si="143"/>
        <v>266</v>
      </c>
      <c r="V78" s="137">
        <f t="shared" si="144"/>
        <v>61</v>
      </c>
      <c r="W78" s="137">
        <f t="shared" si="145"/>
        <v>63</v>
      </c>
      <c r="X78" s="137">
        <f t="shared" si="146"/>
        <v>108</v>
      </c>
      <c r="Y78" s="137">
        <f t="shared" si="147"/>
        <v>150</v>
      </c>
      <c r="Z78" s="137">
        <f t="shared" si="148"/>
        <v>166</v>
      </c>
      <c r="AA78" s="137">
        <f t="shared" si="149"/>
        <v>108</v>
      </c>
      <c r="AB78" s="139">
        <f t="shared" si="150"/>
        <v>83</v>
      </c>
      <c r="AC78" s="137">
        <f t="shared" si="151"/>
        <v>124</v>
      </c>
      <c r="AD78" s="137">
        <f t="shared" si="152"/>
        <v>116</v>
      </c>
      <c r="AE78" s="137">
        <f t="shared" si="153"/>
        <v>206</v>
      </c>
      <c r="AF78" s="137">
        <f t="shared" si="154"/>
        <v>121</v>
      </c>
      <c r="AG78" s="137">
        <f t="shared" si="155"/>
        <v>366</v>
      </c>
      <c r="AH78" s="137">
        <f t="shared" si="156"/>
        <v>122</v>
      </c>
      <c r="AI78" s="137">
        <f t="shared" si="157"/>
        <v>130</v>
      </c>
      <c r="AJ78" s="137">
        <f t="shared" si="158"/>
        <v>45</v>
      </c>
      <c r="AK78" s="139">
        <f t="shared" si="159"/>
        <v>106</v>
      </c>
      <c r="AL78" s="137">
        <f t="shared" si="160"/>
        <v>60</v>
      </c>
      <c r="AM78" s="137">
        <f t="shared" si="161"/>
        <v>230</v>
      </c>
      <c r="AN78" s="137">
        <f t="shared" si="162"/>
        <v>132</v>
      </c>
      <c r="AO78" s="137">
        <f t="shared" si="163"/>
        <v>170</v>
      </c>
      <c r="AP78" s="137">
        <f t="shared" si="163"/>
        <v>69</v>
      </c>
      <c r="AQ78" s="137">
        <f t="shared" si="164"/>
        <v>216</v>
      </c>
      <c r="AR78" s="137">
        <f t="shared" si="165"/>
        <v>207</v>
      </c>
      <c r="AS78" s="138">
        <f t="shared" si="166"/>
        <v>359</v>
      </c>
      <c r="AT78" s="155">
        <v>18</v>
      </c>
      <c r="AU78" s="155">
        <v>140</v>
      </c>
      <c r="AV78" s="155">
        <v>148</v>
      </c>
      <c r="AW78" s="155">
        <v>85</v>
      </c>
      <c r="AX78" s="155">
        <v>240</v>
      </c>
      <c r="AY78" s="155">
        <v>144</v>
      </c>
      <c r="AZ78" s="155">
        <v>11</v>
      </c>
      <c r="BA78" s="155">
        <v>269</v>
      </c>
      <c r="BB78" s="155">
        <v>224</v>
      </c>
      <c r="BC78" s="155">
        <v>266</v>
      </c>
      <c r="BD78" s="155">
        <v>243</v>
      </c>
      <c r="BE78" s="155">
        <v>118</v>
      </c>
      <c r="BF78" s="552">
        <v>207</v>
      </c>
      <c r="BG78" s="155">
        <v>3</v>
      </c>
      <c r="BH78" s="155">
        <v>12</v>
      </c>
      <c r="BI78" s="155">
        <v>96</v>
      </c>
      <c r="BJ78" s="155">
        <v>58</v>
      </c>
      <c r="BK78" s="155">
        <v>12</v>
      </c>
      <c r="BL78" s="155">
        <v>8</v>
      </c>
      <c r="BM78" s="155">
        <v>166</v>
      </c>
      <c r="BN78" s="155">
        <v>130</v>
      </c>
      <c r="BO78" s="155">
        <v>5</v>
      </c>
      <c r="BP78" s="155">
        <v>83</v>
      </c>
      <c r="BQ78" s="155">
        <v>103</v>
      </c>
      <c r="BR78" s="552">
        <v>63</v>
      </c>
      <c r="BS78" s="155">
        <v>18</v>
      </c>
      <c r="BT78" s="155">
        <v>188</v>
      </c>
      <c r="BU78" s="155">
        <v>116</v>
      </c>
      <c r="BV78" s="155">
        <v>366</v>
      </c>
      <c r="BW78" s="155">
        <v>130</v>
      </c>
      <c r="BX78" s="155">
        <v>124</v>
      </c>
      <c r="BY78" s="155">
        <v>45</v>
      </c>
      <c r="BZ78" s="155">
        <v>122</v>
      </c>
      <c r="CA78" s="155">
        <v>121</v>
      </c>
      <c r="CB78" s="552">
        <v>106</v>
      </c>
      <c r="CC78" s="155">
        <v>170</v>
      </c>
      <c r="CD78" s="155">
        <v>69</v>
      </c>
      <c r="CE78" s="155">
        <v>60</v>
      </c>
      <c r="CF78" s="155">
        <v>22</v>
      </c>
      <c r="CG78" s="155">
        <v>337</v>
      </c>
      <c r="CH78" s="155">
        <v>230</v>
      </c>
      <c r="CI78" s="155">
        <v>207</v>
      </c>
      <c r="CJ78" s="155">
        <v>132</v>
      </c>
      <c r="CK78" s="156">
        <v>216</v>
      </c>
      <c r="CL78" s="320">
        <v>5631</v>
      </c>
    </row>
    <row r="79" spans="1:90">
      <c r="A79" s="80">
        <f>ROWS($A$3:A77)</f>
        <v>75</v>
      </c>
      <c r="B79" s="59" t="s">
        <v>79</v>
      </c>
      <c r="C79" s="500"/>
      <c r="D79" s="260"/>
      <c r="E79" s="451"/>
      <c r="F79" s="154"/>
      <c r="G79" s="155"/>
      <c r="H79" s="155"/>
      <c r="I79" s="156"/>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281"/>
      <c r="CD79" s="281"/>
      <c r="CE79" s="281"/>
      <c r="CF79" s="281"/>
      <c r="CG79" s="281"/>
      <c r="CH79" s="281"/>
      <c r="CI79" s="281"/>
      <c r="CJ79" s="281"/>
      <c r="CK79" s="156"/>
      <c r="CL79" s="320" t="s">
        <v>57</v>
      </c>
    </row>
    <row r="80" spans="1:90">
      <c r="A80" s="80">
        <f>ROWS($A$3:A78)</f>
        <v>76</v>
      </c>
      <c r="B80" s="92" t="s">
        <v>90</v>
      </c>
      <c r="C80" s="205">
        <v>2016</v>
      </c>
      <c r="D80" s="259" t="s">
        <v>13</v>
      </c>
      <c r="E80" s="447">
        <v>42906</v>
      </c>
      <c r="F80" s="154">
        <f>SUM(AT80:BF80)</f>
        <v>14418</v>
      </c>
      <c r="G80" s="155">
        <f>SUM(BG80:BR80)</f>
        <v>4923</v>
      </c>
      <c r="H80" s="155">
        <f>SUM(BS80:CB80)</f>
        <v>12900</v>
      </c>
      <c r="I80" s="156">
        <f>SUM(CC80:CK80)</f>
        <v>12379</v>
      </c>
      <c r="J80" s="141"/>
      <c r="K80" s="116">
        <f>BF80</f>
        <v>2138</v>
      </c>
      <c r="L80" s="137">
        <f>AY80</f>
        <v>1037</v>
      </c>
      <c r="M80" s="137">
        <f>BD80</f>
        <v>1620</v>
      </c>
      <c r="N80" s="137">
        <f>AW80</f>
        <v>799</v>
      </c>
      <c r="O80" s="137">
        <f>BE80</f>
        <v>594</v>
      </c>
      <c r="P80" s="137">
        <f>AZ80+BA80</f>
        <v>1964</v>
      </c>
      <c r="Q80" s="137">
        <f>AU80</f>
        <v>641</v>
      </c>
      <c r="R80" s="137">
        <f>AT80+AX80</f>
        <v>1242</v>
      </c>
      <c r="S80" s="137">
        <f>AV80</f>
        <v>603</v>
      </c>
      <c r="T80" s="137">
        <f>BB80</f>
        <v>1402</v>
      </c>
      <c r="U80" s="139">
        <f>BC80</f>
        <v>2378</v>
      </c>
      <c r="V80" s="137">
        <f>BG80+BJ80</f>
        <v>566</v>
      </c>
      <c r="W80" s="137">
        <f>BR80</f>
        <v>638</v>
      </c>
      <c r="X80" s="137">
        <f>BH80+BI80</f>
        <v>779</v>
      </c>
      <c r="Y80" s="137">
        <f>BK80+BL80+BN80</f>
        <v>935</v>
      </c>
      <c r="Z80" s="137">
        <f>BM80</f>
        <v>998</v>
      </c>
      <c r="AA80" s="137">
        <f>BO80+BQ80</f>
        <v>455</v>
      </c>
      <c r="AB80" s="139">
        <f>BP80</f>
        <v>552</v>
      </c>
      <c r="AC80" s="137">
        <f>BX80</f>
        <v>1210</v>
      </c>
      <c r="AD80" s="137">
        <f>BU80</f>
        <v>1195</v>
      </c>
      <c r="AE80" s="137">
        <f>BS80+BT80</f>
        <v>2349</v>
      </c>
      <c r="AF80" s="137">
        <f>CA80</f>
        <v>1038</v>
      </c>
      <c r="AG80" s="137">
        <f>BV80</f>
        <v>3307</v>
      </c>
      <c r="AH80" s="137">
        <f>BZ80</f>
        <v>949</v>
      </c>
      <c r="AI80" s="137">
        <f>BW80</f>
        <v>959</v>
      </c>
      <c r="AJ80" s="137">
        <f>BY80</f>
        <v>498</v>
      </c>
      <c r="AK80" s="139">
        <f>CB80</f>
        <v>1395</v>
      </c>
      <c r="AL80" s="137">
        <f>CE80</f>
        <v>837</v>
      </c>
      <c r="AM80" s="137">
        <f>CH80</f>
        <v>1986</v>
      </c>
      <c r="AN80" s="137">
        <f>CJ80</f>
        <v>2870</v>
      </c>
      <c r="AO80" s="137">
        <f>CC80</f>
        <v>1163</v>
      </c>
      <c r="AP80" s="137">
        <f>CD80</f>
        <v>431</v>
      </c>
      <c r="AQ80" s="137">
        <f>CK80</f>
        <v>1462</v>
      </c>
      <c r="AR80" s="137">
        <f>CI80</f>
        <v>1479</v>
      </c>
      <c r="AS80" s="138">
        <f>CF80+CG80</f>
        <v>2151</v>
      </c>
      <c r="AT80" s="281">
        <v>137</v>
      </c>
      <c r="AU80" s="281">
        <v>641</v>
      </c>
      <c r="AV80" s="281">
        <v>603</v>
      </c>
      <c r="AW80" s="281">
        <v>799</v>
      </c>
      <c r="AX80" s="281">
        <v>1105</v>
      </c>
      <c r="AY80" s="281">
        <v>1037</v>
      </c>
      <c r="AZ80" s="281">
        <v>161</v>
      </c>
      <c r="BA80" s="281">
        <v>1803</v>
      </c>
      <c r="BB80" s="281">
        <v>1402</v>
      </c>
      <c r="BC80" s="281">
        <v>2378</v>
      </c>
      <c r="BD80" s="281">
        <v>1620</v>
      </c>
      <c r="BE80" s="281">
        <v>594</v>
      </c>
      <c r="BF80" s="299">
        <v>2138</v>
      </c>
      <c r="BG80" s="281">
        <v>80</v>
      </c>
      <c r="BH80" s="281">
        <v>48</v>
      </c>
      <c r="BI80" s="281">
        <v>731</v>
      </c>
      <c r="BJ80" s="281">
        <v>486</v>
      </c>
      <c r="BK80" s="281">
        <v>60</v>
      </c>
      <c r="BL80" s="281">
        <v>50</v>
      </c>
      <c r="BM80" s="281">
        <v>998</v>
      </c>
      <c r="BN80" s="281">
        <v>825</v>
      </c>
      <c r="BO80" s="281">
        <v>18</v>
      </c>
      <c r="BP80" s="281">
        <v>552</v>
      </c>
      <c r="BQ80" s="281">
        <v>437</v>
      </c>
      <c r="BR80" s="299">
        <v>638</v>
      </c>
      <c r="BS80" s="281">
        <v>143</v>
      </c>
      <c r="BT80" s="281">
        <v>2206</v>
      </c>
      <c r="BU80" s="281">
        <v>1195</v>
      </c>
      <c r="BV80" s="281">
        <v>3307</v>
      </c>
      <c r="BW80" s="281">
        <v>959</v>
      </c>
      <c r="BX80" s="281">
        <v>1210</v>
      </c>
      <c r="BY80" s="281">
        <v>498</v>
      </c>
      <c r="BZ80" s="281">
        <v>949</v>
      </c>
      <c r="CA80" s="281">
        <v>1038</v>
      </c>
      <c r="CB80" s="299">
        <v>1395</v>
      </c>
      <c r="CC80" s="281">
        <v>1163</v>
      </c>
      <c r="CD80" s="281">
        <v>431</v>
      </c>
      <c r="CE80" s="281">
        <v>837</v>
      </c>
      <c r="CF80" s="155">
        <v>118</v>
      </c>
      <c r="CG80" s="281">
        <v>2033</v>
      </c>
      <c r="CH80" s="281">
        <v>1986</v>
      </c>
      <c r="CI80" s="281">
        <v>1479</v>
      </c>
      <c r="CJ80" s="281">
        <v>2870</v>
      </c>
      <c r="CK80" s="300">
        <v>1462</v>
      </c>
      <c r="CL80" s="301">
        <v>44620</v>
      </c>
    </row>
    <row r="81" spans="1:90">
      <c r="A81" s="80">
        <f>ROWS($A$3:A79)</f>
        <v>77</v>
      </c>
      <c r="B81" s="602" t="s">
        <v>365</v>
      </c>
      <c r="C81" s="590">
        <v>2016</v>
      </c>
      <c r="D81" s="603" t="s">
        <v>13</v>
      </c>
      <c r="E81" s="522">
        <v>43320</v>
      </c>
      <c r="F81" s="154">
        <f>SUM(AT81:BF81)</f>
        <v>1045235</v>
      </c>
      <c r="G81" s="155">
        <f>SUM(BG81:BR81)</f>
        <v>678426</v>
      </c>
      <c r="H81" s="155">
        <f>SUM(BS81:CB81)</f>
        <v>682812</v>
      </c>
      <c r="I81" s="156">
        <f>SUM(CC81:CK81)</f>
        <v>600120</v>
      </c>
      <c r="J81" s="141"/>
      <c r="K81" s="154">
        <f>BF81</f>
        <v>80872</v>
      </c>
      <c r="L81" s="155">
        <f>AY81</f>
        <v>124590</v>
      </c>
      <c r="M81" s="155">
        <f>BD81</f>
        <v>101080</v>
      </c>
      <c r="N81" s="155">
        <f>AW81</f>
        <v>54014</v>
      </c>
      <c r="O81" s="155">
        <f>BE81</f>
        <v>30441</v>
      </c>
      <c r="P81" s="155">
        <f>AZ81+BA81</f>
        <v>155433</v>
      </c>
      <c r="Q81" s="155">
        <f>AU81</f>
        <v>103587</v>
      </c>
      <c r="R81" s="155">
        <f>AT81+AX81</f>
        <v>148943</v>
      </c>
      <c r="S81" s="155">
        <f>AV81</f>
        <v>107587</v>
      </c>
      <c r="T81" s="155">
        <f>BB81</f>
        <v>52874</v>
      </c>
      <c r="U81" s="552">
        <f>BC81</f>
        <v>85814</v>
      </c>
      <c r="V81" s="155">
        <f>BG81+BJ81</f>
        <v>93275</v>
      </c>
      <c r="W81" s="155">
        <f>BR81</f>
        <v>51692</v>
      </c>
      <c r="X81" s="155">
        <f>BH81+BI81</f>
        <v>175313</v>
      </c>
      <c r="Y81" s="155">
        <f>BK81+BL81+BN81</f>
        <v>104028</v>
      </c>
      <c r="Z81" s="155">
        <f>BM81</f>
        <v>81419</v>
      </c>
      <c r="AA81" s="155">
        <f>BO81+BQ81</f>
        <v>113879</v>
      </c>
      <c r="AB81" s="552">
        <f>BP81</f>
        <v>58820</v>
      </c>
      <c r="AC81" s="155">
        <f>BX81</f>
        <v>38509</v>
      </c>
      <c r="AD81" s="155">
        <f>BU81</f>
        <v>57404</v>
      </c>
      <c r="AE81" s="155">
        <f>BS81+BT81</f>
        <v>105911</v>
      </c>
      <c r="AF81" s="155">
        <f>CA81</f>
        <v>73928</v>
      </c>
      <c r="AG81" s="155">
        <f>BV81</f>
        <v>142334</v>
      </c>
      <c r="AH81" s="155">
        <f>BZ81</f>
        <v>61058</v>
      </c>
      <c r="AI81" s="155">
        <f>BW81</f>
        <v>61734</v>
      </c>
      <c r="AJ81" s="155">
        <f>BY81</f>
        <v>77487</v>
      </c>
      <c r="AK81" s="552">
        <f>CB81</f>
        <v>64447</v>
      </c>
      <c r="AL81" s="155">
        <f>CE81</f>
        <v>104324</v>
      </c>
      <c r="AM81" s="155">
        <f>CH81</f>
        <v>76275</v>
      </c>
      <c r="AN81" s="155">
        <f>CJ81</f>
        <v>34054</v>
      </c>
      <c r="AO81" s="155">
        <f>CC81</f>
        <v>81311</v>
      </c>
      <c r="AP81" s="155">
        <f>CD81</f>
        <v>94645</v>
      </c>
      <c r="AQ81" s="155">
        <f>CK81</f>
        <v>71648</v>
      </c>
      <c r="AR81" s="155">
        <f>CI81</f>
        <v>61932</v>
      </c>
      <c r="AS81" s="156">
        <f>CF81+CG81</f>
        <v>75931</v>
      </c>
      <c r="AT81" s="155">
        <v>12832</v>
      </c>
      <c r="AU81" s="155">
        <v>103587</v>
      </c>
      <c r="AV81" s="155">
        <v>107587</v>
      </c>
      <c r="AW81" s="155">
        <v>54014</v>
      </c>
      <c r="AX81" s="155">
        <v>136111</v>
      </c>
      <c r="AY81" s="155">
        <v>124590</v>
      </c>
      <c r="AZ81" s="155">
        <v>15935</v>
      </c>
      <c r="BA81" s="155">
        <v>139498</v>
      </c>
      <c r="BB81" s="155">
        <v>52874</v>
      </c>
      <c r="BC81" s="155">
        <v>85814</v>
      </c>
      <c r="BD81" s="155">
        <v>101080</v>
      </c>
      <c r="BE81" s="155">
        <v>30441</v>
      </c>
      <c r="BF81" s="552">
        <v>80872</v>
      </c>
      <c r="BG81" s="155">
        <v>11978</v>
      </c>
      <c r="BH81" s="155">
        <v>10540</v>
      </c>
      <c r="BI81" s="155">
        <v>164773</v>
      </c>
      <c r="BJ81" s="155">
        <v>81297</v>
      </c>
      <c r="BK81" s="155">
        <v>3732</v>
      </c>
      <c r="BL81" s="155">
        <v>5325</v>
      </c>
      <c r="BM81" s="155">
        <v>81419</v>
      </c>
      <c r="BN81" s="155">
        <v>94971</v>
      </c>
      <c r="BO81" s="155">
        <v>4793</v>
      </c>
      <c r="BP81" s="155">
        <v>58820</v>
      </c>
      <c r="BQ81" s="155">
        <v>109086</v>
      </c>
      <c r="BR81" s="552">
        <v>51692</v>
      </c>
      <c r="BS81" s="155">
        <v>9292</v>
      </c>
      <c r="BT81" s="155">
        <v>96619</v>
      </c>
      <c r="BU81" s="155">
        <v>57404</v>
      </c>
      <c r="BV81" s="155">
        <v>142334</v>
      </c>
      <c r="BW81" s="155">
        <v>61734</v>
      </c>
      <c r="BX81" s="155">
        <v>38509</v>
      </c>
      <c r="BY81" s="155">
        <v>77487</v>
      </c>
      <c r="BZ81" s="155">
        <v>61058</v>
      </c>
      <c r="CA81" s="155">
        <v>73928</v>
      </c>
      <c r="CB81" s="552">
        <v>64447</v>
      </c>
      <c r="CC81" s="155">
        <v>81311</v>
      </c>
      <c r="CD81" s="155">
        <v>94645</v>
      </c>
      <c r="CE81" s="155">
        <v>104324</v>
      </c>
      <c r="CF81" s="155">
        <v>5789</v>
      </c>
      <c r="CG81" s="155">
        <v>70142</v>
      </c>
      <c r="CH81" s="155">
        <v>76275</v>
      </c>
      <c r="CI81" s="155">
        <v>61932</v>
      </c>
      <c r="CJ81" s="155">
        <v>34054</v>
      </c>
      <c r="CK81" s="156">
        <v>71648</v>
      </c>
      <c r="CL81" s="553">
        <f>SUM(AT81:CK81)</f>
        <v>3006593</v>
      </c>
    </row>
    <row r="82" spans="1:90">
      <c r="A82" s="80">
        <f>ROWS($A$3:A80)</f>
        <v>78</v>
      </c>
      <c r="B82" s="610" t="s">
        <v>367</v>
      </c>
      <c r="C82" s="587">
        <v>2016</v>
      </c>
      <c r="D82" s="603" t="s">
        <v>13</v>
      </c>
      <c r="E82" s="522">
        <v>43320</v>
      </c>
      <c r="F82" s="530">
        <f t="shared" ref="F82:AQ82" si="167">F81/F80</f>
        <v>72.495144957691778</v>
      </c>
      <c r="G82" s="531">
        <f t="shared" si="167"/>
        <v>137.80743449116392</v>
      </c>
      <c r="H82" s="531">
        <f t="shared" si="167"/>
        <v>52.931162790697677</v>
      </c>
      <c r="I82" s="532">
        <f t="shared" si="167"/>
        <v>48.478875514985056</v>
      </c>
      <c r="J82" s="141"/>
      <c r="K82" s="530">
        <f t="shared" si="167"/>
        <v>37.82600561272217</v>
      </c>
      <c r="L82" s="531">
        <f t="shared" si="167"/>
        <v>120.14464802314369</v>
      </c>
      <c r="M82" s="531">
        <f t="shared" si="167"/>
        <v>62.395061728395063</v>
      </c>
      <c r="N82" s="531">
        <f t="shared" si="167"/>
        <v>67.602002503128915</v>
      </c>
      <c r="O82" s="531">
        <f t="shared" si="167"/>
        <v>51.247474747474747</v>
      </c>
      <c r="P82" s="531">
        <f t="shared" si="167"/>
        <v>79.141038696537677</v>
      </c>
      <c r="Q82" s="531">
        <f t="shared" si="167"/>
        <v>161.6021840873635</v>
      </c>
      <c r="R82" s="531">
        <f t="shared" si="167"/>
        <v>119.92190016103059</v>
      </c>
      <c r="S82" s="531">
        <f t="shared" si="167"/>
        <v>178.41956882255388</v>
      </c>
      <c r="T82" s="531">
        <f t="shared" si="167"/>
        <v>37.713266761768899</v>
      </c>
      <c r="U82" s="555">
        <f t="shared" si="167"/>
        <v>36.086627417998315</v>
      </c>
      <c r="V82" s="531">
        <f t="shared" si="167"/>
        <v>164.79681978798587</v>
      </c>
      <c r="W82" s="531">
        <f t="shared" si="167"/>
        <v>81.021943573667713</v>
      </c>
      <c r="X82" s="531">
        <f t="shared" si="167"/>
        <v>225.04878048780489</v>
      </c>
      <c r="Y82" s="531">
        <f t="shared" si="167"/>
        <v>111.25989304812835</v>
      </c>
      <c r="Z82" s="531">
        <f t="shared" si="167"/>
        <v>81.582164328657313</v>
      </c>
      <c r="AA82" s="531">
        <f t="shared" si="167"/>
        <v>250.28351648351648</v>
      </c>
      <c r="AB82" s="555">
        <f t="shared" si="167"/>
        <v>106.55797101449275</v>
      </c>
      <c r="AC82" s="531">
        <f t="shared" si="167"/>
        <v>31.825619834710743</v>
      </c>
      <c r="AD82" s="531">
        <f t="shared" si="167"/>
        <v>48.036820083682009</v>
      </c>
      <c r="AE82" s="531">
        <f t="shared" si="167"/>
        <v>45.087696892294595</v>
      </c>
      <c r="AF82" s="531">
        <f t="shared" si="167"/>
        <v>71.221579961464357</v>
      </c>
      <c r="AG82" s="531">
        <f t="shared" si="167"/>
        <v>43.040217719987908</v>
      </c>
      <c r="AH82" s="531">
        <f t="shared" si="167"/>
        <v>64.339304531085347</v>
      </c>
      <c r="AI82" s="531">
        <f t="shared" si="167"/>
        <v>64.373305526590201</v>
      </c>
      <c r="AJ82" s="531">
        <f t="shared" si="167"/>
        <v>155.59638554216866</v>
      </c>
      <c r="AK82" s="555">
        <f t="shared" si="167"/>
        <v>46.198566308243727</v>
      </c>
      <c r="AL82" s="531">
        <f t="shared" si="167"/>
        <v>124.64038231780167</v>
      </c>
      <c r="AM82" s="531">
        <f t="shared" si="167"/>
        <v>38.40634441087613</v>
      </c>
      <c r="AN82" s="531">
        <f t="shared" si="167"/>
        <v>11.865505226480836</v>
      </c>
      <c r="AO82" s="531">
        <f t="shared" si="167"/>
        <v>69.914875322441958</v>
      </c>
      <c r="AP82" s="531">
        <f t="shared" si="167"/>
        <v>219.59396751740138</v>
      </c>
      <c r="AQ82" s="531">
        <f t="shared" si="167"/>
        <v>49.00683994528044</v>
      </c>
      <c r="AR82" s="531">
        <f>AR81/AR80</f>
        <v>41.874239350912781</v>
      </c>
      <c r="AS82" s="532">
        <f>AS81/AS80</f>
        <v>35.300325430032544</v>
      </c>
      <c r="AT82" s="531">
        <f>IF(OR(AT80&lt;0.1,AT81&lt;0.1),0,AT81/AT80)</f>
        <v>93.664233576642332</v>
      </c>
      <c r="AU82" s="531">
        <f>IF(OR(AU80&lt;0.1,AU81&lt;0.1),0,AU81/AU80)</f>
        <v>161.6021840873635</v>
      </c>
      <c r="AV82" s="531">
        <f t="shared" ref="AV82:CK82" si="168">IF(OR(AV80&lt;0.1,AV81&lt;0.1),0,AV81/AV80)</f>
        <v>178.41956882255388</v>
      </c>
      <c r="AW82" s="531">
        <f t="shared" si="168"/>
        <v>67.602002503128915</v>
      </c>
      <c r="AX82" s="531">
        <f>IF(OR(AX80&lt;0.1,AX81&lt;0.1),0,AX81/AX80)</f>
        <v>123.17737556561086</v>
      </c>
      <c r="AY82" s="531">
        <f t="shared" si="168"/>
        <v>120.14464802314369</v>
      </c>
      <c r="AZ82" s="531">
        <f t="shared" si="168"/>
        <v>98.975155279503099</v>
      </c>
      <c r="BA82" s="531">
        <f t="shared" si="168"/>
        <v>77.369938990571271</v>
      </c>
      <c r="BB82" s="531">
        <f t="shared" si="168"/>
        <v>37.713266761768899</v>
      </c>
      <c r="BC82" s="531">
        <f t="shared" si="168"/>
        <v>36.086627417998315</v>
      </c>
      <c r="BD82" s="531">
        <f t="shared" si="168"/>
        <v>62.395061728395063</v>
      </c>
      <c r="BE82" s="531">
        <f t="shared" si="168"/>
        <v>51.247474747474747</v>
      </c>
      <c r="BF82" s="555">
        <f t="shared" si="168"/>
        <v>37.82600561272217</v>
      </c>
      <c r="BG82" s="531">
        <f t="shared" si="168"/>
        <v>149.72499999999999</v>
      </c>
      <c r="BH82" s="531">
        <f>IF(OR(BH80&lt;0.1,BH81&lt;0.1),0,BH81/BH80)</f>
        <v>219.58333333333334</v>
      </c>
      <c r="BI82" s="531">
        <f>IF(OR(BI80&lt;0.1,BI81&lt;0.1),0,BI81/BI80)</f>
        <v>225.4076607387141</v>
      </c>
      <c r="BJ82" s="531">
        <f>IF(OR(BJ80&lt;0.1,BJ81&lt;0.1),0,BJ81/BJ80)</f>
        <v>167.27777777777777</v>
      </c>
      <c r="BK82" s="531">
        <f t="shared" si="168"/>
        <v>62.2</v>
      </c>
      <c r="BL82" s="531">
        <f t="shared" si="168"/>
        <v>106.5</v>
      </c>
      <c r="BM82" s="531">
        <f>IF(OR(BM80&lt;0.1,BM81&lt;0.1),0,BM81/BM80)</f>
        <v>81.582164328657313</v>
      </c>
      <c r="BN82" s="531">
        <f t="shared" si="168"/>
        <v>115.11636363636363</v>
      </c>
      <c r="BO82" s="531">
        <f t="shared" si="168"/>
        <v>266.27777777777777</v>
      </c>
      <c r="BP82" s="531">
        <f t="shared" si="168"/>
        <v>106.55797101449275</v>
      </c>
      <c r="BQ82" s="531">
        <f>IF(OR(BQ80&lt;0.1,BQ81&lt;0.1),0,BQ81/BQ80)</f>
        <v>249.62471395881008</v>
      </c>
      <c r="BR82" s="555">
        <f t="shared" si="168"/>
        <v>81.021943573667713</v>
      </c>
      <c r="BS82" s="531">
        <f t="shared" si="168"/>
        <v>64.979020979020973</v>
      </c>
      <c r="BT82" s="531">
        <f t="shared" si="168"/>
        <v>43.798277425203992</v>
      </c>
      <c r="BU82" s="531">
        <f t="shared" si="168"/>
        <v>48.036820083682009</v>
      </c>
      <c r="BV82" s="531">
        <f t="shared" si="168"/>
        <v>43.040217719987908</v>
      </c>
      <c r="BW82" s="531">
        <f t="shared" si="168"/>
        <v>64.373305526590201</v>
      </c>
      <c r="BX82" s="531">
        <f t="shared" si="168"/>
        <v>31.825619834710743</v>
      </c>
      <c r="BY82" s="531">
        <f t="shared" si="168"/>
        <v>155.59638554216866</v>
      </c>
      <c r="BZ82" s="531">
        <f t="shared" si="168"/>
        <v>64.339304531085347</v>
      </c>
      <c r="CA82" s="531">
        <f t="shared" si="168"/>
        <v>71.221579961464357</v>
      </c>
      <c r="CB82" s="555">
        <f t="shared" si="168"/>
        <v>46.198566308243727</v>
      </c>
      <c r="CC82" s="531">
        <f t="shared" si="168"/>
        <v>69.914875322441958</v>
      </c>
      <c r="CD82" s="531">
        <f t="shared" si="168"/>
        <v>219.59396751740138</v>
      </c>
      <c r="CE82" s="531">
        <f t="shared" si="168"/>
        <v>124.64038231780167</v>
      </c>
      <c r="CF82" s="531">
        <f t="shared" si="168"/>
        <v>49.059322033898304</v>
      </c>
      <c r="CG82" s="531">
        <f t="shared" si="168"/>
        <v>34.501721593703884</v>
      </c>
      <c r="CH82" s="531">
        <f t="shared" si="168"/>
        <v>38.40634441087613</v>
      </c>
      <c r="CI82" s="531">
        <f t="shared" si="168"/>
        <v>41.874239350912781</v>
      </c>
      <c r="CJ82" s="531">
        <f t="shared" si="168"/>
        <v>11.865505226480836</v>
      </c>
      <c r="CK82" s="532">
        <f t="shared" si="168"/>
        <v>49.00683994528044</v>
      </c>
      <c r="CL82" s="556">
        <f>IF(OR(CL80&lt;0.1,CL81&lt;0.1),0,CL81/CL80)</f>
        <v>67.382182877633355</v>
      </c>
    </row>
    <row r="83" spans="1:90">
      <c r="A83" s="80">
        <f>ROWS($A$3:A81)</f>
        <v>79</v>
      </c>
      <c r="B83" s="602" t="s">
        <v>366</v>
      </c>
      <c r="C83" s="590">
        <v>2016</v>
      </c>
      <c r="D83" s="603" t="s">
        <v>13</v>
      </c>
      <c r="E83" s="522">
        <v>43320</v>
      </c>
      <c r="F83" s="154">
        <f>SUM(AT83:BF83)</f>
        <v>1226017</v>
      </c>
      <c r="G83" s="155">
        <f>SUM(BG83:BR83)</f>
        <v>773450</v>
      </c>
      <c r="H83" s="155">
        <f>SUM(BS83:CB83)</f>
        <v>860718</v>
      </c>
      <c r="I83" s="156">
        <f>SUM(CC83:CK83)</f>
        <v>746834</v>
      </c>
      <c r="J83" s="122"/>
      <c r="K83" s="154">
        <f>BF83</f>
        <v>104652</v>
      </c>
      <c r="L83" s="155">
        <f>AY83</f>
        <v>139862</v>
      </c>
      <c r="M83" s="155">
        <f>BD83</f>
        <v>120625</v>
      </c>
      <c r="N83" s="155">
        <f>AW83</f>
        <v>66435</v>
      </c>
      <c r="O83" s="155">
        <f>BE83</f>
        <v>37298</v>
      </c>
      <c r="P83" s="155">
        <f>AZ83+BA83</f>
        <v>176985</v>
      </c>
      <c r="Q83" s="155">
        <f>AU83</f>
        <v>115010</v>
      </c>
      <c r="R83" s="155">
        <f>AT83+AX83</f>
        <v>164531</v>
      </c>
      <c r="S83" s="155">
        <f>AV83</f>
        <v>118490</v>
      </c>
      <c r="T83" s="155">
        <f>BB83</f>
        <v>66865</v>
      </c>
      <c r="U83" s="552">
        <f>BC83</f>
        <v>115264</v>
      </c>
      <c r="V83" s="155">
        <f>BG83+BJ83</f>
        <v>102009</v>
      </c>
      <c r="W83" s="155">
        <f>BR83</f>
        <v>63237</v>
      </c>
      <c r="X83" s="155">
        <f>BH83+BI83</f>
        <v>193212</v>
      </c>
      <c r="Y83" s="155">
        <f>BK83+BL83+BN83</f>
        <v>118525</v>
      </c>
      <c r="Z83" s="155">
        <f>BM83</f>
        <v>99609</v>
      </c>
      <c r="AA83" s="155">
        <f>BO83+BQ83</f>
        <v>128421</v>
      </c>
      <c r="AB83" s="552">
        <f>BP83</f>
        <v>68437</v>
      </c>
      <c r="AC83" s="155">
        <f>BX83</f>
        <v>59219</v>
      </c>
      <c r="AD83" s="155">
        <f>BU83</f>
        <v>69623</v>
      </c>
      <c r="AE83" s="155">
        <f>BS83+BT83</f>
        <v>127560</v>
      </c>
      <c r="AF83" s="155">
        <f>CA83</f>
        <v>88768</v>
      </c>
      <c r="AG83" s="155">
        <f>BV83</f>
        <v>186825</v>
      </c>
      <c r="AH83" s="155">
        <f>BZ83</f>
        <v>79452</v>
      </c>
      <c r="AI83" s="155">
        <f>BW83</f>
        <v>76917</v>
      </c>
      <c r="AJ83" s="155">
        <f>BY83</f>
        <v>89439</v>
      </c>
      <c r="AK83" s="552">
        <f>CB83</f>
        <v>82915</v>
      </c>
      <c r="AL83" s="155">
        <f>CE83</f>
        <v>117764</v>
      </c>
      <c r="AM83" s="155">
        <f>CH83</f>
        <v>94507</v>
      </c>
      <c r="AN83" s="155">
        <f>CJ83</f>
        <v>50122</v>
      </c>
      <c r="AO83" s="155">
        <f>CC83</f>
        <v>97337</v>
      </c>
      <c r="AP83" s="155">
        <f>CD83</f>
        <v>103325</v>
      </c>
      <c r="AQ83" s="155">
        <f>CK83</f>
        <v>89425</v>
      </c>
      <c r="AR83" s="155">
        <f>CI83</f>
        <v>96897</v>
      </c>
      <c r="AS83" s="156">
        <f>CF83+CG83</f>
        <v>97457</v>
      </c>
      <c r="AT83" s="155">
        <v>13868</v>
      </c>
      <c r="AU83" s="155">
        <v>115010</v>
      </c>
      <c r="AV83" s="155">
        <v>118490</v>
      </c>
      <c r="AW83" s="155">
        <v>66435</v>
      </c>
      <c r="AX83" s="155">
        <v>150663</v>
      </c>
      <c r="AY83" s="155">
        <v>139862</v>
      </c>
      <c r="AZ83" s="155">
        <v>21376</v>
      </c>
      <c r="BA83" s="155">
        <v>155609</v>
      </c>
      <c r="BB83" s="155">
        <v>66865</v>
      </c>
      <c r="BC83" s="155">
        <v>115264</v>
      </c>
      <c r="BD83" s="155">
        <v>120625</v>
      </c>
      <c r="BE83" s="155">
        <v>37298</v>
      </c>
      <c r="BF83" s="552">
        <v>104652</v>
      </c>
      <c r="BG83" s="155">
        <v>13459</v>
      </c>
      <c r="BH83" s="155">
        <v>12068</v>
      </c>
      <c r="BI83" s="155">
        <v>181144</v>
      </c>
      <c r="BJ83" s="155">
        <v>88550</v>
      </c>
      <c r="BK83" s="155">
        <v>4621</v>
      </c>
      <c r="BL83" s="155">
        <v>6105</v>
      </c>
      <c r="BM83" s="155">
        <v>99609</v>
      </c>
      <c r="BN83" s="155">
        <v>107799</v>
      </c>
      <c r="BO83" s="155">
        <v>5287</v>
      </c>
      <c r="BP83" s="155">
        <v>68437</v>
      </c>
      <c r="BQ83" s="155">
        <v>123134</v>
      </c>
      <c r="BR83" s="552">
        <v>63237</v>
      </c>
      <c r="BS83" s="155">
        <v>10423</v>
      </c>
      <c r="BT83" s="155">
        <v>117137</v>
      </c>
      <c r="BU83" s="155">
        <v>69623</v>
      </c>
      <c r="BV83" s="155">
        <v>186825</v>
      </c>
      <c r="BW83" s="155">
        <v>76917</v>
      </c>
      <c r="BX83" s="155">
        <v>59219</v>
      </c>
      <c r="BY83" s="155">
        <v>89439</v>
      </c>
      <c r="BZ83" s="155">
        <v>79452</v>
      </c>
      <c r="CA83" s="155">
        <v>88768</v>
      </c>
      <c r="CB83" s="552">
        <v>82915</v>
      </c>
      <c r="CC83" s="155">
        <v>97337</v>
      </c>
      <c r="CD83" s="155">
        <v>103325</v>
      </c>
      <c r="CE83" s="155">
        <v>117764</v>
      </c>
      <c r="CF83" s="155">
        <v>7008</v>
      </c>
      <c r="CG83" s="155">
        <v>90449</v>
      </c>
      <c r="CH83" s="155">
        <v>94507</v>
      </c>
      <c r="CI83" s="155">
        <v>96897</v>
      </c>
      <c r="CJ83" s="155">
        <v>50122</v>
      </c>
      <c r="CK83" s="156">
        <v>89425</v>
      </c>
      <c r="CL83" s="320">
        <f>SUM(AT83:CK83)</f>
        <v>3607019</v>
      </c>
    </row>
    <row r="84" spans="1:90">
      <c r="A84" s="80">
        <f>ROWS($A$3:A82)</f>
        <v>80</v>
      </c>
      <c r="B84" s="610" t="s">
        <v>368</v>
      </c>
      <c r="C84" s="590">
        <v>2016</v>
      </c>
      <c r="D84" s="603" t="s">
        <v>13</v>
      </c>
      <c r="E84" s="522">
        <v>43320</v>
      </c>
      <c r="F84" s="530">
        <f>F83/F80</f>
        <v>85.033777222915802</v>
      </c>
      <c r="G84" s="531">
        <f>G83/G80</f>
        <v>157.10948608572008</v>
      </c>
      <c r="H84" s="531">
        <f>H83/H80</f>
        <v>66.722325581395353</v>
      </c>
      <c r="I84" s="532">
        <f>I83/I80</f>
        <v>60.330721382987321</v>
      </c>
      <c r="J84" s="122"/>
      <c r="K84" s="530">
        <f t="shared" ref="K84:BV84" si="169">K83/K80</f>
        <v>48.948550046772688</v>
      </c>
      <c r="L84" s="531">
        <f t="shared" si="169"/>
        <v>134.87174541947925</v>
      </c>
      <c r="M84" s="531">
        <f t="shared" si="169"/>
        <v>74.459876543209873</v>
      </c>
      <c r="N84" s="531">
        <f t="shared" si="169"/>
        <v>83.147684605757192</v>
      </c>
      <c r="O84" s="531">
        <f t="shared" si="169"/>
        <v>62.791245791245792</v>
      </c>
      <c r="P84" s="531">
        <f t="shared" si="169"/>
        <v>90.114562118126273</v>
      </c>
      <c r="Q84" s="531">
        <f t="shared" si="169"/>
        <v>179.42277691107645</v>
      </c>
      <c r="R84" s="531">
        <f t="shared" si="169"/>
        <v>132.47262479871176</v>
      </c>
      <c r="S84" s="531">
        <f t="shared" si="169"/>
        <v>196.50082918739636</v>
      </c>
      <c r="T84" s="531">
        <f t="shared" si="169"/>
        <v>47.692582025677602</v>
      </c>
      <c r="U84" s="555">
        <f t="shared" si="169"/>
        <v>48.470984020185028</v>
      </c>
      <c r="V84" s="531">
        <f t="shared" si="169"/>
        <v>180.22791519434628</v>
      </c>
      <c r="W84" s="531">
        <f t="shared" si="169"/>
        <v>99.11755485893417</v>
      </c>
      <c r="X84" s="531">
        <f t="shared" si="169"/>
        <v>248.02567394094993</v>
      </c>
      <c r="Y84" s="531">
        <f t="shared" si="169"/>
        <v>126.76470588235294</v>
      </c>
      <c r="Z84" s="531">
        <f t="shared" si="169"/>
        <v>99.80861723446894</v>
      </c>
      <c r="AA84" s="531">
        <f t="shared" si="169"/>
        <v>282.24395604395602</v>
      </c>
      <c r="AB84" s="555">
        <f t="shared" si="169"/>
        <v>123.98007246376811</v>
      </c>
      <c r="AC84" s="531">
        <f t="shared" si="169"/>
        <v>48.941322314049586</v>
      </c>
      <c r="AD84" s="531">
        <f t="shared" si="169"/>
        <v>58.261924686192465</v>
      </c>
      <c r="AE84" s="531">
        <f t="shared" si="169"/>
        <v>54.303959131545341</v>
      </c>
      <c r="AF84" s="531">
        <f t="shared" si="169"/>
        <v>85.518304431599233</v>
      </c>
      <c r="AG84" s="531">
        <f t="shared" si="169"/>
        <v>56.493801028122164</v>
      </c>
      <c r="AH84" s="531">
        <f t="shared" si="169"/>
        <v>83.721812434141199</v>
      </c>
      <c r="AI84" s="531">
        <f t="shared" si="169"/>
        <v>80.20542231491136</v>
      </c>
      <c r="AJ84" s="531">
        <f t="shared" si="169"/>
        <v>179.59638554216866</v>
      </c>
      <c r="AK84" s="555">
        <f t="shared" si="169"/>
        <v>59.437275985663085</v>
      </c>
      <c r="AL84" s="531">
        <f t="shared" si="169"/>
        <v>140.69772998805257</v>
      </c>
      <c r="AM84" s="531">
        <f t="shared" si="169"/>
        <v>47.586606243705944</v>
      </c>
      <c r="AN84" s="531">
        <f t="shared" si="169"/>
        <v>17.464111498257839</v>
      </c>
      <c r="AO84" s="531">
        <f t="shared" si="169"/>
        <v>83.694754944110059</v>
      </c>
      <c r="AP84" s="531">
        <f t="shared" si="169"/>
        <v>239.73317865429235</v>
      </c>
      <c r="AQ84" s="531">
        <f t="shared" si="169"/>
        <v>61.166210670314641</v>
      </c>
      <c r="AR84" s="531">
        <f t="shared" si="169"/>
        <v>65.515212981744426</v>
      </c>
      <c r="AS84" s="532">
        <f t="shared" si="169"/>
        <v>45.307763830776381</v>
      </c>
      <c r="AT84" s="531">
        <f t="shared" si="169"/>
        <v>101.22627737226277</v>
      </c>
      <c r="AU84" s="531">
        <f t="shared" si="169"/>
        <v>179.42277691107645</v>
      </c>
      <c r="AV84" s="531">
        <f t="shared" si="169"/>
        <v>196.50082918739636</v>
      </c>
      <c r="AW84" s="531">
        <f t="shared" si="169"/>
        <v>83.147684605757192</v>
      </c>
      <c r="AX84" s="531">
        <f t="shared" si="169"/>
        <v>136.34660633484162</v>
      </c>
      <c r="AY84" s="531">
        <f t="shared" si="169"/>
        <v>134.87174541947925</v>
      </c>
      <c r="AZ84" s="531">
        <f t="shared" si="169"/>
        <v>132.77018633540374</v>
      </c>
      <c r="BA84" s="531">
        <f t="shared" si="169"/>
        <v>86.305601774819749</v>
      </c>
      <c r="BB84" s="531">
        <f t="shared" si="169"/>
        <v>47.692582025677602</v>
      </c>
      <c r="BC84" s="531">
        <f t="shared" si="169"/>
        <v>48.470984020185028</v>
      </c>
      <c r="BD84" s="531">
        <f t="shared" si="169"/>
        <v>74.459876543209873</v>
      </c>
      <c r="BE84" s="531">
        <f t="shared" si="169"/>
        <v>62.791245791245792</v>
      </c>
      <c r="BF84" s="555">
        <f t="shared" si="169"/>
        <v>48.948550046772688</v>
      </c>
      <c r="BG84" s="531">
        <f t="shared" si="169"/>
        <v>168.23750000000001</v>
      </c>
      <c r="BH84" s="531">
        <f t="shared" si="169"/>
        <v>251.41666666666666</v>
      </c>
      <c r="BI84" s="531">
        <f t="shared" si="169"/>
        <v>247.8030095759234</v>
      </c>
      <c r="BJ84" s="531">
        <f t="shared" si="169"/>
        <v>182.20164609053498</v>
      </c>
      <c r="BK84" s="531">
        <f t="shared" si="169"/>
        <v>77.016666666666666</v>
      </c>
      <c r="BL84" s="531">
        <f t="shared" si="169"/>
        <v>122.1</v>
      </c>
      <c r="BM84" s="531">
        <f t="shared" si="169"/>
        <v>99.80861723446894</v>
      </c>
      <c r="BN84" s="531">
        <f t="shared" si="169"/>
        <v>130.66545454545454</v>
      </c>
      <c r="BO84" s="531">
        <f t="shared" si="169"/>
        <v>293.72222222222223</v>
      </c>
      <c r="BP84" s="531">
        <f t="shared" si="169"/>
        <v>123.98007246376811</v>
      </c>
      <c r="BQ84" s="531">
        <f t="shared" si="169"/>
        <v>281.77116704805491</v>
      </c>
      <c r="BR84" s="555">
        <f t="shared" si="169"/>
        <v>99.11755485893417</v>
      </c>
      <c r="BS84" s="531">
        <f t="shared" si="169"/>
        <v>72.888111888111894</v>
      </c>
      <c r="BT84" s="531">
        <f t="shared" si="169"/>
        <v>53.099274705349046</v>
      </c>
      <c r="BU84" s="531">
        <f t="shared" si="169"/>
        <v>58.261924686192465</v>
      </c>
      <c r="BV84" s="531">
        <f t="shared" si="169"/>
        <v>56.493801028122164</v>
      </c>
      <c r="BW84" s="531">
        <f t="shared" ref="BW84:CL84" si="170">BW83/BW80</f>
        <v>80.20542231491136</v>
      </c>
      <c r="BX84" s="531">
        <f t="shared" si="170"/>
        <v>48.941322314049586</v>
      </c>
      <c r="BY84" s="531">
        <f t="shared" si="170"/>
        <v>179.59638554216866</v>
      </c>
      <c r="BZ84" s="531">
        <f t="shared" si="170"/>
        <v>83.721812434141199</v>
      </c>
      <c r="CA84" s="531">
        <f t="shared" si="170"/>
        <v>85.518304431599233</v>
      </c>
      <c r="CB84" s="555">
        <f t="shared" si="170"/>
        <v>59.437275985663085</v>
      </c>
      <c r="CC84" s="531">
        <f t="shared" si="170"/>
        <v>83.694754944110059</v>
      </c>
      <c r="CD84" s="531">
        <f t="shared" si="170"/>
        <v>239.73317865429235</v>
      </c>
      <c r="CE84" s="531">
        <f t="shared" si="170"/>
        <v>140.69772998805257</v>
      </c>
      <c r="CF84" s="531">
        <f t="shared" si="170"/>
        <v>59.389830508474574</v>
      </c>
      <c r="CG84" s="531">
        <f t="shared" si="170"/>
        <v>44.490408263649776</v>
      </c>
      <c r="CH84" s="531">
        <f t="shared" si="170"/>
        <v>47.586606243705944</v>
      </c>
      <c r="CI84" s="531">
        <f t="shared" si="170"/>
        <v>65.515212981744426</v>
      </c>
      <c r="CJ84" s="531">
        <f t="shared" si="170"/>
        <v>17.464111498257839</v>
      </c>
      <c r="CK84" s="532">
        <f t="shared" si="170"/>
        <v>61.166210670314641</v>
      </c>
      <c r="CL84" s="556">
        <f t="shared" si="170"/>
        <v>80.838614970865081</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4">
        <v>2015</v>
      </c>
      <c r="D86" s="260"/>
      <c r="E86" s="451"/>
      <c r="F86" s="154"/>
      <c r="G86" s="155"/>
      <c r="H86" s="155"/>
      <c r="I86" s="156"/>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c r="A87" s="80">
        <f>ROWS($A$3:A85)</f>
        <v>83</v>
      </c>
      <c r="B87" s="54" t="s">
        <v>292</v>
      </c>
      <c r="C87" s="266"/>
      <c r="D87" s="259" t="s">
        <v>188</v>
      </c>
      <c r="E87" s="447">
        <v>42906</v>
      </c>
      <c r="F87" s="550">
        <v>27706</v>
      </c>
      <c r="G87" s="550">
        <v>21106</v>
      </c>
      <c r="H87" s="550">
        <v>17168</v>
      </c>
      <c r="I87" s="551">
        <v>27519</v>
      </c>
      <c r="J87" s="280"/>
      <c r="K87" s="116">
        <f>BF87</f>
        <v>26519</v>
      </c>
      <c r="L87" s="137">
        <f>AY87</f>
        <v>27128</v>
      </c>
      <c r="M87" s="137">
        <f>BD87</f>
        <v>17418</v>
      </c>
      <c r="N87" s="137">
        <f>AW87</f>
        <v>23542</v>
      </c>
      <c r="O87" s="137">
        <f>BE87</f>
        <v>24336</v>
      </c>
      <c r="P87" s="143">
        <f>(AZ100*AZ87+BA100*BA87)/(AZ100+BA100)</f>
        <v>31429.004255319149</v>
      </c>
      <c r="Q87" s="137">
        <f>'2008'!AU87</f>
        <v>31866</v>
      </c>
      <c r="R87" s="143">
        <f>(AT100*AT87+AX100*AX87)/(AT100+AX100)</f>
        <v>44714.348484848488</v>
      </c>
      <c r="S87" s="137">
        <f>AV87</f>
        <v>28092</v>
      </c>
      <c r="T87" s="137">
        <f>BB87</f>
        <v>27634</v>
      </c>
      <c r="U87" s="139">
        <f>BC87</f>
        <v>26065</v>
      </c>
      <c r="V87" s="143">
        <f>(BG100*BG87+BJ100*BJ87)/(BG100+BJ100)</f>
        <v>18826.940298507463</v>
      </c>
      <c r="W87" s="137">
        <f>BR87</f>
        <v>12293</v>
      </c>
      <c r="X87" s="143">
        <f>(BH100*BH87+BI100*BI87)/(BH100+BI100)</f>
        <v>29420.794871794871</v>
      </c>
      <c r="Y87" s="143">
        <f>(BK100*BK87+BN100*BN87)/(BK100+BN100)</f>
        <v>35701.911196911198</v>
      </c>
      <c r="Z87" s="137">
        <f>BM87</f>
        <v>12082</v>
      </c>
      <c r="AA87" s="143">
        <f>IF(BO100=".",BQ100,(BO100*BO87+BQ100*BQ87)/(BO100+BQ100))</f>
        <v>176</v>
      </c>
      <c r="AB87" s="139">
        <f>BP87</f>
        <v>16300</v>
      </c>
      <c r="AC87" s="137">
        <f>BX87</f>
        <v>13059</v>
      </c>
      <c r="AD87" s="137">
        <f>BU87</f>
        <v>24973</v>
      </c>
      <c r="AE87" s="143">
        <f>(BS100*BS87+BT100*BT87)/(BS100+BT100)</f>
        <v>23025.641791044774</v>
      </c>
      <c r="AF87" s="137">
        <f>CA87</f>
        <v>16275</v>
      </c>
      <c r="AG87" s="137">
        <f>BV87</f>
        <v>20478</v>
      </c>
      <c r="AH87" s="137">
        <f>BZ87</f>
        <v>18780</v>
      </c>
      <c r="AI87" s="137">
        <f>BW87</f>
        <v>13074</v>
      </c>
      <c r="AJ87" s="137">
        <f>BY87</f>
        <v>12444</v>
      </c>
      <c r="AK87" s="139">
        <f>CB87</f>
        <v>15006</v>
      </c>
      <c r="AL87" s="137">
        <f>CE87</f>
        <v>15251</v>
      </c>
      <c r="AM87" s="137">
        <f>CH87</f>
        <v>35306</v>
      </c>
      <c r="AN87" s="137">
        <f>CJ87</f>
        <v>27875</v>
      </c>
      <c r="AO87" s="137">
        <f>CC87</f>
        <v>18006</v>
      </c>
      <c r="AP87" s="137">
        <f>CD87</f>
        <v>21456</v>
      </c>
      <c r="AQ87" s="137">
        <f>CK87</f>
        <v>19507</v>
      </c>
      <c r="AR87" s="137">
        <f>CI87</f>
        <v>23960</v>
      </c>
      <c r="AS87" s="144">
        <f>(CG100*CG87)/(CG100)</f>
        <v>31369</v>
      </c>
      <c r="AT87" s="155">
        <v>124409</v>
      </c>
      <c r="AU87" s="550">
        <v>37228</v>
      </c>
      <c r="AV87" s="550">
        <v>28092</v>
      </c>
      <c r="AW87" s="550">
        <v>23542</v>
      </c>
      <c r="AX87" s="550">
        <v>38182</v>
      </c>
      <c r="AY87" s="550">
        <v>27128</v>
      </c>
      <c r="AZ87" s="550">
        <v>48515</v>
      </c>
      <c r="BA87" s="550">
        <v>29969</v>
      </c>
      <c r="BB87" s="550">
        <v>27634</v>
      </c>
      <c r="BC87" s="550">
        <v>26065</v>
      </c>
      <c r="BD87" s="550">
        <v>17418</v>
      </c>
      <c r="BE87" s="550">
        <v>24336</v>
      </c>
      <c r="BF87" s="572">
        <v>26519</v>
      </c>
      <c r="BG87" s="550">
        <v>22003</v>
      </c>
      <c r="BH87" s="550">
        <v>38457</v>
      </c>
      <c r="BI87" s="550">
        <v>29183</v>
      </c>
      <c r="BJ87" s="550">
        <v>17377</v>
      </c>
      <c r="BK87" s="550">
        <v>135225</v>
      </c>
      <c r="BL87" s="550" t="s">
        <v>267</v>
      </c>
      <c r="BM87" s="550">
        <v>12082</v>
      </c>
      <c r="BN87" s="550">
        <v>31705</v>
      </c>
      <c r="BO87" s="550">
        <v>17245</v>
      </c>
      <c r="BP87" s="550">
        <v>16300</v>
      </c>
      <c r="BQ87" s="550">
        <v>20203</v>
      </c>
      <c r="BR87" s="572">
        <v>12293</v>
      </c>
      <c r="BS87" s="550">
        <v>54672</v>
      </c>
      <c r="BT87" s="550">
        <v>18115</v>
      </c>
      <c r="BU87" s="550">
        <v>24973</v>
      </c>
      <c r="BV87" s="550">
        <v>20478</v>
      </c>
      <c r="BW87" s="550">
        <v>13074</v>
      </c>
      <c r="BX87" s="550">
        <v>13059</v>
      </c>
      <c r="BY87" s="550">
        <v>12444</v>
      </c>
      <c r="BZ87" s="550">
        <v>18780</v>
      </c>
      <c r="CA87" s="550">
        <v>16275</v>
      </c>
      <c r="CB87" s="572">
        <v>15006</v>
      </c>
      <c r="CC87" s="550">
        <v>18006</v>
      </c>
      <c r="CD87" s="550">
        <v>21456</v>
      </c>
      <c r="CE87" s="550">
        <v>15251</v>
      </c>
      <c r="CF87" s="550" t="s">
        <v>267</v>
      </c>
      <c r="CG87" s="550">
        <v>31369</v>
      </c>
      <c r="CH87" s="550">
        <v>35306</v>
      </c>
      <c r="CI87" s="550">
        <v>23960</v>
      </c>
      <c r="CJ87" s="550">
        <v>27875</v>
      </c>
      <c r="CK87" s="550">
        <v>19507</v>
      </c>
      <c r="CL87" s="320">
        <v>24698</v>
      </c>
    </row>
    <row r="88" spans="1:90">
      <c r="A88" s="80">
        <f>ROWS($A$3:A86)</f>
        <v>84</v>
      </c>
      <c r="B88" s="59" t="s">
        <v>190</v>
      </c>
      <c r="C88" s="387">
        <v>2016</v>
      </c>
      <c r="D88" s="260"/>
      <c r="E88" s="451"/>
      <c r="F88" s="154"/>
      <c r="G88" s="155"/>
      <c r="H88" s="155"/>
      <c r="I88" s="156"/>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c r="A89" s="80">
        <f>ROWS($A$3:A87)</f>
        <v>85</v>
      </c>
      <c r="B89" s="388" t="s">
        <v>284</v>
      </c>
      <c r="C89" s="205"/>
      <c r="D89" s="259" t="s">
        <v>192</v>
      </c>
      <c r="E89" s="447">
        <v>42920</v>
      </c>
      <c r="F89" s="381">
        <v>68.7</v>
      </c>
      <c r="G89" s="382">
        <v>64.2</v>
      </c>
      <c r="H89" s="382">
        <v>61</v>
      </c>
      <c r="I89" s="383">
        <v>65.8</v>
      </c>
      <c r="J89" s="382"/>
      <c r="K89" s="381">
        <f>BF89</f>
        <v>67.599999999999994</v>
      </c>
      <c r="L89" s="384">
        <f>AY89</f>
        <v>61.9</v>
      </c>
      <c r="M89" s="384">
        <f>BD89</f>
        <v>66.900000000000006</v>
      </c>
      <c r="N89" s="384">
        <f>AW89</f>
        <v>60.8</v>
      </c>
      <c r="O89" s="384">
        <f>BE89</f>
        <v>60.2</v>
      </c>
      <c r="P89" s="384">
        <f>'2016'!BA89</f>
        <v>71.099999999999994</v>
      </c>
      <c r="Q89" s="384">
        <f>'2016'!AU89</f>
        <v>73.599999999999994</v>
      </c>
      <c r="R89" s="384">
        <f>AX89</f>
        <v>67.599999999999994</v>
      </c>
      <c r="S89" s="384">
        <f>AV89</f>
        <v>63.1</v>
      </c>
      <c r="T89" s="384">
        <f t="shared" ref="T89:U93" si="171">BB89</f>
        <v>68.5</v>
      </c>
      <c r="U89" s="385">
        <f t="shared" si="171"/>
        <v>76.099999999999994</v>
      </c>
      <c r="V89" s="384">
        <f>BJ89</f>
        <v>60.3</v>
      </c>
      <c r="W89" s="384">
        <f>BR89</f>
        <v>78.099999999999994</v>
      </c>
      <c r="X89" s="384">
        <f>BI89</f>
        <v>58.5</v>
      </c>
      <c r="Y89" s="384">
        <f>BN89</f>
        <v>61.7</v>
      </c>
      <c r="Z89" s="384">
        <f>BM89</f>
        <v>63.5</v>
      </c>
      <c r="AA89" s="384">
        <f>BQ89</f>
        <v>66.2</v>
      </c>
      <c r="AB89" s="385">
        <f>BP89</f>
        <v>82.7</v>
      </c>
      <c r="AC89" s="384">
        <f>BX89</f>
        <v>67.5</v>
      </c>
      <c r="AD89" s="384">
        <f>BU89</f>
        <v>56.2</v>
      </c>
      <c r="AE89" s="384">
        <f>BT89</f>
        <v>68.7</v>
      </c>
      <c r="AF89" s="384" t="str">
        <f>CA89</f>
        <v>*</v>
      </c>
      <c r="AG89" s="384">
        <f>BV89</f>
        <v>54.2</v>
      </c>
      <c r="AH89" s="384">
        <f>BZ89</f>
        <v>51.2</v>
      </c>
      <c r="AI89" s="384">
        <f>BW89</f>
        <v>69.5</v>
      </c>
      <c r="AJ89" s="384">
        <f>BY89</f>
        <v>62.9</v>
      </c>
      <c r="AK89" s="385">
        <f>CB89</f>
        <v>60.8</v>
      </c>
      <c r="AL89" s="384">
        <f>CE89</f>
        <v>62.5</v>
      </c>
      <c r="AM89" s="384">
        <f>CH89</f>
        <v>64.7</v>
      </c>
      <c r="AN89" s="384">
        <f>CJ89</f>
        <v>65.900000000000006</v>
      </c>
      <c r="AO89" s="384">
        <f t="shared" ref="AO89:AP93" si="172">CC89</f>
        <v>58.7</v>
      </c>
      <c r="AP89" s="384">
        <f t="shared" si="172"/>
        <v>68.8</v>
      </c>
      <c r="AQ89" s="384">
        <f>CK89</f>
        <v>62.7</v>
      </c>
      <c r="AR89" s="384">
        <f>CI89</f>
        <v>61.4</v>
      </c>
      <c r="AS89" s="383">
        <f>CG89</f>
        <v>71.099999999999994</v>
      </c>
      <c r="AT89" s="384">
        <v>68.599999999999994</v>
      </c>
      <c r="AU89" s="382">
        <v>73.599999999999994</v>
      </c>
      <c r="AV89" s="382">
        <v>63.1</v>
      </c>
      <c r="AW89" s="382">
        <v>60.8</v>
      </c>
      <c r="AX89" s="382">
        <v>67.599999999999994</v>
      </c>
      <c r="AY89" s="382">
        <v>61.9</v>
      </c>
      <c r="AZ89" s="384" t="s">
        <v>267</v>
      </c>
      <c r="BA89" s="382">
        <v>71.099999999999994</v>
      </c>
      <c r="BB89" s="382">
        <v>68.5</v>
      </c>
      <c r="BC89" s="382">
        <v>76.099999999999994</v>
      </c>
      <c r="BD89" s="382">
        <v>66.900000000000006</v>
      </c>
      <c r="BE89" s="382">
        <v>60.2</v>
      </c>
      <c r="BF89" s="385">
        <v>67.599999999999994</v>
      </c>
      <c r="BG89" s="384" t="s">
        <v>233</v>
      </c>
      <c r="BH89" s="384" t="s">
        <v>267</v>
      </c>
      <c r="BI89" s="382">
        <v>58.5</v>
      </c>
      <c r="BJ89" s="382">
        <v>60.3</v>
      </c>
      <c r="BK89" s="384" t="s">
        <v>233</v>
      </c>
      <c r="BL89" s="382" t="s">
        <v>233</v>
      </c>
      <c r="BM89" s="382">
        <v>63.5</v>
      </c>
      <c r="BN89" s="382">
        <v>61.7</v>
      </c>
      <c r="BO89" s="384" t="s">
        <v>233</v>
      </c>
      <c r="BP89" s="382">
        <v>82.7</v>
      </c>
      <c r="BQ89" s="382">
        <v>66.2</v>
      </c>
      <c r="BR89" s="385">
        <v>78.099999999999994</v>
      </c>
      <c r="BS89" s="384" t="s">
        <v>233</v>
      </c>
      <c r="BT89" s="382">
        <v>68.7</v>
      </c>
      <c r="BU89" s="382">
        <v>56.2</v>
      </c>
      <c r="BV89" s="382">
        <v>54.2</v>
      </c>
      <c r="BW89" s="382">
        <v>69.5</v>
      </c>
      <c r="BX89" s="382">
        <v>67.5</v>
      </c>
      <c r="BY89" s="382">
        <v>62.9</v>
      </c>
      <c r="BZ89" s="382">
        <v>51.2</v>
      </c>
      <c r="CA89" s="382" t="s">
        <v>233</v>
      </c>
      <c r="CB89" s="385">
        <v>60.8</v>
      </c>
      <c r="CC89" s="382">
        <v>58.7</v>
      </c>
      <c r="CD89" s="382">
        <v>68.8</v>
      </c>
      <c r="CE89" s="382">
        <v>62.5</v>
      </c>
      <c r="CF89" s="384" t="s">
        <v>233</v>
      </c>
      <c r="CG89" s="382">
        <v>71.099999999999994</v>
      </c>
      <c r="CH89" s="382">
        <v>64.7</v>
      </c>
      <c r="CI89" s="384">
        <v>61.4</v>
      </c>
      <c r="CJ89" s="382">
        <v>65.900000000000006</v>
      </c>
      <c r="CK89" s="383">
        <v>62.7</v>
      </c>
      <c r="CL89" s="319">
        <v>66.099999999999994</v>
      </c>
    </row>
    <row r="90" spans="1:90">
      <c r="A90" s="80">
        <f>ROWS($A$3:A88)</f>
        <v>86</v>
      </c>
      <c r="B90" s="92" t="s">
        <v>193</v>
      </c>
      <c r="C90" s="203"/>
      <c r="D90" s="259" t="s">
        <v>192</v>
      </c>
      <c r="E90" s="447">
        <v>42920</v>
      </c>
      <c r="F90" s="381">
        <v>783.9</v>
      </c>
      <c r="G90" s="382">
        <v>750.3</v>
      </c>
      <c r="H90" s="384" t="s">
        <v>267</v>
      </c>
      <c r="I90" s="383">
        <v>747.9</v>
      </c>
      <c r="J90" s="382"/>
      <c r="K90" s="381" t="str">
        <f>BF90</f>
        <v>*</v>
      </c>
      <c r="L90" s="384">
        <f>AY90</f>
        <v>820.2</v>
      </c>
      <c r="M90" s="384">
        <f>BD90</f>
        <v>754.4</v>
      </c>
      <c r="N90" s="384" t="str">
        <f>AW90</f>
        <v>*</v>
      </c>
      <c r="O90" s="384" t="str">
        <f>BE90</f>
        <v>*</v>
      </c>
      <c r="P90" s="384">
        <f>'2016'!BA90</f>
        <v>830.4</v>
      </c>
      <c r="Q90" s="384">
        <f>'2016'!AU90</f>
        <v>751.8</v>
      </c>
      <c r="R90" s="384">
        <f>AX90</f>
        <v>768.8</v>
      </c>
      <c r="S90" s="384" t="str">
        <f>AV90</f>
        <v>*</v>
      </c>
      <c r="T90" s="384">
        <f t="shared" si="171"/>
        <v>754.7</v>
      </c>
      <c r="U90" s="385" t="str">
        <f t="shared" si="171"/>
        <v xml:space="preserve"> -</v>
      </c>
      <c r="V90" s="384" t="str">
        <f>BJ90</f>
        <v xml:space="preserve"> -</v>
      </c>
      <c r="W90" s="384" t="str">
        <f>BR90</f>
        <v xml:space="preserve"> -</v>
      </c>
      <c r="X90" s="384">
        <f>BI90</f>
        <v>749.5</v>
      </c>
      <c r="Y90" s="384">
        <f>BN90</f>
        <v>794.2</v>
      </c>
      <c r="Z90" s="384" t="str">
        <f>BM90</f>
        <v xml:space="preserve"> -</v>
      </c>
      <c r="AA90" s="384" t="str">
        <f>BQ90</f>
        <v>*</v>
      </c>
      <c r="AB90" s="385" t="str">
        <f>BP90</f>
        <v>*</v>
      </c>
      <c r="AC90" s="384" t="str">
        <f>BX90</f>
        <v xml:space="preserve"> -</v>
      </c>
      <c r="AD90" s="384" t="str">
        <f>BU90</f>
        <v>*</v>
      </c>
      <c r="AE90" s="384" t="str">
        <f>BT90</f>
        <v xml:space="preserve"> -</v>
      </c>
      <c r="AF90" s="384" t="str">
        <f>CA90</f>
        <v xml:space="preserve"> -</v>
      </c>
      <c r="AG90" s="384" t="str">
        <f>BV90</f>
        <v xml:space="preserve"> -</v>
      </c>
      <c r="AH90" s="384" t="str">
        <f>BZ90</f>
        <v>*</v>
      </c>
      <c r="AI90" s="384" t="str">
        <f>BW90</f>
        <v>*</v>
      </c>
      <c r="AJ90" s="384" t="str">
        <f>BY90</f>
        <v>*</v>
      </c>
      <c r="AK90" s="385" t="str">
        <f>CB90</f>
        <v>*</v>
      </c>
      <c r="AL90" s="384" t="str">
        <f>CE90</f>
        <v>*</v>
      </c>
      <c r="AM90" s="384" t="str">
        <f>CH90</f>
        <v xml:space="preserve"> -</v>
      </c>
      <c r="AN90" s="384" t="str">
        <f>CJ90</f>
        <v>*</v>
      </c>
      <c r="AO90" s="384" t="str">
        <f t="shared" si="172"/>
        <v>*</v>
      </c>
      <c r="AP90" s="384" t="str">
        <f t="shared" si="172"/>
        <v xml:space="preserve"> -</v>
      </c>
      <c r="AQ90" s="384" t="str">
        <f>CK90</f>
        <v>*</v>
      </c>
      <c r="AR90" s="384" t="str">
        <f>CI90</f>
        <v xml:space="preserve"> -</v>
      </c>
      <c r="AS90" s="383">
        <f>CG90</f>
        <v>651.9</v>
      </c>
      <c r="AT90" s="384">
        <v>797.9</v>
      </c>
      <c r="AU90" s="382">
        <v>751.8</v>
      </c>
      <c r="AV90" s="384" t="s">
        <v>233</v>
      </c>
      <c r="AW90" s="382" t="s">
        <v>233</v>
      </c>
      <c r="AX90" s="382">
        <v>768.8</v>
      </c>
      <c r="AY90" s="384">
        <v>820.2</v>
      </c>
      <c r="AZ90" s="384" t="s">
        <v>267</v>
      </c>
      <c r="BA90" s="382">
        <v>830.4</v>
      </c>
      <c r="BB90" s="382">
        <v>754.7</v>
      </c>
      <c r="BC90" s="382" t="s">
        <v>267</v>
      </c>
      <c r="BD90" s="382">
        <v>754.4</v>
      </c>
      <c r="BE90" s="384" t="s">
        <v>233</v>
      </c>
      <c r="BF90" s="385" t="s">
        <v>233</v>
      </c>
      <c r="BG90" s="384" t="s">
        <v>267</v>
      </c>
      <c r="BH90" s="384" t="s">
        <v>267</v>
      </c>
      <c r="BI90" s="382">
        <v>749.5</v>
      </c>
      <c r="BJ90" s="382" t="s">
        <v>267</v>
      </c>
      <c r="BK90" s="382" t="s">
        <v>267</v>
      </c>
      <c r="BL90" s="382" t="s">
        <v>233</v>
      </c>
      <c r="BM90" s="382" t="s">
        <v>267</v>
      </c>
      <c r="BN90" s="382">
        <v>794.2</v>
      </c>
      <c r="BO90" s="384" t="s">
        <v>267</v>
      </c>
      <c r="BP90" s="384" t="s">
        <v>233</v>
      </c>
      <c r="BQ90" s="384" t="s">
        <v>233</v>
      </c>
      <c r="BR90" s="385" t="s">
        <v>267</v>
      </c>
      <c r="BS90" s="384" t="s">
        <v>267</v>
      </c>
      <c r="BT90" s="382" t="s">
        <v>267</v>
      </c>
      <c r="BU90" s="382" t="s">
        <v>233</v>
      </c>
      <c r="BV90" s="382" t="s">
        <v>267</v>
      </c>
      <c r="BW90" s="382" t="s">
        <v>233</v>
      </c>
      <c r="BX90" s="382" t="s">
        <v>267</v>
      </c>
      <c r="BY90" s="382" t="s">
        <v>233</v>
      </c>
      <c r="BZ90" s="382" t="s">
        <v>233</v>
      </c>
      <c r="CA90" s="382" t="s">
        <v>267</v>
      </c>
      <c r="CB90" s="385" t="s">
        <v>233</v>
      </c>
      <c r="CC90" s="382" t="s">
        <v>233</v>
      </c>
      <c r="CD90" s="382" t="s">
        <v>267</v>
      </c>
      <c r="CE90" s="382" t="s">
        <v>233</v>
      </c>
      <c r="CF90" s="384" t="s">
        <v>233</v>
      </c>
      <c r="CG90" s="384">
        <v>651.9</v>
      </c>
      <c r="CH90" s="384" t="s">
        <v>267</v>
      </c>
      <c r="CI90" s="384" t="s">
        <v>267</v>
      </c>
      <c r="CJ90" s="382" t="s">
        <v>233</v>
      </c>
      <c r="CK90" s="383" t="s">
        <v>233</v>
      </c>
      <c r="CL90" s="386">
        <v>775.2</v>
      </c>
    </row>
    <row r="91" spans="1:90">
      <c r="A91" s="80">
        <f>ROWS($A$3:A89)</f>
        <v>87</v>
      </c>
      <c r="B91" s="92" t="s">
        <v>194</v>
      </c>
      <c r="C91" s="203"/>
      <c r="D91" s="259" t="s">
        <v>192</v>
      </c>
      <c r="E91" s="447">
        <v>42920</v>
      </c>
      <c r="F91" s="381">
        <v>38.700000000000003</v>
      </c>
      <c r="G91" s="384">
        <v>38.299999999999997</v>
      </c>
      <c r="H91" s="384">
        <v>39.4</v>
      </c>
      <c r="I91" s="383">
        <v>39.1</v>
      </c>
      <c r="J91" s="382"/>
      <c r="K91" s="381">
        <f>BF91</f>
        <v>41.8</v>
      </c>
      <c r="L91" s="384">
        <f>AY91</f>
        <v>38.799999999999997</v>
      </c>
      <c r="M91" s="384">
        <f>BD91</f>
        <v>37.700000000000003</v>
      </c>
      <c r="N91" s="384" t="str">
        <f>AW91</f>
        <v>*</v>
      </c>
      <c r="O91" s="384" t="str">
        <f>BE91</f>
        <v xml:space="preserve"> -</v>
      </c>
      <c r="P91" s="384">
        <f>'2016'!BA91</f>
        <v>38.1</v>
      </c>
      <c r="Q91" s="384">
        <f>'2016'!AU91</f>
        <v>40.1</v>
      </c>
      <c r="R91" s="384" t="str">
        <f>AX91</f>
        <v xml:space="preserve"> -</v>
      </c>
      <c r="S91" s="384" t="str">
        <f>AV91</f>
        <v xml:space="preserve"> -</v>
      </c>
      <c r="T91" s="384">
        <f t="shared" si="171"/>
        <v>41.2</v>
      </c>
      <c r="U91" s="385">
        <f t="shared" si="171"/>
        <v>40.4</v>
      </c>
      <c r="V91" s="384" t="str">
        <f>BJ91</f>
        <v xml:space="preserve"> -</v>
      </c>
      <c r="W91" s="384">
        <f>BR91</f>
        <v>44.2</v>
      </c>
      <c r="X91" s="384">
        <f>BI91</f>
        <v>36.799999999999997</v>
      </c>
      <c r="Y91" s="384">
        <f>BN91</f>
        <v>37.799999999999997</v>
      </c>
      <c r="Z91" s="384">
        <f>BM91</f>
        <v>37.4</v>
      </c>
      <c r="AA91" s="384">
        <f>BQ91</f>
        <v>36.299999999999997</v>
      </c>
      <c r="AB91" s="385" t="str">
        <f>BP91</f>
        <v xml:space="preserve"> -</v>
      </c>
      <c r="AC91" s="384" t="str">
        <f>BX91</f>
        <v xml:space="preserve"> -</v>
      </c>
      <c r="AD91" s="384" t="str">
        <f>BU91</f>
        <v>*</v>
      </c>
      <c r="AE91" s="384">
        <f>BT91</f>
        <v>40.4</v>
      </c>
      <c r="AF91" s="384" t="str">
        <f>CA91</f>
        <v>*</v>
      </c>
      <c r="AG91" s="384" t="str">
        <f>BV91</f>
        <v>*</v>
      </c>
      <c r="AH91" s="384">
        <f>BZ91</f>
        <v>36.1</v>
      </c>
      <c r="AI91" s="384">
        <f>BW91</f>
        <v>37.1</v>
      </c>
      <c r="AJ91" s="384" t="str">
        <f>BY91</f>
        <v xml:space="preserve"> -</v>
      </c>
      <c r="AK91" s="385" t="str">
        <f>CB91</f>
        <v xml:space="preserve"> -</v>
      </c>
      <c r="AL91" s="384" t="str">
        <f>CE91</f>
        <v xml:space="preserve"> -</v>
      </c>
      <c r="AM91" s="384">
        <f>CH91</f>
        <v>38.200000000000003</v>
      </c>
      <c r="AN91" s="384" t="str">
        <f>CJ91</f>
        <v xml:space="preserve"> -</v>
      </c>
      <c r="AO91" s="384" t="str">
        <f t="shared" si="172"/>
        <v xml:space="preserve"> -</v>
      </c>
      <c r="AP91" s="384">
        <f t="shared" si="172"/>
        <v>44.1</v>
      </c>
      <c r="AQ91" s="384">
        <f>CK91</f>
        <v>38.6</v>
      </c>
      <c r="AR91" s="384" t="str">
        <f>CI91</f>
        <v xml:space="preserve"> -</v>
      </c>
      <c r="AS91" s="383">
        <f>CG91</f>
        <v>38.700000000000003</v>
      </c>
      <c r="AT91" s="384" t="s">
        <v>233</v>
      </c>
      <c r="AU91" s="384">
        <v>40.1</v>
      </c>
      <c r="AV91" s="384" t="s">
        <v>267</v>
      </c>
      <c r="AW91" s="382" t="s">
        <v>233</v>
      </c>
      <c r="AX91" s="382" t="s">
        <v>267</v>
      </c>
      <c r="AY91" s="382">
        <v>38.799999999999997</v>
      </c>
      <c r="AZ91" s="384" t="s">
        <v>267</v>
      </c>
      <c r="BA91" s="382">
        <v>38.1</v>
      </c>
      <c r="BB91" s="382">
        <v>41.2</v>
      </c>
      <c r="BC91" s="382">
        <v>40.4</v>
      </c>
      <c r="BD91" s="382">
        <v>37.700000000000003</v>
      </c>
      <c r="BE91" s="382" t="s">
        <v>267</v>
      </c>
      <c r="BF91" s="385">
        <v>41.8</v>
      </c>
      <c r="BG91" s="384" t="s">
        <v>267</v>
      </c>
      <c r="BH91" s="384" t="s">
        <v>233</v>
      </c>
      <c r="BI91" s="382">
        <v>36.799999999999997</v>
      </c>
      <c r="BJ91" s="382" t="s">
        <v>267</v>
      </c>
      <c r="BK91" s="382" t="s">
        <v>233</v>
      </c>
      <c r="BL91" s="382" t="s">
        <v>233</v>
      </c>
      <c r="BM91" s="384">
        <v>37.4</v>
      </c>
      <c r="BN91" s="384">
        <v>37.799999999999997</v>
      </c>
      <c r="BO91" s="384" t="s">
        <v>267</v>
      </c>
      <c r="BP91" s="382" t="s">
        <v>267</v>
      </c>
      <c r="BQ91" s="384">
        <v>36.299999999999997</v>
      </c>
      <c r="BR91" s="385">
        <v>44.2</v>
      </c>
      <c r="BS91" s="384" t="s">
        <v>267</v>
      </c>
      <c r="BT91" s="382">
        <v>40.4</v>
      </c>
      <c r="BU91" s="382" t="s">
        <v>233</v>
      </c>
      <c r="BV91" s="382" t="s">
        <v>233</v>
      </c>
      <c r="BW91" s="382">
        <v>37.1</v>
      </c>
      <c r="BX91" s="382" t="s">
        <v>267</v>
      </c>
      <c r="BY91" s="382" t="s">
        <v>267</v>
      </c>
      <c r="BZ91" s="382">
        <v>36.1</v>
      </c>
      <c r="CA91" s="382" t="s">
        <v>233</v>
      </c>
      <c r="CB91" s="385" t="s">
        <v>267</v>
      </c>
      <c r="CC91" s="382" t="s">
        <v>267</v>
      </c>
      <c r="CD91" s="382">
        <v>44.1</v>
      </c>
      <c r="CE91" s="382" t="s">
        <v>267</v>
      </c>
      <c r="CF91" s="384" t="s">
        <v>233</v>
      </c>
      <c r="CG91" s="382">
        <v>38.700000000000003</v>
      </c>
      <c r="CH91" s="382">
        <v>38.200000000000003</v>
      </c>
      <c r="CI91" s="384" t="s">
        <v>267</v>
      </c>
      <c r="CJ91" s="382" t="s">
        <v>267</v>
      </c>
      <c r="CK91" s="383">
        <v>38.6</v>
      </c>
      <c r="CL91" s="386">
        <v>38.799999999999997</v>
      </c>
    </row>
    <row r="92" spans="1:90">
      <c r="A92" s="80">
        <f>ROWS($A$3:A90)</f>
        <v>88</v>
      </c>
      <c r="B92" s="92" t="s">
        <v>195</v>
      </c>
      <c r="C92" s="203"/>
      <c r="D92" s="259" t="s">
        <v>192</v>
      </c>
      <c r="E92" s="447">
        <v>42920</v>
      </c>
      <c r="F92" s="381">
        <v>441.8</v>
      </c>
      <c r="G92" s="382">
        <v>443.5</v>
      </c>
      <c r="H92" s="382">
        <v>377.9</v>
      </c>
      <c r="I92" s="383">
        <v>429.1</v>
      </c>
      <c r="J92" s="382"/>
      <c r="K92" s="381">
        <f>BF92</f>
        <v>439.6</v>
      </c>
      <c r="L92" s="384">
        <f>AY92</f>
        <v>430.1</v>
      </c>
      <c r="M92" s="384">
        <f>BD92</f>
        <v>383.1</v>
      </c>
      <c r="N92" s="384">
        <f>AW92</f>
        <v>469</v>
      </c>
      <c r="O92" s="384">
        <f>BE92</f>
        <v>463.5</v>
      </c>
      <c r="P92" s="384">
        <f>'2016'!BA92</f>
        <v>471.2</v>
      </c>
      <c r="Q92" s="384" t="str">
        <f>'2016'!AU92</f>
        <v xml:space="preserve"> -</v>
      </c>
      <c r="R92" s="384">
        <f>AX92</f>
        <v>458.2</v>
      </c>
      <c r="S92" s="384">
        <f>AV92</f>
        <v>426.2</v>
      </c>
      <c r="T92" s="384">
        <f t="shared" si="171"/>
        <v>455.7</v>
      </c>
      <c r="U92" s="385">
        <f t="shared" si="171"/>
        <v>432.8</v>
      </c>
      <c r="V92" s="384" t="str">
        <f>BJ92</f>
        <v xml:space="preserve"> -</v>
      </c>
      <c r="W92" s="384">
        <f>BR92</f>
        <v>429.6</v>
      </c>
      <c r="X92" s="384" t="str">
        <f>BI92</f>
        <v>*</v>
      </c>
      <c r="Y92" s="384">
        <f>BN92</f>
        <v>484</v>
      </c>
      <c r="Z92" s="384">
        <f>BM92</f>
        <v>439</v>
      </c>
      <c r="AA92" s="384">
        <f>BQ92</f>
        <v>423.1</v>
      </c>
      <c r="AB92" s="385" t="str">
        <f>BP92</f>
        <v>*</v>
      </c>
      <c r="AC92" s="384" t="str">
        <f>BX92</f>
        <v xml:space="preserve"> -</v>
      </c>
      <c r="AD92" s="384" t="str">
        <f>BU92</f>
        <v xml:space="preserve"> -</v>
      </c>
      <c r="AE92" s="384">
        <f>BT92</f>
        <v>262.89999999999998</v>
      </c>
      <c r="AF92" s="384" t="str">
        <f>CA92</f>
        <v>*</v>
      </c>
      <c r="AG92" s="384" t="str">
        <f>BV92</f>
        <v xml:space="preserve"> -</v>
      </c>
      <c r="AH92" s="384">
        <f>BZ92</f>
        <v>432.3</v>
      </c>
      <c r="AI92" s="384">
        <f>BW92</f>
        <v>396.5</v>
      </c>
      <c r="AJ92" s="384">
        <f>BY92</f>
        <v>450.3</v>
      </c>
      <c r="AK92" s="385">
        <f>CB92</f>
        <v>409.3</v>
      </c>
      <c r="AL92" s="384">
        <f>CE92</f>
        <v>412</v>
      </c>
      <c r="AM92" s="384">
        <f>CH92</f>
        <v>434.7</v>
      </c>
      <c r="AN92" s="384">
        <f>CJ92</f>
        <v>384.6</v>
      </c>
      <c r="AO92" s="384">
        <f t="shared" si="172"/>
        <v>329.1</v>
      </c>
      <c r="AP92" s="384" t="str">
        <f t="shared" si="172"/>
        <v xml:space="preserve"> -</v>
      </c>
      <c r="AQ92" s="384">
        <f>CK92</f>
        <v>443.3</v>
      </c>
      <c r="AR92" s="384" t="str">
        <f>CI92</f>
        <v xml:space="preserve"> -</v>
      </c>
      <c r="AS92" s="383">
        <f>CG92</f>
        <v>480.1</v>
      </c>
      <c r="AT92" s="384" t="s">
        <v>267</v>
      </c>
      <c r="AU92" s="384" t="s">
        <v>267</v>
      </c>
      <c r="AV92" s="382">
        <v>426.2</v>
      </c>
      <c r="AW92" s="382">
        <v>469</v>
      </c>
      <c r="AX92" s="382">
        <v>458.2</v>
      </c>
      <c r="AY92" s="382">
        <v>430.1</v>
      </c>
      <c r="AZ92" s="384" t="s">
        <v>233</v>
      </c>
      <c r="BA92" s="382">
        <v>471.2</v>
      </c>
      <c r="BB92" s="382">
        <v>455.7</v>
      </c>
      <c r="BC92" s="382">
        <v>432.8</v>
      </c>
      <c r="BD92" s="382">
        <v>383.1</v>
      </c>
      <c r="BE92" s="382">
        <v>463.5</v>
      </c>
      <c r="BF92" s="385">
        <v>439.6</v>
      </c>
      <c r="BG92" s="384" t="s">
        <v>233</v>
      </c>
      <c r="BH92" s="384" t="s">
        <v>233</v>
      </c>
      <c r="BI92" s="382" t="s">
        <v>233</v>
      </c>
      <c r="BJ92" s="382" t="s">
        <v>267</v>
      </c>
      <c r="BK92" s="382" t="s">
        <v>233</v>
      </c>
      <c r="BL92" s="382" t="s">
        <v>233</v>
      </c>
      <c r="BM92" s="382">
        <v>439</v>
      </c>
      <c r="BN92" s="382">
        <v>484</v>
      </c>
      <c r="BO92" s="384" t="s">
        <v>233</v>
      </c>
      <c r="BP92" s="382" t="s">
        <v>233</v>
      </c>
      <c r="BQ92" s="382">
        <v>423.1</v>
      </c>
      <c r="BR92" s="385">
        <v>429.6</v>
      </c>
      <c r="BS92" s="384" t="s">
        <v>233</v>
      </c>
      <c r="BT92" s="382">
        <v>262.89999999999998</v>
      </c>
      <c r="BU92" s="382" t="s">
        <v>267</v>
      </c>
      <c r="BV92" s="382" t="s">
        <v>267</v>
      </c>
      <c r="BW92" s="382">
        <v>396.5</v>
      </c>
      <c r="BX92" s="382" t="s">
        <v>267</v>
      </c>
      <c r="BY92" s="382">
        <v>450.3</v>
      </c>
      <c r="BZ92" s="382">
        <v>432.3</v>
      </c>
      <c r="CA92" s="382" t="s">
        <v>233</v>
      </c>
      <c r="CB92" s="385">
        <v>409.3</v>
      </c>
      <c r="CC92" s="382">
        <v>329.1</v>
      </c>
      <c r="CD92" s="382" t="s">
        <v>267</v>
      </c>
      <c r="CE92" s="382">
        <v>412</v>
      </c>
      <c r="CF92" s="384" t="s">
        <v>233</v>
      </c>
      <c r="CG92" s="382">
        <v>480.1</v>
      </c>
      <c r="CH92" s="382">
        <v>434.7</v>
      </c>
      <c r="CI92" s="384" t="s">
        <v>267</v>
      </c>
      <c r="CJ92" s="382">
        <v>384.6</v>
      </c>
      <c r="CK92" s="383">
        <v>443.3</v>
      </c>
      <c r="CL92" s="386">
        <v>427.1</v>
      </c>
    </row>
    <row r="93" spans="1:90">
      <c r="A93" s="80">
        <f>ROWS($A$3:A91)</f>
        <v>89</v>
      </c>
      <c r="B93" s="54" t="s">
        <v>94</v>
      </c>
      <c r="C93" s="261"/>
      <c r="D93" s="260" t="s">
        <v>3</v>
      </c>
      <c r="E93" s="447"/>
      <c r="F93" s="547">
        <v>0.37</v>
      </c>
      <c r="G93" s="548">
        <v>0.37</v>
      </c>
      <c r="H93" s="548">
        <v>0.69</v>
      </c>
      <c r="I93" s="549">
        <v>0.54</v>
      </c>
      <c r="J93" s="122"/>
      <c r="K93" s="117">
        <f>BF93</f>
        <v>0.99</v>
      </c>
      <c r="L93" s="118">
        <f>AY93</f>
        <v>0.69</v>
      </c>
      <c r="M93" s="118">
        <f>BD93</f>
        <v>0.7</v>
      </c>
      <c r="N93" s="118">
        <f>AW93</f>
        <v>0.74</v>
      </c>
      <c r="O93" s="118">
        <f>BE93</f>
        <v>0.6</v>
      </c>
      <c r="P93" s="190">
        <f>(AZ35*AZ93+BA35*BA93)/P35</f>
        <v>0.12077826775993937</v>
      </c>
      <c r="Q93" s="118">
        <f>'2016'!AU93</f>
        <v>0.48</v>
      </c>
      <c r="R93" s="190">
        <f>(AT35*AT93+AX35*AX93)/R35</f>
        <v>1.7194842406876788E-2</v>
      </c>
      <c r="S93" s="118">
        <f>AV93</f>
        <v>0.56999999999999995</v>
      </c>
      <c r="T93" s="118">
        <f t="shared" si="171"/>
        <v>0.56999999999999995</v>
      </c>
      <c r="U93" s="120">
        <f t="shared" si="171"/>
        <v>0.97</v>
      </c>
      <c r="V93" s="190">
        <f>(BG35*BG93+BJ35*BJ93)/V35</f>
        <v>0.32284768211920528</v>
      </c>
      <c r="W93" s="118">
        <f>BR93</f>
        <v>0.82</v>
      </c>
      <c r="X93" s="190">
        <f>(BH35*BH93+BI35*BI93)/X35</f>
        <v>6.556923151916938E-2</v>
      </c>
      <c r="Y93" s="190">
        <f>(BK35*BK93+BL35*BL93+BN35*BN93)/Y35</f>
        <v>0.10734998736009928</v>
      </c>
      <c r="Z93" s="118">
        <f>BM93</f>
        <v>0.7</v>
      </c>
      <c r="AA93" s="190">
        <f>(BO35*BO93+BQ35*BQ93)/AA35</f>
        <v>0.46104600884224839</v>
      </c>
      <c r="AB93" s="120">
        <f>BP93</f>
        <v>0.78</v>
      </c>
      <c r="AC93" s="118">
        <f>BX93</f>
        <v>0.65</v>
      </c>
      <c r="AD93" s="118">
        <f>BU93</f>
        <v>0.36</v>
      </c>
      <c r="AE93" s="190">
        <f>(BS35*BS93+BT35*BT93)/AE35</f>
        <v>0.1160786022890927</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2"/>
        <v>1</v>
      </c>
      <c r="AP93" s="118">
        <f t="shared" si="172"/>
        <v>0.61</v>
      </c>
      <c r="AQ93" s="118">
        <f>CK93</f>
        <v>0.72</v>
      </c>
      <c r="AR93" s="118">
        <f>CI93</f>
        <v>0.24</v>
      </c>
      <c r="AS93" s="191">
        <f>(CF35*CF93+CG35*CG93)/AS35</f>
        <v>0.45061070341412895</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c r="A94" s="80">
        <f>ROWS($A$3:A92)</f>
        <v>90</v>
      </c>
      <c r="B94" s="59" t="s">
        <v>247</v>
      </c>
      <c r="C94" s="201"/>
      <c r="D94" s="260"/>
      <c r="E94" s="447"/>
      <c r="F94" s="154"/>
      <c r="G94" s="155"/>
      <c r="H94" s="155"/>
      <c r="I94" s="156"/>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c r="A95" s="80">
        <f>ROWS($A$3:A93)</f>
        <v>91</v>
      </c>
      <c r="B95" s="236" t="s">
        <v>95</v>
      </c>
      <c r="C95" s="393">
        <v>2010</v>
      </c>
      <c r="D95" s="259" t="s">
        <v>10</v>
      </c>
      <c r="E95" s="447">
        <v>40441</v>
      </c>
      <c r="F95" s="154">
        <f>SUM(AT95:BF95)</f>
        <v>617300</v>
      </c>
      <c r="G95" s="155">
        <f>SUM(BG95:BR95)</f>
        <v>141500</v>
      </c>
      <c r="H95" s="155">
        <f>SUM(BS95:CB95)</f>
        <v>370400</v>
      </c>
      <c r="I95" s="156">
        <f>SUM(CC95:CK95)</f>
        <v>1004800</v>
      </c>
      <c r="J95" s="141"/>
      <c r="K95" s="116">
        <f>BF95</f>
        <v>165800</v>
      </c>
      <c r="L95" s="137">
        <f>AY95</f>
        <v>42000</v>
      </c>
      <c r="M95" s="137">
        <f>BD95</f>
        <v>41900</v>
      </c>
      <c r="N95" s="137">
        <f>AW95</f>
        <v>57600</v>
      </c>
      <c r="O95" s="137">
        <f>BE95</f>
        <v>44000</v>
      </c>
      <c r="P95" s="137">
        <f>'2016'!BA95</f>
        <v>27400</v>
      </c>
      <c r="Q95" s="137">
        <f>'2016'!AU95</f>
        <v>17100</v>
      </c>
      <c r="R95" s="137">
        <f>AX95</f>
        <v>28800</v>
      </c>
      <c r="S95" s="137">
        <f>AV95</f>
        <v>12300</v>
      </c>
      <c r="T95" s="137">
        <f t="shared" ref="T95:U98" si="173">BB95</f>
        <v>43200</v>
      </c>
      <c r="U95" s="139">
        <f t="shared" si="173"/>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74">CC95</f>
        <v>49800</v>
      </c>
      <c r="AP95" s="137">
        <f t="shared" si="174"/>
        <v>9200</v>
      </c>
      <c r="AQ95" s="137">
        <f>CK95</f>
        <v>78000</v>
      </c>
      <c r="AR95" s="137">
        <f>CI95</f>
        <v>62000</v>
      </c>
      <c r="AS95" s="138">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c r="A96" s="80">
        <f>ROWS($A$3:A94)</f>
        <v>92</v>
      </c>
      <c r="B96" s="92" t="s">
        <v>96</v>
      </c>
      <c r="C96" s="394">
        <v>2010</v>
      </c>
      <c r="D96" s="259" t="s">
        <v>10</v>
      </c>
      <c r="E96" s="447">
        <v>40441</v>
      </c>
      <c r="F96" s="154">
        <f>SUM(AT96:BF96)</f>
        <v>617399</v>
      </c>
      <c r="G96" s="155">
        <f>SUM(BG96:BR96)</f>
        <v>142781</v>
      </c>
      <c r="H96" s="155">
        <f>SUM(BS96:CB96)</f>
        <v>370424</v>
      </c>
      <c r="I96" s="156">
        <f>SUM(CC96:CK96)</f>
        <v>1004630</v>
      </c>
      <c r="J96" s="141"/>
      <c r="K96" s="116">
        <f>BF96</f>
        <v>165837</v>
      </c>
      <c r="L96" s="137">
        <f>AY96</f>
        <v>41990</v>
      </c>
      <c r="M96" s="137">
        <f>BD96</f>
        <v>41892</v>
      </c>
      <c r="N96" s="137">
        <f>AW96</f>
        <v>57563</v>
      </c>
      <c r="O96" s="137">
        <f>BE96</f>
        <v>44020</v>
      </c>
      <c r="P96" s="137">
        <f>'2016'!BA96</f>
        <v>26046</v>
      </c>
      <c r="Q96" s="137">
        <f>'2016'!AU96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1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'2016'!AZ97+'2016'!BA97</f>
        <v>6750</v>
      </c>
      <c r="Q97" s="113">
        <f>'2016'!AU97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'2016'!AZ98+'2016'!BA98</f>
        <v>34324</v>
      </c>
      <c r="Q98" s="113">
        <f>'2016'!AU98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c r="A100" s="80">
        <f>ROWS($A$3:A98)</f>
        <v>96</v>
      </c>
      <c r="B100" s="55" t="s">
        <v>255</v>
      </c>
      <c r="C100" s="203">
        <v>2014</v>
      </c>
      <c r="D100" s="259" t="s">
        <v>13</v>
      </c>
      <c r="E100" s="447">
        <v>42549</v>
      </c>
      <c r="F100" s="154">
        <v>2374</v>
      </c>
      <c r="G100" s="155">
        <v>1160</v>
      </c>
      <c r="H100" s="155">
        <v>1213</v>
      </c>
      <c r="I100" s="156">
        <v>844</v>
      </c>
      <c r="J100" s="281"/>
      <c r="K100" s="157">
        <f>BF100</f>
        <v>124</v>
      </c>
      <c r="L100" s="113">
        <f>AY100</f>
        <v>289</v>
      </c>
      <c r="M100" s="113">
        <f>BD100</f>
        <v>103</v>
      </c>
      <c r="N100" s="113">
        <f>AW100</f>
        <v>120</v>
      </c>
      <c r="O100" s="113">
        <f>BE100</f>
        <v>48</v>
      </c>
      <c r="P100" s="113">
        <f>'2009'!AZ101+'2009'!BA101</f>
        <v>658</v>
      </c>
      <c r="Q100" s="113">
        <f>'2009'!AU101</f>
        <v>260</v>
      </c>
      <c r="R100" s="113">
        <f>AT100+AX100</f>
        <v>462</v>
      </c>
      <c r="S100" s="113">
        <f>AV100</f>
        <v>367</v>
      </c>
      <c r="T100" s="113">
        <f>BB100</f>
        <v>79</v>
      </c>
      <c r="U100" s="112">
        <f>BC100</f>
        <v>149</v>
      </c>
      <c r="V100" s="113">
        <f>BG100+BJ100</f>
        <v>67</v>
      </c>
      <c r="W100" s="113" t="str">
        <f>BR100</f>
        <v>.</v>
      </c>
      <c r="X100" s="113">
        <f>BH100+BI100</f>
        <v>351</v>
      </c>
      <c r="Y100" s="113">
        <f>BK100+BL100+BN100</f>
        <v>259</v>
      </c>
      <c r="Z100" s="113">
        <f>BM100</f>
        <v>129</v>
      </c>
      <c r="AA100" s="113">
        <f>IF(BO100=".",BQ100,BO100+BQ100)</f>
        <v>176</v>
      </c>
      <c r="AB100" s="112">
        <f>BP100</f>
        <v>98</v>
      </c>
      <c r="AC100" s="113">
        <f>BX100</f>
        <v>75</v>
      </c>
      <c r="AD100" s="113">
        <f>BU100</f>
        <v>181</v>
      </c>
      <c r="AE100" s="113">
        <f>BS100+BT100</f>
        <v>134</v>
      </c>
      <c r="AF100" s="113">
        <f>CA100</f>
        <v>182</v>
      </c>
      <c r="AG100" s="113">
        <f>BV100</f>
        <v>295</v>
      </c>
      <c r="AH100" s="113">
        <f>BZ100</f>
        <v>84</v>
      </c>
      <c r="AI100" s="113">
        <f>BW100</f>
        <v>84</v>
      </c>
      <c r="AJ100" s="113">
        <f>BY100</f>
        <v>96</v>
      </c>
      <c r="AK100" s="112">
        <f>CB100</f>
        <v>82</v>
      </c>
      <c r="AL100" s="113">
        <f>CE100</f>
        <v>151</v>
      </c>
      <c r="AM100" s="113">
        <f>CH100</f>
        <v>115</v>
      </c>
      <c r="AN100" s="113">
        <f>CJ100</f>
        <v>92</v>
      </c>
      <c r="AO100" s="113">
        <f>CC100</f>
        <v>104</v>
      </c>
      <c r="AP100" s="113">
        <f>CD100</f>
        <v>88</v>
      </c>
      <c r="AQ100" s="113">
        <f>CK100</f>
        <v>170</v>
      </c>
      <c r="AR100" s="113">
        <f>CI100</f>
        <v>33</v>
      </c>
      <c r="AS100" s="158">
        <f>CF100+CG100</f>
        <v>91</v>
      </c>
      <c r="AT100" s="113">
        <v>35</v>
      </c>
      <c r="AU100" s="113">
        <v>163</v>
      </c>
      <c r="AV100" s="113">
        <v>367</v>
      </c>
      <c r="AW100" s="113">
        <v>120</v>
      </c>
      <c r="AX100" s="113">
        <v>427</v>
      </c>
      <c r="AY100" s="113">
        <v>289</v>
      </c>
      <c r="AZ100" s="113">
        <v>37</v>
      </c>
      <c r="BA100" s="113">
        <v>433</v>
      </c>
      <c r="BB100" s="113">
        <v>79</v>
      </c>
      <c r="BC100" s="113">
        <v>149</v>
      </c>
      <c r="BD100" s="113">
        <v>103</v>
      </c>
      <c r="BE100" s="113">
        <v>48</v>
      </c>
      <c r="BF100" s="112">
        <v>124</v>
      </c>
      <c r="BG100" s="159">
        <v>21</v>
      </c>
      <c r="BH100" s="113">
        <v>9</v>
      </c>
      <c r="BI100" s="113">
        <v>342</v>
      </c>
      <c r="BJ100" s="113">
        <v>46</v>
      </c>
      <c r="BK100" s="113">
        <v>10</v>
      </c>
      <c r="BL100" s="113">
        <v>0</v>
      </c>
      <c r="BM100" s="113">
        <v>129</v>
      </c>
      <c r="BN100" s="113">
        <v>249</v>
      </c>
      <c r="BO100" s="159" t="s">
        <v>304</v>
      </c>
      <c r="BP100" s="113">
        <v>98</v>
      </c>
      <c r="BQ100" s="113">
        <v>176</v>
      </c>
      <c r="BR100" s="112" t="s">
        <v>304</v>
      </c>
      <c r="BS100" s="159">
        <v>18</v>
      </c>
      <c r="BT100" s="113">
        <v>116</v>
      </c>
      <c r="BU100" s="113">
        <v>181</v>
      </c>
      <c r="BV100" s="113">
        <v>295</v>
      </c>
      <c r="BW100" s="113">
        <v>84</v>
      </c>
      <c r="BX100" s="113">
        <v>75</v>
      </c>
      <c r="BY100" s="113">
        <v>96</v>
      </c>
      <c r="BZ100" s="113">
        <v>84</v>
      </c>
      <c r="CA100" s="113">
        <v>182</v>
      </c>
      <c r="CB100" s="112">
        <v>82</v>
      </c>
      <c r="CC100" s="113">
        <v>104</v>
      </c>
      <c r="CD100" s="113">
        <v>88</v>
      </c>
      <c r="CE100" s="113">
        <v>151</v>
      </c>
      <c r="CF100" s="113">
        <v>8</v>
      </c>
      <c r="CG100" s="113">
        <v>83</v>
      </c>
      <c r="CH100" s="113">
        <v>115</v>
      </c>
      <c r="CI100" s="113">
        <v>33</v>
      </c>
      <c r="CJ100" s="113">
        <v>92</v>
      </c>
      <c r="CK100" s="158">
        <v>170</v>
      </c>
      <c r="CL100" s="123">
        <v>5591</v>
      </c>
    </row>
    <row r="101" spans="1:102">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604"/>
      <c r="AU101" s="604"/>
      <c r="AV101" s="604"/>
      <c r="AW101" s="604"/>
      <c r="AX101" s="604"/>
      <c r="AY101" s="604"/>
      <c r="AZ101" s="604"/>
      <c r="BA101" s="604"/>
      <c r="BB101" s="604"/>
      <c r="BC101" s="604"/>
      <c r="BD101" s="604"/>
      <c r="BE101" s="604"/>
      <c r="BF101" s="604"/>
      <c r="BG101" s="604"/>
      <c r="BH101" s="604"/>
      <c r="BI101" s="604"/>
      <c r="BJ101" s="604"/>
      <c r="BK101" s="604"/>
      <c r="BL101" s="604"/>
      <c r="BM101" s="604"/>
      <c r="BN101" s="604"/>
      <c r="BO101" s="604"/>
      <c r="BP101" s="604"/>
      <c r="BQ101" s="604"/>
      <c r="BR101" s="604"/>
      <c r="BS101" s="604"/>
      <c r="BT101" s="604"/>
      <c r="BU101" s="604"/>
      <c r="BV101" s="604"/>
      <c r="BW101" s="604"/>
      <c r="BX101" s="604"/>
      <c r="BY101" s="604"/>
      <c r="BZ101" s="604"/>
      <c r="CA101" s="604"/>
      <c r="CB101" s="604"/>
      <c r="CC101" s="604"/>
      <c r="CD101" s="604"/>
      <c r="CE101" s="604"/>
      <c r="CF101" s="604"/>
      <c r="CG101" s="604"/>
      <c r="CH101" s="604"/>
      <c r="CI101" s="604"/>
      <c r="CJ101" s="604"/>
      <c r="CK101" s="604"/>
      <c r="CL101" s="123"/>
    </row>
    <row r="102" spans="1:102">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604"/>
      <c r="AU102" s="604"/>
      <c r="AV102" s="604"/>
      <c r="AW102" s="604"/>
      <c r="AX102" s="604"/>
      <c r="AY102" s="604"/>
      <c r="AZ102" s="604"/>
      <c r="BA102" s="604"/>
      <c r="BB102" s="604"/>
      <c r="BC102" s="604"/>
      <c r="BD102" s="604"/>
      <c r="BE102" s="604"/>
      <c r="BF102" s="604"/>
      <c r="BG102" s="604"/>
      <c r="BH102" s="604"/>
      <c r="BI102" s="604"/>
      <c r="BJ102" s="604"/>
      <c r="BK102" s="604"/>
      <c r="BL102" s="604"/>
      <c r="BM102" s="604"/>
      <c r="BN102" s="604"/>
      <c r="BO102" s="604"/>
      <c r="BP102" s="604"/>
      <c r="BQ102" s="604"/>
      <c r="BR102" s="604"/>
      <c r="BS102" s="604"/>
      <c r="BT102" s="604"/>
      <c r="BU102" s="604"/>
      <c r="BV102" s="604"/>
      <c r="BW102" s="604"/>
      <c r="BX102" s="604"/>
      <c r="BY102" s="604"/>
      <c r="BZ102" s="604"/>
      <c r="CA102" s="604"/>
      <c r="CB102" s="604"/>
      <c r="CC102" s="604"/>
      <c r="CD102" s="604"/>
      <c r="CE102" s="604"/>
      <c r="CF102" s="604"/>
      <c r="CG102" s="604"/>
      <c r="CH102" s="604"/>
      <c r="CI102" s="604"/>
      <c r="CJ102" s="604"/>
      <c r="CK102" s="604"/>
      <c r="CL102" s="123"/>
    </row>
    <row r="103" spans="1:1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'2016'!AZ103+'2016'!BA103</f>
        <v>0</v>
      </c>
      <c r="Q103" s="113">
        <f>'2016'!AU103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'2016'!AZ104+'2016'!BA104</f>
        <v>0</v>
      </c>
      <c r="Q104" s="113">
        <f>'2016'!AU104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1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'2016'!AZ105+'2016'!BA105</f>
        <v>0</v>
      </c>
      <c r="Q105" s="113">
        <f>'2016'!AU105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'2016'!AZ106+'2016'!BA106</f>
        <v>0</v>
      </c>
      <c r="Q106" s="164">
        <f>'2016'!AU106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c r="B107" s="57"/>
      <c r="C107" s="203"/>
      <c r="D107" s="48"/>
      <c r="E107" s="449"/>
      <c r="F107" s="155">
        <f t="shared" ref="F107:BQ107" si="177">SUM(F7:F92)</f>
        <v>16293058.120053101</v>
      </c>
      <c r="G107" s="155">
        <f t="shared" si="177"/>
        <v>9559190.4042694047</v>
      </c>
      <c r="H107" s="155">
        <f t="shared" si="177"/>
        <v>9905354.6303236019</v>
      </c>
      <c r="I107" s="155">
        <f t="shared" si="177"/>
        <v>10046987.431542721</v>
      </c>
      <c r="J107" s="155">
        <f t="shared" si="177"/>
        <v>0</v>
      </c>
      <c r="K107" s="155">
        <f t="shared" si="177"/>
        <v>1677646.8887942841</v>
      </c>
      <c r="L107" s="155">
        <f t="shared" si="177"/>
        <v>1396991.9429928462</v>
      </c>
      <c r="M107" s="155">
        <f t="shared" si="177"/>
        <v>1214866.2359495044</v>
      </c>
      <c r="N107" s="155">
        <f t="shared" si="177"/>
        <v>988020.66308666649</v>
      </c>
      <c r="O107" s="155">
        <f t="shared" si="177"/>
        <v>720714.64913330891</v>
      </c>
      <c r="P107" s="155">
        <f t="shared" si="177"/>
        <v>1794567.0015587271</v>
      </c>
      <c r="Q107" s="155">
        <f t="shared" si="177"/>
        <v>1324329.6998018466</v>
      </c>
      <c r="R107" s="155">
        <f t="shared" si="177"/>
        <v>3308958.4908970059</v>
      </c>
      <c r="S107" s="155">
        <f t="shared" si="177"/>
        <v>1545065.5468989676</v>
      </c>
      <c r="T107" s="155">
        <f t="shared" si="177"/>
        <v>905909.23300648085</v>
      </c>
      <c r="U107" s="155">
        <f t="shared" si="177"/>
        <v>1765101.3250630428</v>
      </c>
      <c r="V107" s="155">
        <f t="shared" si="177"/>
        <v>1066835.6324345218</v>
      </c>
      <c r="W107" s="155">
        <f t="shared" si="177"/>
        <v>677852.91396881093</v>
      </c>
      <c r="X107" s="155">
        <f t="shared" si="177"/>
        <v>2387258.7126327958</v>
      </c>
      <c r="Y107" s="155">
        <f t="shared" si="177"/>
        <v>2808958.9449863443</v>
      </c>
      <c r="Z107" s="155">
        <f t="shared" si="177"/>
        <v>934486.3703405353</v>
      </c>
      <c r="AA107" s="155">
        <f t="shared" si="177"/>
        <v>1060236.687594325</v>
      </c>
      <c r="AB107" s="155">
        <f t="shared" si="177"/>
        <v>754099.23433364125</v>
      </c>
      <c r="AC107" s="155">
        <f t="shared" si="177"/>
        <v>1047231.154050911</v>
      </c>
      <c r="AD107" s="155">
        <f t="shared" si="177"/>
        <v>710826.52628320723</v>
      </c>
      <c r="AE107" s="155">
        <f t="shared" si="177"/>
        <v>1876372.0064101249</v>
      </c>
      <c r="AF107" s="155">
        <f t="shared" si="177"/>
        <v>918447.15091901587</v>
      </c>
      <c r="AG107" s="155">
        <f t="shared" si="177"/>
        <v>1880373.1861847306</v>
      </c>
      <c r="AH107" s="155">
        <f t="shared" si="177"/>
        <v>1081458.8607087266</v>
      </c>
      <c r="AI107" s="155">
        <f t="shared" si="177"/>
        <v>790220.91281456349</v>
      </c>
      <c r="AJ107" s="155">
        <f t="shared" si="177"/>
        <v>803887.81886806677</v>
      </c>
      <c r="AK107" s="155">
        <f t="shared" si="177"/>
        <v>989011.02279883798</v>
      </c>
      <c r="AL107" s="155">
        <f t="shared" si="177"/>
        <v>1024573.7340097597</v>
      </c>
      <c r="AM107" s="155">
        <f t="shared" si="177"/>
        <v>1461228.8306004561</v>
      </c>
      <c r="AN107" s="155">
        <f t="shared" si="177"/>
        <v>1662073.9812622506</v>
      </c>
      <c r="AO107" s="155">
        <f t="shared" si="177"/>
        <v>1321449.0388533787</v>
      </c>
      <c r="AP107" s="155">
        <f t="shared" si="177"/>
        <v>869209.69397388631</v>
      </c>
      <c r="AQ107" s="155">
        <f t="shared" si="177"/>
        <v>1091577.9624347792</v>
      </c>
      <c r="AR107" s="155">
        <f t="shared" si="177"/>
        <v>924167.71069390269</v>
      </c>
      <c r="AS107" s="155">
        <f t="shared" si="177"/>
        <v>1918627.8211596748</v>
      </c>
      <c r="AT107" s="155">
        <f t="shared" si="177"/>
        <v>1782167.6104377017</v>
      </c>
      <c r="AU107" s="155">
        <f t="shared" si="177"/>
        <v>1331987.5632633583</v>
      </c>
      <c r="AV107" s="155">
        <f t="shared" si="177"/>
        <v>1545065.5468989676</v>
      </c>
      <c r="AW107" s="155">
        <f t="shared" si="177"/>
        <v>988020.66308666649</v>
      </c>
      <c r="AX107" s="155">
        <f t="shared" si="177"/>
        <v>1649462.1341948989</v>
      </c>
      <c r="AY107" s="155">
        <f t="shared" si="177"/>
        <v>1396991.9429928462</v>
      </c>
      <c r="AZ107" s="155">
        <f t="shared" si="177"/>
        <v>410439.10399634769</v>
      </c>
      <c r="BA107" s="155">
        <f t="shared" si="177"/>
        <v>1434061.8672354852</v>
      </c>
      <c r="BB107" s="155">
        <f t="shared" si="177"/>
        <v>905909.23300648085</v>
      </c>
      <c r="BC107" s="155">
        <f t="shared" si="177"/>
        <v>1765101.3250630428</v>
      </c>
      <c r="BD107" s="155">
        <f t="shared" si="177"/>
        <v>1214866.2359495044</v>
      </c>
      <c r="BE107" s="155">
        <f t="shared" si="177"/>
        <v>720714.64913330891</v>
      </c>
      <c r="BF107" s="155">
        <f t="shared" si="177"/>
        <v>1677646.8887942841</v>
      </c>
      <c r="BG107" s="155">
        <f t="shared" si="177"/>
        <v>217558.86297685312</v>
      </c>
      <c r="BH107" s="155">
        <f t="shared" si="177"/>
        <v>852803.87602005957</v>
      </c>
      <c r="BI107" s="155">
        <f t="shared" si="177"/>
        <v>1577592.2096884046</v>
      </c>
      <c r="BJ107" s="155">
        <f t="shared" si="177"/>
        <v>874280.04224299337</v>
      </c>
      <c r="BK107" s="155">
        <f t="shared" si="177"/>
        <v>547369.6633942679</v>
      </c>
      <c r="BL107" s="155">
        <f t="shared" si="177"/>
        <v>803323.61539902689</v>
      </c>
      <c r="BM107" s="155">
        <f t="shared" si="177"/>
        <v>934486.3703405353</v>
      </c>
      <c r="BN107" s="155">
        <f t="shared" si="177"/>
        <v>1595875.3217184984</v>
      </c>
      <c r="BO107" s="155">
        <f t="shared" si="177"/>
        <v>316360.59235461539</v>
      </c>
      <c r="BP107" s="155">
        <f t="shared" si="177"/>
        <v>713392.23433364101</v>
      </c>
      <c r="BQ107" s="155">
        <f t="shared" si="177"/>
        <v>832865.6953741964</v>
      </c>
      <c r="BR107" s="155">
        <f t="shared" ref="BR107:CL107" si="178">SUM(BR7:BR92)</f>
        <v>677852.91396881093</v>
      </c>
      <c r="BS107" s="155">
        <f t="shared" si="178"/>
        <v>654307.00360197003</v>
      </c>
      <c r="BT107" s="155">
        <f t="shared" si="178"/>
        <v>1276109.8906594987</v>
      </c>
      <c r="BU107" s="155">
        <f t="shared" si="178"/>
        <v>710826.52628320723</v>
      </c>
      <c r="BV107" s="155">
        <f t="shared" si="178"/>
        <v>1880373.1861847306</v>
      </c>
      <c r="BW107" s="155">
        <f t="shared" si="178"/>
        <v>790220.91281456349</v>
      </c>
      <c r="BX107" s="155">
        <f t="shared" si="178"/>
        <v>1047231.154050911</v>
      </c>
      <c r="BY107" s="155">
        <f t="shared" si="178"/>
        <v>803887.81886806677</v>
      </c>
      <c r="BZ107" s="155">
        <f t="shared" si="178"/>
        <v>1081458.8607087266</v>
      </c>
      <c r="CA107" s="155">
        <f t="shared" si="178"/>
        <v>918447.15091901587</v>
      </c>
      <c r="CB107" s="155">
        <f t="shared" si="178"/>
        <v>989011.02279883798</v>
      </c>
      <c r="CC107" s="155">
        <f t="shared" si="178"/>
        <v>1321449.0388533787</v>
      </c>
      <c r="CD107" s="155">
        <f t="shared" si="178"/>
        <v>869209.69397388631</v>
      </c>
      <c r="CE107" s="155">
        <f t="shared" si="178"/>
        <v>1024573.7340097597</v>
      </c>
      <c r="CF107" s="155">
        <f t="shared" si="178"/>
        <v>416660.32402484113</v>
      </c>
      <c r="CG107" s="155">
        <f t="shared" si="178"/>
        <v>1505085.6801298195</v>
      </c>
      <c r="CH107" s="155">
        <f t="shared" si="178"/>
        <v>1461228.8306004561</v>
      </c>
      <c r="CI107" s="155">
        <f t="shared" si="178"/>
        <v>924167.71069390269</v>
      </c>
      <c r="CJ107" s="155">
        <f t="shared" si="178"/>
        <v>1662073.9812622506</v>
      </c>
      <c r="CK107" s="155">
        <f t="shared" si="178"/>
        <v>1091577.9624347792</v>
      </c>
      <c r="CL107" s="155">
        <f t="shared" si="178"/>
        <v>45737475.442104623</v>
      </c>
    </row>
    <row r="108" spans="1:102">
      <c r="B108" s="71" t="s">
        <v>209</v>
      </c>
      <c r="F108" s="579"/>
      <c r="G108" s="579"/>
      <c r="H108" s="579"/>
      <c r="I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c r="B109" s="73" t="s">
        <v>277</v>
      </c>
      <c r="F109" s="579"/>
      <c r="G109" s="579"/>
      <c r="H109" s="579"/>
      <c r="I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c r="B110" s="73" t="s">
        <v>205</v>
      </c>
      <c r="F110" s="579"/>
      <c r="G110" s="579"/>
      <c r="H110" s="579"/>
      <c r="I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0" t="s">
        <v>339</v>
      </c>
      <c r="CM110" s="580" t="s">
        <v>339</v>
      </c>
      <c r="CN110" s="126"/>
      <c r="CO110" s="126"/>
      <c r="CP110" s="126"/>
      <c r="CQ110" s="126"/>
      <c r="CR110" s="126"/>
      <c r="CS110" s="126"/>
      <c r="CT110" s="126"/>
      <c r="CU110" s="126"/>
      <c r="CV110" s="126"/>
      <c r="CW110" s="126"/>
      <c r="CX110" s="126"/>
    </row>
    <row r="111" spans="1:102">
      <c r="B111" s="73" t="s">
        <v>206</v>
      </c>
      <c r="F111" s="579"/>
      <c r="G111" s="579"/>
      <c r="H111" s="579"/>
      <c r="I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2">
        <v>349343.36000000004</v>
      </c>
      <c r="CM111" s="582">
        <v>88614.660000000033</v>
      </c>
      <c r="CN111" s="126"/>
      <c r="CO111" s="126"/>
      <c r="CP111" s="126"/>
      <c r="CQ111" s="126"/>
      <c r="CR111" s="126"/>
      <c r="CS111" s="126"/>
      <c r="CT111" s="126"/>
      <c r="CU111" s="126"/>
      <c r="CV111" s="126"/>
      <c r="CW111" s="126"/>
      <c r="CX111" s="126"/>
    </row>
    <row r="112" spans="1:102">
      <c r="B112" s="73" t="s">
        <v>286</v>
      </c>
      <c r="F112" s="579"/>
      <c r="G112" s="579"/>
      <c r="H112" s="579"/>
      <c r="I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c r="B113" s="73" t="s">
        <v>78</v>
      </c>
      <c r="F113" s="579"/>
      <c r="G113" s="579"/>
      <c r="H113" s="579"/>
      <c r="I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c r="B114" s="73" t="s">
        <v>207</v>
      </c>
      <c r="F114" s="579"/>
      <c r="G114" s="579"/>
      <c r="H114" s="579"/>
      <c r="I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c r="B115" s="73" t="s">
        <v>211</v>
      </c>
      <c r="F115" s="579"/>
      <c r="G115" s="579"/>
      <c r="H115" s="579"/>
      <c r="I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c r="F116" s="579"/>
      <c r="G116" s="579"/>
      <c r="H116" s="579"/>
      <c r="I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'2016'!AZ117+'2016'!BA117</f>
        <v>5400</v>
      </c>
      <c r="Q117" s="323">
        <f>'2016'!AU117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325">
        <v>2011</v>
      </c>
      <c r="D118" s="329" t="s">
        <v>285</v>
      </c>
      <c r="E118" s="459"/>
      <c r="F118" s="323">
        <v>699</v>
      </c>
      <c r="G118" s="324">
        <v>351</v>
      </c>
      <c r="H118" s="324">
        <v>548</v>
      </c>
      <c r="I118" s="323">
        <v>517</v>
      </c>
      <c r="J118" s="324"/>
      <c r="K118" s="323">
        <f>BF118</f>
        <v>83</v>
      </c>
      <c r="L118" s="324">
        <f>AY118</f>
        <v>52</v>
      </c>
      <c r="M118" s="324">
        <f>BD118</f>
        <v>62</v>
      </c>
      <c r="N118" s="324">
        <f>AW118</f>
        <v>32</v>
      </c>
      <c r="O118" s="324">
        <f>BE118</f>
        <v>31</v>
      </c>
      <c r="P118" s="423">
        <f>AZ118+BA118</f>
        <v>99</v>
      </c>
      <c r="Q118" s="323">
        <f>AU118</f>
        <v>25</v>
      </c>
      <c r="R118" s="423">
        <f>AT118+AX118</f>
        <v>85</v>
      </c>
      <c r="S118" s="324">
        <f>AV118</f>
        <v>32</v>
      </c>
      <c r="T118" s="324">
        <f>BB118</f>
        <v>75</v>
      </c>
      <c r="U118" s="323">
        <f>BC118</f>
        <v>123</v>
      </c>
      <c r="V118" s="423">
        <f>BG118+BJ118</f>
        <v>47</v>
      </c>
      <c r="W118" s="324">
        <f>BR118</f>
        <v>28</v>
      </c>
      <c r="X118" s="423">
        <f>BH118+BI118</f>
        <v>66</v>
      </c>
      <c r="Y118" s="423">
        <f>BK118+BL118+BN118</f>
        <v>85</v>
      </c>
      <c r="Z118" s="324">
        <f>BM118</f>
        <v>60</v>
      </c>
      <c r="AA118" s="423">
        <f>BO118+BQ118</f>
        <v>33</v>
      </c>
      <c r="AB118" s="323">
        <f>BP118</f>
        <v>31</v>
      </c>
      <c r="AC118" s="324">
        <f>BX118</f>
        <v>42</v>
      </c>
      <c r="AD118" s="324">
        <f>BU118</f>
        <v>46</v>
      </c>
      <c r="AE118" s="423">
        <f>BS118+BT118</f>
        <v>128</v>
      </c>
      <c r="AF118" s="324">
        <f>CA118</f>
        <v>44</v>
      </c>
      <c r="AG118" s="324">
        <f>BV118</f>
        <v>126</v>
      </c>
      <c r="AH118" s="324">
        <f>BZ118</f>
        <v>66</v>
      </c>
      <c r="AI118" s="324">
        <f>BW118</f>
        <v>34</v>
      </c>
      <c r="AJ118" s="324">
        <f>BY118</f>
        <v>23</v>
      </c>
      <c r="AK118" s="323">
        <f>CB118</f>
        <v>39</v>
      </c>
      <c r="AL118" s="324">
        <f>CE118</f>
        <v>29</v>
      </c>
      <c r="AM118" s="324">
        <f>CH118</f>
        <v>96</v>
      </c>
      <c r="AN118" s="324">
        <f>CJ118</f>
        <v>120</v>
      </c>
      <c r="AO118" s="324">
        <f>CC118</f>
        <v>38</v>
      </c>
      <c r="AP118" s="324">
        <f>CD118</f>
        <v>18</v>
      </c>
      <c r="AQ118" s="324">
        <f>CK118</f>
        <v>59</v>
      </c>
      <c r="AR118" s="324">
        <f>CI118</f>
        <v>69</v>
      </c>
      <c r="AS118" s="423">
        <f>CF118+CG118</f>
        <v>88</v>
      </c>
      <c r="AT118" s="324">
        <v>22</v>
      </c>
      <c r="AU118" s="324">
        <v>25</v>
      </c>
      <c r="AV118" s="324">
        <v>32</v>
      </c>
      <c r="AW118" s="324">
        <v>32</v>
      </c>
      <c r="AX118" s="324">
        <v>63</v>
      </c>
      <c r="AY118" s="324">
        <v>52</v>
      </c>
      <c r="AZ118" s="324">
        <v>13</v>
      </c>
      <c r="BA118" s="324">
        <v>86</v>
      </c>
      <c r="BB118" s="324">
        <v>75</v>
      </c>
      <c r="BC118" s="324">
        <v>123</v>
      </c>
      <c r="BD118" s="324">
        <v>62</v>
      </c>
      <c r="BE118" s="324">
        <v>31</v>
      </c>
      <c r="BF118" s="323">
        <v>83</v>
      </c>
      <c r="BG118" s="324">
        <v>12</v>
      </c>
      <c r="BH118" s="324">
        <v>12</v>
      </c>
      <c r="BI118" s="324">
        <v>54</v>
      </c>
      <c r="BJ118" s="324">
        <v>35</v>
      </c>
      <c r="BK118" s="324">
        <v>12</v>
      </c>
      <c r="BL118" s="324">
        <v>5</v>
      </c>
      <c r="BM118" s="324">
        <v>60</v>
      </c>
      <c r="BN118" s="324">
        <v>68</v>
      </c>
      <c r="BO118" s="324">
        <v>9</v>
      </c>
      <c r="BP118" s="324">
        <v>31</v>
      </c>
      <c r="BQ118" s="324">
        <v>24</v>
      </c>
      <c r="BR118" s="323">
        <v>28</v>
      </c>
      <c r="BS118" s="324">
        <v>19</v>
      </c>
      <c r="BT118" s="324">
        <v>109</v>
      </c>
      <c r="BU118" s="324">
        <v>46</v>
      </c>
      <c r="BV118" s="324">
        <v>126</v>
      </c>
      <c r="BW118" s="324">
        <v>34</v>
      </c>
      <c r="BX118" s="324">
        <v>42</v>
      </c>
      <c r="BY118" s="324">
        <v>23</v>
      </c>
      <c r="BZ118" s="324">
        <v>66</v>
      </c>
      <c r="CA118" s="324">
        <v>44</v>
      </c>
      <c r="CB118" s="323">
        <v>39</v>
      </c>
      <c r="CC118" s="324">
        <v>38</v>
      </c>
      <c r="CD118" s="324">
        <v>18</v>
      </c>
      <c r="CE118" s="324">
        <v>29</v>
      </c>
      <c r="CF118" s="324">
        <v>9</v>
      </c>
      <c r="CG118" s="324">
        <v>79</v>
      </c>
      <c r="CH118" s="324">
        <v>96</v>
      </c>
      <c r="CI118" s="324">
        <v>69</v>
      </c>
      <c r="CJ118" s="324">
        <v>120</v>
      </c>
      <c r="CK118" s="323">
        <v>59</v>
      </c>
      <c r="CL118" s="323">
        <v>2115</v>
      </c>
    </row>
    <row r="119" spans="1:90" s="69" customFormat="1" ht="11.25">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2">
      <c r="B123" s="328" t="s">
        <v>235</v>
      </c>
      <c r="C123" s="322">
        <v>2016</v>
      </c>
      <c r="D123" s="69" t="s">
        <v>13</v>
      </c>
      <c r="E123" s="458">
        <v>42887</v>
      </c>
      <c r="F123" s="473">
        <v>2152</v>
      </c>
      <c r="G123" s="473">
        <v>451</v>
      </c>
      <c r="H123" s="473">
        <v>1942</v>
      </c>
      <c r="I123" s="473">
        <v>3027</v>
      </c>
      <c r="J123" s="488"/>
      <c r="K123" s="488">
        <f>BF123</f>
        <v>528</v>
      </c>
      <c r="L123" s="488">
        <f>AY123</f>
        <v>176</v>
      </c>
      <c r="M123" s="488">
        <f>BD123</f>
        <v>158</v>
      </c>
      <c r="N123" s="488">
        <f>AW123</f>
        <v>210</v>
      </c>
      <c r="O123" s="488">
        <f>BE123</f>
        <v>145</v>
      </c>
      <c r="P123" s="488">
        <f>'2016'!BA123</f>
        <v>79</v>
      </c>
      <c r="Q123" s="488">
        <f>'2016'!AU123</f>
        <v>56</v>
      </c>
      <c r="R123" s="488">
        <f>AX123</f>
        <v>95</v>
      </c>
      <c r="S123" s="488">
        <f>AV123</f>
        <v>68</v>
      </c>
      <c r="T123" s="488">
        <f>BB123</f>
        <v>151</v>
      </c>
      <c r="U123" s="488">
        <f>BC123</f>
        <v>471</v>
      </c>
      <c r="V123" s="488">
        <f>BJ123</f>
        <v>11</v>
      </c>
      <c r="W123" s="488">
        <f>BR123</f>
        <v>83</v>
      </c>
      <c r="X123" s="488">
        <f>BI123</f>
        <v>21</v>
      </c>
      <c r="Y123" s="488">
        <f>BN123</f>
        <v>54</v>
      </c>
      <c r="Z123" s="488">
        <f>BM123</f>
        <v>141</v>
      </c>
      <c r="AA123" s="488">
        <f>BQ123</f>
        <v>56</v>
      </c>
      <c r="AB123" s="488">
        <f>BP123</f>
        <v>79</v>
      </c>
      <c r="AC123" s="488">
        <f>BX123</f>
        <v>370</v>
      </c>
      <c r="AD123" s="488">
        <f>BU123</f>
        <v>128</v>
      </c>
      <c r="AE123" s="488">
        <f>BT123</f>
        <v>337</v>
      </c>
      <c r="AF123" s="488">
        <f>CA123</f>
        <v>110</v>
      </c>
      <c r="AG123" s="488">
        <f>BV123</f>
        <v>314</v>
      </c>
      <c r="AH123" s="488">
        <f>BZ123</f>
        <v>164</v>
      </c>
      <c r="AI123" s="488">
        <f>BW123</f>
        <v>159</v>
      </c>
      <c r="AJ123" s="488">
        <f>BY123</f>
        <v>100</v>
      </c>
      <c r="AK123" s="488">
        <f>CB123</f>
        <v>254</v>
      </c>
      <c r="AL123" s="488">
        <f>CE123</f>
        <v>58</v>
      </c>
      <c r="AM123" s="488">
        <f>CH123</f>
        <v>626</v>
      </c>
      <c r="AN123" s="488">
        <f>CJ123</f>
        <v>1287</v>
      </c>
      <c r="AO123" s="488">
        <f>CC123</f>
        <v>160</v>
      </c>
      <c r="AP123" s="488">
        <f>CD123</f>
        <v>30</v>
      </c>
      <c r="AQ123" s="488">
        <f>CK123</f>
        <v>248</v>
      </c>
      <c r="AR123" s="488">
        <f>CI123</f>
        <v>210</v>
      </c>
      <c r="AS123" s="488">
        <f>CG123</f>
        <v>392</v>
      </c>
      <c r="AT123" s="473">
        <v>13</v>
      </c>
      <c r="AU123" s="473">
        <v>56</v>
      </c>
      <c r="AV123" s="473">
        <v>68</v>
      </c>
      <c r="AW123" s="473">
        <v>210</v>
      </c>
      <c r="AX123" s="473">
        <v>95</v>
      </c>
      <c r="AY123" s="473">
        <v>176</v>
      </c>
      <c r="AZ123" s="473">
        <v>2</v>
      </c>
      <c r="BA123" s="473">
        <v>79</v>
      </c>
      <c r="BB123" s="473">
        <v>151</v>
      </c>
      <c r="BC123" s="473">
        <v>471</v>
      </c>
      <c r="BD123" s="473">
        <v>158</v>
      </c>
      <c r="BE123" s="473">
        <v>145</v>
      </c>
      <c r="BF123" s="473">
        <v>528</v>
      </c>
      <c r="BG123" s="473" t="s">
        <v>41</v>
      </c>
      <c r="BH123" s="473">
        <v>1</v>
      </c>
      <c r="BI123" s="473">
        <v>21</v>
      </c>
      <c r="BJ123" s="473">
        <v>11</v>
      </c>
      <c r="BK123" s="473">
        <v>5</v>
      </c>
      <c r="BL123" s="473" t="s">
        <v>41</v>
      </c>
      <c r="BM123" s="473">
        <v>141</v>
      </c>
      <c r="BN123" s="473">
        <v>54</v>
      </c>
      <c r="BO123" s="473" t="s">
        <v>41</v>
      </c>
      <c r="BP123" s="473">
        <v>79</v>
      </c>
      <c r="BQ123" s="473">
        <v>56</v>
      </c>
      <c r="BR123" s="473">
        <v>83</v>
      </c>
      <c r="BS123" s="473">
        <v>6</v>
      </c>
      <c r="BT123" s="473">
        <v>337</v>
      </c>
      <c r="BU123" s="473">
        <v>128</v>
      </c>
      <c r="BV123" s="473">
        <v>314</v>
      </c>
      <c r="BW123" s="473">
        <v>159</v>
      </c>
      <c r="BX123" s="473">
        <v>370</v>
      </c>
      <c r="BY123" s="473">
        <v>100</v>
      </c>
      <c r="BZ123" s="473">
        <v>164</v>
      </c>
      <c r="CA123" s="473">
        <v>110</v>
      </c>
      <c r="CB123" s="473">
        <v>254</v>
      </c>
      <c r="CC123" s="473">
        <v>160</v>
      </c>
      <c r="CD123" s="473">
        <v>30</v>
      </c>
      <c r="CE123" s="473">
        <v>58</v>
      </c>
      <c r="CF123" s="473">
        <v>16</v>
      </c>
      <c r="CG123" s="473">
        <v>392</v>
      </c>
      <c r="CH123" s="473">
        <v>626</v>
      </c>
      <c r="CI123" s="473">
        <v>210</v>
      </c>
      <c r="CJ123" s="473">
        <v>1287</v>
      </c>
      <c r="CK123" s="473">
        <v>248</v>
      </c>
      <c r="CL123" s="473">
        <v>7572</v>
      </c>
    </row>
    <row r="124" spans="1:90" s="69" customFormat="1" ht="11.25">
      <c r="B124" s="328" t="s">
        <v>236</v>
      </c>
      <c r="C124" s="322">
        <v>2010</v>
      </c>
      <c r="D124" s="69" t="s">
        <v>13</v>
      </c>
      <c r="E124" s="460">
        <v>42887</v>
      </c>
      <c r="F124" s="323">
        <v>1906</v>
      </c>
      <c r="G124" s="323">
        <v>421</v>
      </c>
      <c r="H124" s="323">
        <v>1152</v>
      </c>
      <c r="I124" s="323">
        <v>1392</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t="s">
        <v>41</v>
      </c>
      <c r="AU124" s="323">
        <v>57</v>
      </c>
      <c r="AV124" s="323">
        <v>43</v>
      </c>
      <c r="AW124" s="323">
        <v>70</v>
      </c>
      <c r="AX124" s="323">
        <v>76</v>
      </c>
      <c r="AY124" s="323">
        <v>96</v>
      </c>
      <c r="AZ124" s="323">
        <v>1</v>
      </c>
      <c r="BA124" s="323">
        <v>67</v>
      </c>
      <c r="BB124" s="323">
        <v>228</v>
      </c>
      <c r="BC124" s="323">
        <v>612</v>
      </c>
      <c r="BD124" s="323">
        <v>245</v>
      </c>
      <c r="BE124" s="323">
        <v>113</v>
      </c>
      <c r="BF124" s="323">
        <v>298</v>
      </c>
      <c r="BG124" s="323" t="s">
        <v>41</v>
      </c>
      <c r="BH124" s="323">
        <v>7</v>
      </c>
      <c r="BI124" s="323">
        <v>41</v>
      </c>
      <c r="BJ124" s="323">
        <v>27</v>
      </c>
      <c r="BK124" s="323">
        <v>5</v>
      </c>
      <c r="BL124" s="323">
        <v>1</v>
      </c>
      <c r="BM124" s="323">
        <v>114</v>
      </c>
      <c r="BN124" s="323">
        <v>73</v>
      </c>
      <c r="BO124" s="323">
        <v>2</v>
      </c>
      <c r="BP124" s="323">
        <v>55</v>
      </c>
      <c r="BQ124" s="323">
        <v>39</v>
      </c>
      <c r="BR124" s="323">
        <v>57</v>
      </c>
      <c r="BS124" s="323">
        <v>4</v>
      </c>
      <c r="BT124" s="323">
        <v>175</v>
      </c>
      <c r="BU124" s="323">
        <v>90</v>
      </c>
      <c r="BV124" s="323">
        <v>303</v>
      </c>
      <c r="BW124" s="323">
        <v>136</v>
      </c>
      <c r="BX124" s="323">
        <v>152</v>
      </c>
      <c r="BY124" s="323">
        <v>42</v>
      </c>
      <c r="BZ124" s="323">
        <v>60</v>
      </c>
      <c r="CA124" s="323">
        <v>65</v>
      </c>
      <c r="CB124" s="323">
        <v>125</v>
      </c>
      <c r="CC124" s="323">
        <v>110</v>
      </c>
      <c r="CD124" s="323">
        <v>37</v>
      </c>
      <c r="CE124" s="323">
        <v>54</v>
      </c>
      <c r="CF124" s="323">
        <v>22</v>
      </c>
      <c r="CG124" s="323">
        <v>441</v>
      </c>
      <c r="CH124" s="323">
        <v>300</v>
      </c>
      <c r="CI124" s="323">
        <v>70</v>
      </c>
      <c r="CJ124" s="323">
        <v>145</v>
      </c>
      <c r="CK124" s="323">
        <v>213</v>
      </c>
      <c r="CL124" s="323">
        <v>4871</v>
      </c>
    </row>
    <row r="125" spans="1:90" s="69" customFormat="1" ht="11.25">
      <c r="B125" s="328" t="s">
        <v>237</v>
      </c>
      <c r="C125" s="322">
        <v>2010</v>
      </c>
      <c r="D125" s="69" t="s">
        <v>13</v>
      </c>
      <c r="E125" s="460">
        <v>42887</v>
      </c>
      <c r="F125" s="323">
        <v>484450</v>
      </c>
      <c r="G125" s="323">
        <v>52226</v>
      </c>
      <c r="H125" s="323">
        <v>68285</v>
      </c>
      <c r="I125" s="323">
        <v>346813</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t="s">
        <v>41</v>
      </c>
      <c r="AU125" s="323">
        <v>9877</v>
      </c>
      <c r="AV125" s="323" t="s">
        <v>304</v>
      </c>
      <c r="AW125" s="323">
        <v>13131</v>
      </c>
      <c r="AX125" s="323">
        <v>21703</v>
      </c>
      <c r="AY125" s="323">
        <v>6704</v>
      </c>
      <c r="AZ125" s="323" t="s">
        <v>304</v>
      </c>
      <c r="BA125" s="323">
        <v>14031</v>
      </c>
      <c r="BB125" s="323">
        <v>70737</v>
      </c>
      <c r="BC125" s="323">
        <v>207846</v>
      </c>
      <c r="BD125" s="323">
        <v>55831</v>
      </c>
      <c r="BE125" s="323">
        <v>32010</v>
      </c>
      <c r="BF125" s="323">
        <v>47664</v>
      </c>
      <c r="BG125" s="323" t="s">
        <v>41</v>
      </c>
      <c r="BH125" s="323" t="s">
        <v>304</v>
      </c>
      <c r="BI125" s="323">
        <v>2226</v>
      </c>
      <c r="BJ125" s="323">
        <v>2539</v>
      </c>
      <c r="BK125" s="323">
        <v>411</v>
      </c>
      <c r="BL125" s="323" t="s">
        <v>304</v>
      </c>
      <c r="BM125" s="323">
        <v>22768</v>
      </c>
      <c r="BN125" s="323">
        <v>12430</v>
      </c>
      <c r="BO125" s="323" t="s">
        <v>304</v>
      </c>
      <c r="BP125" s="323">
        <v>2682</v>
      </c>
      <c r="BQ125" s="323">
        <v>4772</v>
      </c>
      <c r="BR125" s="323">
        <v>3187</v>
      </c>
      <c r="BS125" s="323" t="s">
        <v>304</v>
      </c>
      <c r="BT125" s="323">
        <v>5018</v>
      </c>
      <c r="BU125" s="323" t="s">
        <v>304</v>
      </c>
      <c r="BV125" s="323">
        <v>11124</v>
      </c>
      <c r="BW125" s="323">
        <v>20734</v>
      </c>
      <c r="BX125" s="323">
        <v>10615</v>
      </c>
      <c r="BY125" s="323">
        <v>2849</v>
      </c>
      <c r="BZ125" s="323">
        <v>7673</v>
      </c>
      <c r="CA125" s="323">
        <v>2012</v>
      </c>
      <c r="CB125" s="323">
        <v>5856</v>
      </c>
      <c r="CC125" s="323">
        <v>11102</v>
      </c>
      <c r="CD125" s="323">
        <v>8585</v>
      </c>
      <c r="CE125" s="323">
        <v>4426</v>
      </c>
      <c r="CF125" s="323">
        <v>11271</v>
      </c>
      <c r="CG125" s="323">
        <v>141280</v>
      </c>
      <c r="CH125" s="323">
        <v>89667</v>
      </c>
      <c r="CI125" s="323">
        <v>10421</v>
      </c>
      <c r="CJ125" s="323">
        <v>18652</v>
      </c>
      <c r="CK125" s="323">
        <v>51409</v>
      </c>
      <c r="CL125" s="323">
        <v>951774</v>
      </c>
    </row>
    <row r="126" spans="1:90"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'2016'!AZ126+'2016'!BA126</f>
        <v>6973</v>
      </c>
      <c r="Q126" s="323">
        <f>'2016'!AU126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c r="B127" s="328"/>
      <c r="C127" s="322"/>
      <c r="E127" s="460"/>
      <c r="F127" s="323">
        <f>F126/F35%</f>
        <v>62.775559276911842</v>
      </c>
      <c r="G127" s="323">
        <f>G126/G35%</f>
        <v>41.844807930364667</v>
      </c>
      <c r="H127" s="323">
        <f>H126/H35%</f>
        <v>49.642220776649602</v>
      </c>
      <c r="I127" s="323">
        <f>I126/I35%</f>
        <v>52.439617593683934</v>
      </c>
      <c r="J127" s="323"/>
      <c r="K127" s="323">
        <f t="shared" ref="K127:BV127" si="179">K126/K35%</f>
        <v>100.45389804510808</v>
      </c>
      <c r="L127" s="323">
        <f t="shared" si="179"/>
        <v>68.779004016690706</v>
      </c>
      <c r="M127" s="323">
        <f t="shared" si="179"/>
        <v>69.840342394718007</v>
      </c>
      <c r="N127" s="323">
        <f t="shared" si="179"/>
        <v>73.915516996159866</v>
      </c>
      <c r="O127" s="323">
        <f t="shared" si="179"/>
        <v>59.224624238064592</v>
      </c>
      <c r="P127" s="323">
        <f t="shared" si="179"/>
        <v>12.011644732308964</v>
      </c>
      <c r="Q127" s="323">
        <f t="shared" si="179"/>
        <v>47.500890947968642</v>
      </c>
      <c r="R127" s="323">
        <f t="shared" si="179"/>
        <v>1.4383954154727794</v>
      </c>
      <c r="S127" s="323">
        <f t="shared" si="179"/>
        <v>55.952380952380949</v>
      </c>
      <c r="T127" s="323">
        <f t="shared" si="179"/>
        <v>55.707729815000718</v>
      </c>
      <c r="U127" s="323">
        <f t="shared" si="179"/>
        <v>96.906904933972811</v>
      </c>
      <c r="V127" s="323">
        <f t="shared" si="179"/>
        <v>33.07579102281089</v>
      </c>
      <c r="W127" s="323">
        <f t="shared" si="179"/>
        <v>82.163758106184432</v>
      </c>
      <c r="X127" s="323">
        <f t="shared" si="179"/>
        <v>6.4076628726023053</v>
      </c>
      <c r="Y127" s="323">
        <f t="shared" si="179"/>
        <v>15.517201755797119</v>
      </c>
      <c r="Z127" s="323">
        <f t="shared" si="179"/>
        <v>70.513209839052536</v>
      </c>
      <c r="AA127" s="323">
        <f t="shared" si="179"/>
        <v>44.993441189331001</v>
      </c>
      <c r="AB127" s="323">
        <f t="shared" si="179"/>
        <v>74.923085528891875</v>
      </c>
      <c r="AC127" s="323">
        <f t="shared" si="179"/>
        <v>65.327392584486304</v>
      </c>
      <c r="AD127" s="323">
        <f t="shared" si="179"/>
        <v>35.866822850964134</v>
      </c>
      <c r="AE127" s="323">
        <f t="shared" si="179"/>
        <v>11.043735314181763</v>
      </c>
      <c r="AF127" s="323">
        <f t="shared" si="179"/>
        <v>28.974868296053199</v>
      </c>
      <c r="AG127" s="323">
        <f t="shared" si="179"/>
        <v>33.826102481699692</v>
      </c>
      <c r="AH127" s="323">
        <f t="shared" si="179"/>
        <v>65.998441807503298</v>
      </c>
      <c r="AI127" s="323">
        <f t="shared" si="179"/>
        <v>96.361096327833963</v>
      </c>
      <c r="AJ127" s="323">
        <f t="shared" si="179"/>
        <v>62.832150519887769</v>
      </c>
      <c r="AK127" s="323">
        <f t="shared" si="179"/>
        <v>71.603639615000262</v>
      </c>
      <c r="AL127" s="323">
        <f t="shared" si="179"/>
        <v>60.114740392654305</v>
      </c>
      <c r="AM127" s="323">
        <f t="shared" si="179"/>
        <v>19.834295756967112</v>
      </c>
      <c r="AN127" s="323">
        <f t="shared" si="179"/>
        <v>58.559773134050815</v>
      </c>
      <c r="AO127" s="323">
        <f t="shared" si="179"/>
        <v>99.029148496672022</v>
      </c>
      <c r="AP127" s="323">
        <f t="shared" si="179"/>
        <v>60.489111563073564</v>
      </c>
      <c r="AQ127" s="323">
        <f t="shared" si="179"/>
        <v>71.982546144998452</v>
      </c>
      <c r="AR127" s="323">
        <f t="shared" si="179"/>
        <v>23.396957948106174</v>
      </c>
      <c r="AS127" s="323">
        <f t="shared" si="179"/>
        <v>44.681764787611627</v>
      </c>
      <c r="AT127" s="323">
        <f t="shared" si="179"/>
        <v>11.111111111111111</v>
      </c>
      <c r="AU127" s="323">
        <f t="shared" si="179"/>
        <v>47.500890947968642</v>
      </c>
      <c r="AV127" s="323">
        <f t="shared" si="179"/>
        <v>55.952380952380949</v>
      </c>
      <c r="AW127" s="323">
        <f t="shared" si="179"/>
        <v>73.915516996159866</v>
      </c>
      <c r="AX127" s="323">
        <f t="shared" si="179"/>
        <v>0.6885053567569237</v>
      </c>
      <c r="AY127" s="323">
        <f t="shared" si="179"/>
        <v>68.779004016690706</v>
      </c>
      <c r="AZ127" s="323">
        <f t="shared" si="179"/>
        <v>0</v>
      </c>
      <c r="BA127" s="323">
        <f t="shared" si="179"/>
        <v>12.928764786591017</v>
      </c>
      <c r="BB127" s="323">
        <f t="shared" si="179"/>
        <v>55.707729815000718</v>
      </c>
      <c r="BC127" s="323">
        <f t="shared" si="179"/>
        <v>96.906904933972811</v>
      </c>
      <c r="BD127" s="323">
        <f t="shared" si="179"/>
        <v>69.840342394718007</v>
      </c>
      <c r="BE127" s="323">
        <f t="shared" si="179"/>
        <v>59.224624238064592</v>
      </c>
      <c r="BF127" s="323">
        <f t="shared" si="179"/>
        <v>100.45389804510808</v>
      </c>
      <c r="BG127" s="323">
        <f t="shared" si="179"/>
        <v>113.57323232323232</v>
      </c>
      <c r="BH127" s="323">
        <f t="shared" si="179"/>
        <v>0</v>
      </c>
      <c r="BI127" s="323">
        <f t="shared" si="179"/>
        <v>6.8406536219816818</v>
      </c>
      <c r="BJ127" s="323">
        <f t="shared" si="179"/>
        <v>24.415919587068728</v>
      </c>
      <c r="BK127" s="323">
        <f t="shared" si="179"/>
        <v>113.32236842105264</v>
      </c>
      <c r="BL127" s="323">
        <f t="shared" si="179"/>
        <v>0</v>
      </c>
      <c r="BM127" s="323">
        <f t="shared" si="179"/>
        <v>70.513209839052536</v>
      </c>
      <c r="BN127" s="323">
        <f t="shared" si="179"/>
        <v>12.082839015835352</v>
      </c>
      <c r="BO127" s="323">
        <f t="shared" si="179"/>
        <v>28.969072164948457</v>
      </c>
      <c r="BP127" s="323">
        <f t="shared" si="179"/>
        <v>74.923085528891875</v>
      </c>
      <c r="BQ127" s="323">
        <f t="shared" si="179"/>
        <v>45.785958292968949</v>
      </c>
      <c r="BR127" s="323">
        <f t="shared" si="179"/>
        <v>82.163758106184432</v>
      </c>
      <c r="BS127" s="323">
        <f t="shared" si="179"/>
        <v>6.088721368512612</v>
      </c>
      <c r="BT127" s="323">
        <f t="shared" si="179"/>
        <v>11.390223627922065</v>
      </c>
      <c r="BU127" s="323">
        <f t="shared" si="179"/>
        <v>35.866822850964134</v>
      </c>
      <c r="BV127" s="323">
        <f t="shared" si="179"/>
        <v>33.826102481699692</v>
      </c>
      <c r="BW127" s="323">
        <f t="shared" ref="BW127:CL127" si="180">BW126/BW35%</f>
        <v>96.361096327833963</v>
      </c>
      <c r="BX127" s="323">
        <f t="shared" si="180"/>
        <v>65.327392584486304</v>
      </c>
      <c r="BY127" s="323">
        <f t="shared" si="180"/>
        <v>62.832150519887769</v>
      </c>
      <c r="BZ127" s="323">
        <f t="shared" si="180"/>
        <v>65.998441807503298</v>
      </c>
      <c r="CA127" s="323">
        <f t="shared" si="180"/>
        <v>28.974868296053199</v>
      </c>
      <c r="CB127" s="323">
        <f t="shared" si="180"/>
        <v>71.603639615000262</v>
      </c>
      <c r="CC127" s="323">
        <f t="shared" si="180"/>
        <v>99.029148496672022</v>
      </c>
      <c r="CD127" s="323">
        <f t="shared" si="180"/>
        <v>60.489111563073564</v>
      </c>
      <c r="CE127" s="323">
        <f t="shared" si="180"/>
        <v>60.114740392654305</v>
      </c>
      <c r="CF127" s="323">
        <f t="shared" si="180"/>
        <v>30.068876452862678</v>
      </c>
      <c r="CG127" s="323">
        <f t="shared" si="180"/>
        <v>45.592754109359277</v>
      </c>
      <c r="CH127" s="323">
        <f t="shared" si="180"/>
        <v>19.834295756967112</v>
      </c>
      <c r="CI127" s="323">
        <f t="shared" si="180"/>
        <v>23.396957948106174</v>
      </c>
      <c r="CJ127" s="323">
        <f t="shared" si="180"/>
        <v>58.559773134050815</v>
      </c>
      <c r="CK127" s="323">
        <f t="shared" si="180"/>
        <v>71.982546144998452</v>
      </c>
      <c r="CL127" s="323">
        <f t="shared" si="180"/>
        <v>53.681690419356208</v>
      </c>
    </row>
    <row r="128" spans="1:90"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c r="F129" s="579"/>
      <c r="G129" s="579"/>
      <c r="H129" s="579"/>
      <c r="I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2:90">
      <c r="B130" s="58" t="s">
        <v>290</v>
      </c>
      <c r="D130" t="s">
        <v>7</v>
      </c>
      <c r="E130" s="457">
        <v>42024</v>
      </c>
      <c r="F130" s="579">
        <v>16888</v>
      </c>
      <c r="G130" s="579">
        <v>7358</v>
      </c>
      <c r="H130" s="579">
        <v>22942</v>
      </c>
      <c r="I130" s="579">
        <v>14975</v>
      </c>
      <c r="K130" s="126">
        <v>4191</v>
      </c>
      <c r="L130" s="126">
        <v>1688</v>
      </c>
      <c r="M130" s="126">
        <v>921</v>
      </c>
      <c r="N130" s="126">
        <v>1985</v>
      </c>
      <c r="O130" s="126">
        <v>593</v>
      </c>
      <c r="P130" s="126">
        <v>882</v>
      </c>
      <c r="Q130" s="126">
        <v>649</v>
      </c>
      <c r="R130" s="126">
        <v>397</v>
      </c>
      <c r="S130" s="126">
        <v>875</v>
      </c>
      <c r="T130" s="126">
        <v>1321</v>
      </c>
      <c r="U130" s="126">
        <v>3336</v>
      </c>
      <c r="V130" s="126">
        <v>769</v>
      </c>
      <c r="W130" s="126">
        <v>923</v>
      </c>
      <c r="X130" s="126">
        <v>626</v>
      </c>
      <c r="Y130" s="126">
        <v>1081</v>
      </c>
      <c r="Z130" s="126">
        <v>1243</v>
      </c>
      <c r="AA130" s="126">
        <v>1190</v>
      </c>
      <c r="AB130" s="126">
        <v>1349</v>
      </c>
      <c r="AC130" s="126">
        <v>2093</v>
      </c>
      <c r="AD130" s="126">
        <v>2097</v>
      </c>
      <c r="AE130" s="126">
        <v>3830</v>
      </c>
      <c r="AF130" s="126">
        <v>2820</v>
      </c>
      <c r="AG130" s="126">
        <v>4054</v>
      </c>
      <c r="AH130" s="126">
        <v>1166</v>
      </c>
      <c r="AI130" s="126">
        <v>1692</v>
      </c>
      <c r="AJ130" s="126">
        <v>1340</v>
      </c>
      <c r="AK130" s="126">
        <v>3850</v>
      </c>
      <c r="AL130" s="126">
        <v>2169</v>
      </c>
      <c r="AM130" s="126">
        <v>2274</v>
      </c>
      <c r="AN130" s="126">
        <v>2733</v>
      </c>
      <c r="AO130" s="126">
        <v>1619</v>
      </c>
      <c r="AP130" s="126" t="s">
        <v>233</v>
      </c>
      <c r="AQ130" s="126">
        <v>2227</v>
      </c>
      <c r="AR130" s="126">
        <v>1126</v>
      </c>
      <c r="AS130" s="126"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row r="131" spans="2:90">
      <c r="B131" s="58" t="s">
        <v>93</v>
      </c>
      <c r="C131" s="198">
        <v>2010</v>
      </c>
      <c r="D131" t="s">
        <v>10</v>
      </c>
      <c r="E131" s="457">
        <v>40441</v>
      </c>
      <c r="F131" s="579">
        <v>617399</v>
      </c>
      <c r="G131" s="579">
        <v>142781</v>
      </c>
      <c r="H131" s="579">
        <v>370424</v>
      </c>
      <c r="I131" s="579">
        <v>1004630</v>
      </c>
      <c r="K131" s="126">
        <v>165837</v>
      </c>
      <c r="L131" s="126">
        <v>41990</v>
      </c>
      <c r="M131" s="126">
        <v>41892</v>
      </c>
      <c r="N131" s="126">
        <v>57563</v>
      </c>
      <c r="O131" s="126">
        <v>44020</v>
      </c>
      <c r="P131" s="126">
        <v>27398</v>
      </c>
      <c r="Q131" s="126">
        <v>16912</v>
      </c>
      <c r="R131" s="126">
        <v>30881</v>
      </c>
      <c r="S131" s="126">
        <v>12315</v>
      </c>
      <c r="T131" s="126">
        <v>43221</v>
      </c>
      <c r="U131" s="126">
        <v>135140</v>
      </c>
      <c r="V131" s="126">
        <v>1905</v>
      </c>
      <c r="W131" s="126">
        <v>23030</v>
      </c>
      <c r="X131" s="126">
        <v>6427</v>
      </c>
      <c r="Y131" s="126">
        <v>23865</v>
      </c>
      <c r="Z131" s="126">
        <v>47945</v>
      </c>
      <c r="AA131" s="126">
        <v>18570</v>
      </c>
      <c r="AB131" s="126">
        <v>21039</v>
      </c>
      <c r="AC131" s="126">
        <v>64945</v>
      </c>
      <c r="AD131" s="126">
        <v>18303</v>
      </c>
      <c r="AE131" s="126">
        <v>56256</v>
      </c>
      <c r="AF131" s="126">
        <v>17921</v>
      </c>
      <c r="AG131" s="126">
        <v>38783</v>
      </c>
      <c r="AH131" s="126">
        <v>56430</v>
      </c>
      <c r="AI131" s="126">
        <v>26870</v>
      </c>
      <c r="AJ131" s="126">
        <v>32882</v>
      </c>
      <c r="AK131" s="126">
        <v>58034</v>
      </c>
      <c r="AL131" s="126">
        <v>21184</v>
      </c>
      <c r="AM131" s="126">
        <v>217098</v>
      </c>
      <c r="AN131" s="126">
        <v>443864</v>
      </c>
      <c r="AO131" s="126">
        <v>49804</v>
      </c>
      <c r="AP131" s="126">
        <v>9156</v>
      </c>
      <c r="AQ131" s="126">
        <v>78000</v>
      </c>
      <c r="AR131" s="126">
        <v>61951</v>
      </c>
      <c r="AS131" s="126">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row>
    <row r="132" spans="2:90">
      <c r="B132" s="58" t="s">
        <v>355</v>
      </c>
      <c r="C132" s="198">
        <v>2010</v>
      </c>
      <c r="D132" t="s">
        <v>3</v>
      </c>
      <c r="E132" s="457">
        <v>40441</v>
      </c>
      <c r="F132" s="579">
        <v>-0.55500000000000005</v>
      </c>
      <c r="G132" s="579">
        <v>-3.7679999999999998</v>
      </c>
      <c r="H132" s="579">
        <v>-0.80600000000000005</v>
      </c>
      <c r="I132" s="579">
        <v>-1.0680000000000001</v>
      </c>
      <c r="K132" s="126">
        <v>10.035697223844155</v>
      </c>
      <c r="L132" s="126">
        <v>-1.9154403176827843</v>
      </c>
      <c r="M132" s="126">
        <v>-8.8729851428074227</v>
      </c>
      <c r="N132" s="126">
        <v>-0.32726139354481232</v>
      </c>
      <c r="O132" s="126">
        <v>4.5630537542459439</v>
      </c>
      <c r="P132" s="126">
        <v>-20.178300897331312</v>
      </c>
      <c r="Q132" s="126">
        <v>-7.0239192927265819</v>
      </c>
      <c r="R132" s="126">
        <v>-2.5835962145110409</v>
      </c>
      <c r="S132" s="126">
        <v>-15.892637617811776</v>
      </c>
      <c r="T132" s="126">
        <v>-3.9682716021952142</v>
      </c>
      <c r="U132" s="126">
        <v>-0.20013145165459234</v>
      </c>
      <c r="V132" s="126">
        <v>-32.326820603907642</v>
      </c>
      <c r="W132" s="126">
        <v>4.3781725888324878</v>
      </c>
      <c r="X132" s="126">
        <v>-27.098457350272234</v>
      </c>
      <c r="Y132" s="126">
        <v>-7.8713712168004939</v>
      </c>
      <c r="Z132" s="126">
        <v>-7.3526570048309177</v>
      </c>
      <c r="AA132" s="126">
        <v>14.51652688702516</v>
      </c>
      <c r="AB132" s="126">
        <v>-1.9617893755824791</v>
      </c>
      <c r="AC132" s="126">
        <v>5.1094063572214674</v>
      </c>
      <c r="AD132" s="126">
        <v>-5.8874948580830937</v>
      </c>
      <c r="AE132" s="126">
        <v>1.8521536038238009</v>
      </c>
      <c r="AF132" s="126">
        <v>-10.192934101728889</v>
      </c>
      <c r="AG132" s="126">
        <v>-12.933279454022989</v>
      </c>
      <c r="AH132" s="126">
        <v>5.2739585470962451</v>
      </c>
      <c r="AI132" s="126">
        <v>-8.6178751190314244</v>
      </c>
      <c r="AJ132" s="126">
        <v>15.302615891717512</v>
      </c>
      <c r="AK132" s="126">
        <v>7.2618057480824332</v>
      </c>
      <c r="AL132" s="126">
        <v>11.447811447811446</v>
      </c>
      <c r="AM132" s="126">
        <v>-1.3150537976553587</v>
      </c>
      <c r="AN132" s="126">
        <v>1.4240274934191286</v>
      </c>
      <c r="AO132" s="126">
        <v>-4.1604125774544896</v>
      </c>
      <c r="AP132" s="126">
        <v>-3.0392883617494437</v>
      </c>
      <c r="AQ132" s="126">
        <v>-2.6496761229609476</v>
      </c>
      <c r="AR132" s="126">
        <v>-13.446035626964722</v>
      </c>
      <c r="AS132" s="126">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2:90">
      <c r="B133" s="58" t="s">
        <v>356</v>
      </c>
      <c r="C133" s="198">
        <v>2010</v>
      </c>
      <c r="D133" t="s">
        <v>3</v>
      </c>
      <c r="E133" s="457">
        <v>40441</v>
      </c>
      <c r="F133" s="579">
        <v>-7.835</v>
      </c>
      <c r="G133" s="579">
        <v>1.4390000000000001</v>
      </c>
      <c r="H133" s="579">
        <v>7.6319999999999997</v>
      </c>
      <c r="I133" s="579">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579">
        <v>-100</v>
      </c>
      <c r="AU133" s="579">
        <v>-3.3090000000000002</v>
      </c>
      <c r="AV133" s="579">
        <v>-10.87</v>
      </c>
      <c r="AW133" s="579">
        <v>-0.44400000000000001</v>
      </c>
      <c r="AX133" s="579">
        <v>-19.893999999999998</v>
      </c>
      <c r="AY133" s="579">
        <v>-2.653</v>
      </c>
      <c r="AZ133" s="579">
        <v>-100</v>
      </c>
      <c r="BA133" s="579">
        <v>-28.670999999999999</v>
      </c>
      <c r="BB133" s="579">
        <v>-7.9240000000000004</v>
      </c>
      <c r="BC133" s="579">
        <v>-2.431</v>
      </c>
      <c r="BD133" s="579">
        <v>-26.018000000000001</v>
      </c>
      <c r="BE133" s="579">
        <v>-18.891999999999999</v>
      </c>
      <c r="BF133" s="579">
        <v>-3.0000000000000001E-3</v>
      </c>
      <c r="BG133" s="579" t="s">
        <v>267</v>
      </c>
      <c r="BH133" s="579">
        <v>-100</v>
      </c>
      <c r="BI133" s="579">
        <v>1.508</v>
      </c>
      <c r="BJ133" s="579">
        <v>25.375</v>
      </c>
      <c r="BK133" s="579">
        <v>-100</v>
      </c>
      <c r="BL133" s="579">
        <v>-61.537999999999997</v>
      </c>
      <c r="BM133" s="579">
        <v>-9.6259999999999994</v>
      </c>
      <c r="BN133" s="579">
        <v>-8.2989999999999995</v>
      </c>
      <c r="BO133" s="579">
        <v>-38.938000000000002</v>
      </c>
      <c r="BP133" s="579">
        <v>16.98</v>
      </c>
      <c r="BQ133" s="579">
        <v>25.681999999999999</v>
      </c>
      <c r="BR133" s="579">
        <v>1.1379999999999999</v>
      </c>
      <c r="BS133" s="579" t="s">
        <v>267</v>
      </c>
      <c r="BT133" s="579">
        <v>6.7439999999999998</v>
      </c>
      <c r="BU133" s="579">
        <v>10.356</v>
      </c>
      <c r="BV133" s="579">
        <v>-4.2809999999999997</v>
      </c>
      <c r="BW133" s="579">
        <v>-12.058999999999999</v>
      </c>
      <c r="BX133" s="579">
        <v>6.1980000000000004</v>
      </c>
      <c r="BY133" s="579">
        <v>30.975000000000001</v>
      </c>
      <c r="BZ133" s="579">
        <v>1.1180000000000001</v>
      </c>
      <c r="CA133" s="579">
        <v>17.878</v>
      </c>
      <c r="CB133" s="579">
        <v>21.07</v>
      </c>
      <c r="CC133" s="579">
        <v>-7.57</v>
      </c>
      <c r="CD133" s="579">
        <v>-29.524999999999999</v>
      </c>
      <c r="CE133" s="579">
        <v>51.167999999999999</v>
      </c>
      <c r="CF133" s="579">
        <v>0.69899999999999995</v>
      </c>
      <c r="CG133" s="579">
        <v>-9.3070000000000004</v>
      </c>
      <c r="CH133" s="579">
        <v>-11.484</v>
      </c>
      <c r="CI133" s="579">
        <v>-22.564</v>
      </c>
      <c r="CJ133" s="579">
        <v>-6.9279999999999999</v>
      </c>
      <c r="CK133" s="579">
        <v>-4.8470000000000004</v>
      </c>
      <c r="CL133" s="579">
        <v>-4.1779999999999999</v>
      </c>
    </row>
    <row r="134" spans="2:90">
      <c r="AT134" s="579"/>
      <c r="AU134" s="579"/>
      <c r="AV134" s="579"/>
      <c r="AW134" s="579"/>
      <c r="AX134" s="579"/>
      <c r="AY134" s="579"/>
      <c r="AZ134" s="579"/>
      <c r="BA134" s="579"/>
      <c r="BB134" s="579"/>
      <c r="BC134" s="579"/>
      <c r="BD134" s="579"/>
      <c r="BE134" s="579"/>
      <c r="BF134" s="579"/>
      <c r="BG134" s="579"/>
      <c r="BH134" s="579"/>
      <c r="BI134" s="579"/>
      <c r="BJ134" s="579"/>
      <c r="BK134" s="579"/>
      <c r="BL134" s="579"/>
      <c r="BM134" s="579"/>
      <c r="BN134" s="579"/>
      <c r="BO134" s="579"/>
      <c r="BP134" s="579"/>
      <c r="BQ134" s="579"/>
      <c r="BR134" s="579"/>
      <c r="BS134" s="579"/>
      <c r="BT134" s="579"/>
      <c r="BU134" s="579"/>
      <c r="BV134" s="579"/>
      <c r="BW134" s="579"/>
      <c r="BX134" s="579"/>
      <c r="BY134" s="579"/>
      <c r="BZ134" s="579"/>
      <c r="CA134" s="579"/>
      <c r="CB134" s="579"/>
      <c r="CC134" s="579"/>
      <c r="CD134" s="579"/>
      <c r="CE134" s="579"/>
      <c r="CF134" s="579"/>
      <c r="CG134" s="579"/>
      <c r="CH134" s="579"/>
      <c r="CI134" s="579"/>
      <c r="CJ134" s="579"/>
      <c r="CK134" s="579"/>
      <c r="CL134" s="579"/>
    </row>
    <row r="135" spans="2:90">
      <c r="AT135" s="579"/>
      <c r="AU135" s="579"/>
      <c r="AV135" s="579"/>
      <c r="AW135" s="579"/>
      <c r="AX135" s="579"/>
      <c r="AY135" s="579"/>
      <c r="AZ135" s="579"/>
      <c r="BA135" s="579"/>
      <c r="BB135" s="579"/>
      <c r="BC135" s="579"/>
      <c r="BD135" s="579"/>
      <c r="BE135" s="579"/>
      <c r="BF135" s="579"/>
      <c r="BG135" s="579"/>
      <c r="BH135" s="579"/>
      <c r="BI135" s="579"/>
      <c r="BJ135" s="579"/>
      <c r="BK135" s="579"/>
      <c r="BL135" s="579"/>
      <c r="BM135" s="579"/>
      <c r="BN135" s="579"/>
      <c r="BO135" s="579"/>
      <c r="BP135" s="579"/>
      <c r="BQ135" s="579"/>
      <c r="BR135" s="579"/>
      <c r="BS135" s="579"/>
      <c r="BT135" s="579"/>
      <c r="BU135" s="579"/>
      <c r="BV135" s="579"/>
      <c r="BW135" s="579"/>
      <c r="BX135" s="579"/>
      <c r="BY135" s="579"/>
      <c r="BZ135" s="579"/>
      <c r="CA135" s="579"/>
      <c r="CB135" s="579"/>
      <c r="CC135" s="579"/>
      <c r="CD135" s="579"/>
      <c r="CE135" s="579"/>
      <c r="CF135" s="579"/>
      <c r="CG135" s="579"/>
      <c r="CH135" s="579"/>
      <c r="CI135" s="579"/>
      <c r="CJ135" s="579"/>
      <c r="CK135" s="579"/>
      <c r="CL135" s="579"/>
    </row>
    <row r="136" spans="2:90">
      <c r="AT136" s="579"/>
      <c r="AU136" s="579"/>
      <c r="AV136" s="579"/>
      <c r="AW136" s="579"/>
      <c r="AX136" s="579"/>
      <c r="AY136" s="579"/>
      <c r="AZ136" s="579"/>
      <c r="BA136" s="579"/>
      <c r="BB136" s="579"/>
      <c r="BC136" s="579"/>
      <c r="BD136" s="579"/>
      <c r="BE136" s="579"/>
      <c r="BF136" s="579"/>
      <c r="BG136" s="579"/>
      <c r="BH136" s="579"/>
      <c r="BI136" s="579"/>
      <c r="BJ136" s="579"/>
      <c r="BK136" s="579"/>
      <c r="BL136" s="579"/>
      <c r="BM136" s="579"/>
      <c r="BN136" s="579"/>
      <c r="BO136" s="579"/>
      <c r="BP136" s="579"/>
      <c r="BQ136" s="579"/>
      <c r="BR136" s="579"/>
      <c r="BS136" s="579"/>
      <c r="BT136" s="579"/>
      <c r="BU136" s="579"/>
      <c r="BV136" s="579"/>
      <c r="BW136" s="579"/>
      <c r="BX136" s="579"/>
      <c r="BY136" s="579"/>
      <c r="BZ136" s="579"/>
      <c r="CA136" s="579"/>
      <c r="CB136" s="579"/>
      <c r="CC136" s="579"/>
      <c r="CD136" s="579"/>
      <c r="CE136" s="579"/>
      <c r="CF136" s="579"/>
      <c r="CG136" s="579"/>
      <c r="CH136" s="579"/>
      <c r="CI136" s="579"/>
      <c r="CJ136" s="579"/>
      <c r="CK136" s="579"/>
      <c r="CL136" s="579"/>
    </row>
    <row r="137" spans="2:90">
      <c r="AT137" s="579"/>
      <c r="AU137" s="579"/>
      <c r="AV137" s="579"/>
      <c r="AW137" s="579"/>
      <c r="AX137" s="579"/>
      <c r="AY137" s="579"/>
      <c r="AZ137" s="579"/>
      <c r="BA137" s="579"/>
      <c r="BB137" s="579"/>
      <c r="BC137" s="579"/>
      <c r="BD137" s="579"/>
      <c r="BE137" s="579"/>
      <c r="BF137" s="579"/>
      <c r="BG137" s="579"/>
      <c r="BH137" s="579"/>
      <c r="BI137" s="579"/>
      <c r="BJ137" s="579"/>
      <c r="BK137" s="579"/>
      <c r="BL137" s="579"/>
      <c r="BM137" s="579"/>
      <c r="BN137" s="579"/>
      <c r="BO137" s="579"/>
      <c r="BP137" s="579"/>
      <c r="BQ137" s="579"/>
      <c r="BR137" s="579"/>
      <c r="BS137" s="579"/>
      <c r="BT137" s="579"/>
      <c r="BU137" s="579"/>
      <c r="BV137" s="579"/>
      <c r="BW137" s="579"/>
      <c r="BX137" s="579"/>
      <c r="BY137" s="579"/>
      <c r="BZ137" s="579"/>
      <c r="CA137" s="579"/>
      <c r="CB137" s="579"/>
      <c r="CC137" s="579"/>
      <c r="CD137" s="579"/>
      <c r="CE137" s="579"/>
      <c r="CF137" s="579"/>
      <c r="CG137" s="579"/>
      <c r="CH137" s="579"/>
      <c r="CI137" s="579"/>
      <c r="CJ137" s="579"/>
      <c r="CK137" s="579"/>
      <c r="CL137" s="579"/>
    </row>
    <row r="138" spans="2:90">
      <c r="AT138" s="579"/>
      <c r="AU138" s="579"/>
      <c r="AV138" s="579"/>
      <c r="AW138" s="579"/>
      <c r="AX138" s="579"/>
      <c r="AY138" s="579"/>
      <c r="AZ138" s="579"/>
      <c r="BA138" s="579"/>
      <c r="BB138" s="579"/>
      <c r="BC138" s="579"/>
      <c r="BD138" s="579"/>
      <c r="BE138" s="579"/>
      <c r="BF138" s="579"/>
      <c r="BG138" s="579"/>
      <c r="BH138" s="579"/>
      <c r="BI138" s="579"/>
      <c r="BJ138" s="579"/>
      <c r="BK138" s="579"/>
      <c r="BL138" s="579"/>
      <c r="BM138" s="579"/>
      <c r="BN138" s="579"/>
      <c r="BO138" s="579"/>
      <c r="BP138" s="579"/>
      <c r="BQ138" s="579"/>
      <c r="BR138" s="579"/>
      <c r="BS138" s="579"/>
      <c r="BT138" s="579"/>
      <c r="BU138" s="579"/>
      <c r="BV138" s="579"/>
      <c r="BW138" s="579"/>
      <c r="BX138" s="579"/>
      <c r="BY138" s="579"/>
      <c r="BZ138" s="579"/>
      <c r="CA138" s="579"/>
      <c r="CB138" s="579"/>
      <c r="CC138" s="579"/>
      <c r="CD138" s="579"/>
      <c r="CE138" s="579"/>
      <c r="CF138" s="579"/>
      <c r="CG138" s="579"/>
      <c r="CH138" s="579"/>
      <c r="CI138" s="579"/>
      <c r="CJ138" s="579"/>
      <c r="CK138" s="579"/>
      <c r="CL138" s="579"/>
    </row>
    <row r="139" spans="2:90">
      <c r="AT139" s="579"/>
      <c r="AU139" s="579"/>
      <c r="AV139" s="579"/>
      <c r="AW139" s="579"/>
      <c r="AX139" s="579"/>
      <c r="AY139" s="579"/>
      <c r="AZ139" s="579"/>
      <c r="BA139" s="579"/>
      <c r="BB139" s="579"/>
      <c r="BC139" s="579"/>
      <c r="BD139" s="579"/>
      <c r="BE139" s="579"/>
      <c r="BF139" s="579"/>
      <c r="BG139" s="579"/>
      <c r="BH139" s="579"/>
      <c r="BI139" s="579"/>
      <c r="BJ139" s="579"/>
      <c r="BK139" s="579"/>
      <c r="BL139" s="579"/>
      <c r="BM139" s="579"/>
      <c r="BN139" s="579"/>
      <c r="BO139" s="579"/>
      <c r="BP139" s="579"/>
      <c r="BQ139" s="579"/>
      <c r="BR139" s="579"/>
      <c r="BS139" s="579"/>
      <c r="BT139" s="579"/>
      <c r="BU139" s="579"/>
      <c r="BV139" s="579"/>
      <c r="BW139" s="579"/>
      <c r="BX139" s="579"/>
      <c r="BY139" s="579"/>
      <c r="BZ139" s="579"/>
      <c r="CA139" s="579"/>
      <c r="CB139" s="579"/>
      <c r="CC139" s="579"/>
      <c r="CD139" s="579"/>
      <c r="CE139" s="579"/>
      <c r="CF139" s="579"/>
      <c r="CG139" s="579"/>
      <c r="CH139" s="579"/>
      <c r="CI139" s="579"/>
      <c r="CJ139" s="579"/>
      <c r="CK139" s="579"/>
      <c r="CL139" s="579"/>
    </row>
    <row r="140" spans="2:90">
      <c r="AT140" s="579"/>
      <c r="AU140" s="579"/>
      <c r="AV140" s="579"/>
      <c r="AW140" s="579"/>
      <c r="AX140" s="579"/>
      <c r="AY140" s="579"/>
      <c r="AZ140" s="579"/>
      <c r="BA140" s="579"/>
      <c r="BB140" s="579"/>
      <c r="BC140" s="579"/>
      <c r="BD140" s="579"/>
      <c r="BE140" s="579"/>
      <c r="BF140" s="579"/>
      <c r="BG140" s="579"/>
      <c r="BH140" s="579"/>
      <c r="BI140" s="579"/>
      <c r="BJ140" s="579"/>
      <c r="BK140" s="579"/>
      <c r="BL140" s="579"/>
      <c r="BM140" s="579"/>
      <c r="BN140" s="579"/>
      <c r="BO140" s="579"/>
      <c r="BP140" s="579"/>
      <c r="BQ140" s="579"/>
      <c r="BR140" s="579"/>
      <c r="BS140" s="579"/>
      <c r="BT140" s="579"/>
      <c r="BU140" s="579"/>
      <c r="BV140" s="579"/>
      <c r="BW140" s="579"/>
      <c r="BX140" s="579"/>
      <c r="BY140" s="579"/>
      <c r="BZ140" s="579"/>
      <c r="CA140" s="579"/>
      <c r="CB140" s="579"/>
      <c r="CC140" s="579"/>
      <c r="CD140" s="579"/>
      <c r="CE140" s="579"/>
      <c r="CF140" s="579"/>
      <c r="CG140" s="579"/>
      <c r="CH140" s="579"/>
      <c r="CI140" s="579"/>
      <c r="CJ140" s="579"/>
      <c r="CK140" s="579"/>
      <c r="CL140" s="579"/>
    </row>
    <row r="141" spans="2:90">
      <c r="AT141" s="579"/>
      <c r="AU141" s="579"/>
      <c r="AV141" s="579"/>
      <c r="AW141" s="579"/>
      <c r="AX141" s="579"/>
      <c r="AY141" s="579"/>
      <c r="AZ141" s="579"/>
      <c r="BA141" s="579"/>
      <c r="BB141" s="579"/>
      <c r="BC141" s="579"/>
      <c r="BD141" s="579"/>
      <c r="BE141" s="579"/>
      <c r="BF141" s="579"/>
      <c r="BG141" s="579"/>
      <c r="BH141" s="579"/>
      <c r="BI141" s="579"/>
      <c r="BJ141" s="579"/>
      <c r="BK141" s="579"/>
      <c r="BL141" s="579"/>
      <c r="BM141" s="579"/>
      <c r="BN141" s="579"/>
      <c r="BO141" s="579"/>
      <c r="BP141" s="579"/>
      <c r="BQ141" s="579"/>
      <c r="BR141" s="579"/>
      <c r="BS141" s="579"/>
      <c r="BT141" s="579"/>
      <c r="BU141" s="579"/>
      <c r="BV141" s="579"/>
      <c r="BW141" s="579"/>
      <c r="BX141" s="579"/>
      <c r="BY141" s="579"/>
      <c r="BZ141" s="579"/>
      <c r="CA141" s="579"/>
      <c r="CB141" s="579"/>
      <c r="CC141" s="579"/>
      <c r="CD141" s="579"/>
      <c r="CE141" s="579"/>
      <c r="CF141" s="579"/>
      <c r="CG141" s="579"/>
      <c r="CH141" s="579"/>
      <c r="CI141" s="579"/>
      <c r="CJ141" s="579"/>
      <c r="CK141" s="579"/>
      <c r="CL141" s="579"/>
    </row>
    <row r="142" spans="2:90">
      <c r="AT142" s="579"/>
      <c r="AU142" s="579"/>
      <c r="AV142" s="579"/>
      <c r="AW142" s="579"/>
      <c r="AX142" s="579"/>
      <c r="AY142" s="579"/>
      <c r="AZ142" s="579"/>
      <c r="BA142" s="579"/>
      <c r="BB142" s="579"/>
      <c r="BC142" s="579"/>
      <c r="BD142" s="579"/>
      <c r="BE142" s="579"/>
      <c r="BF142" s="579"/>
      <c r="BG142" s="579"/>
      <c r="BH142" s="579"/>
      <c r="BI142" s="579"/>
      <c r="BJ142" s="579"/>
      <c r="BK142" s="579"/>
      <c r="BL142" s="579"/>
      <c r="BM142" s="579"/>
      <c r="BN142" s="579"/>
      <c r="BO142" s="579"/>
      <c r="BP142" s="579"/>
      <c r="BQ142" s="579"/>
      <c r="BR142" s="579"/>
      <c r="BS142" s="579"/>
      <c r="BT142" s="579"/>
      <c r="BU142" s="579"/>
      <c r="BV142" s="579"/>
      <c r="BW142" s="579"/>
      <c r="BX142" s="579"/>
      <c r="BY142" s="579"/>
      <c r="BZ142" s="579"/>
      <c r="CA142" s="579"/>
      <c r="CB142" s="579"/>
      <c r="CC142" s="579"/>
      <c r="CD142" s="579"/>
      <c r="CE142" s="579"/>
      <c r="CF142" s="579"/>
      <c r="CG142" s="579"/>
      <c r="CH142" s="579"/>
      <c r="CI142" s="579"/>
      <c r="CJ142" s="579"/>
      <c r="CK142" s="579"/>
      <c r="CL142" s="579"/>
    </row>
    <row r="143" spans="2:90">
      <c r="AT143" s="579"/>
      <c r="AU143" s="579"/>
      <c r="AV143" s="579"/>
      <c r="AW143" s="579"/>
      <c r="AX143" s="579"/>
      <c r="AY143" s="579"/>
      <c r="AZ143" s="579"/>
      <c r="BA143" s="579"/>
      <c r="BB143" s="579"/>
      <c r="BC143" s="579"/>
      <c r="BD143" s="579"/>
      <c r="BE143" s="579"/>
      <c r="BF143" s="579"/>
      <c r="BG143" s="579"/>
      <c r="BH143" s="579"/>
      <c r="BI143" s="579"/>
      <c r="BJ143" s="579"/>
      <c r="BK143" s="579"/>
      <c r="BL143" s="579"/>
      <c r="BM143" s="579"/>
      <c r="BN143" s="579"/>
      <c r="BO143" s="579"/>
      <c r="BP143" s="579"/>
      <c r="BQ143" s="579"/>
      <c r="BR143" s="579"/>
      <c r="BS143" s="579"/>
      <c r="BT143" s="579"/>
      <c r="BU143" s="579"/>
      <c r="BV143" s="579"/>
      <c r="BW143" s="579"/>
      <c r="BX143" s="579"/>
      <c r="BY143" s="579"/>
      <c r="BZ143" s="579"/>
      <c r="CA143" s="579"/>
      <c r="CB143" s="579"/>
      <c r="CC143" s="579"/>
      <c r="CD143" s="579"/>
      <c r="CE143" s="579"/>
      <c r="CF143" s="579"/>
      <c r="CG143" s="579"/>
      <c r="CH143" s="579"/>
      <c r="CI143" s="579"/>
      <c r="CJ143" s="579"/>
      <c r="CK143" s="579"/>
      <c r="CL143" s="579"/>
    </row>
    <row r="144" spans="2:90">
      <c r="AT144" s="579"/>
      <c r="AU144" s="579"/>
      <c r="AV144" s="579"/>
      <c r="AW144" s="579"/>
      <c r="AX144" s="579"/>
      <c r="AY144" s="579"/>
      <c r="AZ144" s="579"/>
      <c r="BA144" s="579"/>
      <c r="BB144" s="579"/>
      <c r="BC144" s="579"/>
      <c r="BD144" s="579"/>
      <c r="BE144" s="579"/>
      <c r="BF144" s="579"/>
      <c r="BG144" s="579"/>
      <c r="BH144" s="579"/>
      <c r="BI144" s="579"/>
      <c r="BJ144" s="579"/>
      <c r="BK144" s="579"/>
      <c r="BL144" s="579"/>
      <c r="BM144" s="579"/>
      <c r="BN144" s="579"/>
      <c r="BO144" s="579"/>
      <c r="BP144" s="579"/>
      <c r="BQ144" s="579"/>
      <c r="BR144" s="579"/>
      <c r="BS144" s="579"/>
      <c r="BT144" s="579"/>
      <c r="BU144" s="579"/>
      <c r="BV144" s="579"/>
      <c r="BW144" s="579"/>
      <c r="BX144" s="579"/>
      <c r="BY144" s="579"/>
      <c r="BZ144" s="579"/>
      <c r="CA144" s="579"/>
      <c r="CB144" s="579"/>
      <c r="CC144" s="579"/>
      <c r="CD144" s="579"/>
      <c r="CE144" s="579"/>
      <c r="CF144" s="579"/>
      <c r="CG144" s="579"/>
      <c r="CH144" s="579"/>
      <c r="CI144" s="579"/>
      <c r="CJ144" s="579"/>
      <c r="CK144" s="579"/>
      <c r="CL144" s="579"/>
    </row>
    <row r="145" spans="46:90">
      <c r="AT145" s="579"/>
      <c r="AU145" s="579"/>
      <c r="AV145" s="579"/>
      <c r="AW145" s="579"/>
      <c r="AX145" s="579"/>
      <c r="AY145" s="579"/>
      <c r="AZ145" s="579"/>
      <c r="BA145" s="579"/>
      <c r="BB145" s="579"/>
      <c r="BC145" s="579"/>
      <c r="BD145" s="579"/>
      <c r="BE145" s="579"/>
      <c r="BF145" s="579"/>
      <c r="BG145" s="579"/>
      <c r="BH145" s="579"/>
      <c r="BI145" s="579"/>
      <c r="BJ145" s="579"/>
      <c r="BK145" s="579"/>
      <c r="BL145" s="579"/>
      <c r="BM145" s="579"/>
      <c r="BN145" s="579"/>
      <c r="BO145" s="579"/>
      <c r="BP145" s="579"/>
      <c r="BQ145" s="579"/>
      <c r="BR145" s="579"/>
      <c r="BS145" s="579"/>
      <c r="BT145" s="579"/>
      <c r="BU145" s="579"/>
      <c r="BV145" s="579"/>
      <c r="BW145" s="579"/>
      <c r="BX145" s="579"/>
      <c r="BY145" s="579"/>
      <c r="BZ145" s="579"/>
      <c r="CA145" s="579"/>
      <c r="CB145" s="579"/>
      <c r="CC145" s="579"/>
      <c r="CD145" s="579"/>
      <c r="CE145" s="579"/>
      <c r="CF145" s="579"/>
      <c r="CG145" s="579"/>
      <c r="CH145" s="579"/>
      <c r="CI145" s="579"/>
      <c r="CJ145" s="579"/>
      <c r="CK145" s="579"/>
      <c r="CL145" s="579"/>
    </row>
    <row r="146" spans="46:90">
      <c r="AT146" s="579"/>
      <c r="AU146" s="579"/>
      <c r="AV146" s="579"/>
      <c r="AW146" s="579"/>
      <c r="AX146" s="579"/>
      <c r="AY146" s="579"/>
      <c r="AZ146" s="579"/>
      <c r="BA146" s="579"/>
      <c r="BB146" s="579"/>
      <c r="BC146" s="579"/>
      <c r="BD146" s="579"/>
      <c r="BE146" s="579"/>
      <c r="BF146" s="579"/>
      <c r="BG146" s="579"/>
      <c r="BH146" s="579"/>
      <c r="BI146" s="579"/>
      <c r="BJ146" s="579"/>
      <c r="BK146" s="579"/>
      <c r="BL146" s="579"/>
      <c r="BM146" s="579"/>
      <c r="BN146" s="579"/>
      <c r="BO146" s="579"/>
      <c r="BP146" s="579"/>
      <c r="BQ146" s="579"/>
      <c r="BR146" s="579"/>
      <c r="BS146" s="579"/>
      <c r="BT146" s="579"/>
      <c r="BU146" s="579"/>
      <c r="BV146" s="579"/>
      <c r="BW146" s="579"/>
      <c r="BX146" s="579"/>
      <c r="BY146" s="579"/>
      <c r="BZ146" s="579"/>
      <c r="CA146" s="579"/>
      <c r="CB146" s="579"/>
      <c r="CC146" s="579"/>
      <c r="CD146" s="579"/>
      <c r="CE146" s="579"/>
      <c r="CF146" s="579"/>
      <c r="CG146" s="579"/>
      <c r="CH146" s="579"/>
      <c r="CI146" s="579"/>
      <c r="CJ146" s="579"/>
      <c r="CK146" s="579"/>
      <c r="CL146" s="579"/>
    </row>
    <row r="147" spans="46:90">
      <c r="AT147" s="579"/>
      <c r="AU147" s="579"/>
      <c r="AV147" s="579"/>
      <c r="AW147" s="579"/>
      <c r="AX147" s="579"/>
      <c r="AY147" s="579"/>
      <c r="AZ147" s="579"/>
      <c r="BA147" s="579"/>
      <c r="BB147" s="579"/>
      <c r="BC147" s="579"/>
      <c r="BD147" s="579"/>
      <c r="BE147" s="579"/>
      <c r="BF147" s="579"/>
      <c r="BG147" s="579"/>
      <c r="BH147" s="579"/>
      <c r="BI147" s="579"/>
      <c r="BJ147" s="579"/>
      <c r="BK147" s="579"/>
      <c r="BL147" s="579"/>
      <c r="BM147" s="579"/>
      <c r="BN147" s="579"/>
      <c r="BO147" s="579"/>
      <c r="BP147" s="579"/>
      <c r="BQ147" s="579"/>
      <c r="BR147" s="579"/>
      <c r="BS147" s="579"/>
      <c r="BT147" s="579"/>
      <c r="BU147" s="579"/>
      <c r="BV147" s="579"/>
      <c r="BW147" s="579"/>
      <c r="BX147" s="579"/>
      <c r="BY147" s="579"/>
      <c r="BZ147" s="579"/>
      <c r="CA147" s="579"/>
      <c r="CB147" s="579"/>
      <c r="CC147" s="579"/>
      <c r="CD147" s="579"/>
      <c r="CE147" s="579"/>
      <c r="CF147" s="579"/>
      <c r="CG147" s="579"/>
      <c r="CH147" s="579"/>
      <c r="CI147" s="579"/>
      <c r="CJ147" s="579"/>
      <c r="CK147" s="579"/>
      <c r="CL147" s="579"/>
    </row>
    <row r="148" spans="46:90">
      <c r="AT148" s="579"/>
      <c r="AU148" s="579"/>
      <c r="AV148" s="579"/>
      <c r="AW148" s="579"/>
      <c r="AX148" s="579"/>
      <c r="AY148" s="579"/>
      <c r="AZ148" s="579"/>
      <c r="BA148" s="579"/>
      <c r="BB148" s="579"/>
      <c r="BC148" s="579"/>
      <c r="BD148" s="579"/>
      <c r="BE148" s="579"/>
      <c r="BF148" s="579"/>
      <c r="BG148" s="579"/>
      <c r="BH148" s="579"/>
      <c r="BI148" s="579"/>
      <c r="BJ148" s="579"/>
      <c r="BK148" s="579"/>
      <c r="BL148" s="579"/>
      <c r="BM148" s="579"/>
      <c r="BN148" s="579"/>
      <c r="BO148" s="579"/>
      <c r="BP148" s="579"/>
      <c r="BQ148" s="579"/>
      <c r="BR148" s="579"/>
      <c r="BS148" s="579"/>
      <c r="BT148" s="579"/>
      <c r="BU148" s="579"/>
      <c r="BV148" s="579"/>
      <c r="BW148" s="579"/>
      <c r="BX148" s="579"/>
      <c r="BY148" s="579"/>
      <c r="BZ148" s="579"/>
      <c r="CA148" s="579"/>
      <c r="CB148" s="579"/>
      <c r="CC148" s="579"/>
      <c r="CD148" s="579"/>
      <c r="CE148" s="579"/>
      <c r="CF148" s="579"/>
      <c r="CG148" s="579"/>
      <c r="CH148" s="579"/>
      <c r="CI148" s="579"/>
      <c r="CJ148" s="579"/>
      <c r="CK148" s="579"/>
      <c r="CL148" s="579"/>
    </row>
    <row r="149" spans="46:90">
      <c r="AT149" s="579"/>
      <c r="AU149" s="579"/>
      <c r="AV149" s="579"/>
      <c r="AW149" s="579"/>
      <c r="AX149" s="579"/>
      <c r="AY149" s="579"/>
      <c r="AZ149" s="579"/>
      <c r="BA149" s="579"/>
      <c r="BB149" s="579"/>
      <c r="BC149" s="579"/>
      <c r="BD149" s="579"/>
      <c r="BE149" s="579"/>
      <c r="BF149" s="579"/>
      <c r="BG149" s="579"/>
      <c r="BH149" s="579"/>
      <c r="BI149" s="579"/>
      <c r="BJ149" s="579"/>
      <c r="BK149" s="579"/>
      <c r="BL149" s="579"/>
      <c r="BM149" s="579"/>
      <c r="BN149" s="579"/>
      <c r="BO149" s="579"/>
      <c r="BP149" s="579"/>
      <c r="BQ149" s="579"/>
      <c r="BR149" s="579"/>
      <c r="BS149" s="579"/>
      <c r="BT149" s="579"/>
      <c r="BU149" s="579"/>
      <c r="BV149" s="579"/>
      <c r="BW149" s="579"/>
      <c r="BX149" s="579"/>
      <c r="BY149" s="579"/>
      <c r="BZ149" s="579"/>
      <c r="CA149" s="579"/>
      <c r="CB149" s="579"/>
      <c r="CC149" s="579"/>
      <c r="CD149" s="579"/>
      <c r="CE149" s="579"/>
      <c r="CF149" s="579"/>
      <c r="CG149" s="579"/>
      <c r="CH149" s="579"/>
      <c r="CI149" s="579"/>
      <c r="CJ149" s="579"/>
      <c r="CK149" s="579"/>
      <c r="CL149" s="579"/>
    </row>
    <row r="150" spans="46:90">
      <c r="AT150" s="579"/>
      <c r="AU150" s="579"/>
      <c r="AV150" s="579"/>
      <c r="AW150" s="579"/>
      <c r="AX150" s="579"/>
      <c r="AY150" s="579"/>
      <c r="AZ150" s="579"/>
      <c r="BA150" s="579"/>
      <c r="BB150" s="579"/>
      <c r="BC150" s="579"/>
      <c r="BD150" s="579"/>
      <c r="BE150" s="579"/>
      <c r="BF150" s="579"/>
      <c r="BG150" s="579"/>
      <c r="BH150" s="579"/>
      <c r="BI150" s="579"/>
      <c r="BJ150" s="579"/>
      <c r="BK150" s="579"/>
      <c r="BL150" s="579"/>
      <c r="BM150" s="579"/>
      <c r="BN150" s="579"/>
      <c r="BO150" s="579"/>
      <c r="BP150" s="579"/>
      <c r="BQ150" s="579"/>
      <c r="BR150" s="579"/>
      <c r="BS150" s="579"/>
      <c r="BT150" s="579"/>
      <c r="BU150" s="579"/>
      <c r="BV150" s="579"/>
      <c r="BW150" s="579"/>
      <c r="BX150" s="579"/>
      <c r="BY150" s="579"/>
      <c r="BZ150" s="579"/>
      <c r="CA150" s="579"/>
      <c r="CB150" s="579"/>
      <c r="CC150" s="579"/>
      <c r="CD150" s="579"/>
      <c r="CE150" s="579"/>
      <c r="CF150" s="579"/>
      <c r="CG150" s="579"/>
      <c r="CH150" s="579"/>
      <c r="CI150" s="579"/>
      <c r="CJ150" s="579"/>
      <c r="CK150" s="579"/>
      <c r="CL150" s="579"/>
    </row>
    <row r="151" spans="46:90">
      <c r="AT151" s="579"/>
      <c r="AU151" s="579"/>
      <c r="AV151" s="579"/>
      <c r="AW151" s="579"/>
      <c r="AX151" s="579"/>
      <c r="AY151" s="579"/>
      <c r="AZ151" s="579"/>
      <c r="BA151" s="579"/>
      <c r="BB151" s="579"/>
      <c r="BC151" s="579"/>
      <c r="BD151" s="579"/>
      <c r="BE151" s="579"/>
      <c r="BF151" s="579"/>
      <c r="BG151" s="579"/>
      <c r="BH151" s="579"/>
      <c r="BI151" s="579"/>
      <c r="BJ151" s="579"/>
      <c r="BK151" s="579"/>
      <c r="BL151" s="579"/>
      <c r="BM151" s="579"/>
      <c r="BN151" s="579"/>
      <c r="BO151" s="579"/>
      <c r="BP151" s="579"/>
      <c r="BQ151" s="579"/>
      <c r="BR151" s="579"/>
      <c r="BS151" s="579"/>
      <c r="BT151" s="579"/>
      <c r="BU151" s="579"/>
      <c r="BV151" s="579"/>
      <c r="BW151" s="579"/>
      <c r="BX151" s="579"/>
      <c r="BY151" s="579"/>
      <c r="BZ151" s="579"/>
      <c r="CA151" s="579"/>
      <c r="CB151" s="579"/>
      <c r="CC151" s="579"/>
      <c r="CD151" s="579"/>
      <c r="CE151" s="579"/>
      <c r="CF151" s="579"/>
      <c r="CG151" s="579"/>
      <c r="CH151" s="579"/>
      <c r="CI151" s="579"/>
      <c r="CJ151" s="579"/>
      <c r="CK151" s="579"/>
      <c r="CL151" s="579"/>
    </row>
    <row r="152" spans="46:90">
      <c r="AT152" s="579"/>
      <c r="AU152" s="579"/>
      <c r="AV152" s="579"/>
      <c r="AW152" s="579"/>
      <c r="AX152" s="579"/>
      <c r="AY152" s="579"/>
      <c r="AZ152" s="579"/>
      <c r="BA152" s="579"/>
      <c r="BB152" s="579"/>
      <c r="BC152" s="579"/>
      <c r="BD152" s="579"/>
      <c r="BE152" s="579"/>
      <c r="BF152" s="579"/>
      <c r="BG152" s="579"/>
      <c r="BH152" s="579"/>
      <c r="BI152" s="579"/>
      <c r="BJ152" s="579"/>
      <c r="BK152" s="579"/>
      <c r="BL152" s="579"/>
      <c r="BM152" s="579"/>
      <c r="BN152" s="579"/>
      <c r="BO152" s="579"/>
      <c r="BP152" s="579"/>
      <c r="BQ152" s="579"/>
      <c r="BR152" s="579"/>
      <c r="BS152" s="579"/>
      <c r="BT152" s="579"/>
      <c r="BU152" s="579"/>
      <c r="BV152" s="579"/>
      <c r="BW152" s="579"/>
      <c r="BX152" s="579"/>
      <c r="BY152" s="579"/>
      <c r="BZ152" s="579"/>
      <c r="CA152" s="579"/>
      <c r="CB152" s="579"/>
      <c r="CC152" s="579"/>
      <c r="CD152" s="579"/>
      <c r="CE152" s="579"/>
      <c r="CF152" s="579"/>
      <c r="CG152" s="579"/>
      <c r="CH152" s="579"/>
      <c r="CI152" s="579"/>
      <c r="CJ152" s="579"/>
      <c r="CK152" s="579"/>
      <c r="CL152" s="579"/>
    </row>
    <row r="153" spans="46:90">
      <c r="AT153" s="579"/>
      <c r="AU153" s="579"/>
      <c r="AV153" s="579"/>
      <c r="AW153" s="579"/>
      <c r="AX153" s="579"/>
      <c r="AY153" s="579"/>
      <c r="AZ153" s="579"/>
      <c r="BA153" s="579"/>
      <c r="BB153" s="579"/>
      <c r="BC153" s="579"/>
      <c r="BD153" s="579"/>
      <c r="BE153" s="579"/>
      <c r="BF153" s="579"/>
      <c r="BG153" s="579"/>
      <c r="BH153" s="579"/>
      <c r="BI153" s="579"/>
      <c r="BJ153" s="579"/>
      <c r="BK153" s="579"/>
      <c r="BL153" s="579"/>
      <c r="BM153" s="579"/>
      <c r="BN153" s="579"/>
      <c r="BO153" s="579"/>
      <c r="BP153" s="579"/>
      <c r="BQ153" s="579"/>
      <c r="BR153" s="579"/>
      <c r="BS153" s="579"/>
      <c r="BT153" s="579"/>
      <c r="BU153" s="579"/>
      <c r="BV153" s="579"/>
      <c r="BW153" s="579"/>
      <c r="BX153" s="579"/>
      <c r="BY153" s="579"/>
      <c r="BZ153" s="579"/>
      <c r="CA153" s="579"/>
      <c r="CB153" s="579"/>
      <c r="CC153" s="579"/>
      <c r="CD153" s="579"/>
      <c r="CE153" s="579"/>
      <c r="CF153" s="579"/>
      <c r="CG153" s="579"/>
      <c r="CH153" s="579"/>
      <c r="CI153" s="579"/>
      <c r="CJ153" s="579"/>
      <c r="CK153" s="579"/>
      <c r="CL153" s="579"/>
    </row>
    <row r="154" spans="46:90">
      <c r="AT154" s="579"/>
      <c r="AU154" s="579"/>
      <c r="AV154" s="579"/>
      <c r="AW154" s="579"/>
      <c r="AX154" s="579"/>
      <c r="AY154" s="579"/>
      <c r="AZ154" s="579"/>
      <c r="BA154" s="579"/>
      <c r="BB154" s="579"/>
      <c r="BC154" s="579"/>
      <c r="BD154" s="579"/>
      <c r="BE154" s="579"/>
      <c r="BF154" s="579"/>
      <c r="BG154" s="579"/>
      <c r="BH154" s="579"/>
      <c r="BI154" s="579"/>
      <c r="BJ154" s="579"/>
      <c r="BK154" s="579"/>
      <c r="BL154" s="579"/>
      <c r="BM154" s="579"/>
      <c r="BN154" s="579"/>
      <c r="BO154" s="579"/>
      <c r="BP154" s="579"/>
      <c r="BQ154" s="579"/>
      <c r="BR154" s="579"/>
      <c r="BS154" s="579"/>
      <c r="BT154" s="579"/>
      <c r="BU154" s="579"/>
      <c r="BV154" s="579"/>
      <c r="BW154" s="579"/>
      <c r="BX154" s="579"/>
      <c r="BY154" s="579"/>
      <c r="BZ154" s="579"/>
      <c r="CA154" s="579"/>
      <c r="CB154" s="579"/>
      <c r="CC154" s="579"/>
      <c r="CD154" s="579"/>
      <c r="CE154" s="579"/>
      <c r="CF154" s="579"/>
      <c r="CG154" s="579"/>
      <c r="CH154" s="579"/>
      <c r="CI154" s="579"/>
      <c r="CJ154" s="579"/>
      <c r="CK154" s="579"/>
      <c r="CL154" s="579"/>
    </row>
    <row r="155" spans="46:90">
      <c r="AT155" s="579"/>
      <c r="AU155" s="579"/>
      <c r="AV155" s="579"/>
      <c r="AW155" s="579"/>
      <c r="AX155" s="579"/>
      <c r="AY155" s="579"/>
      <c r="AZ155" s="579"/>
      <c r="BA155" s="579"/>
      <c r="BB155" s="579"/>
      <c r="BC155" s="579"/>
      <c r="BD155" s="579"/>
      <c r="BE155" s="579"/>
      <c r="BF155" s="579"/>
      <c r="BG155" s="579"/>
      <c r="BH155" s="579"/>
      <c r="BI155" s="579"/>
      <c r="BJ155" s="579"/>
      <c r="BK155" s="579"/>
      <c r="BL155" s="579"/>
      <c r="BM155" s="579"/>
      <c r="BN155" s="579"/>
      <c r="BO155" s="579"/>
      <c r="BP155" s="579"/>
      <c r="BQ155" s="579"/>
      <c r="BR155" s="579"/>
      <c r="BS155" s="579"/>
      <c r="BT155" s="579"/>
      <c r="BU155" s="579"/>
      <c r="BV155" s="579"/>
      <c r="BW155" s="579"/>
      <c r="BX155" s="579"/>
      <c r="BY155" s="579"/>
      <c r="BZ155" s="579"/>
      <c r="CA155" s="579"/>
      <c r="CB155" s="579"/>
      <c r="CC155" s="579"/>
      <c r="CD155" s="579"/>
      <c r="CE155" s="579"/>
      <c r="CF155" s="579"/>
      <c r="CG155" s="579"/>
      <c r="CH155" s="579"/>
      <c r="CI155" s="579"/>
      <c r="CJ155" s="579"/>
      <c r="CK155" s="579"/>
      <c r="CL155" s="579"/>
    </row>
    <row r="156" spans="46:90">
      <c r="AT156" s="579"/>
      <c r="AU156" s="579"/>
      <c r="AV156" s="579"/>
      <c r="AW156" s="579"/>
      <c r="AX156" s="579"/>
      <c r="AY156" s="579"/>
      <c r="AZ156" s="579"/>
      <c r="BA156" s="579"/>
      <c r="BB156" s="579"/>
      <c r="BC156" s="579"/>
      <c r="BD156" s="579"/>
      <c r="BE156" s="579"/>
      <c r="BF156" s="579"/>
      <c r="BG156" s="579"/>
      <c r="BH156" s="579"/>
      <c r="BI156" s="579"/>
      <c r="BJ156" s="579"/>
      <c r="BK156" s="579"/>
      <c r="BL156" s="579"/>
      <c r="BM156" s="579"/>
      <c r="BN156" s="579"/>
      <c r="BO156" s="579"/>
      <c r="BP156" s="579"/>
      <c r="BQ156" s="579"/>
      <c r="BR156" s="579"/>
      <c r="BS156" s="579"/>
      <c r="BT156" s="579"/>
      <c r="BU156" s="579"/>
      <c r="BV156" s="579"/>
      <c r="BW156" s="579"/>
      <c r="BX156" s="579"/>
      <c r="BY156" s="579"/>
      <c r="BZ156" s="579"/>
      <c r="CA156" s="579"/>
      <c r="CB156" s="579"/>
      <c r="CC156" s="579"/>
      <c r="CD156" s="579"/>
      <c r="CE156" s="579"/>
      <c r="CF156" s="579"/>
      <c r="CG156" s="579"/>
      <c r="CH156" s="579"/>
      <c r="CI156" s="579"/>
      <c r="CJ156" s="579"/>
      <c r="CK156" s="579"/>
      <c r="CL156" s="579"/>
    </row>
    <row r="157" spans="46:90">
      <c r="AT157" s="579"/>
      <c r="AU157" s="579"/>
      <c r="AV157" s="579"/>
      <c r="AW157" s="579"/>
      <c r="AX157" s="579"/>
      <c r="AY157" s="579"/>
      <c r="AZ157" s="579"/>
      <c r="BA157" s="579"/>
      <c r="BB157" s="579"/>
      <c r="BC157" s="579"/>
      <c r="BD157" s="579"/>
      <c r="BE157" s="579"/>
      <c r="BF157" s="579"/>
      <c r="BG157" s="579"/>
      <c r="BH157" s="579"/>
      <c r="BI157" s="579"/>
      <c r="BJ157" s="579"/>
      <c r="BK157" s="579"/>
      <c r="BL157" s="579"/>
      <c r="BM157" s="579"/>
      <c r="BN157" s="579"/>
      <c r="BO157" s="579"/>
      <c r="BP157" s="579"/>
      <c r="BQ157" s="579"/>
      <c r="BR157" s="579"/>
      <c r="BS157" s="579"/>
      <c r="BT157" s="579"/>
      <c r="BU157" s="579"/>
      <c r="BV157" s="579"/>
      <c r="BW157" s="579"/>
      <c r="BX157" s="579"/>
      <c r="BY157" s="579"/>
      <c r="BZ157" s="579"/>
      <c r="CA157" s="579"/>
      <c r="CB157" s="579"/>
      <c r="CC157" s="579"/>
      <c r="CD157" s="579"/>
      <c r="CE157" s="579"/>
      <c r="CF157" s="579"/>
      <c r="CG157" s="579"/>
      <c r="CH157" s="579"/>
      <c r="CI157" s="579"/>
      <c r="CJ157" s="579"/>
      <c r="CK157" s="579"/>
      <c r="CL157" s="579"/>
    </row>
    <row r="158" spans="46:90">
      <c r="AT158" s="579"/>
      <c r="AU158" s="579"/>
      <c r="AV158" s="579"/>
      <c r="AW158" s="579"/>
      <c r="AX158" s="579"/>
      <c r="AY158" s="579"/>
      <c r="AZ158" s="579"/>
      <c r="BA158" s="579"/>
      <c r="BB158" s="579"/>
      <c r="BC158" s="579"/>
      <c r="BD158" s="579"/>
      <c r="BE158" s="579"/>
      <c r="BF158" s="579"/>
      <c r="BG158" s="579"/>
      <c r="BH158" s="579"/>
      <c r="BI158" s="579"/>
      <c r="BJ158" s="579"/>
      <c r="BK158" s="579"/>
      <c r="BL158" s="579"/>
      <c r="BM158" s="579"/>
      <c r="BN158" s="579"/>
      <c r="BO158" s="579"/>
      <c r="BP158" s="579"/>
      <c r="BQ158" s="579"/>
      <c r="BR158" s="579"/>
      <c r="BS158" s="579"/>
      <c r="BT158" s="579"/>
      <c r="BU158" s="579"/>
      <c r="BV158" s="579"/>
      <c r="BW158" s="579"/>
      <c r="BX158" s="579"/>
      <c r="BY158" s="579"/>
      <c r="BZ158" s="579"/>
      <c r="CA158" s="579"/>
      <c r="CB158" s="579"/>
      <c r="CC158" s="579"/>
      <c r="CD158" s="579"/>
      <c r="CE158" s="579"/>
      <c r="CF158" s="579"/>
      <c r="CG158" s="579"/>
      <c r="CH158" s="579"/>
      <c r="CI158" s="579"/>
      <c r="CJ158" s="579"/>
      <c r="CK158" s="579"/>
      <c r="CL158" s="579"/>
    </row>
    <row r="159" spans="46:90">
      <c r="AT159" s="579"/>
      <c r="AU159" s="579"/>
      <c r="AV159" s="579"/>
      <c r="AW159" s="579"/>
      <c r="AX159" s="579"/>
      <c r="AY159" s="579"/>
      <c r="AZ159" s="579"/>
      <c r="BA159" s="579"/>
      <c r="BB159" s="579"/>
      <c r="BC159" s="579"/>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79"/>
      <c r="BY159" s="579"/>
      <c r="BZ159" s="579"/>
      <c r="CA159" s="579"/>
      <c r="CB159" s="579"/>
      <c r="CC159" s="579"/>
      <c r="CD159" s="579"/>
      <c r="CE159" s="579"/>
      <c r="CF159" s="579"/>
      <c r="CG159" s="579"/>
      <c r="CH159" s="579"/>
      <c r="CI159" s="579"/>
      <c r="CJ159" s="579"/>
      <c r="CK159" s="579"/>
      <c r="CL159" s="579"/>
    </row>
    <row r="160" spans="46:90">
      <c r="AT160" s="579"/>
      <c r="AU160" s="579"/>
      <c r="AV160" s="579"/>
      <c r="AW160" s="579"/>
      <c r="AX160" s="579"/>
      <c r="AY160" s="579"/>
      <c r="AZ160" s="579"/>
      <c r="BA160" s="579"/>
      <c r="BB160" s="579"/>
      <c r="BC160" s="579"/>
      <c r="BD160" s="579"/>
      <c r="BE160" s="579"/>
      <c r="BF160" s="579"/>
      <c r="BG160" s="579"/>
      <c r="BH160" s="579"/>
      <c r="BI160" s="579"/>
      <c r="BJ160" s="579"/>
      <c r="BK160" s="579"/>
      <c r="BL160" s="579"/>
      <c r="BM160" s="579"/>
      <c r="BN160" s="579"/>
      <c r="BO160" s="579"/>
      <c r="BP160" s="579"/>
      <c r="BQ160" s="579"/>
      <c r="BR160" s="579"/>
      <c r="BS160" s="579"/>
      <c r="BT160" s="579"/>
      <c r="BU160" s="579"/>
      <c r="BV160" s="579"/>
      <c r="BW160" s="579"/>
      <c r="BX160" s="579"/>
      <c r="BY160" s="579"/>
      <c r="BZ160" s="579"/>
      <c r="CA160" s="579"/>
      <c r="CB160" s="579"/>
      <c r="CC160" s="579"/>
      <c r="CD160" s="579"/>
      <c r="CE160" s="579"/>
      <c r="CF160" s="579"/>
      <c r="CG160" s="579"/>
      <c r="CH160" s="579"/>
      <c r="CI160" s="579"/>
      <c r="CJ160" s="579"/>
      <c r="CK160" s="579"/>
      <c r="CL160" s="579"/>
    </row>
    <row r="161" spans="46:90">
      <c r="AT161" s="579"/>
      <c r="AU161" s="579"/>
      <c r="AV161" s="579"/>
      <c r="AW161" s="579"/>
      <c r="AX161" s="579"/>
      <c r="AY161" s="579"/>
      <c r="AZ161" s="579"/>
      <c r="BA161" s="579"/>
      <c r="BB161" s="579"/>
      <c r="BC161" s="579"/>
      <c r="BD161" s="579"/>
      <c r="BE161" s="579"/>
      <c r="BF161" s="579"/>
      <c r="BG161" s="579"/>
      <c r="BH161" s="579"/>
      <c r="BI161" s="579"/>
      <c r="BJ161" s="579"/>
      <c r="BK161" s="579"/>
      <c r="BL161" s="579"/>
      <c r="BM161" s="579"/>
      <c r="BN161" s="579"/>
      <c r="BO161" s="579"/>
      <c r="BP161" s="579"/>
      <c r="BQ161" s="579"/>
      <c r="BR161" s="579"/>
      <c r="BS161" s="579"/>
      <c r="BT161" s="579"/>
      <c r="BU161" s="579"/>
      <c r="BV161" s="579"/>
      <c r="BW161" s="579"/>
      <c r="BX161" s="579"/>
      <c r="BY161" s="579"/>
      <c r="BZ161" s="579"/>
      <c r="CA161" s="579"/>
      <c r="CB161" s="579"/>
      <c r="CC161" s="579"/>
      <c r="CD161" s="579"/>
      <c r="CE161" s="579"/>
      <c r="CF161" s="579"/>
      <c r="CG161" s="579"/>
      <c r="CH161" s="579"/>
      <c r="CI161" s="579"/>
      <c r="CJ161" s="579"/>
      <c r="CK161" s="579"/>
      <c r="CL161" s="579"/>
    </row>
    <row r="162" spans="46:90">
      <c r="AT162" s="579"/>
      <c r="AU162" s="579"/>
      <c r="AV162" s="579"/>
      <c r="AW162" s="579"/>
      <c r="AX162" s="579"/>
      <c r="AY162" s="579"/>
      <c r="AZ162" s="579"/>
      <c r="BA162" s="579"/>
      <c r="BB162" s="579"/>
      <c r="BC162" s="579"/>
      <c r="BD162" s="579"/>
      <c r="BE162" s="579"/>
      <c r="BF162" s="579"/>
      <c r="BG162" s="579"/>
      <c r="BH162" s="579"/>
      <c r="BI162" s="579"/>
      <c r="BJ162" s="579"/>
      <c r="BK162" s="579"/>
      <c r="BL162" s="579"/>
      <c r="BM162" s="579"/>
      <c r="BN162" s="579"/>
      <c r="BO162" s="579"/>
      <c r="BP162" s="579"/>
      <c r="BQ162" s="579"/>
      <c r="BR162" s="579"/>
      <c r="BS162" s="579"/>
      <c r="BT162" s="579"/>
      <c r="BU162" s="579"/>
      <c r="BV162" s="579"/>
      <c r="BW162" s="579"/>
      <c r="BX162" s="579"/>
      <c r="BY162" s="579"/>
      <c r="BZ162" s="579"/>
      <c r="CA162" s="579"/>
      <c r="CB162" s="579"/>
      <c r="CC162" s="579"/>
      <c r="CD162" s="579"/>
      <c r="CE162" s="579"/>
      <c r="CF162" s="579"/>
      <c r="CG162" s="579"/>
      <c r="CH162" s="579"/>
      <c r="CI162" s="579"/>
      <c r="CJ162" s="579"/>
      <c r="CK162" s="579"/>
      <c r="CL162" s="579"/>
    </row>
    <row r="163" spans="46:90">
      <c r="AT163" s="579"/>
      <c r="AU163" s="579"/>
      <c r="AV163" s="579"/>
      <c r="AW163" s="579"/>
      <c r="AX163" s="579"/>
      <c r="AY163" s="579"/>
      <c r="AZ163" s="579"/>
      <c r="BA163" s="579"/>
      <c r="BB163" s="579"/>
      <c r="BC163" s="579"/>
      <c r="BD163" s="579"/>
      <c r="BE163" s="579"/>
      <c r="BF163" s="579"/>
      <c r="BG163" s="579"/>
      <c r="BH163" s="579"/>
      <c r="BI163" s="579"/>
      <c r="BJ163" s="579"/>
      <c r="BK163" s="579"/>
      <c r="BL163" s="579"/>
      <c r="BM163" s="579"/>
      <c r="BN163" s="579"/>
      <c r="BO163" s="579"/>
      <c r="BP163" s="579"/>
      <c r="BQ163" s="579"/>
      <c r="BR163" s="579"/>
      <c r="BS163" s="579"/>
      <c r="BT163" s="579"/>
      <c r="BU163" s="579"/>
      <c r="BV163" s="579"/>
      <c r="BW163" s="579"/>
      <c r="BX163" s="579"/>
      <c r="BY163" s="579"/>
      <c r="BZ163" s="579"/>
      <c r="CA163" s="579"/>
      <c r="CB163" s="579"/>
      <c r="CC163" s="579"/>
      <c r="CD163" s="579"/>
      <c r="CE163" s="579"/>
      <c r="CF163" s="579"/>
      <c r="CG163" s="579"/>
      <c r="CH163" s="579"/>
      <c r="CI163" s="579"/>
      <c r="CJ163" s="579"/>
      <c r="CK163" s="579"/>
      <c r="CL163" s="579"/>
    </row>
    <row r="164" spans="46:90">
      <c r="AT164" s="579"/>
      <c r="AU164" s="579"/>
      <c r="AV164" s="579"/>
      <c r="AW164" s="579"/>
      <c r="AX164" s="579"/>
      <c r="AY164" s="579"/>
      <c r="AZ164" s="579"/>
      <c r="BA164" s="579"/>
      <c r="BB164" s="579"/>
      <c r="BC164" s="579"/>
      <c r="BD164" s="579"/>
      <c r="BE164" s="579"/>
      <c r="BF164" s="579"/>
      <c r="BG164" s="579"/>
      <c r="BH164" s="579"/>
      <c r="BI164" s="579"/>
      <c r="BJ164" s="579"/>
      <c r="BK164" s="579"/>
      <c r="BL164" s="579"/>
      <c r="BM164" s="579"/>
      <c r="BN164" s="579"/>
      <c r="BO164" s="579"/>
      <c r="BP164" s="579"/>
      <c r="BQ164" s="579"/>
      <c r="BR164" s="579"/>
      <c r="BS164" s="579"/>
      <c r="BT164" s="579"/>
      <c r="BU164" s="579"/>
      <c r="BV164" s="579"/>
      <c r="BW164" s="579"/>
      <c r="BX164" s="579"/>
      <c r="BY164" s="579"/>
      <c r="BZ164" s="579"/>
      <c r="CA164" s="579"/>
      <c r="CB164" s="579"/>
      <c r="CC164" s="579"/>
      <c r="CD164" s="579"/>
      <c r="CE164" s="579"/>
      <c r="CF164" s="579"/>
      <c r="CG164" s="579"/>
      <c r="CH164" s="579"/>
      <c r="CI164" s="579"/>
      <c r="CJ164" s="579"/>
      <c r="CK164" s="579"/>
      <c r="CL164" s="579"/>
    </row>
    <row r="165" spans="46:90">
      <c r="AT165" s="579"/>
      <c r="AU165" s="579"/>
      <c r="AV165" s="579"/>
      <c r="AW165" s="579"/>
      <c r="AX165" s="579"/>
      <c r="AY165" s="579"/>
      <c r="AZ165" s="579"/>
      <c r="BA165" s="579"/>
      <c r="BB165" s="579"/>
      <c r="BC165" s="579"/>
      <c r="BD165" s="579"/>
      <c r="BE165" s="579"/>
      <c r="BF165" s="579"/>
      <c r="BG165" s="579"/>
      <c r="BH165" s="579"/>
      <c r="BI165" s="579"/>
      <c r="BJ165" s="579"/>
      <c r="BK165" s="579"/>
      <c r="BL165" s="579"/>
      <c r="BM165" s="579"/>
      <c r="BN165" s="579"/>
      <c r="BO165" s="579"/>
      <c r="BP165" s="579"/>
      <c r="BQ165" s="579"/>
      <c r="BR165" s="579"/>
      <c r="BS165" s="579"/>
      <c r="BT165" s="579"/>
      <c r="BU165" s="579"/>
      <c r="BV165" s="579"/>
      <c r="BW165" s="579"/>
      <c r="BX165" s="579"/>
      <c r="BY165" s="579"/>
      <c r="BZ165" s="579"/>
      <c r="CA165" s="579"/>
      <c r="CB165" s="579"/>
      <c r="CC165" s="579"/>
      <c r="CD165" s="579"/>
      <c r="CE165" s="579"/>
      <c r="CF165" s="579"/>
      <c r="CG165" s="579"/>
      <c r="CH165" s="579"/>
      <c r="CI165" s="579"/>
      <c r="CJ165" s="579"/>
      <c r="CK165" s="579"/>
      <c r="CL165" s="579"/>
    </row>
    <row r="166" spans="46:90">
      <c r="AT166" s="579"/>
      <c r="AU166" s="579"/>
      <c r="AV166" s="579"/>
      <c r="AW166" s="579"/>
      <c r="AX166" s="579"/>
      <c r="AY166" s="579"/>
      <c r="AZ166" s="579"/>
      <c r="BA166" s="579"/>
      <c r="BB166" s="579"/>
      <c r="BC166" s="579"/>
      <c r="BD166" s="579"/>
      <c r="BE166" s="579"/>
      <c r="BF166" s="579"/>
      <c r="BG166" s="579"/>
      <c r="BH166" s="579"/>
      <c r="BI166" s="579"/>
      <c r="BJ166" s="579"/>
      <c r="BK166" s="579"/>
      <c r="BL166" s="579"/>
      <c r="BM166" s="579"/>
      <c r="BN166" s="579"/>
      <c r="BO166" s="579"/>
      <c r="BP166" s="579"/>
      <c r="BQ166" s="579"/>
      <c r="BR166" s="579"/>
      <c r="BS166" s="579"/>
      <c r="BT166" s="579"/>
      <c r="BU166" s="579"/>
      <c r="BV166" s="579"/>
      <c r="BW166" s="579"/>
      <c r="BX166" s="579"/>
      <c r="BY166" s="579"/>
      <c r="BZ166" s="579"/>
      <c r="CA166" s="579"/>
      <c r="CB166" s="579"/>
      <c r="CC166" s="579"/>
      <c r="CD166" s="579"/>
      <c r="CE166" s="579"/>
      <c r="CF166" s="579"/>
      <c r="CG166" s="579"/>
      <c r="CH166" s="579"/>
      <c r="CI166" s="579"/>
      <c r="CJ166" s="579"/>
      <c r="CK166" s="579"/>
      <c r="CL166" s="579"/>
    </row>
    <row r="167" spans="46:90">
      <c r="AT167" s="579"/>
      <c r="AU167" s="579"/>
      <c r="AV167" s="579"/>
      <c r="AW167" s="579"/>
      <c r="AX167" s="579"/>
      <c r="AY167" s="579"/>
      <c r="AZ167" s="579"/>
      <c r="BA167" s="579"/>
      <c r="BB167" s="579"/>
      <c r="BC167" s="579"/>
      <c r="BD167" s="579"/>
      <c r="BE167" s="579"/>
      <c r="BF167" s="579"/>
      <c r="BG167" s="579"/>
      <c r="BH167" s="579"/>
      <c r="BI167" s="579"/>
      <c r="BJ167" s="579"/>
      <c r="BK167" s="579"/>
      <c r="BL167" s="579"/>
      <c r="BM167" s="579"/>
      <c r="BN167" s="579"/>
      <c r="BO167" s="579"/>
      <c r="BP167" s="579"/>
      <c r="BQ167" s="579"/>
      <c r="BR167" s="579"/>
      <c r="BS167" s="579"/>
      <c r="BT167" s="579"/>
      <c r="BU167" s="579"/>
      <c r="BV167" s="579"/>
      <c r="BW167" s="579"/>
      <c r="BX167" s="579"/>
      <c r="BY167" s="579"/>
      <c r="BZ167" s="579"/>
      <c r="CA167" s="579"/>
      <c r="CB167" s="579"/>
      <c r="CC167" s="579"/>
      <c r="CD167" s="579"/>
      <c r="CE167" s="579"/>
      <c r="CF167" s="579"/>
      <c r="CG167" s="579"/>
      <c r="CH167" s="579"/>
      <c r="CI167" s="579"/>
      <c r="CJ167" s="579"/>
      <c r="CK167" s="579"/>
      <c r="CL167" s="579"/>
    </row>
    <row r="168" spans="46:90">
      <c r="AT168" s="579"/>
      <c r="AU168" s="579"/>
      <c r="AV168" s="579"/>
      <c r="AW168" s="579"/>
      <c r="AX168" s="579"/>
      <c r="AY168" s="579"/>
      <c r="AZ168" s="579"/>
      <c r="BA168" s="579"/>
      <c r="BB168" s="579"/>
      <c r="BC168" s="579"/>
      <c r="BD168" s="579"/>
      <c r="BE168" s="579"/>
      <c r="BF168" s="579"/>
      <c r="BG168" s="579"/>
      <c r="BH168" s="579"/>
      <c r="BI168" s="579"/>
      <c r="BJ168" s="579"/>
      <c r="BK168" s="579"/>
      <c r="BL168" s="579"/>
      <c r="BM168" s="579"/>
      <c r="BN168" s="579"/>
      <c r="BO168" s="579"/>
      <c r="BP168" s="579"/>
      <c r="BQ168" s="579"/>
      <c r="BR168" s="579"/>
      <c r="BS168" s="579"/>
      <c r="BT168" s="579"/>
      <c r="BU168" s="579"/>
      <c r="BV168" s="579"/>
      <c r="BW168" s="579"/>
      <c r="BX168" s="579"/>
      <c r="BY168" s="579"/>
      <c r="BZ168" s="579"/>
      <c r="CA168" s="579"/>
      <c r="CB168" s="579"/>
      <c r="CC168" s="579"/>
      <c r="CD168" s="579"/>
      <c r="CE168" s="579"/>
      <c r="CF168" s="579"/>
      <c r="CG168" s="579"/>
      <c r="CH168" s="579"/>
      <c r="CI168" s="579"/>
      <c r="CJ168" s="579"/>
      <c r="CK168" s="579"/>
      <c r="CL168" s="579"/>
    </row>
    <row r="169" spans="46:90">
      <c r="AT169" s="579"/>
      <c r="AU169" s="579"/>
      <c r="AV169" s="579"/>
      <c r="AW169" s="579"/>
      <c r="AX169" s="579"/>
      <c r="AY169" s="579"/>
      <c r="AZ169" s="579"/>
      <c r="BA169" s="579"/>
      <c r="BB169" s="579"/>
      <c r="BC169" s="579"/>
      <c r="BD169" s="579"/>
      <c r="BE169" s="579"/>
      <c r="BF169" s="579"/>
      <c r="BG169" s="579"/>
      <c r="BH169" s="579"/>
      <c r="BI169" s="579"/>
      <c r="BJ169" s="579"/>
      <c r="BK169" s="579"/>
      <c r="BL169" s="579"/>
      <c r="BM169" s="579"/>
      <c r="BN169" s="579"/>
      <c r="BO169" s="579"/>
      <c r="BP169" s="579"/>
      <c r="BQ169" s="579"/>
      <c r="BR169" s="579"/>
      <c r="BS169" s="579"/>
      <c r="BT169" s="579"/>
      <c r="BU169" s="579"/>
      <c r="BV169" s="579"/>
      <c r="BW169" s="579"/>
      <c r="BX169" s="579"/>
      <c r="BY169" s="579"/>
      <c r="BZ169" s="579"/>
      <c r="CA169" s="579"/>
      <c r="CB169" s="579"/>
      <c r="CC169" s="579"/>
      <c r="CD169" s="579"/>
      <c r="CE169" s="579"/>
      <c r="CF169" s="579"/>
      <c r="CG169" s="579"/>
      <c r="CH169" s="579"/>
      <c r="CI169" s="579"/>
      <c r="CJ169" s="579"/>
      <c r="CK169" s="579"/>
      <c r="CL169" s="579"/>
    </row>
    <row r="170" spans="46:90">
      <c r="AT170" s="579"/>
      <c r="AU170" s="579"/>
      <c r="AV170" s="579"/>
      <c r="AW170" s="579"/>
      <c r="AX170" s="579"/>
      <c r="AY170" s="579"/>
      <c r="AZ170" s="579"/>
      <c r="BA170" s="579"/>
      <c r="BB170" s="579"/>
      <c r="BC170" s="579"/>
      <c r="BD170" s="579"/>
      <c r="BE170" s="579"/>
      <c r="BF170" s="579"/>
      <c r="BG170" s="579"/>
      <c r="BH170" s="579"/>
      <c r="BI170" s="579"/>
      <c r="BJ170" s="579"/>
      <c r="BK170" s="579"/>
      <c r="BL170" s="579"/>
      <c r="BM170" s="579"/>
      <c r="BN170" s="579"/>
      <c r="BO170" s="579"/>
      <c r="BP170" s="579"/>
      <c r="BQ170" s="579"/>
      <c r="BR170" s="579"/>
      <c r="BS170" s="579"/>
      <c r="BT170" s="579"/>
      <c r="BU170" s="579"/>
      <c r="BV170" s="579"/>
      <c r="BW170" s="579"/>
      <c r="BX170" s="579"/>
      <c r="BY170" s="579"/>
      <c r="BZ170" s="579"/>
      <c r="CA170" s="579"/>
      <c r="CB170" s="579"/>
      <c r="CC170" s="579"/>
      <c r="CD170" s="579"/>
      <c r="CE170" s="579"/>
      <c r="CF170" s="579"/>
      <c r="CG170" s="579"/>
      <c r="CH170" s="579"/>
      <c r="CI170" s="579"/>
      <c r="CJ170" s="579"/>
      <c r="CK170" s="579"/>
      <c r="CL170" s="579"/>
    </row>
    <row r="171" spans="46:90">
      <c r="AT171" s="579"/>
      <c r="AU171" s="579"/>
      <c r="AV171" s="579"/>
      <c r="AW171" s="579"/>
      <c r="AX171" s="579"/>
      <c r="AY171" s="579"/>
      <c r="AZ171" s="579"/>
      <c r="BA171" s="579"/>
      <c r="BB171" s="579"/>
      <c r="BC171" s="579"/>
      <c r="BD171" s="579"/>
      <c r="BE171" s="579"/>
      <c r="BF171" s="579"/>
      <c r="BG171" s="579"/>
      <c r="BH171" s="579"/>
      <c r="BI171" s="579"/>
      <c r="BJ171" s="579"/>
      <c r="BK171" s="579"/>
      <c r="BL171" s="579"/>
      <c r="BM171" s="579"/>
      <c r="BN171" s="579"/>
      <c r="BO171" s="579"/>
      <c r="BP171" s="579"/>
      <c r="BQ171" s="579"/>
      <c r="BR171" s="579"/>
      <c r="BS171" s="579"/>
      <c r="BT171" s="579"/>
      <c r="BU171" s="579"/>
      <c r="BV171" s="579"/>
      <c r="BW171" s="579"/>
      <c r="BX171" s="579"/>
      <c r="BY171" s="579"/>
      <c r="BZ171" s="579"/>
      <c r="CA171" s="579"/>
      <c r="CB171" s="579"/>
      <c r="CC171" s="579"/>
      <c r="CD171" s="579"/>
      <c r="CE171" s="579"/>
      <c r="CF171" s="579"/>
      <c r="CG171" s="579"/>
      <c r="CH171" s="579"/>
      <c r="CI171" s="579"/>
      <c r="CJ171" s="579"/>
      <c r="CK171" s="579"/>
      <c r="CL171" s="579"/>
    </row>
    <row r="172" spans="46:90">
      <c r="AT172" s="579"/>
      <c r="AU172" s="579"/>
      <c r="AV172" s="579"/>
      <c r="AW172" s="579"/>
      <c r="AX172" s="579"/>
      <c r="AY172" s="579"/>
      <c r="AZ172" s="579"/>
      <c r="BA172" s="579"/>
      <c r="BB172" s="579"/>
      <c r="BC172" s="579"/>
      <c r="BD172" s="579"/>
      <c r="BE172" s="579"/>
      <c r="BF172" s="579"/>
      <c r="BG172" s="579"/>
      <c r="BH172" s="579"/>
      <c r="BI172" s="579"/>
      <c r="BJ172" s="579"/>
      <c r="BK172" s="579"/>
      <c r="BL172" s="579"/>
      <c r="BM172" s="579"/>
      <c r="BN172" s="579"/>
      <c r="BO172" s="579"/>
      <c r="BP172" s="579"/>
      <c r="BQ172" s="579"/>
      <c r="BR172" s="579"/>
      <c r="BS172" s="579"/>
      <c r="BT172" s="579"/>
      <c r="BU172" s="579"/>
      <c r="BV172" s="579"/>
      <c r="BW172" s="579"/>
      <c r="BX172" s="579"/>
      <c r="BY172" s="579"/>
      <c r="BZ172" s="579"/>
      <c r="CA172" s="579"/>
      <c r="CB172" s="579"/>
      <c r="CC172" s="579"/>
      <c r="CD172" s="579"/>
      <c r="CE172" s="579"/>
      <c r="CF172" s="579"/>
      <c r="CG172" s="579"/>
      <c r="CH172" s="579"/>
      <c r="CI172" s="579"/>
      <c r="CJ172" s="579"/>
      <c r="CK172" s="579"/>
      <c r="CL172" s="579"/>
    </row>
    <row r="173" spans="46:90">
      <c r="AT173" s="579"/>
      <c r="AU173" s="579"/>
      <c r="AV173" s="579"/>
      <c r="AW173" s="579"/>
      <c r="AX173" s="579"/>
      <c r="AY173" s="579"/>
      <c r="AZ173" s="579"/>
      <c r="BA173" s="579"/>
      <c r="BB173" s="579"/>
      <c r="BC173" s="579"/>
      <c r="BD173" s="579"/>
      <c r="BE173" s="579"/>
      <c r="BF173" s="579"/>
      <c r="BG173" s="579"/>
      <c r="BH173" s="579"/>
      <c r="BI173" s="579"/>
      <c r="BJ173" s="579"/>
      <c r="BK173" s="579"/>
      <c r="BL173" s="579"/>
      <c r="BM173" s="579"/>
      <c r="BN173" s="579"/>
      <c r="BO173" s="579"/>
      <c r="BP173" s="579"/>
      <c r="BQ173" s="579"/>
      <c r="BR173" s="579"/>
      <c r="BS173" s="579"/>
      <c r="BT173" s="579"/>
      <c r="BU173" s="579"/>
      <c r="BV173" s="579"/>
      <c r="BW173" s="579"/>
      <c r="BX173" s="579"/>
      <c r="BY173" s="579"/>
      <c r="BZ173" s="579"/>
      <c r="CA173" s="579"/>
      <c r="CB173" s="579"/>
      <c r="CC173" s="579"/>
      <c r="CD173" s="579"/>
      <c r="CE173" s="579"/>
      <c r="CF173" s="579"/>
      <c r="CG173" s="579"/>
      <c r="CH173" s="579"/>
      <c r="CI173" s="579"/>
      <c r="CJ173" s="579"/>
      <c r="CK173" s="579"/>
      <c r="CL173" s="579"/>
    </row>
    <row r="174" spans="46:90">
      <c r="AT174" s="579"/>
      <c r="AU174" s="579"/>
      <c r="AV174" s="579"/>
      <c r="AW174" s="579"/>
      <c r="AX174" s="579"/>
      <c r="AY174" s="579"/>
      <c r="AZ174" s="579"/>
      <c r="BA174" s="579"/>
      <c r="BB174" s="579"/>
      <c r="BC174" s="579"/>
      <c r="BD174" s="579"/>
      <c r="BE174" s="579"/>
      <c r="BF174" s="579"/>
      <c r="BG174" s="579"/>
      <c r="BH174" s="579"/>
      <c r="BI174" s="579"/>
      <c r="BJ174" s="579"/>
      <c r="BK174" s="579"/>
      <c r="BL174" s="579"/>
      <c r="BM174" s="579"/>
      <c r="BN174" s="579"/>
      <c r="BO174" s="579"/>
      <c r="BP174" s="579"/>
      <c r="BQ174" s="579"/>
      <c r="BR174" s="579"/>
      <c r="BS174" s="579"/>
      <c r="BT174" s="579"/>
      <c r="BU174" s="579"/>
      <c r="BV174" s="579"/>
      <c r="BW174" s="579"/>
      <c r="BX174" s="579"/>
      <c r="BY174" s="579"/>
      <c r="BZ174" s="579"/>
      <c r="CA174" s="579"/>
      <c r="CB174" s="579"/>
      <c r="CC174" s="579"/>
      <c r="CD174" s="579"/>
      <c r="CE174" s="579"/>
      <c r="CF174" s="579"/>
      <c r="CG174" s="579"/>
      <c r="CH174" s="579"/>
      <c r="CI174" s="579"/>
      <c r="CJ174" s="579"/>
      <c r="CK174" s="579"/>
      <c r="CL174" s="579"/>
    </row>
    <row r="175" spans="46:90">
      <c r="AT175" s="579"/>
      <c r="AU175" s="579"/>
      <c r="AV175" s="579"/>
      <c r="AW175" s="579"/>
      <c r="AX175" s="579"/>
      <c r="AY175" s="579"/>
      <c r="AZ175" s="579"/>
      <c r="BA175" s="579"/>
      <c r="BB175" s="579"/>
      <c r="BC175" s="579"/>
      <c r="BD175" s="579"/>
      <c r="BE175" s="579"/>
      <c r="BF175" s="579"/>
      <c r="BG175" s="579"/>
      <c r="BH175" s="579"/>
      <c r="BI175" s="579"/>
      <c r="BJ175" s="579"/>
      <c r="BK175" s="579"/>
      <c r="BL175" s="579"/>
      <c r="BM175" s="579"/>
      <c r="BN175" s="579"/>
      <c r="BO175" s="579"/>
      <c r="BP175" s="579"/>
      <c r="BQ175" s="579"/>
      <c r="BR175" s="579"/>
      <c r="BS175" s="579"/>
      <c r="BT175" s="579"/>
      <c r="BU175" s="579"/>
      <c r="BV175" s="579"/>
      <c r="BW175" s="579"/>
      <c r="BX175" s="579"/>
      <c r="BY175" s="579"/>
      <c r="BZ175" s="579"/>
      <c r="CA175" s="579"/>
      <c r="CB175" s="579"/>
      <c r="CC175" s="579"/>
      <c r="CD175" s="579"/>
      <c r="CE175" s="579"/>
      <c r="CF175" s="579"/>
      <c r="CG175" s="579"/>
      <c r="CH175" s="579"/>
      <c r="CI175" s="579"/>
      <c r="CJ175" s="579"/>
      <c r="CK175" s="579"/>
      <c r="CL175" s="579"/>
    </row>
    <row r="176" spans="46:90">
      <c r="AT176" s="579"/>
      <c r="AU176" s="579"/>
      <c r="AV176" s="579"/>
      <c r="AW176" s="579"/>
      <c r="AX176" s="579"/>
      <c r="AY176" s="579"/>
      <c r="AZ176" s="579"/>
      <c r="BA176" s="579"/>
      <c r="BB176" s="579"/>
      <c r="BC176" s="579"/>
      <c r="BD176" s="579"/>
      <c r="BE176" s="579"/>
      <c r="BF176" s="579"/>
      <c r="BG176" s="579"/>
      <c r="BH176" s="579"/>
      <c r="BI176" s="579"/>
      <c r="BJ176" s="579"/>
      <c r="BK176" s="579"/>
      <c r="BL176" s="579"/>
      <c r="BM176" s="579"/>
      <c r="BN176" s="579"/>
      <c r="BO176" s="579"/>
      <c r="BP176" s="579"/>
      <c r="BQ176" s="579"/>
      <c r="BR176" s="579"/>
      <c r="BS176" s="579"/>
      <c r="BT176" s="579"/>
      <c r="BU176" s="579"/>
      <c r="BV176" s="579"/>
      <c r="BW176" s="579"/>
      <c r="BX176" s="579"/>
      <c r="BY176" s="579"/>
      <c r="BZ176" s="579"/>
      <c r="CA176" s="579"/>
      <c r="CB176" s="579"/>
      <c r="CC176" s="579"/>
      <c r="CD176" s="579"/>
      <c r="CE176" s="579"/>
      <c r="CF176" s="579"/>
      <c r="CG176" s="579"/>
      <c r="CH176" s="579"/>
      <c r="CI176" s="579"/>
      <c r="CJ176" s="579"/>
      <c r="CK176" s="579"/>
      <c r="CL176" s="579"/>
    </row>
    <row r="177" spans="46:90">
      <c r="AT177" s="579"/>
      <c r="AU177" s="579"/>
      <c r="AV177" s="579"/>
      <c r="AW177" s="579"/>
      <c r="AX177" s="579"/>
      <c r="AY177" s="579"/>
      <c r="AZ177" s="579"/>
      <c r="BA177" s="579"/>
      <c r="BB177" s="579"/>
      <c r="BC177" s="579"/>
      <c r="BD177" s="579"/>
      <c r="BE177" s="579"/>
      <c r="BF177" s="579"/>
      <c r="BG177" s="579"/>
      <c r="BH177" s="579"/>
      <c r="BI177" s="579"/>
      <c r="BJ177" s="579"/>
      <c r="BK177" s="579"/>
      <c r="BL177" s="579"/>
      <c r="BM177" s="579"/>
      <c r="BN177" s="579"/>
      <c r="BO177" s="579"/>
      <c r="BP177" s="579"/>
      <c r="BQ177" s="579"/>
      <c r="BR177" s="579"/>
      <c r="BS177" s="579"/>
      <c r="BT177" s="579"/>
      <c r="BU177" s="579"/>
      <c r="BV177" s="579"/>
      <c r="BW177" s="579"/>
      <c r="BX177" s="579"/>
      <c r="BY177" s="579"/>
      <c r="BZ177" s="579"/>
      <c r="CA177" s="579"/>
      <c r="CB177" s="579"/>
      <c r="CC177" s="579"/>
      <c r="CD177" s="579"/>
      <c r="CE177" s="579"/>
      <c r="CF177" s="579"/>
      <c r="CG177" s="579"/>
      <c r="CH177" s="579"/>
      <c r="CI177" s="579"/>
      <c r="CJ177" s="579"/>
      <c r="CK177" s="579"/>
      <c r="CL177" s="579"/>
    </row>
    <row r="178" spans="46:90">
      <c r="AT178" s="579"/>
      <c r="AU178" s="579"/>
      <c r="AV178" s="579"/>
      <c r="AW178" s="579"/>
      <c r="AX178" s="579"/>
      <c r="AY178" s="579"/>
      <c r="AZ178" s="579"/>
      <c r="BA178" s="579"/>
      <c r="BB178" s="579"/>
      <c r="BC178" s="579"/>
      <c r="BD178" s="579"/>
      <c r="BE178" s="579"/>
      <c r="BF178" s="579"/>
      <c r="BG178" s="579"/>
      <c r="BH178" s="579"/>
      <c r="BI178" s="579"/>
      <c r="BJ178" s="579"/>
      <c r="BK178" s="579"/>
      <c r="BL178" s="579"/>
      <c r="BM178" s="579"/>
      <c r="BN178" s="579"/>
      <c r="BO178" s="579"/>
      <c r="BP178" s="579"/>
      <c r="BQ178" s="579"/>
      <c r="BR178" s="579"/>
      <c r="BS178" s="579"/>
      <c r="BT178" s="579"/>
      <c r="BU178" s="579"/>
      <c r="BV178" s="579"/>
      <c r="BW178" s="579"/>
      <c r="BX178" s="579"/>
      <c r="BY178" s="579"/>
      <c r="BZ178" s="579"/>
      <c r="CA178" s="579"/>
      <c r="CB178" s="579"/>
      <c r="CC178" s="579"/>
      <c r="CD178" s="579"/>
      <c r="CE178" s="579"/>
      <c r="CF178" s="579"/>
      <c r="CG178" s="579"/>
      <c r="CH178" s="579"/>
      <c r="CI178" s="579"/>
      <c r="CJ178" s="579"/>
      <c r="CK178" s="579"/>
      <c r="CL178" s="579"/>
    </row>
    <row r="179" spans="46:90">
      <c r="AT179" s="579"/>
      <c r="AU179" s="579"/>
      <c r="AV179" s="579"/>
      <c r="AW179" s="579"/>
      <c r="AX179" s="579"/>
      <c r="AY179" s="579"/>
      <c r="AZ179" s="579"/>
      <c r="BA179" s="579"/>
      <c r="BB179" s="579"/>
      <c r="BC179" s="579"/>
      <c r="BD179" s="579"/>
      <c r="BE179" s="579"/>
      <c r="BF179" s="579"/>
      <c r="BG179" s="579"/>
      <c r="BH179" s="579"/>
      <c r="BI179" s="579"/>
      <c r="BJ179" s="579"/>
      <c r="BK179" s="579"/>
      <c r="BL179" s="579"/>
      <c r="BM179" s="579"/>
      <c r="BN179" s="579"/>
      <c r="BO179" s="579"/>
      <c r="BP179" s="579"/>
      <c r="BQ179" s="579"/>
      <c r="BR179" s="579"/>
      <c r="BS179" s="579"/>
      <c r="BT179" s="579"/>
      <c r="BU179" s="579"/>
      <c r="BV179" s="579"/>
      <c r="BW179" s="579"/>
      <c r="BX179" s="579"/>
      <c r="BY179" s="579"/>
      <c r="BZ179" s="579"/>
      <c r="CA179" s="579"/>
      <c r="CB179" s="579"/>
      <c r="CC179" s="579"/>
      <c r="CD179" s="579"/>
      <c r="CE179" s="579"/>
      <c r="CF179" s="579"/>
      <c r="CG179" s="579"/>
      <c r="CH179" s="579"/>
      <c r="CI179" s="579"/>
      <c r="CJ179" s="579"/>
      <c r="CK179" s="579"/>
      <c r="CL179" s="579"/>
    </row>
    <row r="180" spans="46:90">
      <c r="AT180" s="579"/>
      <c r="AU180" s="579"/>
      <c r="AV180" s="579"/>
      <c r="AW180" s="579"/>
      <c r="AX180" s="579"/>
      <c r="AY180" s="579"/>
      <c r="AZ180" s="579"/>
      <c r="BA180" s="579"/>
      <c r="BB180" s="579"/>
      <c r="BC180" s="579"/>
      <c r="BD180" s="579"/>
      <c r="BE180" s="579"/>
      <c r="BF180" s="579"/>
      <c r="BG180" s="579"/>
      <c r="BH180" s="579"/>
      <c r="BI180" s="579"/>
      <c r="BJ180" s="579"/>
      <c r="BK180" s="579"/>
      <c r="BL180" s="579"/>
      <c r="BM180" s="579"/>
      <c r="BN180" s="579"/>
      <c r="BO180" s="579"/>
      <c r="BP180" s="579"/>
      <c r="BQ180" s="579"/>
      <c r="BR180" s="579"/>
      <c r="BS180" s="579"/>
      <c r="BT180" s="579"/>
      <c r="BU180" s="579"/>
      <c r="BV180" s="579"/>
      <c r="BW180" s="579"/>
      <c r="BX180" s="579"/>
      <c r="BY180" s="579"/>
      <c r="BZ180" s="579"/>
      <c r="CA180" s="579"/>
      <c r="CB180" s="579"/>
      <c r="CC180" s="579"/>
      <c r="CD180" s="579"/>
      <c r="CE180" s="579"/>
      <c r="CF180" s="579"/>
      <c r="CG180" s="579"/>
      <c r="CH180" s="579"/>
      <c r="CI180" s="579"/>
      <c r="CJ180" s="579"/>
      <c r="CK180" s="579"/>
      <c r="CL180" s="579"/>
    </row>
    <row r="181" spans="46:90">
      <c r="AT181" s="579"/>
      <c r="AU181" s="579"/>
      <c r="AV181" s="579"/>
      <c r="AW181" s="579"/>
      <c r="AX181" s="579"/>
      <c r="AY181" s="579"/>
      <c r="AZ181" s="579"/>
      <c r="BA181" s="579"/>
      <c r="BB181" s="579"/>
      <c r="BC181" s="579"/>
      <c r="BD181" s="579"/>
      <c r="BE181" s="579"/>
      <c r="BF181" s="579"/>
      <c r="BG181" s="579"/>
      <c r="BH181" s="579"/>
      <c r="BI181" s="579"/>
      <c r="BJ181" s="579"/>
      <c r="BK181" s="579"/>
      <c r="BL181" s="579"/>
      <c r="BM181" s="579"/>
      <c r="BN181" s="579"/>
      <c r="BO181" s="579"/>
      <c r="BP181" s="579"/>
      <c r="BQ181" s="579"/>
      <c r="BR181" s="579"/>
      <c r="BS181" s="579"/>
      <c r="BT181" s="579"/>
      <c r="BU181" s="579"/>
      <c r="BV181" s="579"/>
      <c r="BW181" s="579"/>
      <c r="BX181" s="579"/>
      <c r="BY181" s="579"/>
      <c r="BZ181" s="579"/>
      <c r="CA181" s="579"/>
      <c r="CB181" s="579"/>
      <c r="CC181" s="579"/>
      <c r="CD181" s="579"/>
      <c r="CE181" s="579"/>
      <c r="CF181" s="579"/>
      <c r="CG181" s="579"/>
      <c r="CH181" s="579"/>
      <c r="CI181" s="579"/>
      <c r="CJ181" s="579"/>
      <c r="CK181" s="579"/>
      <c r="CL181" s="579"/>
    </row>
    <row r="182" spans="46:90">
      <c r="AT182" s="579"/>
      <c r="AU182" s="579"/>
      <c r="AV182" s="579"/>
      <c r="AW182" s="579"/>
      <c r="AX182" s="579"/>
      <c r="AY182" s="579"/>
      <c r="AZ182" s="579"/>
      <c r="BA182" s="579"/>
      <c r="BB182" s="579"/>
      <c r="BC182" s="579"/>
      <c r="BD182" s="579"/>
      <c r="BE182" s="579"/>
      <c r="BF182" s="579"/>
      <c r="BG182" s="579"/>
      <c r="BH182" s="579"/>
      <c r="BI182" s="579"/>
      <c r="BJ182" s="579"/>
      <c r="BK182" s="579"/>
      <c r="BL182" s="579"/>
      <c r="BM182" s="579"/>
      <c r="BN182" s="579"/>
      <c r="BO182" s="579"/>
      <c r="BP182" s="579"/>
      <c r="BQ182" s="579"/>
      <c r="BR182" s="579"/>
      <c r="BS182" s="579"/>
      <c r="BT182" s="579"/>
      <c r="BU182" s="579"/>
      <c r="BV182" s="579"/>
      <c r="BW182" s="579"/>
      <c r="BX182" s="579"/>
      <c r="BY182" s="579"/>
      <c r="BZ182" s="579"/>
      <c r="CA182" s="579"/>
      <c r="CB182" s="579"/>
      <c r="CC182" s="579"/>
      <c r="CD182" s="579"/>
      <c r="CE182" s="579"/>
      <c r="CF182" s="579"/>
      <c r="CG182" s="579"/>
      <c r="CH182" s="579"/>
      <c r="CI182" s="579"/>
      <c r="CJ182" s="579"/>
      <c r="CK182" s="579"/>
      <c r="CL182" s="579"/>
    </row>
    <row r="183" spans="46:90">
      <c r="AT183" s="579"/>
      <c r="AU183" s="579"/>
      <c r="AV183" s="579"/>
      <c r="AW183" s="579"/>
      <c r="AX183" s="579"/>
      <c r="AY183" s="579"/>
      <c r="AZ183" s="579"/>
      <c r="BA183" s="579"/>
      <c r="BB183" s="579"/>
      <c r="BC183" s="579"/>
      <c r="BD183" s="579"/>
      <c r="BE183" s="579"/>
      <c r="BF183" s="579"/>
      <c r="BG183" s="579"/>
      <c r="BH183" s="579"/>
      <c r="BI183" s="579"/>
      <c r="BJ183" s="579"/>
      <c r="BK183" s="579"/>
      <c r="BL183" s="579"/>
      <c r="BM183" s="579"/>
      <c r="BN183" s="579"/>
      <c r="BO183" s="579"/>
      <c r="BP183" s="579"/>
      <c r="BQ183" s="579"/>
      <c r="BR183" s="579"/>
      <c r="BS183" s="579"/>
      <c r="BT183" s="579"/>
      <c r="BU183" s="579"/>
      <c r="BV183" s="579"/>
      <c r="BW183" s="579"/>
      <c r="BX183" s="579"/>
      <c r="BY183" s="579"/>
      <c r="BZ183" s="579"/>
      <c r="CA183" s="579"/>
      <c r="CB183" s="579"/>
      <c r="CC183" s="579"/>
      <c r="CD183" s="579"/>
      <c r="CE183" s="579"/>
      <c r="CF183" s="579"/>
      <c r="CG183" s="579"/>
      <c r="CH183" s="579"/>
      <c r="CI183" s="579"/>
      <c r="CJ183" s="579"/>
      <c r="CK183" s="579"/>
      <c r="CL183" s="579"/>
    </row>
    <row r="184" spans="46:90">
      <c r="AT184" s="579"/>
      <c r="AU184" s="579"/>
      <c r="AV184" s="579"/>
      <c r="AW184" s="579"/>
      <c r="AX184" s="579"/>
      <c r="AY184" s="579"/>
      <c r="AZ184" s="579"/>
      <c r="BA184" s="579"/>
      <c r="BB184" s="579"/>
      <c r="BC184" s="579"/>
      <c r="BD184" s="579"/>
      <c r="BE184" s="579"/>
      <c r="BF184" s="579"/>
      <c r="BG184" s="579"/>
      <c r="BH184" s="579"/>
      <c r="BI184" s="579"/>
      <c r="BJ184" s="579"/>
      <c r="BK184" s="579"/>
      <c r="BL184" s="579"/>
      <c r="BM184" s="579"/>
      <c r="BN184" s="579"/>
      <c r="BO184" s="579"/>
      <c r="BP184" s="579"/>
      <c r="BQ184" s="579"/>
      <c r="BR184" s="579"/>
      <c r="BS184" s="579"/>
      <c r="BT184" s="579"/>
      <c r="BU184" s="579"/>
      <c r="BV184" s="579"/>
      <c r="BW184" s="579"/>
      <c r="BX184" s="579"/>
      <c r="BY184" s="579"/>
      <c r="BZ184" s="579"/>
      <c r="CA184" s="579"/>
      <c r="CB184" s="579"/>
      <c r="CC184" s="579"/>
      <c r="CD184" s="579"/>
      <c r="CE184" s="579"/>
      <c r="CF184" s="579"/>
      <c r="CG184" s="579"/>
      <c r="CH184" s="579"/>
      <c r="CI184" s="579"/>
      <c r="CJ184" s="579"/>
      <c r="CK184" s="579"/>
      <c r="CL184" s="579"/>
    </row>
    <row r="185" spans="46:90">
      <c r="AT185" s="579"/>
      <c r="AU185" s="579"/>
      <c r="AV185" s="579"/>
      <c r="AW185" s="579"/>
      <c r="AX185" s="579"/>
      <c r="AY185" s="579"/>
      <c r="AZ185" s="579"/>
      <c r="BA185" s="579"/>
      <c r="BB185" s="579"/>
      <c r="BC185" s="579"/>
      <c r="BD185" s="579"/>
      <c r="BE185" s="579"/>
      <c r="BF185" s="579"/>
      <c r="BG185" s="579"/>
      <c r="BH185" s="579"/>
      <c r="BI185" s="579"/>
      <c r="BJ185" s="579"/>
      <c r="BK185" s="579"/>
      <c r="BL185" s="579"/>
      <c r="BM185" s="579"/>
      <c r="BN185" s="579"/>
      <c r="BO185" s="579"/>
      <c r="BP185" s="579"/>
      <c r="BQ185" s="579"/>
      <c r="BR185" s="579"/>
      <c r="BS185" s="579"/>
      <c r="BT185" s="579"/>
      <c r="BU185" s="579"/>
      <c r="BV185" s="579"/>
      <c r="BW185" s="579"/>
      <c r="BX185" s="579"/>
      <c r="BY185" s="579"/>
      <c r="BZ185" s="579"/>
      <c r="CA185" s="579"/>
      <c r="CB185" s="579"/>
      <c r="CC185" s="579"/>
      <c r="CD185" s="579"/>
      <c r="CE185" s="579"/>
      <c r="CF185" s="579"/>
      <c r="CG185" s="579"/>
      <c r="CH185" s="579"/>
      <c r="CI185" s="579"/>
      <c r="CJ185" s="579"/>
      <c r="CK185" s="579"/>
      <c r="CL185" s="579"/>
    </row>
    <row r="186" spans="46:90">
      <c r="AT186" s="579"/>
      <c r="AU186" s="579"/>
      <c r="AV186" s="579"/>
      <c r="AW186" s="579"/>
      <c r="AX186" s="579"/>
      <c r="AY186" s="579"/>
      <c r="AZ186" s="579"/>
      <c r="BA186" s="579"/>
      <c r="BB186" s="579"/>
      <c r="BC186" s="579"/>
      <c r="BD186" s="579"/>
      <c r="BE186" s="579"/>
      <c r="BF186" s="579"/>
      <c r="BG186" s="579"/>
      <c r="BH186" s="579"/>
      <c r="BI186" s="579"/>
      <c r="BJ186" s="579"/>
      <c r="BK186" s="579"/>
      <c r="BL186" s="579"/>
      <c r="BM186" s="579"/>
      <c r="BN186" s="579"/>
      <c r="BO186" s="579"/>
      <c r="BP186" s="579"/>
      <c r="BQ186" s="579"/>
      <c r="BR186" s="579"/>
      <c r="BS186" s="579"/>
      <c r="BT186" s="579"/>
      <c r="BU186" s="579"/>
      <c r="BV186" s="579"/>
      <c r="BW186" s="579"/>
      <c r="BX186" s="579"/>
      <c r="BY186" s="579"/>
      <c r="BZ186" s="579"/>
      <c r="CA186" s="579"/>
      <c r="CB186" s="579"/>
      <c r="CC186" s="579"/>
      <c r="CD186" s="579"/>
      <c r="CE186" s="579"/>
      <c r="CF186" s="579"/>
      <c r="CG186" s="579"/>
      <c r="CH186" s="579"/>
      <c r="CI186" s="579"/>
      <c r="CJ186" s="579"/>
      <c r="CK186" s="579"/>
      <c r="CL186" s="579"/>
    </row>
    <row r="187" spans="46:90">
      <c r="AT187" s="579"/>
      <c r="AU187" s="579"/>
      <c r="AV187" s="579"/>
      <c r="AW187" s="579"/>
      <c r="AX187" s="579"/>
      <c r="AY187" s="579"/>
      <c r="AZ187" s="579"/>
      <c r="BA187" s="579"/>
      <c r="BB187" s="579"/>
      <c r="BC187" s="579"/>
      <c r="BD187" s="579"/>
      <c r="BE187" s="579"/>
      <c r="BF187" s="579"/>
      <c r="BG187" s="579"/>
      <c r="BH187" s="579"/>
      <c r="BI187" s="579"/>
      <c r="BJ187" s="579"/>
      <c r="BK187" s="579"/>
      <c r="BL187" s="579"/>
      <c r="BM187" s="579"/>
      <c r="BN187" s="579"/>
      <c r="BO187" s="579"/>
      <c r="BP187" s="579"/>
      <c r="BQ187" s="579"/>
      <c r="BR187" s="579"/>
      <c r="BS187" s="579"/>
      <c r="BT187" s="579"/>
      <c r="BU187" s="579"/>
      <c r="BV187" s="579"/>
      <c r="BW187" s="579"/>
      <c r="BX187" s="579"/>
      <c r="BY187" s="579"/>
      <c r="BZ187" s="579"/>
      <c r="CA187" s="579"/>
      <c r="CB187" s="579"/>
      <c r="CC187" s="579"/>
      <c r="CD187" s="579"/>
      <c r="CE187" s="579"/>
      <c r="CF187" s="579"/>
      <c r="CG187" s="579"/>
      <c r="CH187" s="579"/>
      <c r="CI187" s="579"/>
      <c r="CJ187" s="579"/>
      <c r="CK187" s="579"/>
      <c r="CL187" s="579"/>
    </row>
    <row r="188" spans="46:90">
      <c r="AT188" s="579"/>
      <c r="AU188" s="579"/>
      <c r="AV188" s="579"/>
      <c r="AW188" s="579"/>
      <c r="AX188" s="579"/>
      <c r="AY188" s="579"/>
      <c r="AZ188" s="579"/>
      <c r="BA188" s="579"/>
      <c r="BB188" s="579"/>
      <c r="BC188" s="579"/>
      <c r="BD188" s="579"/>
      <c r="BE188" s="579"/>
      <c r="BF188" s="579"/>
      <c r="BG188" s="579"/>
      <c r="BH188" s="579"/>
      <c r="BI188" s="579"/>
      <c r="BJ188" s="579"/>
      <c r="BK188" s="579"/>
      <c r="BL188" s="579"/>
      <c r="BM188" s="579"/>
      <c r="BN188" s="579"/>
      <c r="BO188" s="579"/>
      <c r="BP188" s="579"/>
      <c r="BQ188" s="579"/>
      <c r="BR188" s="579"/>
      <c r="BS188" s="579"/>
      <c r="BT188" s="579"/>
      <c r="BU188" s="579"/>
      <c r="BV188" s="579"/>
      <c r="BW188" s="579"/>
      <c r="BX188" s="579"/>
      <c r="BY188" s="579"/>
      <c r="BZ188" s="579"/>
      <c r="CA188" s="579"/>
      <c r="CB188" s="579"/>
      <c r="CC188" s="579"/>
      <c r="CD188" s="579"/>
      <c r="CE188" s="579"/>
      <c r="CF188" s="579"/>
      <c r="CG188" s="579"/>
      <c r="CH188" s="579"/>
      <c r="CI188" s="579"/>
      <c r="CJ188" s="579"/>
      <c r="CK188" s="579"/>
      <c r="CL188" s="579"/>
    </row>
    <row r="189" spans="46:90">
      <c r="AT189" s="579"/>
      <c r="AU189" s="579"/>
      <c r="AV189" s="579"/>
      <c r="AW189" s="579"/>
      <c r="AX189" s="579"/>
      <c r="AY189" s="579"/>
      <c r="AZ189" s="579"/>
      <c r="BA189" s="579"/>
      <c r="BB189" s="579"/>
      <c r="BC189" s="579"/>
      <c r="BD189" s="579"/>
      <c r="BE189" s="579"/>
      <c r="BF189" s="579"/>
      <c r="BG189" s="579"/>
      <c r="BH189" s="579"/>
      <c r="BI189" s="579"/>
      <c r="BJ189" s="579"/>
      <c r="BK189" s="579"/>
      <c r="BL189" s="579"/>
      <c r="BM189" s="579"/>
      <c r="BN189" s="579"/>
      <c r="BO189" s="579"/>
      <c r="BP189" s="579"/>
      <c r="BQ189" s="579"/>
      <c r="BR189" s="579"/>
      <c r="BS189" s="579"/>
      <c r="BT189" s="579"/>
      <c r="BU189" s="579"/>
      <c r="BV189" s="579"/>
      <c r="BW189" s="579"/>
      <c r="BX189" s="579"/>
      <c r="BY189" s="579"/>
      <c r="BZ189" s="579"/>
      <c r="CA189" s="579"/>
      <c r="CB189" s="579"/>
      <c r="CC189" s="579"/>
      <c r="CD189" s="579"/>
      <c r="CE189" s="579"/>
      <c r="CF189" s="579"/>
      <c r="CG189" s="579"/>
      <c r="CH189" s="579"/>
      <c r="CI189" s="579"/>
      <c r="CJ189" s="579"/>
      <c r="CK189" s="579"/>
      <c r="CL189" s="579"/>
    </row>
    <row r="190" spans="46:90">
      <c r="AT190" s="579"/>
      <c r="AU190" s="579"/>
      <c r="AV190" s="579"/>
      <c r="AW190" s="579"/>
      <c r="AX190" s="579"/>
      <c r="AY190" s="579"/>
      <c r="AZ190" s="579"/>
      <c r="BA190" s="579"/>
      <c r="BB190" s="579"/>
      <c r="BC190" s="579"/>
      <c r="BD190" s="579"/>
      <c r="BE190" s="579"/>
      <c r="BF190" s="579"/>
      <c r="BG190" s="579"/>
      <c r="BH190" s="579"/>
      <c r="BI190" s="579"/>
      <c r="BJ190" s="579"/>
      <c r="BK190" s="579"/>
      <c r="BL190" s="579"/>
      <c r="BM190" s="579"/>
      <c r="BN190" s="579"/>
      <c r="BO190" s="579"/>
      <c r="BP190" s="579"/>
      <c r="BQ190" s="579"/>
      <c r="BR190" s="579"/>
      <c r="BS190" s="579"/>
      <c r="BT190" s="579"/>
      <c r="BU190" s="579"/>
      <c r="BV190" s="579"/>
      <c r="BW190" s="579"/>
      <c r="BX190" s="579"/>
      <c r="BY190" s="579"/>
      <c r="BZ190" s="579"/>
      <c r="CA190" s="579"/>
      <c r="CB190" s="579"/>
      <c r="CC190" s="579"/>
      <c r="CD190" s="579"/>
      <c r="CE190" s="579"/>
      <c r="CF190" s="579"/>
      <c r="CG190" s="579"/>
      <c r="CH190" s="579"/>
      <c r="CI190" s="579"/>
      <c r="CJ190" s="579"/>
      <c r="CK190" s="579"/>
      <c r="CL190" s="579"/>
    </row>
    <row r="191" spans="46:90">
      <c r="AT191" s="579"/>
      <c r="AU191" s="579"/>
      <c r="AV191" s="579"/>
      <c r="AW191" s="579"/>
      <c r="AX191" s="579"/>
      <c r="AY191" s="579"/>
      <c r="AZ191" s="579"/>
      <c r="BA191" s="579"/>
      <c r="BB191" s="579"/>
      <c r="BC191" s="579"/>
      <c r="BD191" s="579"/>
      <c r="BE191" s="579"/>
      <c r="BF191" s="579"/>
      <c r="BG191" s="579"/>
      <c r="BH191" s="579"/>
      <c r="BI191" s="579"/>
      <c r="BJ191" s="579"/>
      <c r="BK191" s="579"/>
      <c r="BL191" s="579"/>
      <c r="BM191" s="579"/>
      <c r="BN191" s="579"/>
      <c r="BO191" s="579"/>
      <c r="BP191" s="579"/>
      <c r="BQ191" s="579"/>
      <c r="BR191" s="579"/>
      <c r="BS191" s="579"/>
      <c r="BT191" s="579"/>
      <c r="BU191" s="579"/>
      <c r="BV191" s="579"/>
      <c r="BW191" s="579"/>
      <c r="BX191" s="579"/>
      <c r="BY191" s="579"/>
      <c r="BZ191" s="579"/>
      <c r="CA191" s="579"/>
      <c r="CB191" s="579"/>
      <c r="CC191" s="579"/>
      <c r="CD191" s="579"/>
      <c r="CE191" s="579"/>
      <c r="CF191" s="579"/>
      <c r="CG191" s="579"/>
      <c r="CH191" s="579"/>
      <c r="CI191" s="579"/>
      <c r="CJ191" s="579"/>
      <c r="CK191" s="579"/>
      <c r="CL191" s="579"/>
    </row>
    <row r="192" spans="46:90">
      <c r="AT192" s="579"/>
      <c r="AU192" s="579"/>
      <c r="AV192" s="579"/>
      <c r="AW192" s="579"/>
      <c r="AX192" s="579"/>
      <c r="AY192" s="579"/>
      <c r="AZ192" s="579"/>
      <c r="BA192" s="579"/>
      <c r="BB192" s="579"/>
      <c r="BC192" s="579"/>
      <c r="BD192" s="579"/>
      <c r="BE192" s="579"/>
      <c r="BF192" s="579"/>
      <c r="BG192" s="579"/>
      <c r="BH192" s="579"/>
      <c r="BI192" s="579"/>
      <c r="BJ192" s="579"/>
      <c r="BK192" s="579"/>
      <c r="BL192" s="579"/>
      <c r="BM192" s="579"/>
      <c r="BN192" s="579"/>
      <c r="BO192" s="579"/>
      <c r="BP192" s="579"/>
      <c r="BQ192" s="579"/>
      <c r="BR192" s="579"/>
      <c r="BS192" s="579"/>
      <c r="BT192" s="579"/>
      <c r="BU192" s="579"/>
      <c r="BV192" s="579"/>
      <c r="BW192" s="579"/>
      <c r="BX192" s="579"/>
      <c r="BY192" s="579"/>
      <c r="BZ192" s="579"/>
      <c r="CA192" s="579"/>
      <c r="CB192" s="579"/>
      <c r="CC192" s="579"/>
      <c r="CD192" s="579"/>
      <c r="CE192" s="579"/>
      <c r="CF192" s="579"/>
      <c r="CG192" s="579"/>
      <c r="CH192" s="579"/>
      <c r="CI192" s="579"/>
      <c r="CJ192" s="579"/>
      <c r="CK192" s="579"/>
      <c r="CL192" s="579"/>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CM130"/>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457" bestFit="1" customWidth="1"/>
    <col min="6" max="89" width="11.42578125" style="126" customWidth="1"/>
    <col min="90" max="90" width="17.85546875" style="126" bestFit="1" customWidth="1"/>
  </cols>
  <sheetData>
    <row r="1" spans="1:91" ht="13.5" thickBot="1">
      <c r="B1" s="70" t="s">
        <v>187</v>
      </c>
      <c r="E1" s="449"/>
    </row>
    <row r="2" spans="1:91">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477">
        <f>ROWS($A$3:A3)</f>
        <v>1</v>
      </c>
      <c r="B5" s="102"/>
      <c r="C5" s="103"/>
      <c r="D5" s="263"/>
      <c r="E5" s="446"/>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477">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477">
        <f>ROWS($A$3:A5)</f>
        <v>3</v>
      </c>
      <c r="B7" s="92" t="s">
        <v>60</v>
      </c>
      <c r="C7" s="202">
        <v>2014</v>
      </c>
      <c r="D7" s="259" t="s">
        <v>1</v>
      </c>
      <c r="E7" s="447">
        <v>42208</v>
      </c>
      <c r="F7" s="154">
        <v>1055764</v>
      </c>
      <c r="G7" s="155">
        <v>691898</v>
      </c>
      <c r="H7" s="155">
        <v>935700</v>
      </c>
      <c r="I7" s="156">
        <v>891769</v>
      </c>
      <c r="J7" s="155"/>
      <c r="K7" s="154">
        <f t="shared" ref="K7:K20" si="0">BF7</f>
        <v>151157</v>
      </c>
      <c r="L7" s="155">
        <f t="shared" ref="L7:L20" si="1">AY7</f>
        <v>85814</v>
      </c>
      <c r="M7" s="155">
        <f t="shared" ref="M7:M20" si="2">BD7</f>
        <v>130441</v>
      </c>
      <c r="N7" s="155">
        <f t="shared" ref="N7:N20" si="3">AW7</f>
        <v>64236</v>
      </c>
      <c r="O7" s="155">
        <f t="shared" ref="O7:O20" si="4">BE7</f>
        <v>62712</v>
      </c>
      <c r="P7" s="155">
        <f>'2015'!AZ7+'2015'!BA7</f>
        <v>119981</v>
      </c>
      <c r="Q7" s="155">
        <f>'2015'!AU7</f>
        <v>61782</v>
      </c>
      <c r="R7" s="155">
        <f>AT7+AX7</f>
        <v>89417</v>
      </c>
      <c r="S7" s="155">
        <f t="shared" ref="S7:S20" si="5">AV7</f>
        <v>64148</v>
      </c>
      <c r="T7" s="155">
        <f t="shared" ref="T7:U20" si="6">BB7</f>
        <v>77676</v>
      </c>
      <c r="U7" s="552">
        <f t="shared" si="6"/>
        <v>148400</v>
      </c>
      <c r="V7" s="155">
        <f t="shared" ref="V7:V13" si="7">BG7+BJ7</f>
        <v>87896</v>
      </c>
      <c r="W7" s="155">
        <f t="shared" ref="W7:W20" si="8">BR7</f>
        <v>87067</v>
      </c>
      <c r="X7" s="155">
        <f t="shared" ref="X7:X13" si="9">BH7+BI7</f>
        <v>125840</v>
      </c>
      <c r="Y7" s="155">
        <f t="shared" ref="Y7:Y13" si="10">BK7+BL7+BN7</f>
        <v>131550</v>
      </c>
      <c r="Z7" s="155">
        <f t="shared" ref="Z7:Z20" si="11">BM7</f>
        <v>112625</v>
      </c>
      <c r="AA7" s="155">
        <f t="shared" ref="AA7:AA13" si="12">BO7+BQ7</f>
        <v>67169</v>
      </c>
      <c r="AB7" s="552">
        <f t="shared" ref="AB7:AB20" si="13">BP7</f>
        <v>79751</v>
      </c>
      <c r="AC7" s="155">
        <f t="shared" ref="AC7:AC20" si="14">BX7</f>
        <v>102526</v>
      </c>
      <c r="AD7" s="155">
        <f t="shared" ref="AD7:AD20" si="15">BU7</f>
        <v>67988</v>
      </c>
      <c r="AE7" s="155">
        <f t="shared" ref="AE7:AE13" si="16">BS7+BT7</f>
        <v>153140</v>
      </c>
      <c r="AF7" s="155">
        <f t="shared" ref="AF7:AF20" si="17">CA7</f>
        <v>80677</v>
      </c>
      <c r="AG7" s="155">
        <f t="shared" ref="AG7:AG20" si="18">BV7</f>
        <v>186078</v>
      </c>
      <c r="AH7" s="155">
        <f t="shared" ref="AH7:AH20" si="19">BZ7</f>
        <v>81797</v>
      </c>
      <c r="AI7" s="155">
        <f t="shared" ref="AI7:AI20" si="20">BW7</f>
        <v>76943</v>
      </c>
      <c r="AJ7" s="155">
        <f t="shared" ref="AJ7:AJ20" si="21">BY7</f>
        <v>73435</v>
      </c>
      <c r="AK7" s="552">
        <f t="shared" ref="AK7:AK20" si="22">CB7</f>
        <v>113115</v>
      </c>
      <c r="AL7" s="155">
        <f t="shared" ref="AL7:AL20" si="23">CE7</f>
        <v>91771</v>
      </c>
      <c r="AM7" s="155">
        <f t="shared" ref="AM7:AM20" si="24">CH7</f>
        <v>140975</v>
      </c>
      <c r="AN7" s="155">
        <f t="shared" ref="AN7:AN20" si="25">CJ7</f>
        <v>163182</v>
      </c>
      <c r="AO7" s="155">
        <f t="shared" ref="AO7:AP20" si="26">CC7</f>
        <v>109272</v>
      </c>
      <c r="AP7" s="155">
        <f t="shared" si="26"/>
        <v>51919</v>
      </c>
      <c r="AQ7" s="155">
        <f t="shared" ref="AQ7:AQ20" si="27">CK7</f>
        <v>120434</v>
      </c>
      <c r="AR7" s="155">
        <f t="shared" ref="AR7:AR20" si="28">CI7</f>
        <v>66480</v>
      </c>
      <c r="AS7" s="156">
        <f t="shared" ref="AS7:AS13" si="29">CF7+CG7</f>
        <v>147736</v>
      </c>
      <c r="AT7" s="155">
        <v>20735</v>
      </c>
      <c r="AU7" s="155">
        <v>61782</v>
      </c>
      <c r="AV7" s="155">
        <v>64148</v>
      </c>
      <c r="AW7" s="155">
        <v>64236</v>
      </c>
      <c r="AX7" s="155">
        <v>68682</v>
      </c>
      <c r="AY7" s="155">
        <v>85814</v>
      </c>
      <c r="AZ7" s="155">
        <v>9988</v>
      </c>
      <c r="BA7" s="155">
        <v>109993</v>
      </c>
      <c r="BB7" s="155">
        <v>77676</v>
      </c>
      <c r="BC7" s="155">
        <v>148400</v>
      </c>
      <c r="BD7" s="155">
        <v>130441</v>
      </c>
      <c r="BE7" s="155">
        <v>62712</v>
      </c>
      <c r="BF7" s="552">
        <v>151157</v>
      </c>
      <c r="BG7" s="155">
        <v>14021</v>
      </c>
      <c r="BH7" s="155">
        <v>17346</v>
      </c>
      <c r="BI7" s="155">
        <v>108494</v>
      </c>
      <c r="BJ7" s="155">
        <v>73875</v>
      </c>
      <c r="BK7" s="155">
        <v>10883</v>
      </c>
      <c r="BL7" s="155">
        <v>14496</v>
      </c>
      <c r="BM7" s="155">
        <v>112625</v>
      </c>
      <c r="BN7" s="155">
        <v>106171</v>
      </c>
      <c r="BO7" s="155">
        <v>9800</v>
      </c>
      <c r="BP7" s="155">
        <v>79751</v>
      </c>
      <c r="BQ7" s="155">
        <v>57369</v>
      </c>
      <c r="BR7" s="552">
        <v>87067</v>
      </c>
      <c r="BS7" s="155">
        <v>15306</v>
      </c>
      <c r="BT7" s="155">
        <v>137834</v>
      </c>
      <c r="BU7" s="155">
        <v>67988</v>
      </c>
      <c r="BV7" s="155">
        <v>186078</v>
      </c>
      <c r="BW7" s="155">
        <v>76943</v>
      </c>
      <c r="BX7" s="155">
        <v>102526</v>
      </c>
      <c r="BY7" s="155">
        <v>73435</v>
      </c>
      <c r="BZ7" s="155">
        <v>81797</v>
      </c>
      <c r="CA7" s="155">
        <v>80677</v>
      </c>
      <c r="CB7" s="552">
        <v>113115</v>
      </c>
      <c r="CC7" s="155">
        <v>109272</v>
      </c>
      <c r="CD7" s="155">
        <v>51919</v>
      </c>
      <c r="CE7" s="155">
        <v>91771</v>
      </c>
      <c r="CF7" s="155">
        <v>11869</v>
      </c>
      <c r="CG7" s="281">
        <v>135867</v>
      </c>
      <c r="CH7" s="155">
        <v>140975</v>
      </c>
      <c r="CI7" s="155">
        <v>66480</v>
      </c>
      <c r="CJ7" s="155">
        <v>163182</v>
      </c>
      <c r="CK7" s="156">
        <v>120434</v>
      </c>
      <c r="CL7" s="596">
        <v>3575132</v>
      </c>
      <c r="CM7" s="422"/>
    </row>
    <row r="8" spans="1:91" ht="14.25">
      <c r="A8" s="477">
        <f>ROWS($A$3:A6)</f>
        <v>4</v>
      </c>
      <c r="B8" s="92" t="s">
        <v>242</v>
      </c>
      <c r="C8" s="203"/>
      <c r="D8" s="259" t="s">
        <v>1</v>
      </c>
      <c r="E8" s="451"/>
      <c r="F8" s="154">
        <v>174451</v>
      </c>
      <c r="G8" s="155">
        <v>114258</v>
      </c>
      <c r="H8" s="155">
        <v>113574</v>
      </c>
      <c r="I8" s="156">
        <v>110662</v>
      </c>
      <c r="J8" s="155"/>
      <c r="K8" s="154">
        <f t="shared" si="0"/>
        <v>19427</v>
      </c>
      <c r="L8" s="155">
        <f t="shared" si="1"/>
        <v>15089</v>
      </c>
      <c r="M8" s="155">
        <f t="shared" si="2"/>
        <v>14143</v>
      </c>
      <c r="N8" s="155">
        <f t="shared" si="3"/>
        <v>10599</v>
      </c>
      <c r="O8" s="155">
        <f t="shared" si="4"/>
        <v>7876</v>
      </c>
      <c r="P8" s="155">
        <f>'2015'!AZ8+'2015'!BA8</f>
        <v>22720</v>
      </c>
      <c r="Q8" s="155">
        <f>'2015'!AU8</f>
        <v>13948</v>
      </c>
      <c r="R8" s="155">
        <f>AT8+AX8</f>
        <v>27352</v>
      </c>
      <c r="S8" s="155">
        <f t="shared" si="5"/>
        <v>15827</v>
      </c>
      <c r="T8" s="155">
        <f t="shared" si="6"/>
        <v>10139</v>
      </c>
      <c r="U8" s="552">
        <f t="shared" si="6"/>
        <v>17332</v>
      </c>
      <c r="V8" s="155">
        <f t="shared" si="7"/>
        <v>12497</v>
      </c>
      <c r="W8" s="155">
        <f t="shared" si="8"/>
        <v>8403</v>
      </c>
      <c r="X8" s="155">
        <f t="shared" si="9"/>
        <v>27638</v>
      </c>
      <c r="Y8" s="155">
        <f t="shared" si="10"/>
        <v>32519</v>
      </c>
      <c r="Z8" s="155">
        <f t="shared" si="11"/>
        <v>12023</v>
      </c>
      <c r="AA8" s="155">
        <f t="shared" si="12"/>
        <v>12261</v>
      </c>
      <c r="AB8" s="552">
        <f t="shared" si="13"/>
        <v>8918</v>
      </c>
      <c r="AC8" s="155">
        <f t="shared" si="14"/>
        <v>11829</v>
      </c>
      <c r="AD8" s="155">
        <f t="shared" si="15"/>
        <v>7511</v>
      </c>
      <c r="AE8" s="155">
        <f t="shared" si="16"/>
        <v>19399</v>
      </c>
      <c r="AF8" s="155">
        <f t="shared" si="17"/>
        <v>10280</v>
      </c>
      <c r="AG8" s="155">
        <f t="shared" si="18"/>
        <v>21812</v>
      </c>
      <c r="AH8" s="155">
        <f t="shared" si="19"/>
        <v>12694</v>
      </c>
      <c r="AI8" s="155">
        <f t="shared" si="20"/>
        <v>9912</v>
      </c>
      <c r="AJ8" s="155">
        <f t="shared" si="21"/>
        <v>8585</v>
      </c>
      <c r="AK8" s="552">
        <f t="shared" si="22"/>
        <v>11552</v>
      </c>
      <c r="AL8" s="155">
        <f t="shared" si="23"/>
        <v>12353</v>
      </c>
      <c r="AM8" s="155">
        <f t="shared" si="24"/>
        <v>16350</v>
      </c>
      <c r="AN8" s="155">
        <f t="shared" si="25"/>
        <v>17202</v>
      </c>
      <c r="AO8" s="155">
        <f t="shared" si="26"/>
        <v>14354</v>
      </c>
      <c r="AP8" s="155">
        <f t="shared" si="26"/>
        <v>9315</v>
      </c>
      <c r="AQ8" s="155">
        <f t="shared" si="27"/>
        <v>11890</v>
      </c>
      <c r="AR8" s="155">
        <f t="shared" si="28"/>
        <v>9824</v>
      </c>
      <c r="AS8" s="156">
        <f t="shared" si="29"/>
        <v>19373</v>
      </c>
      <c r="AT8" s="155">
        <v>10678</v>
      </c>
      <c r="AU8" s="155">
        <v>13948</v>
      </c>
      <c r="AV8" s="155">
        <v>15827</v>
      </c>
      <c r="AW8" s="155">
        <v>10599</v>
      </c>
      <c r="AX8" s="155">
        <v>16674</v>
      </c>
      <c r="AY8" s="155">
        <v>15089</v>
      </c>
      <c r="AZ8" s="155">
        <v>3562</v>
      </c>
      <c r="BA8" s="155">
        <v>19158</v>
      </c>
      <c r="BB8" s="155">
        <v>10139</v>
      </c>
      <c r="BC8" s="155">
        <v>17332</v>
      </c>
      <c r="BD8" s="155">
        <v>14143</v>
      </c>
      <c r="BE8" s="155">
        <v>7876</v>
      </c>
      <c r="BF8" s="552">
        <v>19427</v>
      </c>
      <c r="BG8" s="155">
        <v>2062</v>
      </c>
      <c r="BH8" s="155">
        <v>8067</v>
      </c>
      <c r="BI8" s="155">
        <v>19571</v>
      </c>
      <c r="BJ8" s="155">
        <v>10435</v>
      </c>
      <c r="BK8" s="155">
        <v>3279</v>
      </c>
      <c r="BL8" s="155">
        <v>8430</v>
      </c>
      <c r="BM8" s="155">
        <v>12023</v>
      </c>
      <c r="BN8" s="155">
        <v>20810</v>
      </c>
      <c r="BO8" s="155">
        <v>3049</v>
      </c>
      <c r="BP8" s="155">
        <v>8918</v>
      </c>
      <c r="BQ8" s="155">
        <v>9212</v>
      </c>
      <c r="BR8" s="552">
        <v>8403</v>
      </c>
      <c r="BS8" s="155">
        <v>5038</v>
      </c>
      <c r="BT8" s="155">
        <v>14361</v>
      </c>
      <c r="BU8" s="155">
        <v>7511</v>
      </c>
      <c r="BV8" s="155">
        <v>21812</v>
      </c>
      <c r="BW8" s="155">
        <v>9912</v>
      </c>
      <c r="BX8" s="155">
        <v>11829</v>
      </c>
      <c r="BY8" s="155">
        <v>8585</v>
      </c>
      <c r="BZ8" s="155">
        <v>12694</v>
      </c>
      <c r="CA8" s="155">
        <v>10280</v>
      </c>
      <c r="CB8" s="552">
        <v>11552</v>
      </c>
      <c r="CC8" s="155">
        <v>14354</v>
      </c>
      <c r="CD8" s="155">
        <v>9315</v>
      </c>
      <c r="CE8" s="155">
        <v>12353</v>
      </c>
      <c r="CF8" s="155">
        <v>3830</v>
      </c>
      <c r="CG8" s="281">
        <v>15543</v>
      </c>
      <c r="CH8" s="155">
        <v>16350</v>
      </c>
      <c r="CI8" s="155">
        <v>9824</v>
      </c>
      <c r="CJ8" s="155">
        <v>17202</v>
      </c>
      <c r="CK8" s="156">
        <v>11890</v>
      </c>
      <c r="CL8" s="320">
        <v>512944</v>
      </c>
      <c r="CM8" s="422"/>
    </row>
    <row r="9" spans="1:91">
      <c r="A9" s="477">
        <f>ROWS($A$3:A7)</f>
        <v>5</v>
      </c>
      <c r="B9" s="92" t="s">
        <v>0</v>
      </c>
      <c r="C9" s="203"/>
      <c r="D9" s="259" t="s">
        <v>1</v>
      </c>
      <c r="E9" s="451"/>
      <c r="F9" s="154">
        <v>529847</v>
      </c>
      <c r="G9" s="155">
        <v>251514</v>
      </c>
      <c r="H9" s="155">
        <v>371200</v>
      </c>
      <c r="I9" s="156">
        <v>474642</v>
      </c>
      <c r="J9" s="155"/>
      <c r="K9" s="154">
        <f t="shared" si="0"/>
        <v>70745</v>
      </c>
      <c r="L9" s="155">
        <f t="shared" si="1"/>
        <v>36115</v>
      </c>
      <c r="M9" s="155">
        <f t="shared" si="2"/>
        <v>75336</v>
      </c>
      <c r="N9" s="155">
        <f t="shared" si="3"/>
        <v>32188</v>
      </c>
      <c r="O9" s="155">
        <f t="shared" si="4"/>
        <v>27163</v>
      </c>
      <c r="P9" s="155">
        <f>'2015'!AZ9+'2015'!BA9</f>
        <v>65583</v>
      </c>
      <c r="Q9" s="155">
        <f>'2015'!AU9</f>
        <v>25649</v>
      </c>
      <c r="R9" s="155">
        <f t="shared" ref="R9:R16" si="30">AT9+AX9</f>
        <v>42663</v>
      </c>
      <c r="S9" s="155">
        <f t="shared" si="5"/>
        <v>28485</v>
      </c>
      <c r="T9" s="155">
        <f t="shared" si="6"/>
        <v>44217</v>
      </c>
      <c r="U9" s="552">
        <f t="shared" si="6"/>
        <v>81702</v>
      </c>
      <c r="V9" s="155">
        <f t="shared" si="7"/>
        <v>25874</v>
      </c>
      <c r="W9" s="155">
        <f t="shared" si="8"/>
        <v>22924</v>
      </c>
      <c r="X9" s="155">
        <f t="shared" si="9"/>
        <v>52346</v>
      </c>
      <c r="Y9" s="155">
        <f t="shared" si="10"/>
        <v>50944</v>
      </c>
      <c r="Z9" s="155">
        <f t="shared" si="11"/>
        <v>51711</v>
      </c>
      <c r="AA9" s="155">
        <f t="shared" si="12"/>
        <v>27007</v>
      </c>
      <c r="AB9" s="552">
        <f t="shared" si="13"/>
        <v>20707</v>
      </c>
      <c r="AC9" s="155">
        <f t="shared" si="14"/>
        <v>42583</v>
      </c>
      <c r="AD9" s="155">
        <f t="shared" si="15"/>
        <v>27511</v>
      </c>
      <c r="AE9" s="155">
        <f t="shared" si="16"/>
        <v>58623</v>
      </c>
      <c r="AF9" s="155">
        <f t="shared" si="17"/>
        <v>27574</v>
      </c>
      <c r="AG9" s="155">
        <f t="shared" si="18"/>
        <v>70617</v>
      </c>
      <c r="AH9" s="155">
        <f t="shared" si="19"/>
        <v>40225</v>
      </c>
      <c r="AI9" s="155">
        <f t="shared" si="20"/>
        <v>32848</v>
      </c>
      <c r="AJ9" s="155">
        <f t="shared" si="21"/>
        <v>27265</v>
      </c>
      <c r="AK9" s="552">
        <f t="shared" si="22"/>
        <v>43955</v>
      </c>
      <c r="AL9" s="155">
        <f t="shared" si="23"/>
        <v>40851</v>
      </c>
      <c r="AM9" s="155">
        <f t="shared" si="24"/>
        <v>81946</v>
      </c>
      <c r="AN9" s="155">
        <f t="shared" si="25"/>
        <v>96117</v>
      </c>
      <c r="AO9" s="155">
        <f t="shared" si="26"/>
        <v>52478</v>
      </c>
      <c r="AP9" s="155">
        <f t="shared" si="26"/>
        <v>23790</v>
      </c>
      <c r="AQ9" s="155">
        <f t="shared" si="27"/>
        <v>59646</v>
      </c>
      <c r="AR9" s="155">
        <f t="shared" si="28"/>
        <v>36934</v>
      </c>
      <c r="AS9" s="156">
        <f t="shared" si="29"/>
        <v>82881</v>
      </c>
      <c r="AT9" s="155">
        <v>4757</v>
      </c>
      <c r="AU9" s="155">
        <v>25649</v>
      </c>
      <c r="AV9" s="155">
        <v>28485</v>
      </c>
      <c r="AW9" s="155">
        <v>32188</v>
      </c>
      <c r="AX9" s="155">
        <v>37906</v>
      </c>
      <c r="AY9" s="155">
        <v>36115</v>
      </c>
      <c r="AZ9" s="155">
        <v>4731</v>
      </c>
      <c r="BA9" s="155">
        <v>60852</v>
      </c>
      <c r="BB9" s="155">
        <v>44217</v>
      </c>
      <c r="BC9" s="155">
        <v>81702</v>
      </c>
      <c r="BD9" s="155">
        <v>75336</v>
      </c>
      <c r="BE9" s="155">
        <v>27163</v>
      </c>
      <c r="BF9" s="552">
        <v>70745</v>
      </c>
      <c r="BG9" s="155">
        <v>3119</v>
      </c>
      <c r="BH9" s="155">
        <v>3939</v>
      </c>
      <c r="BI9" s="155">
        <v>48407</v>
      </c>
      <c r="BJ9" s="155">
        <v>22755</v>
      </c>
      <c r="BK9" s="155">
        <v>2868</v>
      </c>
      <c r="BL9" s="155">
        <v>3454</v>
      </c>
      <c r="BM9" s="155">
        <v>51711</v>
      </c>
      <c r="BN9" s="155">
        <v>44622</v>
      </c>
      <c r="BO9" s="155">
        <v>1647</v>
      </c>
      <c r="BP9" s="155">
        <v>20707</v>
      </c>
      <c r="BQ9" s="155">
        <v>25360</v>
      </c>
      <c r="BR9" s="552">
        <v>22924</v>
      </c>
      <c r="BS9" s="155">
        <v>3905</v>
      </c>
      <c r="BT9" s="155">
        <v>54718</v>
      </c>
      <c r="BU9" s="155">
        <v>27511</v>
      </c>
      <c r="BV9" s="155">
        <v>70617</v>
      </c>
      <c r="BW9" s="155">
        <v>32848</v>
      </c>
      <c r="BX9" s="155">
        <v>42583</v>
      </c>
      <c r="BY9" s="155">
        <v>27265</v>
      </c>
      <c r="BZ9" s="155">
        <v>40225</v>
      </c>
      <c r="CA9" s="155">
        <v>27574</v>
      </c>
      <c r="CB9" s="552">
        <v>43955</v>
      </c>
      <c r="CC9" s="155">
        <v>52478</v>
      </c>
      <c r="CD9" s="155">
        <v>23790</v>
      </c>
      <c r="CE9" s="155">
        <v>40851</v>
      </c>
      <c r="CF9" s="155">
        <v>5201</v>
      </c>
      <c r="CG9" s="281">
        <v>77680</v>
      </c>
      <c r="CH9" s="155">
        <v>81946</v>
      </c>
      <c r="CI9" s="155">
        <v>36934</v>
      </c>
      <c r="CJ9" s="155">
        <v>96117</v>
      </c>
      <c r="CK9" s="156">
        <v>59646</v>
      </c>
      <c r="CL9" s="320">
        <v>1627203</v>
      </c>
      <c r="CM9" s="422"/>
    </row>
    <row r="10" spans="1:91">
      <c r="A10" s="477">
        <f>ROWS($A$3:A8)</f>
        <v>6</v>
      </c>
      <c r="B10" s="92" t="s">
        <v>202</v>
      </c>
      <c r="C10" s="203"/>
      <c r="D10" s="259" t="s">
        <v>1</v>
      </c>
      <c r="E10" s="451"/>
      <c r="F10" s="154">
        <v>335293</v>
      </c>
      <c r="G10" s="155">
        <v>310022</v>
      </c>
      <c r="H10" s="155">
        <v>432375</v>
      </c>
      <c r="I10" s="156">
        <v>291816</v>
      </c>
      <c r="J10" s="155"/>
      <c r="K10" s="154">
        <f t="shared" si="0"/>
        <v>59351</v>
      </c>
      <c r="L10" s="155">
        <f t="shared" si="1"/>
        <v>33683</v>
      </c>
      <c r="M10" s="155">
        <f t="shared" si="2"/>
        <v>38565</v>
      </c>
      <c r="N10" s="155">
        <f t="shared" si="3"/>
        <v>20657</v>
      </c>
      <c r="O10" s="155">
        <f t="shared" si="4"/>
        <v>26965</v>
      </c>
      <c r="P10" s="155">
        <f>'2015'!AZ10+'2015'!BA10</f>
        <v>29529</v>
      </c>
      <c r="Q10" s="155">
        <f>'2015'!AU10</f>
        <v>21397</v>
      </c>
      <c r="R10" s="155">
        <f t="shared" si="30"/>
        <v>17465</v>
      </c>
      <c r="S10" s="155">
        <f t="shared" si="5"/>
        <v>18752</v>
      </c>
      <c r="T10" s="155">
        <f t="shared" si="6"/>
        <v>21896</v>
      </c>
      <c r="U10" s="552">
        <f t="shared" si="6"/>
        <v>47033</v>
      </c>
      <c r="V10" s="155">
        <f t="shared" si="7"/>
        <v>46151</v>
      </c>
      <c r="W10" s="155">
        <f t="shared" si="8"/>
        <v>54657</v>
      </c>
      <c r="X10" s="155">
        <f t="shared" si="9"/>
        <v>41309</v>
      </c>
      <c r="Y10" s="155">
        <f t="shared" si="10"/>
        <v>44204</v>
      </c>
      <c r="Z10" s="155">
        <f t="shared" si="11"/>
        <v>47441</v>
      </c>
      <c r="AA10" s="155">
        <f t="shared" si="12"/>
        <v>26968</v>
      </c>
      <c r="AB10" s="552">
        <f t="shared" si="13"/>
        <v>49292</v>
      </c>
      <c r="AC10" s="155">
        <f t="shared" si="14"/>
        <v>46945</v>
      </c>
      <c r="AD10" s="155">
        <f t="shared" si="15"/>
        <v>31127</v>
      </c>
      <c r="AE10" s="155">
        <f t="shared" si="16"/>
        <v>71694</v>
      </c>
      <c r="AF10" s="155">
        <f t="shared" si="17"/>
        <v>41606</v>
      </c>
      <c r="AG10" s="155">
        <f t="shared" si="18"/>
        <v>88048</v>
      </c>
      <c r="AH10" s="155">
        <f t="shared" si="19"/>
        <v>27366</v>
      </c>
      <c r="AI10" s="155">
        <f t="shared" si="20"/>
        <v>33035</v>
      </c>
      <c r="AJ10" s="155">
        <f t="shared" si="21"/>
        <v>36730</v>
      </c>
      <c r="AK10" s="552">
        <f t="shared" si="22"/>
        <v>55823</v>
      </c>
      <c r="AL10" s="155">
        <f t="shared" si="23"/>
        <v>37396</v>
      </c>
      <c r="AM10" s="155">
        <f t="shared" si="24"/>
        <v>40190</v>
      </c>
      <c r="AN10" s="155">
        <f t="shared" si="25"/>
        <v>46931</v>
      </c>
      <c r="AO10" s="155">
        <f t="shared" si="26"/>
        <v>41361</v>
      </c>
      <c r="AP10" s="155">
        <f t="shared" si="26"/>
        <v>17965</v>
      </c>
      <c r="AQ10" s="155">
        <f t="shared" si="27"/>
        <v>46787</v>
      </c>
      <c r="AR10" s="155">
        <f t="shared" si="28"/>
        <v>18639</v>
      </c>
      <c r="AS10" s="156">
        <f t="shared" si="29"/>
        <v>42547</v>
      </c>
      <c r="AT10" s="281">
        <v>4970</v>
      </c>
      <c r="AU10" s="155">
        <v>21397</v>
      </c>
      <c r="AV10" s="155">
        <v>18752</v>
      </c>
      <c r="AW10" s="155">
        <v>20657</v>
      </c>
      <c r="AX10" s="155">
        <v>12495</v>
      </c>
      <c r="AY10" s="155">
        <v>33683</v>
      </c>
      <c r="AZ10" s="155">
        <v>1420</v>
      </c>
      <c r="BA10" s="155">
        <v>28109</v>
      </c>
      <c r="BB10" s="155">
        <v>21896</v>
      </c>
      <c r="BC10" s="155">
        <v>47033</v>
      </c>
      <c r="BD10" s="155">
        <v>38565</v>
      </c>
      <c r="BE10" s="155">
        <v>26965</v>
      </c>
      <c r="BF10" s="552">
        <v>59351</v>
      </c>
      <c r="BG10" s="155">
        <v>8632</v>
      </c>
      <c r="BH10" s="155">
        <v>4529</v>
      </c>
      <c r="BI10" s="155">
        <v>36780</v>
      </c>
      <c r="BJ10" s="155">
        <v>37519</v>
      </c>
      <c r="BK10" s="155">
        <v>4430</v>
      </c>
      <c r="BL10" s="155">
        <v>1812</v>
      </c>
      <c r="BM10" s="155">
        <v>47441</v>
      </c>
      <c r="BN10" s="155">
        <v>37962</v>
      </c>
      <c r="BO10" s="155">
        <v>5008</v>
      </c>
      <c r="BP10" s="155">
        <v>49292</v>
      </c>
      <c r="BQ10" s="155">
        <v>21960</v>
      </c>
      <c r="BR10" s="552">
        <v>54657</v>
      </c>
      <c r="BS10" s="155">
        <v>6095</v>
      </c>
      <c r="BT10" s="155">
        <v>65599</v>
      </c>
      <c r="BU10" s="155">
        <v>31127</v>
      </c>
      <c r="BV10" s="155">
        <v>88048</v>
      </c>
      <c r="BW10" s="155">
        <v>33035</v>
      </c>
      <c r="BX10" s="155">
        <v>46945</v>
      </c>
      <c r="BY10" s="155">
        <v>36730</v>
      </c>
      <c r="BZ10" s="155">
        <v>27366</v>
      </c>
      <c r="CA10" s="155">
        <v>41606</v>
      </c>
      <c r="CB10" s="552">
        <v>55823</v>
      </c>
      <c r="CC10" s="155">
        <v>41361</v>
      </c>
      <c r="CD10" s="155">
        <v>17965</v>
      </c>
      <c r="CE10" s="155">
        <v>37396</v>
      </c>
      <c r="CF10" s="155">
        <v>2291</v>
      </c>
      <c r="CG10" s="281">
        <v>40256</v>
      </c>
      <c r="CH10" s="155">
        <v>40190</v>
      </c>
      <c r="CI10" s="155">
        <v>18639</v>
      </c>
      <c r="CJ10" s="155">
        <v>46931</v>
      </c>
      <c r="CK10" s="156">
        <v>46787</v>
      </c>
      <c r="CL10" s="320">
        <v>1369506</v>
      </c>
      <c r="CM10" s="422"/>
    </row>
    <row r="11" spans="1:91">
      <c r="A11" s="477">
        <f>ROWS($A$3:A9)</f>
        <v>7</v>
      </c>
      <c r="B11" s="92" t="s">
        <v>2</v>
      </c>
      <c r="C11" s="203"/>
      <c r="D11" s="259" t="s">
        <v>1</v>
      </c>
      <c r="E11" s="451"/>
      <c r="F11" s="154">
        <v>9006</v>
      </c>
      <c r="G11" s="155">
        <v>10143</v>
      </c>
      <c r="H11" s="155">
        <v>11793</v>
      </c>
      <c r="I11" s="156">
        <v>8037</v>
      </c>
      <c r="J11" s="155"/>
      <c r="K11" s="154">
        <f t="shared" si="0"/>
        <v>1155</v>
      </c>
      <c r="L11" s="155">
        <f t="shared" si="1"/>
        <v>524</v>
      </c>
      <c r="M11" s="155">
        <f t="shared" si="2"/>
        <v>1065</v>
      </c>
      <c r="N11" s="155">
        <f t="shared" si="3"/>
        <v>310</v>
      </c>
      <c r="O11" s="155">
        <f t="shared" si="4"/>
        <v>255</v>
      </c>
      <c r="P11" s="155">
        <f>'2015'!AZ11+'2015'!BA11</f>
        <v>1454</v>
      </c>
      <c r="Q11" s="155">
        <f>'2015'!AU11</f>
        <v>255</v>
      </c>
      <c r="R11" s="155">
        <f t="shared" si="30"/>
        <v>1180</v>
      </c>
      <c r="S11" s="155">
        <f t="shared" si="5"/>
        <v>613</v>
      </c>
      <c r="T11" s="155">
        <f t="shared" si="6"/>
        <v>823</v>
      </c>
      <c r="U11" s="552">
        <f t="shared" si="6"/>
        <v>1372</v>
      </c>
      <c r="V11" s="155">
        <f t="shared" si="7"/>
        <v>2362</v>
      </c>
      <c r="W11" s="155">
        <f t="shared" si="8"/>
        <v>518</v>
      </c>
      <c r="X11" s="155">
        <f t="shared" si="9"/>
        <v>3106</v>
      </c>
      <c r="Y11" s="155">
        <f t="shared" si="10"/>
        <v>2676</v>
      </c>
      <c r="Z11" s="155">
        <f t="shared" si="11"/>
        <v>757</v>
      </c>
      <c r="AA11" s="155">
        <f t="shared" si="12"/>
        <v>402</v>
      </c>
      <c r="AB11" s="552">
        <f t="shared" si="13"/>
        <v>322</v>
      </c>
      <c r="AC11" s="155">
        <f t="shared" si="14"/>
        <v>669</v>
      </c>
      <c r="AD11" s="155">
        <f t="shared" si="15"/>
        <v>975</v>
      </c>
      <c r="AE11" s="155">
        <f t="shared" si="16"/>
        <v>2237</v>
      </c>
      <c r="AF11" s="155">
        <f t="shared" si="17"/>
        <v>927</v>
      </c>
      <c r="AG11" s="155">
        <f t="shared" si="18"/>
        <v>3760</v>
      </c>
      <c r="AH11" s="155">
        <f t="shared" si="19"/>
        <v>981</v>
      </c>
      <c r="AI11" s="155">
        <f t="shared" si="20"/>
        <v>453</v>
      </c>
      <c r="AJ11" s="155">
        <f t="shared" si="21"/>
        <v>350</v>
      </c>
      <c r="AK11" s="552">
        <f t="shared" si="22"/>
        <v>1440</v>
      </c>
      <c r="AL11" s="155">
        <f t="shared" si="23"/>
        <v>387</v>
      </c>
      <c r="AM11" s="155">
        <f t="shared" si="24"/>
        <v>1542</v>
      </c>
      <c r="AN11" s="155">
        <f t="shared" si="25"/>
        <v>2193</v>
      </c>
      <c r="AO11" s="155">
        <f t="shared" si="26"/>
        <v>269</v>
      </c>
      <c r="AP11" s="155">
        <f t="shared" si="26"/>
        <v>475</v>
      </c>
      <c r="AQ11" s="155">
        <f t="shared" si="27"/>
        <v>1141</v>
      </c>
      <c r="AR11" s="155">
        <f t="shared" si="28"/>
        <v>711</v>
      </c>
      <c r="AS11" s="156">
        <f t="shared" si="29"/>
        <v>1320</v>
      </c>
      <c r="AT11" s="281">
        <v>272</v>
      </c>
      <c r="AU11" s="155">
        <v>255</v>
      </c>
      <c r="AV11" s="155">
        <v>613</v>
      </c>
      <c r="AW11" s="155">
        <v>310</v>
      </c>
      <c r="AX11" s="155">
        <v>908</v>
      </c>
      <c r="AY11" s="155">
        <v>524</v>
      </c>
      <c r="AZ11" s="155">
        <v>216</v>
      </c>
      <c r="BA11" s="155">
        <v>1238</v>
      </c>
      <c r="BB11" s="155">
        <v>823</v>
      </c>
      <c r="BC11" s="155">
        <v>1372</v>
      </c>
      <c r="BD11" s="155">
        <v>1065</v>
      </c>
      <c r="BE11" s="155">
        <v>255</v>
      </c>
      <c r="BF11" s="552">
        <v>1155</v>
      </c>
      <c r="BG11" s="155">
        <v>137</v>
      </c>
      <c r="BH11" s="155">
        <v>705</v>
      </c>
      <c r="BI11" s="155">
        <v>2401</v>
      </c>
      <c r="BJ11" s="155">
        <v>2225</v>
      </c>
      <c r="BK11" s="155">
        <v>252</v>
      </c>
      <c r="BL11" s="155">
        <v>761</v>
      </c>
      <c r="BM11" s="155">
        <v>757</v>
      </c>
      <c r="BN11" s="155">
        <v>1663</v>
      </c>
      <c r="BO11" s="155">
        <v>73</v>
      </c>
      <c r="BP11" s="155">
        <v>322</v>
      </c>
      <c r="BQ11" s="155">
        <v>329</v>
      </c>
      <c r="BR11" s="552">
        <v>518</v>
      </c>
      <c r="BS11" s="155">
        <v>207</v>
      </c>
      <c r="BT11" s="155">
        <v>2030</v>
      </c>
      <c r="BU11" s="155">
        <v>975</v>
      </c>
      <c r="BV11" s="155">
        <v>3760</v>
      </c>
      <c r="BW11" s="155">
        <v>453</v>
      </c>
      <c r="BX11" s="155">
        <v>669</v>
      </c>
      <c r="BY11" s="155">
        <v>350</v>
      </c>
      <c r="BZ11" s="155">
        <v>981</v>
      </c>
      <c r="CA11" s="155">
        <v>927</v>
      </c>
      <c r="CB11" s="552">
        <v>1440</v>
      </c>
      <c r="CC11" s="155">
        <v>269</v>
      </c>
      <c r="CD11" s="155">
        <v>475</v>
      </c>
      <c r="CE11" s="155">
        <v>387</v>
      </c>
      <c r="CF11" s="155">
        <v>177</v>
      </c>
      <c r="CG11" s="281">
        <v>1143</v>
      </c>
      <c r="CH11" s="155">
        <v>1542</v>
      </c>
      <c r="CI11" s="155">
        <v>711</v>
      </c>
      <c r="CJ11" s="155">
        <v>2193</v>
      </c>
      <c r="CK11" s="156">
        <v>1141</v>
      </c>
      <c r="CL11" s="320">
        <v>38980</v>
      </c>
      <c r="CM11" s="422"/>
    </row>
    <row r="12" spans="1:91">
      <c r="A12" s="477">
        <f>ROWS($A$3:A10)</f>
        <v>8</v>
      </c>
      <c r="B12" s="92" t="s">
        <v>283</v>
      </c>
      <c r="C12" s="203"/>
      <c r="D12" s="259" t="s">
        <v>1</v>
      </c>
      <c r="E12" s="451"/>
      <c r="F12" s="154">
        <f>F7-SUM(F8:F11)</f>
        <v>7167</v>
      </c>
      <c r="G12" s="155">
        <f>G7-SUM(G8:G11)</f>
        <v>5961</v>
      </c>
      <c r="H12" s="155">
        <f>H7-SUM(H8:H11)</f>
        <v>6758</v>
      </c>
      <c r="I12" s="156">
        <f>I7-SUM(I8:I11)</f>
        <v>6612</v>
      </c>
      <c r="J12" s="155"/>
      <c r="K12" s="154">
        <f t="shared" si="0"/>
        <v>479</v>
      </c>
      <c r="L12" s="155">
        <f t="shared" si="1"/>
        <v>403</v>
      </c>
      <c r="M12" s="155">
        <f t="shared" si="2"/>
        <v>1332</v>
      </c>
      <c r="N12" s="155">
        <f t="shared" si="3"/>
        <v>482</v>
      </c>
      <c r="O12" s="155">
        <f t="shared" si="4"/>
        <v>453</v>
      </c>
      <c r="P12" s="155">
        <f>'2015'!AZ12+'2015'!BA12</f>
        <v>695</v>
      </c>
      <c r="Q12" s="155">
        <f>'2015'!AU12</f>
        <v>533</v>
      </c>
      <c r="R12" s="155">
        <f t="shared" si="30"/>
        <v>757</v>
      </c>
      <c r="S12" s="155">
        <f t="shared" si="5"/>
        <v>471</v>
      </c>
      <c r="T12" s="155">
        <f t="shared" si="6"/>
        <v>601</v>
      </c>
      <c r="U12" s="552">
        <f t="shared" si="6"/>
        <v>961</v>
      </c>
      <c r="V12" s="155">
        <f t="shared" si="7"/>
        <v>1012</v>
      </c>
      <c r="W12" s="155">
        <f t="shared" si="8"/>
        <v>565</v>
      </c>
      <c r="X12" s="155">
        <f t="shared" si="9"/>
        <v>1441</v>
      </c>
      <c r="Y12" s="155">
        <f t="shared" si="10"/>
        <v>1207</v>
      </c>
      <c r="Z12" s="155">
        <f t="shared" si="11"/>
        <v>693</v>
      </c>
      <c r="AA12" s="155">
        <f t="shared" si="12"/>
        <v>531</v>
      </c>
      <c r="AB12" s="552">
        <f t="shared" si="13"/>
        <v>512</v>
      </c>
      <c r="AC12" s="155">
        <f t="shared" si="14"/>
        <v>500</v>
      </c>
      <c r="AD12" s="155">
        <f t="shared" si="15"/>
        <v>864</v>
      </c>
      <c r="AE12" s="155">
        <f t="shared" si="16"/>
        <v>1187</v>
      </c>
      <c r="AF12" s="155">
        <f t="shared" si="17"/>
        <v>290</v>
      </c>
      <c r="AG12" s="155">
        <f t="shared" si="18"/>
        <v>1841</v>
      </c>
      <c r="AH12" s="155">
        <f t="shared" si="19"/>
        <v>531</v>
      </c>
      <c r="AI12" s="155">
        <f t="shared" si="20"/>
        <v>695</v>
      </c>
      <c r="AJ12" s="155">
        <f t="shared" si="21"/>
        <v>505</v>
      </c>
      <c r="AK12" s="552">
        <f t="shared" si="22"/>
        <v>345</v>
      </c>
      <c r="AL12" s="155">
        <f t="shared" si="23"/>
        <v>784</v>
      </c>
      <c r="AM12" s="155">
        <f t="shared" si="24"/>
        <v>947</v>
      </c>
      <c r="AN12" s="155">
        <f t="shared" si="25"/>
        <v>739</v>
      </c>
      <c r="AO12" s="155">
        <f t="shared" si="26"/>
        <v>810</v>
      </c>
      <c r="AP12" s="155">
        <f t="shared" si="26"/>
        <v>374</v>
      </c>
      <c r="AQ12" s="155">
        <f t="shared" si="27"/>
        <v>970</v>
      </c>
      <c r="AR12" s="155">
        <f t="shared" si="28"/>
        <v>372</v>
      </c>
      <c r="AS12" s="156">
        <f t="shared" si="29"/>
        <v>1615</v>
      </c>
      <c r="AT12" s="281">
        <f>AT7-SUM(AT8:AT11)</f>
        <v>58</v>
      </c>
      <c r="AU12" s="155">
        <f t="shared" ref="AU12:CL12" si="31">AU7-SUM(AU8:AU11)</f>
        <v>533</v>
      </c>
      <c r="AV12" s="155">
        <f t="shared" si="31"/>
        <v>471</v>
      </c>
      <c r="AW12" s="155">
        <f t="shared" si="31"/>
        <v>482</v>
      </c>
      <c r="AX12" s="155">
        <f t="shared" si="31"/>
        <v>699</v>
      </c>
      <c r="AY12" s="155">
        <f t="shared" si="31"/>
        <v>403</v>
      </c>
      <c r="AZ12" s="155">
        <f t="shared" si="31"/>
        <v>59</v>
      </c>
      <c r="BA12" s="155">
        <f t="shared" si="31"/>
        <v>636</v>
      </c>
      <c r="BB12" s="155">
        <f t="shared" si="31"/>
        <v>601</v>
      </c>
      <c r="BC12" s="155">
        <f t="shared" si="31"/>
        <v>961</v>
      </c>
      <c r="BD12" s="155">
        <f t="shared" si="31"/>
        <v>1332</v>
      </c>
      <c r="BE12" s="155">
        <f t="shared" si="31"/>
        <v>453</v>
      </c>
      <c r="BF12" s="552">
        <f t="shared" si="31"/>
        <v>479</v>
      </c>
      <c r="BG12" s="155">
        <f t="shared" si="31"/>
        <v>71</v>
      </c>
      <c r="BH12" s="155">
        <f t="shared" si="31"/>
        <v>106</v>
      </c>
      <c r="BI12" s="155">
        <f t="shared" si="31"/>
        <v>1335</v>
      </c>
      <c r="BJ12" s="155">
        <f t="shared" si="31"/>
        <v>941</v>
      </c>
      <c r="BK12" s="155">
        <f t="shared" si="31"/>
        <v>54</v>
      </c>
      <c r="BL12" s="155">
        <f t="shared" si="31"/>
        <v>39</v>
      </c>
      <c r="BM12" s="155">
        <f t="shared" si="31"/>
        <v>693</v>
      </c>
      <c r="BN12" s="155">
        <f t="shared" si="31"/>
        <v>1114</v>
      </c>
      <c r="BO12" s="155">
        <f t="shared" si="31"/>
        <v>23</v>
      </c>
      <c r="BP12" s="155">
        <f t="shared" si="31"/>
        <v>512</v>
      </c>
      <c r="BQ12" s="155">
        <f t="shared" si="31"/>
        <v>508</v>
      </c>
      <c r="BR12" s="552">
        <f t="shared" si="31"/>
        <v>565</v>
      </c>
      <c r="BS12" s="155">
        <f t="shared" si="31"/>
        <v>61</v>
      </c>
      <c r="BT12" s="155">
        <f t="shared" si="31"/>
        <v>1126</v>
      </c>
      <c r="BU12" s="155">
        <f t="shared" si="31"/>
        <v>864</v>
      </c>
      <c r="BV12" s="155">
        <f t="shared" si="31"/>
        <v>1841</v>
      </c>
      <c r="BW12" s="155">
        <f t="shared" si="31"/>
        <v>695</v>
      </c>
      <c r="BX12" s="155">
        <f t="shared" si="31"/>
        <v>500</v>
      </c>
      <c r="BY12" s="155">
        <f t="shared" si="31"/>
        <v>505</v>
      </c>
      <c r="BZ12" s="155">
        <f t="shared" si="31"/>
        <v>531</v>
      </c>
      <c r="CA12" s="155">
        <f t="shared" si="31"/>
        <v>290</v>
      </c>
      <c r="CB12" s="552">
        <f t="shared" si="31"/>
        <v>345</v>
      </c>
      <c r="CC12" s="155">
        <f t="shared" si="31"/>
        <v>810</v>
      </c>
      <c r="CD12" s="155">
        <f t="shared" si="31"/>
        <v>374</v>
      </c>
      <c r="CE12" s="155">
        <f t="shared" si="31"/>
        <v>784</v>
      </c>
      <c r="CF12" s="155">
        <f t="shared" si="31"/>
        <v>370</v>
      </c>
      <c r="CG12" s="281">
        <f t="shared" si="31"/>
        <v>1245</v>
      </c>
      <c r="CH12" s="155">
        <f t="shared" si="31"/>
        <v>947</v>
      </c>
      <c r="CI12" s="155">
        <f t="shared" si="31"/>
        <v>372</v>
      </c>
      <c r="CJ12" s="155">
        <f t="shared" si="31"/>
        <v>739</v>
      </c>
      <c r="CK12" s="156">
        <f t="shared" si="31"/>
        <v>970</v>
      </c>
      <c r="CL12" s="320">
        <f t="shared" si="31"/>
        <v>26499</v>
      </c>
      <c r="CM12" s="422"/>
    </row>
    <row r="13" spans="1:91">
      <c r="A13" s="477">
        <f>ROWS($A$3:A11)</f>
        <v>9</v>
      </c>
      <c r="B13" s="92" t="s">
        <v>65</v>
      </c>
      <c r="C13" s="202">
        <v>2014</v>
      </c>
      <c r="D13" s="259" t="s">
        <v>11</v>
      </c>
      <c r="E13" s="437">
        <v>42549</v>
      </c>
      <c r="F13" s="154">
        <v>4008288</v>
      </c>
      <c r="G13" s="155">
        <v>2721266</v>
      </c>
      <c r="H13" s="155">
        <v>2191622</v>
      </c>
      <c r="I13" s="156">
        <v>1795468</v>
      </c>
      <c r="J13" s="155"/>
      <c r="K13" s="154">
        <f t="shared" si="0"/>
        <v>308205</v>
      </c>
      <c r="L13" s="155">
        <f t="shared" si="1"/>
        <v>414016</v>
      </c>
      <c r="M13" s="155">
        <f t="shared" si="2"/>
        <v>130299</v>
      </c>
      <c r="N13" s="155">
        <f t="shared" si="3"/>
        <v>250117</v>
      </c>
      <c r="O13" s="155">
        <f t="shared" si="4"/>
        <v>128894</v>
      </c>
      <c r="P13" s="155">
        <f>'2015'!AZ13+'2015'!BA13</f>
        <v>449091</v>
      </c>
      <c r="Q13" s="155">
        <f>'2015'!AU13</f>
        <v>374279</v>
      </c>
      <c r="R13" s="155">
        <f t="shared" si="30"/>
        <v>1138818</v>
      </c>
      <c r="S13" s="155">
        <f t="shared" si="5"/>
        <v>516779</v>
      </c>
      <c r="T13" s="155">
        <f t="shared" si="6"/>
        <v>108816</v>
      </c>
      <c r="U13" s="552">
        <f t="shared" si="6"/>
        <v>188974</v>
      </c>
      <c r="V13" s="155">
        <f t="shared" si="7"/>
        <v>278029</v>
      </c>
      <c r="W13" s="155">
        <f t="shared" si="8"/>
        <v>115147</v>
      </c>
      <c r="X13" s="155">
        <f t="shared" si="9"/>
        <v>731366</v>
      </c>
      <c r="Y13" s="155">
        <f t="shared" si="10"/>
        <v>989288</v>
      </c>
      <c r="Z13" s="155">
        <f t="shared" si="11"/>
        <v>141651</v>
      </c>
      <c r="AA13" s="155">
        <f t="shared" si="12"/>
        <v>313019</v>
      </c>
      <c r="AB13" s="552">
        <f t="shared" si="13"/>
        <v>152766</v>
      </c>
      <c r="AC13" s="155">
        <f t="shared" si="14"/>
        <v>206116</v>
      </c>
      <c r="AD13" s="155">
        <f t="shared" si="15"/>
        <v>159708</v>
      </c>
      <c r="AE13" s="155">
        <f t="shared" si="16"/>
        <v>474952</v>
      </c>
      <c r="AF13" s="155">
        <f t="shared" si="17"/>
        <v>223692</v>
      </c>
      <c r="AG13" s="155">
        <f t="shared" si="18"/>
        <v>415639</v>
      </c>
      <c r="AH13" s="155">
        <f t="shared" si="19"/>
        <v>275785</v>
      </c>
      <c r="AI13" s="155">
        <f t="shared" si="20"/>
        <v>135912</v>
      </c>
      <c r="AJ13" s="155">
        <f t="shared" si="21"/>
        <v>134607</v>
      </c>
      <c r="AK13" s="552">
        <f t="shared" si="22"/>
        <v>165211</v>
      </c>
      <c r="AL13" s="155">
        <f t="shared" si="23"/>
        <v>186360</v>
      </c>
      <c r="AM13" s="155">
        <f t="shared" si="24"/>
        <v>190438</v>
      </c>
      <c r="AN13" s="155">
        <f t="shared" si="25"/>
        <v>275339</v>
      </c>
      <c r="AO13" s="155">
        <f t="shared" si="26"/>
        <v>278031</v>
      </c>
      <c r="AP13" s="155">
        <f t="shared" si="26"/>
        <v>218355</v>
      </c>
      <c r="AQ13" s="155">
        <f t="shared" si="27"/>
        <v>127716</v>
      </c>
      <c r="AR13" s="155">
        <f t="shared" si="28"/>
        <v>209386</v>
      </c>
      <c r="AS13" s="156">
        <f t="shared" si="29"/>
        <v>309843</v>
      </c>
      <c r="AT13" s="281">
        <v>612441</v>
      </c>
      <c r="AU13" s="281">
        <v>374279</v>
      </c>
      <c r="AV13" s="281">
        <v>516779</v>
      </c>
      <c r="AW13" s="281">
        <v>250117</v>
      </c>
      <c r="AX13" s="281">
        <v>526377</v>
      </c>
      <c r="AY13" s="155">
        <v>414016</v>
      </c>
      <c r="AZ13" s="155">
        <v>119841</v>
      </c>
      <c r="BA13" s="155">
        <v>329250</v>
      </c>
      <c r="BB13" s="155">
        <v>108816</v>
      </c>
      <c r="BC13" s="155">
        <v>188974</v>
      </c>
      <c r="BD13" s="155">
        <v>130299</v>
      </c>
      <c r="BE13" s="155">
        <v>128894</v>
      </c>
      <c r="BF13" s="552">
        <v>308205</v>
      </c>
      <c r="BG13" s="155">
        <v>53342</v>
      </c>
      <c r="BH13" s="155">
        <v>300051</v>
      </c>
      <c r="BI13" s="155">
        <v>431315</v>
      </c>
      <c r="BJ13" s="155">
        <v>224687</v>
      </c>
      <c r="BK13" s="155">
        <v>154715</v>
      </c>
      <c r="BL13" s="155">
        <v>299844</v>
      </c>
      <c r="BM13" s="155">
        <v>141651</v>
      </c>
      <c r="BN13" s="155">
        <v>534729</v>
      </c>
      <c r="BO13" s="155">
        <v>119291</v>
      </c>
      <c r="BP13" s="155">
        <v>152766</v>
      </c>
      <c r="BQ13" s="155">
        <v>193728</v>
      </c>
      <c r="BR13" s="552">
        <v>115147</v>
      </c>
      <c r="BS13" s="155">
        <v>222203</v>
      </c>
      <c r="BT13" s="155">
        <v>252749</v>
      </c>
      <c r="BU13" s="155">
        <v>159708</v>
      </c>
      <c r="BV13" s="155">
        <v>415639</v>
      </c>
      <c r="BW13" s="155">
        <v>135912</v>
      </c>
      <c r="BX13" s="155">
        <v>206116</v>
      </c>
      <c r="BY13" s="155">
        <v>134607</v>
      </c>
      <c r="BZ13" s="155">
        <v>275785</v>
      </c>
      <c r="CA13" s="155">
        <v>223692</v>
      </c>
      <c r="CB13" s="552">
        <v>165211</v>
      </c>
      <c r="CC13" s="155">
        <v>278031</v>
      </c>
      <c r="CD13" s="155">
        <v>218355</v>
      </c>
      <c r="CE13" s="155">
        <v>186360</v>
      </c>
      <c r="CF13" s="155">
        <v>120714</v>
      </c>
      <c r="CG13" s="155">
        <v>189129</v>
      </c>
      <c r="CH13" s="155">
        <v>190438</v>
      </c>
      <c r="CI13" s="155">
        <v>209386</v>
      </c>
      <c r="CJ13" s="155">
        <v>275339</v>
      </c>
      <c r="CK13" s="156">
        <v>127716</v>
      </c>
      <c r="CL13" s="320">
        <v>10716644</v>
      </c>
      <c r="CM13" s="49"/>
    </row>
    <row r="14" spans="1:91">
      <c r="A14" s="477">
        <f>ROWS($A$3:A12)</f>
        <v>10</v>
      </c>
      <c r="B14" s="54" t="s">
        <v>61</v>
      </c>
      <c r="C14" s="252"/>
      <c r="D14" s="259" t="s">
        <v>12</v>
      </c>
      <c r="E14" s="451"/>
      <c r="F14" s="530">
        <f>F13/F7*100</f>
        <v>379.65757498834967</v>
      </c>
      <c r="G14" s="531">
        <f>G13/G7*100</f>
        <v>393.30450442117188</v>
      </c>
      <c r="H14" s="531">
        <f>H13/H7*100</f>
        <v>234.22272095757188</v>
      </c>
      <c r="I14" s="532">
        <f>I13/I7*100</f>
        <v>201.33779039190642</v>
      </c>
      <c r="J14" s="281"/>
      <c r="K14" s="541">
        <f t="shared" si="0"/>
        <v>203.89727237243397</v>
      </c>
      <c r="L14" s="542">
        <f t="shared" si="1"/>
        <v>482.45740788216375</v>
      </c>
      <c r="M14" s="542">
        <f t="shared" si="2"/>
        <v>99.8911385223971</v>
      </c>
      <c r="N14" s="542">
        <f t="shared" si="3"/>
        <v>389.37200323805968</v>
      </c>
      <c r="O14" s="542">
        <f t="shared" si="4"/>
        <v>205.53323127949992</v>
      </c>
      <c r="P14" s="531">
        <f>P13/P7*100</f>
        <v>374.30176444603728</v>
      </c>
      <c r="Q14" s="542">
        <f>'2015'!AU14</f>
        <v>605.80589815803955</v>
      </c>
      <c r="R14" s="531">
        <f>R13/R7*100</f>
        <v>1273.6034534820001</v>
      </c>
      <c r="S14" s="542">
        <f t="shared" si="5"/>
        <v>805.60422772338961</v>
      </c>
      <c r="T14" s="542">
        <f t="shared" si="6"/>
        <v>140.08960296616715</v>
      </c>
      <c r="U14" s="554">
        <f t="shared" si="6"/>
        <v>127.34097035040431</v>
      </c>
      <c r="V14" s="531">
        <f>V13/V7*100</f>
        <v>316.31587330481477</v>
      </c>
      <c r="W14" s="542">
        <f t="shared" si="8"/>
        <v>132.25102507264521</v>
      </c>
      <c r="X14" s="531">
        <f>X13/X7*100</f>
        <v>581.18722186904006</v>
      </c>
      <c r="Y14" s="531">
        <f>Y13/Y7*100</f>
        <v>752.02432535157732</v>
      </c>
      <c r="Z14" s="542">
        <f t="shared" si="11"/>
        <v>125.77225305216426</v>
      </c>
      <c r="AA14" s="531">
        <f>AA13/AA7*100</f>
        <v>466.01706144203428</v>
      </c>
      <c r="AB14" s="554">
        <f t="shared" si="13"/>
        <v>191.55371092525485</v>
      </c>
      <c r="AC14" s="542">
        <f t="shared" si="14"/>
        <v>201.0377855373271</v>
      </c>
      <c r="AD14" s="542">
        <f t="shared" si="15"/>
        <v>234.90615991057246</v>
      </c>
      <c r="AE14" s="531">
        <f>AE13/AE7*100</f>
        <v>310.1423534021157</v>
      </c>
      <c r="AF14" s="542">
        <f t="shared" si="17"/>
        <v>277.26861435105417</v>
      </c>
      <c r="AG14" s="542">
        <f t="shared" si="18"/>
        <v>223.36815743935338</v>
      </c>
      <c r="AH14" s="542">
        <f t="shared" si="19"/>
        <v>337.15784197464455</v>
      </c>
      <c r="AI14" s="542">
        <f t="shared" si="20"/>
        <v>176.6398502787778</v>
      </c>
      <c r="AJ14" s="542">
        <f t="shared" si="21"/>
        <v>183.30087832777286</v>
      </c>
      <c r="AK14" s="554">
        <f t="shared" si="22"/>
        <v>146.05578393670157</v>
      </c>
      <c r="AL14" s="542">
        <f t="shared" si="23"/>
        <v>203.07068681827593</v>
      </c>
      <c r="AM14" s="542">
        <f t="shared" si="24"/>
        <v>135.08636283028906</v>
      </c>
      <c r="AN14" s="542">
        <f t="shared" si="25"/>
        <v>168.73123261143999</v>
      </c>
      <c r="AO14" s="542">
        <f t="shared" si="26"/>
        <v>254.43938062815727</v>
      </c>
      <c r="AP14" s="542">
        <f t="shared" si="26"/>
        <v>420.5685779772337</v>
      </c>
      <c r="AQ14" s="542">
        <f t="shared" si="27"/>
        <v>106.04646528388993</v>
      </c>
      <c r="AR14" s="542">
        <f t="shared" si="28"/>
        <v>314.9608904933815</v>
      </c>
      <c r="AS14" s="532">
        <f>AS13/AS7*100</f>
        <v>209.72748686846808</v>
      </c>
      <c r="AT14" s="531">
        <f t="shared" ref="AT14:CK14" si="32">AT13/AT7*100</f>
        <v>2953.6580660718591</v>
      </c>
      <c r="AU14" s="531">
        <f t="shared" si="32"/>
        <v>605.80589815803955</v>
      </c>
      <c r="AV14" s="531">
        <f t="shared" si="32"/>
        <v>805.60422772338961</v>
      </c>
      <c r="AW14" s="531">
        <f t="shared" si="32"/>
        <v>389.37200323805968</v>
      </c>
      <c r="AX14" s="531">
        <f t="shared" si="32"/>
        <v>766.39730933869134</v>
      </c>
      <c r="AY14" s="531">
        <f t="shared" si="32"/>
        <v>482.45740788216375</v>
      </c>
      <c r="AZ14" s="531">
        <f t="shared" si="32"/>
        <v>1199.8498197837405</v>
      </c>
      <c r="BA14" s="531">
        <f t="shared" si="32"/>
        <v>299.33723055103508</v>
      </c>
      <c r="BB14" s="531">
        <f t="shared" si="32"/>
        <v>140.08960296616715</v>
      </c>
      <c r="BC14" s="531">
        <f t="shared" si="32"/>
        <v>127.34097035040431</v>
      </c>
      <c r="BD14" s="531">
        <f t="shared" si="32"/>
        <v>99.8911385223971</v>
      </c>
      <c r="BE14" s="531">
        <f t="shared" si="32"/>
        <v>205.53323127949992</v>
      </c>
      <c r="BF14" s="555">
        <f t="shared" si="32"/>
        <v>203.89727237243397</v>
      </c>
      <c r="BG14" s="531">
        <f t="shared" si="32"/>
        <v>380.4436202838599</v>
      </c>
      <c r="BH14" s="531">
        <f t="shared" si="32"/>
        <v>1729.7993773780699</v>
      </c>
      <c r="BI14" s="531">
        <f t="shared" si="32"/>
        <v>397.54732980625658</v>
      </c>
      <c r="BJ14" s="531">
        <f t="shared" si="32"/>
        <v>304.14483925549916</v>
      </c>
      <c r="BK14" s="531">
        <f t="shared" si="32"/>
        <v>1421.6208765965266</v>
      </c>
      <c r="BL14" s="531">
        <f t="shared" si="32"/>
        <v>2068.460264900662</v>
      </c>
      <c r="BM14" s="531">
        <f t="shared" si="32"/>
        <v>125.77225305216426</v>
      </c>
      <c r="BN14" s="531">
        <f t="shared" si="32"/>
        <v>503.6488306599731</v>
      </c>
      <c r="BO14" s="531">
        <f t="shared" si="32"/>
        <v>1217.2551020408162</v>
      </c>
      <c r="BP14" s="531">
        <f t="shared" si="32"/>
        <v>191.55371092525485</v>
      </c>
      <c r="BQ14" s="531">
        <f t="shared" si="32"/>
        <v>337.68760131778487</v>
      </c>
      <c r="BR14" s="555">
        <f t="shared" si="32"/>
        <v>132.25102507264521</v>
      </c>
      <c r="BS14" s="531">
        <f t="shared" si="32"/>
        <v>1451.7378805697113</v>
      </c>
      <c r="BT14" s="531">
        <f t="shared" si="32"/>
        <v>183.37202722115006</v>
      </c>
      <c r="BU14" s="531">
        <f t="shared" si="32"/>
        <v>234.90615991057246</v>
      </c>
      <c r="BV14" s="531">
        <f t="shared" si="32"/>
        <v>223.36815743935338</v>
      </c>
      <c r="BW14" s="531">
        <f t="shared" si="32"/>
        <v>176.6398502787778</v>
      </c>
      <c r="BX14" s="531">
        <f t="shared" si="32"/>
        <v>201.0377855373271</v>
      </c>
      <c r="BY14" s="531">
        <f t="shared" si="32"/>
        <v>183.30087832777286</v>
      </c>
      <c r="BZ14" s="531">
        <f t="shared" si="32"/>
        <v>337.15784197464455</v>
      </c>
      <c r="CA14" s="531">
        <f t="shared" si="32"/>
        <v>277.26861435105417</v>
      </c>
      <c r="CB14" s="555">
        <f t="shared" si="32"/>
        <v>146.05578393670157</v>
      </c>
      <c r="CC14" s="531">
        <f t="shared" si="32"/>
        <v>254.43938062815727</v>
      </c>
      <c r="CD14" s="531">
        <f t="shared" si="32"/>
        <v>420.5685779772337</v>
      </c>
      <c r="CE14" s="531">
        <f t="shared" si="32"/>
        <v>203.07068681827593</v>
      </c>
      <c r="CF14" s="531">
        <f t="shared" si="32"/>
        <v>1017.0528266913809</v>
      </c>
      <c r="CG14" s="531">
        <f>CG13/CG7*100</f>
        <v>139.20157212568174</v>
      </c>
      <c r="CH14" s="531">
        <f t="shared" si="32"/>
        <v>135.08636283028906</v>
      </c>
      <c r="CI14" s="531">
        <f t="shared" si="32"/>
        <v>314.9608904933815</v>
      </c>
      <c r="CJ14" s="531">
        <f t="shared" si="32"/>
        <v>168.73123261143999</v>
      </c>
      <c r="CK14" s="532">
        <f t="shared" si="32"/>
        <v>106.04646528388993</v>
      </c>
      <c r="CL14" s="556">
        <f>CL13/CL7*100</f>
        <v>299.7551978500374</v>
      </c>
    </row>
    <row r="15" spans="1:91">
      <c r="A15" s="477">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c r="A16" s="477">
        <f>ROWS($A$3:A14)</f>
        <v>12</v>
      </c>
      <c r="B16" s="92" t="s">
        <v>200</v>
      </c>
      <c r="C16" s="202">
        <v>2014</v>
      </c>
      <c r="D16" s="259" t="s">
        <v>11</v>
      </c>
      <c r="E16" s="447">
        <v>42549</v>
      </c>
      <c r="F16" s="154">
        <v>2312300</v>
      </c>
      <c r="G16" s="155">
        <v>1515500</v>
      </c>
      <c r="H16" s="155">
        <v>1191680</v>
      </c>
      <c r="I16" s="156">
        <v>996485</v>
      </c>
      <c r="J16" s="281"/>
      <c r="K16" s="154">
        <f t="shared" si="0"/>
        <v>165300</v>
      </c>
      <c r="L16" s="155">
        <f t="shared" si="1"/>
        <v>194600</v>
      </c>
      <c r="M16" s="155">
        <f t="shared" si="2"/>
        <v>73485</v>
      </c>
      <c r="N16" s="155">
        <f t="shared" si="3"/>
        <v>121700</v>
      </c>
      <c r="O16" s="155">
        <f t="shared" si="4"/>
        <v>63800</v>
      </c>
      <c r="P16" s="155">
        <f>'2015'!AZ16+'2015'!BA16</f>
        <v>268080</v>
      </c>
      <c r="Q16" s="155">
        <f>'2015'!AU16</f>
        <v>221900</v>
      </c>
      <c r="R16" s="155">
        <f t="shared" si="30"/>
        <v>759800</v>
      </c>
      <c r="S16" s="155">
        <f t="shared" si="5"/>
        <v>266600</v>
      </c>
      <c r="T16" s="155">
        <f t="shared" si="6"/>
        <v>69200</v>
      </c>
      <c r="U16" s="552">
        <f t="shared" si="6"/>
        <v>107900</v>
      </c>
      <c r="V16" s="155">
        <f>BG16+BJ16</f>
        <v>153290</v>
      </c>
      <c r="W16" s="155">
        <f t="shared" si="8"/>
        <v>61800</v>
      </c>
      <c r="X16" s="155">
        <f>BH16+BI16</f>
        <v>433455</v>
      </c>
      <c r="Y16" s="155">
        <f>BK16+BL16+BN16</f>
        <v>580200</v>
      </c>
      <c r="Z16" s="155">
        <f t="shared" si="11"/>
        <v>66100</v>
      </c>
      <c r="AA16" s="155">
        <f>BO16+BQ16</f>
        <v>156200</v>
      </c>
      <c r="AB16" s="552">
        <f t="shared" si="13"/>
        <v>64400</v>
      </c>
      <c r="AC16" s="155">
        <f t="shared" si="14"/>
        <v>118569</v>
      </c>
      <c r="AD16" s="155">
        <f t="shared" si="15"/>
        <v>70694</v>
      </c>
      <c r="AE16" s="155">
        <f>BS16+BT16</f>
        <v>283686</v>
      </c>
      <c r="AF16" s="155">
        <f t="shared" si="17"/>
        <v>105352</v>
      </c>
      <c r="AG16" s="155">
        <f t="shared" si="18"/>
        <v>236800</v>
      </c>
      <c r="AH16" s="155">
        <f t="shared" si="19"/>
        <v>142329</v>
      </c>
      <c r="AI16" s="155">
        <f t="shared" si="20"/>
        <v>74524</v>
      </c>
      <c r="AJ16" s="155">
        <f t="shared" si="21"/>
        <v>82996</v>
      </c>
      <c r="AK16" s="552">
        <f t="shared" si="22"/>
        <v>76730</v>
      </c>
      <c r="AL16" s="155">
        <f t="shared" si="23"/>
        <v>90992</v>
      </c>
      <c r="AM16" s="155">
        <f t="shared" si="24"/>
        <v>105300</v>
      </c>
      <c r="AN16" s="155">
        <f t="shared" si="25"/>
        <v>157991</v>
      </c>
      <c r="AO16" s="155">
        <f t="shared" si="26"/>
        <v>151753</v>
      </c>
      <c r="AP16" s="155">
        <f t="shared" si="26"/>
        <v>108806</v>
      </c>
      <c r="AQ16" s="155">
        <f t="shared" si="27"/>
        <v>65303</v>
      </c>
      <c r="AR16" s="155">
        <f t="shared" si="28"/>
        <v>120418</v>
      </c>
      <c r="AS16" s="156">
        <f>CF16+CG16</f>
        <v>195922</v>
      </c>
      <c r="AT16" s="281">
        <v>504300</v>
      </c>
      <c r="AU16" s="281">
        <v>221900</v>
      </c>
      <c r="AV16" s="281">
        <v>266600</v>
      </c>
      <c r="AW16" s="281">
        <v>121700</v>
      </c>
      <c r="AX16" s="281">
        <v>255500</v>
      </c>
      <c r="AY16" s="155">
        <v>194600</v>
      </c>
      <c r="AZ16" s="155">
        <v>103580</v>
      </c>
      <c r="BA16" s="155">
        <v>164500</v>
      </c>
      <c r="BB16" s="155">
        <v>69200</v>
      </c>
      <c r="BC16" s="155">
        <v>107900</v>
      </c>
      <c r="BD16" s="155">
        <v>73485</v>
      </c>
      <c r="BE16" s="155">
        <v>63800</v>
      </c>
      <c r="BF16" s="552">
        <v>165300</v>
      </c>
      <c r="BG16" s="155">
        <v>40390</v>
      </c>
      <c r="BH16" s="155">
        <v>238255</v>
      </c>
      <c r="BI16" s="155">
        <v>195200</v>
      </c>
      <c r="BJ16" s="155">
        <v>112900</v>
      </c>
      <c r="BK16" s="155">
        <v>116500</v>
      </c>
      <c r="BL16" s="155">
        <v>238500</v>
      </c>
      <c r="BM16" s="155">
        <v>66100</v>
      </c>
      <c r="BN16" s="155">
        <v>225200</v>
      </c>
      <c r="BO16" s="155">
        <v>76700</v>
      </c>
      <c r="BP16" s="155">
        <v>64400</v>
      </c>
      <c r="BQ16" s="155">
        <v>79500</v>
      </c>
      <c r="BR16" s="552">
        <v>61800</v>
      </c>
      <c r="BS16" s="155">
        <v>168435</v>
      </c>
      <c r="BT16" s="155">
        <v>115251</v>
      </c>
      <c r="BU16" s="155">
        <v>70694</v>
      </c>
      <c r="BV16" s="155">
        <v>236800</v>
      </c>
      <c r="BW16" s="155">
        <v>74524</v>
      </c>
      <c r="BX16" s="155">
        <v>118569</v>
      </c>
      <c r="BY16" s="155">
        <v>82996</v>
      </c>
      <c r="BZ16" s="155">
        <v>142329</v>
      </c>
      <c r="CA16" s="155">
        <v>105352</v>
      </c>
      <c r="CB16" s="552">
        <v>76730</v>
      </c>
      <c r="CC16" s="155">
        <v>151753</v>
      </c>
      <c r="CD16" s="155">
        <v>108806</v>
      </c>
      <c r="CE16" s="155">
        <v>90992</v>
      </c>
      <c r="CF16" s="155">
        <v>119754</v>
      </c>
      <c r="CG16" s="155">
        <v>76168</v>
      </c>
      <c r="CH16" s="155">
        <v>105300</v>
      </c>
      <c r="CI16" s="155">
        <v>120418</v>
      </c>
      <c r="CJ16" s="155">
        <v>157991</v>
      </c>
      <c r="CK16" s="156">
        <v>65303</v>
      </c>
      <c r="CL16" s="320">
        <v>6015990</v>
      </c>
    </row>
    <row r="17" spans="1:90" ht="14.25">
      <c r="A17" s="477">
        <f>ROWS($A$3:A15)</f>
        <v>13</v>
      </c>
      <c r="B17" s="54" t="s">
        <v>243</v>
      </c>
      <c r="C17" s="202">
        <v>2015</v>
      </c>
      <c r="D17" s="259" t="s">
        <v>3</v>
      </c>
      <c r="E17" s="447">
        <v>42550</v>
      </c>
      <c r="F17" s="539">
        <f>(AT16*AT17+AU16*AU17+AV16*AV17+AW16*AW17+AX16*AX17+AY16*AY17+AZ16*AZ17+BA16*BA17+BB16*BB17+BC16*BC17+BD16*BD17+BE16*BE17+BF16*BF17)/F16</f>
        <v>4.0714053107295767</v>
      </c>
      <c r="G17" s="521">
        <f>(BG16*BG17+BH16*BH17+BI16*BI17+BJ16*BJ17+BK16*BK17+BL16*BL17+BM16*BM17+BN16*BN17+BO16*BO17+BP16*BP17+BQ16*BQ17+BR16*BR17)/G16</f>
        <v>4.6713596172880241</v>
      </c>
      <c r="H17" s="521">
        <f>(BS16*BS17+BT16*BT17+BU16*BU17+BV16*BV17+BW16*BW17+BX16*BX17+BY16*BY17+BZ16*BZ17+CA16*CA17+CB16*CB17)/H16</f>
        <v>3.7174921958915141</v>
      </c>
      <c r="I17" s="540">
        <f>(CC16*CC17+CD16*CD17+CE16*CE17+CF16*CF17+CG16*CG17+CH16*CH17+CI16*CI17+CJ16*CJ17+CK16*CK17)/I16</f>
        <v>3.3091577896305511</v>
      </c>
      <c r="J17" s="382"/>
      <c r="K17" s="381">
        <f t="shared" si="0"/>
        <v>3.5</v>
      </c>
      <c r="L17" s="384">
        <f t="shared" si="1"/>
        <v>3.7</v>
      </c>
      <c r="M17" s="384">
        <f t="shared" si="2"/>
        <v>3.3</v>
      </c>
      <c r="N17" s="384">
        <f t="shared" si="3"/>
        <v>3.8</v>
      </c>
      <c r="O17" s="384">
        <f t="shared" si="4"/>
        <v>5.3</v>
      </c>
      <c r="P17" s="521">
        <f>ROUND((AZ16*AZ17/100+BA16*BA17/100)/P16%,1)</f>
        <v>4.4000000000000004</v>
      </c>
      <c r="Q17" s="384">
        <f>'2015'!AU17</f>
        <v>3.3</v>
      </c>
      <c r="R17" s="521">
        <f>ROUND((AT16*AT17/100+AX16*AX17/100)/R16%,1)</f>
        <v>4.8</v>
      </c>
      <c r="S17" s="384">
        <f t="shared" si="5"/>
        <v>3.4</v>
      </c>
      <c r="T17" s="384">
        <f t="shared" si="6"/>
        <v>3</v>
      </c>
      <c r="U17" s="385">
        <f t="shared" si="6"/>
        <v>3.5</v>
      </c>
      <c r="V17" s="521">
        <f>ROUND((BG16*BG17/100+BJ16*BJ17/100)/V16%,1)</f>
        <v>4</v>
      </c>
      <c r="W17" s="384">
        <f t="shared" si="8"/>
        <v>3.4</v>
      </c>
      <c r="X17" s="521">
        <f>ROUND((BH16*BH17/100+BI16*BI17/100)/X16%,1)</f>
        <v>4.5</v>
      </c>
      <c r="Y17" s="521">
        <f>ROUND((BK16*BK17/100+BL16*BL17/100+BN16*BN17/100)/Y16%,1)</f>
        <v>5.2</v>
      </c>
      <c r="Z17" s="384">
        <f t="shared" si="11"/>
        <v>3.8</v>
      </c>
      <c r="AA17" s="521">
        <f>ROUND((BO16*BO17/100+BQ16*BQ17/100)/AA16%,1)</f>
        <v>5.0999999999999996</v>
      </c>
      <c r="AB17" s="385">
        <f t="shared" si="13"/>
        <v>3.9</v>
      </c>
      <c r="AC17" s="384">
        <f t="shared" si="14"/>
        <v>3.6</v>
      </c>
      <c r="AD17" s="384">
        <f t="shared" si="15"/>
        <v>3.1</v>
      </c>
      <c r="AE17" s="521">
        <f>ROUND((BS16*BS17/100+BT16*BT17/100)/AE16%,1)</f>
        <v>4.9000000000000004</v>
      </c>
      <c r="AF17" s="384">
        <f t="shared" si="17"/>
        <v>3.3</v>
      </c>
      <c r="AG17" s="384">
        <f t="shared" si="18"/>
        <v>3.4</v>
      </c>
      <c r="AH17" s="384">
        <f t="shared" si="19"/>
        <v>4</v>
      </c>
      <c r="AI17" s="384">
        <f t="shared" si="20"/>
        <v>2.9</v>
      </c>
      <c r="AJ17" s="384">
        <f t="shared" si="21"/>
        <v>2.8</v>
      </c>
      <c r="AK17" s="385">
        <f t="shared" si="22"/>
        <v>2.9</v>
      </c>
      <c r="AL17" s="384">
        <f t="shared" si="23"/>
        <v>3.8</v>
      </c>
      <c r="AM17" s="384">
        <f t="shared" si="24"/>
        <v>2.5</v>
      </c>
      <c r="AN17" s="384">
        <f t="shared" si="25"/>
        <v>2.8</v>
      </c>
      <c r="AO17" s="384">
        <f t="shared" si="26"/>
        <v>3.7</v>
      </c>
      <c r="AP17" s="384">
        <f t="shared" si="26"/>
        <v>3.2</v>
      </c>
      <c r="AQ17" s="384">
        <f t="shared" si="27"/>
        <v>3.6</v>
      </c>
      <c r="AR17" s="384">
        <f t="shared" si="28"/>
        <v>2.9</v>
      </c>
      <c r="AS17" s="540">
        <f>ROUND((CF16*CF17/100+CG16*CG17/100)/AS16%,1)</f>
        <v>3.8</v>
      </c>
      <c r="AT17" s="466">
        <v>5.5</v>
      </c>
      <c r="AU17" s="466">
        <v>3.3</v>
      </c>
      <c r="AV17" s="466">
        <v>3.4</v>
      </c>
      <c r="AW17" s="466">
        <v>3.8</v>
      </c>
      <c r="AX17" s="466">
        <v>3.5</v>
      </c>
      <c r="AY17" s="466">
        <v>3.7</v>
      </c>
      <c r="AZ17" s="466">
        <v>6</v>
      </c>
      <c r="BA17" s="466">
        <v>3.4</v>
      </c>
      <c r="BB17" s="466">
        <v>3</v>
      </c>
      <c r="BC17" s="466">
        <v>3.5</v>
      </c>
      <c r="BD17" s="466">
        <v>3.3</v>
      </c>
      <c r="BE17" s="466">
        <v>5.3</v>
      </c>
      <c r="BF17" s="466">
        <v>3.5</v>
      </c>
      <c r="BG17" s="466">
        <v>5.7</v>
      </c>
      <c r="BH17" s="466">
        <v>5.5</v>
      </c>
      <c r="BI17" s="466">
        <v>3.2</v>
      </c>
      <c r="BJ17" s="466">
        <v>3.4</v>
      </c>
      <c r="BK17" s="466">
        <v>5.2</v>
      </c>
      <c r="BL17" s="466">
        <v>6</v>
      </c>
      <c r="BM17" s="466">
        <v>3.8</v>
      </c>
      <c r="BN17" s="466">
        <v>4.4000000000000004</v>
      </c>
      <c r="BO17" s="466">
        <v>7.4</v>
      </c>
      <c r="BP17" s="466">
        <v>3.9</v>
      </c>
      <c r="BQ17" s="466">
        <v>2.8</v>
      </c>
      <c r="BR17" s="466">
        <v>3.4</v>
      </c>
      <c r="BS17" s="466">
        <v>6</v>
      </c>
      <c r="BT17" s="466">
        <v>3.3</v>
      </c>
      <c r="BU17" s="466">
        <v>3.1</v>
      </c>
      <c r="BV17" s="466">
        <v>3.4</v>
      </c>
      <c r="BW17" s="466">
        <v>2.9</v>
      </c>
      <c r="BX17" s="466">
        <v>3.6</v>
      </c>
      <c r="BY17" s="466">
        <v>2.8</v>
      </c>
      <c r="BZ17" s="466">
        <v>4</v>
      </c>
      <c r="CA17" s="466">
        <v>3.3</v>
      </c>
      <c r="CB17" s="466">
        <v>2.9</v>
      </c>
      <c r="CC17" s="466">
        <v>3.7</v>
      </c>
      <c r="CD17" s="466">
        <v>3.2</v>
      </c>
      <c r="CE17" s="466">
        <v>3.8</v>
      </c>
      <c r="CF17" s="466">
        <v>4.5</v>
      </c>
      <c r="CG17" s="466">
        <v>2.8</v>
      </c>
      <c r="CH17" s="466">
        <v>2.5</v>
      </c>
      <c r="CI17" s="466">
        <v>2.9</v>
      </c>
      <c r="CJ17" s="466">
        <v>2.8</v>
      </c>
      <c r="CK17" s="466">
        <v>3.6</v>
      </c>
      <c r="CL17" s="319">
        <v>3.8</v>
      </c>
    </row>
    <row r="18" spans="1:90">
      <c r="A18" s="477">
        <f>ROWS($A$3:A16)</f>
        <v>14</v>
      </c>
      <c r="B18" s="238" t="s">
        <v>302</v>
      </c>
      <c r="C18" s="202">
        <v>2014</v>
      </c>
      <c r="D18" s="259" t="s">
        <v>11</v>
      </c>
      <c r="E18" s="447">
        <v>42549</v>
      </c>
      <c r="F18" s="533">
        <v>23600</v>
      </c>
      <c r="G18" s="281">
        <v>9100</v>
      </c>
      <c r="H18" s="281">
        <v>17769</v>
      </c>
      <c r="I18" s="300">
        <v>19444</v>
      </c>
      <c r="J18" s="382"/>
      <c r="K18" s="154">
        <f>BF18</f>
        <v>2200</v>
      </c>
      <c r="L18" s="155">
        <f>AY18</f>
        <v>2300</v>
      </c>
      <c r="M18" s="155">
        <f>BD18</f>
        <v>1700</v>
      </c>
      <c r="N18" s="155">
        <f>AW18</f>
        <v>1000</v>
      </c>
      <c r="O18" s="155">
        <f>BE18</f>
        <v>800</v>
      </c>
      <c r="P18" s="531">
        <f>'2015'!AZ18+'2015'!BA18</f>
        <v>4300</v>
      </c>
      <c r="Q18" s="155">
        <f>'2015'!AU18</f>
        <v>900</v>
      </c>
      <c r="R18" s="531">
        <f>AT18+AX18</f>
        <v>4100</v>
      </c>
      <c r="S18" s="155">
        <f>AV18</f>
        <v>1400</v>
      </c>
      <c r="T18" s="155">
        <f>BB18</f>
        <v>2000</v>
      </c>
      <c r="U18" s="552">
        <f>BC18</f>
        <v>2800</v>
      </c>
      <c r="V18" s="531">
        <f>BG18+BJ18</f>
        <v>1300</v>
      </c>
      <c r="W18" s="155">
        <f>BR18</f>
        <v>500</v>
      </c>
      <c r="X18" s="531">
        <f>BH18+BI18</f>
        <v>1800</v>
      </c>
      <c r="Y18" s="531">
        <f>BK18+BL18+BN18</f>
        <v>2800</v>
      </c>
      <c r="Z18" s="155">
        <f>BM18</f>
        <v>1300</v>
      </c>
      <c r="AA18" s="531">
        <f>BO18+BQ18</f>
        <v>700</v>
      </c>
      <c r="AB18" s="552">
        <f>BP18</f>
        <v>700</v>
      </c>
      <c r="AC18" s="155">
        <f>BX18</f>
        <v>1100</v>
      </c>
      <c r="AD18" s="155">
        <f>BU18</f>
        <v>1700</v>
      </c>
      <c r="AE18" s="531">
        <f>BS18+BT18</f>
        <v>4600</v>
      </c>
      <c r="AF18" s="155">
        <f>CA18</f>
        <v>1409</v>
      </c>
      <c r="AG18" s="155">
        <f>BV18</f>
        <v>4200</v>
      </c>
      <c r="AH18" s="155">
        <f>BZ18</f>
        <v>2200</v>
      </c>
      <c r="AI18" s="155">
        <f>BW18</f>
        <v>800</v>
      </c>
      <c r="AJ18" s="155">
        <f>BY18</f>
        <v>500</v>
      </c>
      <c r="AK18" s="552">
        <f>CB18</f>
        <v>1238</v>
      </c>
      <c r="AL18" s="155">
        <f>CE18</f>
        <v>844</v>
      </c>
      <c r="AM18" s="155">
        <f>CH18</f>
        <v>3119</v>
      </c>
      <c r="AN18" s="155">
        <f>CJ18</f>
        <v>5263</v>
      </c>
      <c r="AO18" s="155">
        <f>CC18</f>
        <v>1394</v>
      </c>
      <c r="AP18" s="155">
        <f>CD18</f>
        <v>518</v>
      </c>
      <c r="AQ18" s="155">
        <f>CK18</f>
        <v>1581</v>
      </c>
      <c r="AR18" s="155">
        <f>CI18</f>
        <v>3824</v>
      </c>
      <c r="AS18" s="532">
        <f>CF18+CG18</f>
        <v>2901</v>
      </c>
      <c r="AT18" s="281">
        <v>900</v>
      </c>
      <c r="AU18" s="155">
        <v>900</v>
      </c>
      <c r="AV18" s="155">
        <v>1400</v>
      </c>
      <c r="AW18" s="155">
        <v>1000</v>
      </c>
      <c r="AX18" s="155">
        <v>3200</v>
      </c>
      <c r="AY18" s="155">
        <v>2300</v>
      </c>
      <c r="AZ18" s="155">
        <v>600</v>
      </c>
      <c r="BA18" s="155">
        <v>3700</v>
      </c>
      <c r="BB18" s="155">
        <v>2000</v>
      </c>
      <c r="BC18" s="155">
        <v>2800</v>
      </c>
      <c r="BD18" s="155">
        <v>1700</v>
      </c>
      <c r="BE18" s="155">
        <v>800</v>
      </c>
      <c r="BF18" s="552">
        <v>2200</v>
      </c>
      <c r="BG18" s="155">
        <v>200</v>
      </c>
      <c r="BH18" s="155">
        <v>200</v>
      </c>
      <c r="BI18" s="155">
        <v>1600</v>
      </c>
      <c r="BJ18" s="155">
        <v>1100</v>
      </c>
      <c r="BK18" s="155">
        <v>300</v>
      </c>
      <c r="BL18" s="155">
        <v>400</v>
      </c>
      <c r="BM18" s="155">
        <v>1300</v>
      </c>
      <c r="BN18" s="155">
        <v>2100</v>
      </c>
      <c r="BO18" s="155">
        <v>100</v>
      </c>
      <c r="BP18" s="155">
        <v>700</v>
      </c>
      <c r="BQ18" s="155">
        <v>600</v>
      </c>
      <c r="BR18" s="552">
        <v>500</v>
      </c>
      <c r="BS18" s="155">
        <v>500</v>
      </c>
      <c r="BT18" s="155">
        <v>4100</v>
      </c>
      <c r="BU18" s="155">
        <v>1700</v>
      </c>
      <c r="BV18" s="155">
        <v>4200</v>
      </c>
      <c r="BW18" s="155">
        <v>800</v>
      </c>
      <c r="BX18" s="155">
        <v>1100</v>
      </c>
      <c r="BY18" s="155">
        <v>500</v>
      </c>
      <c r="BZ18" s="155">
        <v>2200</v>
      </c>
      <c r="CA18" s="155">
        <v>1409</v>
      </c>
      <c r="CB18" s="552">
        <v>1238</v>
      </c>
      <c r="CC18" s="155">
        <v>1394</v>
      </c>
      <c r="CD18" s="155">
        <v>518</v>
      </c>
      <c r="CE18" s="155">
        <v>844</v>
      </c>
      <c r="CF18" s="155">
        <v>294</v>
      </c>
      <c r="CG18" s="281">
        <v>2607</v>
      </c>
      <c r="CH18" s="155">
        <v>3119</v>
      </c>
      <c r="CI18" s="155">
        <v>3824</v>
      </c>
      <c r="CJ18" s="155">
        <v>5263</v>
      </c>
      <c r="CK18" s="156">
        <v>1581</v>
      </c>
      <c r="CL18" s="320">
        <v>70000</v>
      </c>
    </row>
    <row r="19" spans="1:90">
      <c r="A19" s="477">
        <f>ROWS($A$3:A17)</f>
        <v>15</v>
      </c>
      <c r="B19" s="238" t="s">
        <v>268</v>
      </c>
      <c r="C19" s="202">
        <v>2015</v>
      </c>
      <c r="D19" s="259" t="s">
        <v>11</v>
      </c>
      <c r="E19" s="447">
        <v>42549</v>
      </c>
      <c r="F19" s="533">
        <v>1717993</v>
      </c>
      <c r="G19" s="281">
        <v>1106830</v>
      </c>
      <c r="H19" s="281">
        <v>829327</v>
      </c>
      <c r="I19" s="300">
        <v>705376</v>
      </c>
      <c r="J19" s="382"/>
      <c r="K19" s="154">
        <f>BF19</f>
        <v>119302</v>
      </c>
      <c r="L19" s="155">
        <f>AY19</f>
        <v>139303</v>
      </c>
      <c r="M19" s="155">
        <f>BD19</f>
        <v>52015</v>
      </c>
      <c r="N19" s="155">
        <f>AW19</f>
        <v>84798</v>
      </c>
      <c r="O19" s="155">
        <f>BE19</f>
        <v>48500</v>
      </c>
      <c r="P19" s="531">
        <f>'2015'!AZ19+'2015'!BA19</f>
        <v>194737</v>
      </c>
      <c r="Q19" s="155">
        <f>'2015'!AU19</f>
        <v>168194</v>
      </c>
      <c r="R19" s="531">
        <f>AT19+AX19</f>
        <v>580031</v>
      </c>
      <c r="S19" s="155">
        <f>AV19</f>
        <v>200628</v>
      </c>
      <c r="T19" s="155">
        <f>BB19</f>
        <v>53602</v>
      </c>
      <c r="U19" s="552">
        <f>BC19</f>
        <v>76883</v>
      </c>
      <c r="V19" s="531">
        <f>BG19+BJ19</f>
        <v>116065</v>
      </c>
      <c r="W19" s="155">
        <f>BR19</f>
        <v>44127</v>
      </c>
      <c r="X19" s="531">
        <f>BH19+BI19</f>
        <v>315919</v>
      </c>
      <c r="Y19" s="531">
        <f>BK19+BL19+BN19</f>
        <v>428504</v>
      </c>
      <c r="Z19" s="155">
        <f>BM19</f>
        <v>45056</v>
      </c>
      <c r="AA19" s="531">
        <f>BO19+BQ19</f>
        <v>113331</v>
      </c>
      <c r="AB19" s="552">
        <f>BP19</f>
        <v>43828</v>
      </c>
      <c r="AC19" s="155">
        <f>BX19</f>
        <v>82853</v>
      </c>
      <c r="AD19" s="155">
        <f>BU19</f>
        <v>48316</v>
      </c>
      <c r="AE19" s="531">
        <f>BS19+BT19</f>
        <v>192967</v>
      </c>
      <c r="AF19" s="155">
        <f>CA19</f>
        <v>75443</v>
      </c>
      <c r="AG19" s="155">
        <f>BV19</f>
        <v>168498</v>
      </c>
      <c r="AH19" s="155">
        <f>BZ19</f>
        <v>94997</v>
      </c>
      <c r="AI19" s="155">
        <f>BW19</f>
        <v>53177</v>
      </c>
      <c r="AJ19" s="155">
        <f>BY19</f>
        <v>61398</v>
      </c>
      <c r="AK19" s="552">
        <f>CB19</f>
        <v>51678</v>
      </c>
      <c r="AL19" s="155">
        <f>CE19</f>
        <v>64674</v>
      </c>
      <c r="AM19" s="155">
        <f>CH19</f>
        <v>76640</v>
      </c>
      <c r="AN19" s="155">
        <f>CJ19</f>
        <v>109612</v>
      </c>
      <c r="AO19" s="155">
        <f>CC19</f>
        <v>108111</v>
      </c>
      <c r="AP19" s="155">
        <f>CD19</f>
        <v>73504</v>
      </c>
      <c r="AQ19" s="155">
        <f>CK19</f>
        <v>44908</v>
      </c>
      <c r="AR19" s="155">
        <f>CI19</f>
        <v>87494</v>
      </c>
      <c r="AS19" s="532">
        <f>CF19+CG19</f>
        <v>140433</v>
      </c>
      <c r="AT19" s="281">
        <v>389562</v>
      </c>
      <c r="AU19" s="155">
        <v>168194</v>
      </c>
      <c r="AV19" s="155">
        <v>200628</v>
      </c>
      <c r="AW19" s="155">
        <v>84798</v>
      </c>
      <c r="AX19" s="155">
        <v>190469</v>
      </c>
      <c r="AY19" s="155">
        <v>139303</v>
      </c>
      <c r="AZ19" s="155">
        <v>67186</v>
      </c>
      <c r="BA19" s="155">
        <v>127551</v>
      </c>
      <c r="BB19" s="155">
        <v>53602</v>
      </c>
      <c r="BC19" s="155">
        <v>76883</v>
      </c>
      <c r="BD19" s="155">
        <v>52015</v>
      </c>
      <c r="BE19" s="155">
        <v>48500</v>
      </c>
      <c r="BF19" s="552">
        <v>119302</v>
      </c>
      <c r="BG19" s="155">
        <v>28971</v>
      </c>
      <c r="BH19" s="155">
        <v>170835</v>
      </c>
      <c r="BI19" s="155">
        <v>145084</v>
      </c>
      <c r="BJ19" s="155">
        <v>87094</v>
      </c>
      <c r="BK19" s="155">
        <v>87011</v>
      </c>
      <c r="BL19" s="155">
        <v>180236</v>
      </c>
      <c r="BM19" s="155">
        <v>45056</v>
      </c>
      <c r="BN19" s="155">
        <v>161257</v>
      </c>
      <c r="BO19" s="155">
        <v>56102</v>
      </c>
      <c r="BP19" s="155">
        <v>43828</v>
      </c>
      <c r="BQ19" s="155">
        <v>57229</v>
      </c>
      <c r="BR19" s="552">
        <v>44127</v>
      </c>
      <c r="BS19" s="155">
        <v>116976</v>
      </c>
      <c r="BT19" s="155">
        <v>75991</v>
      </c>
      <c r="BU19" s="155">
        <v>48316</v>
      </c>
      <c r="BV19" s="155">
        <v>168498</v>
      </c>
      <c r="BW19" s="155">
        <v>53177</v>
      </c>
      <c r="BX19" s="155">
        <v>82853</v>
      </c>
      <c r="BY19" s="155">
        <v>61398</v>
      </c>
      <c r="BZ19" s="155">
        <v>94997</v>
      </c>
      <c r="CA19" s="155">
        <v>75443</v>
      </c>
      <c r="CB19" s="552">
        <v>51678</v>
      </c>
      <c r="CC19" s="155">
        <v>108111</v>
      </c>
      <c r="CD19" s="155">
        <v>73504</v>
      </c>
      <c r="CE19" s="155">
        <v>64674</v>
      </c>
      <c r="CF19" s="155">
        <v>89370</v>
      </c>
      <c r="CG19" s="281">
        <v>51063</v>
      </c>
      <c r="CH19" s="155">
        <v>76640</v>
      </c>
      <c r="CI19" s="155">
        <v>87494</v>
      </c>
      <c r="CJ19" s="155">
        <v>109612</v>
      </c>
      <c r="CK19" s="156">
        <v>44908</v>
      </c>
      <c r="CL19" s="320">
        <v>4359526</v>
      </c>
    </row>
    <row r="20" spans="1:90">
      <c r="A20" s="477">
        <f>ROWS($A$3:A18)</f>
        <v>16</v>
      </c>
      <c r="B20" s="92" t="s">
        <v>64</v>
      </c>
      <c r="C20" s="202">
        <v>2013</v>
      </c>
      <c r="D20" s="259" t="s">
        <v>285</v>
      </c>
      <c r="E20" s="447">
        <v>42549</v>
      </c>
      <c r="F20" s="154">
        <v>158608</v>
      </c>
      <c r="G20" s="155">
        <v>94085</v>
      </c>
      <c r="H20" s="155">
        <v>65766</v>
      </c>
      <c r="I20" s="156">
        <v>59841</v>
      </c>
      <c r="J20" s="281"/>
      <c r="K20" s="154">
        <f t="shared" si="0"/>
        <v>10393</v>
      </c>
      <c r="L20" s="155">
        <f t="shared" si="1"/>
        <v>11307</v>
      </c>
      <c r="M20" s="155">
        <f t="shared" si="2"/>
        <v>3968</v>
      </c>
      <c r="N20" s="155">
        <f t="shared" si="3"/>
        <v>6694</v>
      </c>
      <c r="O20" s="155">
        <f t="shared" si="4"/>
        <v>3543</v>
      </c>
      <c r="P20" s="155">
        <f>'2015'!AZ20+'2015'!BA20</f>
        <v>18929</v>
      </c>
      <c r="Q20" s="155">
        <f>'2015'!AU20</f>
        <v>17952</v>
      </c>
      <c r="R20" s="155">
        <f>AT20+AX20</f>
        <v>58981</v>
      </c>
      <c r="S20" s="155">
        <f t="shared" si="5"/>
        <v>16680</v>
      </c>
      <c r="T20" s="155">
        <f t="shared" si="6"/>
        <v>4038</v>
      </c>
      <c r="U20" s="552">
        <f t="shared" si="6"/>
        <v>6124</v>
      </c>
      <c r="V20" s="155">
        <f>BG20+BJ20</f>
        <v>9613</v>
      </c>
      <c r="W20" s="155">
        <f t="shared" si="8"/>
        <v>3445</v>
      </c>
      <c r="X20" s="155">
        <f>BH20+BI20</f>
        <v>27989</v>
      </c>
      <c r="Y20" s="155">
        <f>BK20+BL20+BN20</f>
        <v>36748</v>
      </c>
      <c r="Z20" s="155">
        <f t="shared" si="11"/>
        <v>3741</v>
      </c>
      <c r="AA20" s="155">
        <f>BO20+BQ20</f>
        <v>8994</v>
      </c>
      <c r="AB20" s="552">
        <f t="shared" si="13"/>
        <v>3554</v>
      </c>
      <c r="AC20" s="155">
        <f t="shared" si="14"/>
        <v>6129</v>
      </c>
      <c r="AD20" s="155">
        <f t="shared" si="15"/>
        <v>3829</v>
      </c>
      <c r="AE20" s="155">
        <f>BS20+BT20</f>
        <v>14928</v>
      </c>
      <c r="AF20" s="155">
        <f t="shared" si="17"/>
        <v>6327</v>
      </c>
      <c r="AG20" s="155">
        <f t="shared" si="18"/>
        <v>13145</v>
      </c>
      <c r="AH20" s="155">
        <f t="shared" si="19"/>
        <v>7813</v>
      </c>
      <c r="AI20" s="155">
        <f t="shared" si="20"/>
        <v>4559</v>
      </c>
      <c r="AJ20" s="155">
        <f t="shared" si="21"/>
        <v>4949</v>
      </c>
      <c r="AK20" s="552">
        <f t="shared" si="22"/>
        <v>4088</v>
      </c>
      <c r="AL20" s="155">
        <f t="shared" si="23"/>
        <v>5196</v>
      </c>
      <c r="AM20" s="155">
        <f t="shared" si="24"/>
        <v>7272</v>
      </c>
      <c r="AN20" s="155">
        <f t="shared" si="25"/>
        <v>9081</v>
      </c>
      <c r="AO20" s="155">
        <f t="shared" si="26"/>
        <v>8904</v>
      </c>
      <c r="AP20" s="155">
        <f t="shared" si="26"/>
        <v>5782</v>
      </c>
      <c r="AQ20" s="155">
        <f t="shared" si="27"/>
        <v>3614</v>
      </c>
      <c r="AR20" s="155">
        <f t="shared" si="28"/>
        <v>8096</v>
      </c>
      <c r="AS20" s="156">
        <f>CF20+CG20</f>
        <v>11898</v>
      </c>
      <c r="AT20" s="281">
        <v>40637</v>
      </c>
      <c r="AU20" s="155">
        <v>17952</v>
      </c>
      <c r="AV20" s="155">
        <v>16680</v>
      </c>
      <c r="AW20" s="155">
        <v>6694</v>
      </c>
      <c r="AX20" s="155">
        <v>18344</v>
      </c>
      <c r="AY20" s="155">
        <v>11307</v>
      </c>
      <c r="AZ20" s="155">
        <v>5323</v>
      </c>
      <c r="BA20" s="155">
        <v>13606</v>
      </c>
      <c r="BB20" s="155">
        <v>4038</v>
      </c>
      <c r="BC20" s="155">
        <v>6124</v>
      </c>
      <c r="BD20" s="155">
        <v>3968</v>
      </c>
      <c r="BE20" s="155">
        <v>3543</v>
      </c>
      <c r="BF20" s="552">
        <v>10393</v>
      </c>
      <c r="BG20" s="155">
        <v>2293</v>
      </c>
      <c r="BH20" s="155">
        <v>15293</v>
      </c>
      <c r="BI20" s="155">
        <v>12696</v>
      </c>
      <c r="BJ20" s="155">
        <v>7320</v>
      </c>
      <c r="BK20" s="155">
        <v>6864</v>
      </c>
      <c r="BL20" s="155">
        <v>15498</v>
      </c>
      <c r="BM20" s="155">
        <v>3741</v>
      </c>
      <c r="BN20" s="155">
        <v>14386</v>
      </c>
      <c r="BO20" s="155">
        <v>4486</v>
      </c>
      <c r="BP20" s="155">
        <v>3554</v>
      </c>
      <c r="BQ20" s="155">
        <v>4508</v>
      </c>
      <c r="BR20" s="552">
        <v>3445</v>
      </c>
      <c r="BS20" s="155">
        <v>8917</v>
      </c>
      <c r="BT20" s="155">
        <v>6011</v>
      </c>
      <c r="BU20" s="155">
        <v>3829</v>
      </c>
      <c r="BV20" s="155">
        <v>13145</v>
      </c>
      <c r="BW20" s="155">
        <v>4559</v>
      </c>
      <c r="BX20" s="155">
        <v>6129</v>
      </c>
      <c r="BY20" s="155">
        <v>4949</v>
      </c>
      <c r="BZ20" s="155">
        <v>7813</v>
      </c>
      <c r="CA20" s="155">
        <v>6327</v>
      </c>
      <c r="CB20" s="552">
        <v>4088</v>
      </c>
      <c r="CC20" s="155">
        <v>8904</v>
      </c>
      <c r="CD20" s="155">
        <v>5782</v>
      </c>
      <c r="CE20" s="155">
        <v>5196</v>
      </c>
      <c r="CF20" s="155">
        <v>7286</v>
      </c>
      <c r="CG20" s="281">
        <v>4612</v>
      </c>
      <c r="CH20" s="155">
        <v>7272</v>
      </c>
      <c r="CI20" s="155">
        <v>8096</v>
      </c>
      <c r="CJ20" s="155">
        <v>9081</v>
      </c>
      <c r="CK20" s="156">
        <v>3614</v>
      </c>
      <c r="CL20" s="320">
        <v>378300</v>
      </c>
    </row>
    <row r="21" spans="1:90">
      <c r="A21" s="477">
        <f>ROWS($A$3:A19)</f>
        <v>17</v>
      </c>
      <c r="B21" s="54" t="s">
        <v>62</v>
      </c>
      <c r="C21" s="252"/>
      <c r="D21" s="259" t="s">
        <v>3</v>
      </c>
      <c r="E21" s="451"/>
      <c r="F21" s="539">
        <f>F118/F20%</f>
        <v>0.44070916977706043</v>
      </c>
      <c r="G21" s="521">
        <f>G118/G20%</f>
        <v>0.37306690758356803</v>
      </c>
      <c r="H21" s="521">
        <f>H118/H20%</f>
        <v>0.83325730620685468</v>
      </c>
      <c r="I21" s="540">
        <f>I118/I20%</f>
        <v>0.86395615046539997</v>
      </c>
      <c r="J21" s="382"/>
      <c r="K21" s="539">
        <f t="shared" ref="K21:BV21" si="33">K118/K20%</f>
        <v>0.79861445203502357</v>
      </c>
      <c r="L21" s="521">
        <f t="shared" si="33"/>
        <v>0.459892102237552</v>
      </c>
      <c r="M21" s="521">
        <f t="shared" si="33"/>
        <v>1.5625</v>
      </c>
      <c r="N21" s="521">
        <f t="shared" si="33"/>
        <v>0.4780400358530027</v>
      </c>
      <c r="O21" s="521">
        <f t="shared" si="33"/>
        <v>0.87496471916454988</v>
      </c>
      <c r="P21" s="521">
        <f t="shared" si="33"/>
        <v>0.52300702625600937</v>
      </c>
      <c r="Q21" s="521">
        <f t="shared" si="33"/>
        <v>0.13926024955436719</v>
      </c>
      <c r="R21" s="521">
        <f t="shared" si="33"/>
        <v>0.14411420626981572</v>
      </c>
      <c r="S21" s="521">
        <f t="shared" si="33"/>
        <v>0.19184652278177458</v>
      </c>
      <c r="T21" s="521">
        <f t="shared" si="33"/>
        <v>1.8573551263001484</v>
      </c>
      <c r="U21" s="559">
        <f t="shared" si="33"/>
        <v>2.008491182233834</v>
      </c>
      <c r="V21" s="521">
        <f t="shared" si="33"/>
        <v>0.48892125247061274</v>
      </c>
      <c r="W21" s="521">
        <f t="shared" si="33"/>
        <v>0.8127721335268504</v>
      </c>
      <c r="X21" s="521">
        <f t="shared" si="33"/>
        <v>0.23580692414877275</v>
      </c>
      <c r="Y21" s="521">
        <f t="shared" si="33"/>
        <v>0.23130510503973004</v>
      </c>
      <c r="Z21" s="521">
        <f t="shared" si="33"/>
        <v>1.6038492381716121</v>
      </c>
      <c r="AA21" s="521">
        <f t="shared" si="33"/>
        <v>0.36691127418278852</v>
      </c>
      <c r="AB21" s="559">
        <f t="shared" si="33"/>
        <v>0.87225661226786722</v>
      </c>
      <c r="AC21" s="521">
        <f t="shared" si="33"/>
        <v>0.68526676456191871</v>
      </c>
      <c r="AD21" s="521">
        <f t="shared" si="33"/>
        <v>1.2013580569339253</v>
      </c>
      <c r="AE21" s="521">
        <f t="shared" si="33"/>
        <v>0.857449088960343</v>
      </c>
      <c r="AF21" s="521">
        <f t="shared" si="33"/>
        <v>0.69543227437964272</v>
      </c>
      <c r="AG21" s="521">
        <f t="shared" si="33"/>
        <v>0.95853936858120969</v>
      </c>
      <c r="AH21" s="521">
        <f t="shared" si="33"/>
        <v>0.84474593626007943</v>
      </c>
      <c r="AI21" s="521">
        <f t="shared" si="33"/>
        <v>0.74577758280324624</v>
      </c>
      <c r="AJ21" s="521">
        <f t="shared" si="33"/>
        <v>0.46474035158617899</v>
      </c>
      <c r="AK21" s="559">
        <f t="shared" si="33"/>
        <v>0.95401174168297453</v>
      </c>
      <c r="AL21" s="521">
        <f t="shared" si="33"/>
        <v>0.55812163202463427</v>
      </c>
      <c r="AM21" s="521">
        <f t="shared" si="33"/>
        <v>1.3201320132013201</v>
      </c>
      <c r="AN21" s="521">
        <f t="shared" si="33"/>
        <v>1.3214403700033035</v>
      </c>
      <c r="AO21" s="521">
        <f t="shared" si="33"/>
        <v>0.42677448337825691</v>
      </c>
      <c r="AP21" s="521">
        <f t="shared" si="33"/>
        <v>0.3113109650639917</v>
      </c>
      <c r="AQ21" s="521">
        <f t="shared" si="33"/>
        <v>1.6325401217487547</v>
      </c>
      <c r="AR21" s="521">
        <f t="shared" si="33"/>
        <v>0.85227272727272729</v>
      </c>
      <c r="AS21" s="540">
        <f t="shared" si="33"/>
        <v>0.73962010421919644</v>
      </c>
      <c r="AT21" s="521">
        <f t="shared" si="33"/>
        <v>5.4137854664468341E-2</v>
      </c>
      <c r="AU21" s="521">
        <f t="shared" si="33"/>
        <v>0.13926024955436719</v>
      </c>
      <c r="AV21" s="521">
        <f t="shared" si="33"/>
        <v>0.19184652278177458</v>
      </c>
      <c r="AW21" s="521">
        <f t="shared" si="33"/>
        <v>0.4780400358530027</v>
      </c>
      <c r="AX21" s="521">
        <f t="shared" si="33"/>
        <v>0.34343654600959445</v>
      </c>
      <c r="AY21" s="521">
        <f t="shared" si="33"/>
        <v>0.459892102237552</v>
      </c>
      <c r="AZ21" s="521">
        <f t="shared" si="33"/>
        <v>0.24422318241593088</v>
      </c>
      <c r="BA21" s="521">
        <f t="shared" si="33"/>
        <v>0.63207408496251649</v>
      </c>
      <c r="BB21" s="521">
        <f t="shared" si="33"/>
        <v>1.8573551263001484</v>
      </c>
      <c r="BC21" s="521">
        <f t="shared" si="33"/>
        <v>2.008491182233834</v>
      </c>
      <c r="BD21" s="521">
        <f t="shared" si="33"/>
        <v>1.5625</v>
      </c>
      <c r="BE21" s="521">
        <f t="shared" si="33"/>
        <v>0.87496471916454988</v>
      </c>
      <c r="BF21" s="559">
        <f t="shared" si="33"/>
        <v>0.79861445203502357</v>
      </c>
      <c r="BG21" s="521">
        <f t="shared" si="33"/>
        <v>0.52333187963366767</v>
      </c>
      <c r="BH21" s="521">
        <f t="shared" si="33"/>
        <v>7.8467272608382918E-2</v>
      </c>
      <c r="BI21" s="521">
        <f t="shared" si="33"/>
        <v>0.42533081285444235</v>
      </c>
      <c r="BJ21" s="521">
        <f t="shared" si="33"/>
        <v>0.47814207650273222</v>
      </c>
      <c r="BK21" s="521">
        <f t="shared" si="33"/>
        <v>0.17482517482517482</v>
      </c>
      <c r="BL21" s="521">
        <f t="shared" si="33"/>
        <v>3.2262227384178603E-2</v>
      </c>
      <c r="BM21" s="521">
        <f t="shared" si="33"/>
        <v>1.6038492381716121</v>
      </c>
      <c r="BN21" s="521">
        <f t="shared" si="33"/>
        <v>0.47268177394689276</v>
      </c>
      <c r="BO21" s="521">
        <f t="shared" si="33"/>
        <v>0.20062416406598307</v>
      </c>
      <c r="BP21" s="521">
        <f t="shared" si="33"/>
        <v>0.87225661226786722</v>
      </c>
      <c r="BQ21" s="521">
        <f t="shared" si="33"/>
        <v>0.53238686779059452</v>
      </c>
      <c r="BR21" s="559">
        <f t="shared" si="33"/>
        <v>0.8127721335268504</v>
      </c>
      <c r="BS21" s="521">
        <f t="shared" si="33"/>
        <v>0.21307614668610519</v>
      </c>
      <c r="BT21" s="521">
        <f t="shared" si="33"/>
        <v>1.8133422059557478</v>
      </c>
      <c r="BU21" s="521">
        <f t="shared" si="33"/>
        <v>1.2013580569339253</v>
      </c>
      <c r="BV21" s="521">
        <f t="shared" si="33"/>
        <v>0.95853936858120969</v>
      </c>
      <c r="BW21" s="521">
        <f t="shared" ref="BW21:CL21" si="34">BW118/BW20%</f>
        <v>0.74577758280324624</v>
      </c>
      <c r="BX21" s="521">
        <f t="shared" si="34"/>
        <v>0.68526676456191871</v>
      </c>
      <c r="BY21" s="521">
        <f t="shared" si="34"/>
        <v>0.46474035158617899</v>
      </c>
      <c r="BZ21" s="521">
        <f t="shared" si="34"/>
        <v>0.84474593626007943</v>
      </c>
      <c r="CA21" s="521">
        <f t="shared" si="34"/>
        <v>0.69543227437964272</v>
      </c>
      <c r="CB21" s="559">
        <f t="shared" si="34"/>
        <v>0.95401174168297453</v>
      </c>
      <c r="CC21" s="521">
        <f t="shared" si="34"/>
        <v>0.42677448337825691</v>
      </c>
      <c r="CD21" s="521">
        <f t="shared" si="34"/>
        <v>0.3113109650639917</v>
      </c>
      <c r="CE21" s="521">
        <f t="shared" si="34"/>
        <v>0.55812163202463427</v>
      </c>
      <c r="CF21" s="521">
        <f t="shared" si="34"/>
        <v>0.12352456766401318</v>
      </c>
      <c r="CG21" s="521">
        <f t="shared" si="34"/>
        <v>1.7129228100607112</v>
      </c>
      <c r="CH21" s="521">
        <f t="shared" si="34"/>
        <v>1.3201320132013201</v>
      </c>
      <c r="CI21" s="521">
        <f t="shared" si="34"/>
        <v>0.85227272727272729</v>
      </c>
      <c r="CJ21" s="521">
        <f t="shared" si="34"/>
        <v>1.3214403700033035</v>
      </c>
      <c r="CK21" s="540">
        <f t="shared" si="34"/>
        <v>1.6325401217487547</v>
      </c>
      <c r="CL21" s="560">
        <f t="shared" si="34"/>
        <v>0.5590800951625694</v>
      </c>
    </row>
    <row r="22" spans="1:90">
      <c r="A22" s="477">
        <f>ROWS($A$3:A20)</f>
        <v>18</v>
      </c>
      <c r="B22" s="59" t="s">
        <v>66</v>
      </c>
      <c r="C22" s="393">
        <v>2010</v>
      </c>
      <c r="D22" s="259"/>
      <c r="E22" s="451"/>
      <c r="F22" s="154"/>
      <c r="G22" s="155"/>
      <c r="H22" s="155"/>
      <c r="I22" s="156"/>
      <c r="J22" s="281"/>
      <c r="K22" s="154"/>
      <c r="L22" s="155"/>
      <c r="M22" s="155"/>
      <c r="N22" s="155"/>
      <c r="O22" s="155"/>
      <c r="P22" s="155"/>
      <c r="Q22" s="155">
        <f>'2015'!AU22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0">
      <c r="A23" s="477">
        <f>ROWS($A$3:A21)</f>
        <v>19</v>
      </c>
      <c r="B23" s="92" t="s">
        <v>253</v>
      </c>
      <c r="C23" s="205"/>
      <c r="D23" s="259" t="s">
        <v>13</v>
      </c>
      <c r="E23" s="447">
        <v>40679</v>
      </c>
      <c r="F23" s="154">
        <v>14397</v>
      </c>
      <c r="G23" s="155">
        <v>4930</v>
      </c>
      <c r="H23" s="155">
        <v>13611</v>
      </c>
      <c r="I23" s="156">
        <v>11574</v>
      </c>
      <c r="J23" s="281"/>
      <c r="K23" s="154">
        <f t="shared" ref="K23:K33" si="35">BF23</f>
        <v>1827</v>
      </c>
      <c r="L23" s="155">
        <f t="shared" ref="L23:L33" si="36">AY23</f>
        <v>1288</v>
      </c>
      <c r="M23" s="155">
        <f t="shared" ref="M23:M33" si="37">BD23</f>
        <v>1552</v>
      </c>
      <c r="N23" s="155">
        <f t="shared" ref="N23:N33" si="38">AW23</f>
        <v>782</v>
      </c>
      <c r="O23" s="155">
        <f t="shared" ref="O23:O33" si="39">BE23</f>
        <v>581</v>
      </c>
      <c r="P23" s="155">
        <f>'2015'!AZ23+'2015'!BA23</f>
        <v>2309</v>
      </c>
      <c r="Q23" s="155">
        <f>'2015'!AU23</f>
        <v>604</v>
      </c>
      <c r="R23" s="155">
        <f t="shared" ref="R23:R29" si="40">AT23+AX23</f>
        <v>1535</v>
      </c>
      <c r="S23" s="155">
        <f t="shared" ref="S23:S33" si="41">AV23</f>
        <v>659</v>
      </c>
      <c r="T23" s="155">
        <f t="shared" ref="T23:U33" si="42">BB23</f>
        <v>1229</v>
      </c>
      <c r="U23" s="552">
        <f t="shared" si="42"/>
        <v>2031</v>
      </c>
      <c r="V23" s="155">
        <f t="shared" ref="V23:V29" si="43">BG23+BJ23</f>
        <v>661</v>
      </c>
      <c r="W23" s="155">
        <f t="shared" ref="W23:W33" si="44">BR23</f>
        <v>517</v>
      </c>
      <c r="X23" s="155">
        <f t="shared" ref="X23:X29" si="45">BH23+BI23</f>
        <v>828</v>
      </c>
      <c r="Y23" s="155">
        <f t="shared" ref="Y23:Y29" si="46">BK23+BL23+BN23</f>
        <v>1125</v>
      </c>
      <c r="Z23" s="155">
        <f t="shared" ref="Z23:Z33" si="47">BM23</f>
        <v>878</v>
      </c>
      <c r="AA23" s="155">
        <f t="shared" ref="AA23:AA29" si="48">BO23+BQ23</f>
        <v>457</v>
      </c>
      <c r="AB23" s="552">
        <f t="shared" ref="AB23:AB33" si="49">BP23</f>
        <v>464</v>
      </c>
      <c r="AC23" s="155">
        <f t="shared" ref="AC23:AC33" si="50">BX23</f>
        <v>1037</v>
      </c>
      <c r="AD23" s="155">
        <f t="shared" ref="AD23:AD33" si="51">BU23</f>
        <v>1422</v>
      </c>
      <c r="AE23" s="155">
        <f t="shared" ref="AE23:AE29" si="52">BS23+BT23</f>
        <v>3099</v>
      </c>
      <c r="AF23" s="155">
        <f t="shared" ref="AF23:AF33" si="53">CA23</f>
        <v>1074</v>
      </c>
      <c r="AG23" s="155">
        <f t="shared" ref="AG23:AG33" si="54">BV23</f>
        <v>3572</v>
      </c>
      <c r="AH23" s="155">
        <f t="shared" ref="AH23:AH33" si="55">BZ23</f>
        <v>900</v>
      </c>
      <c r="AI23" s="155">
        <f t="shared" ref="AI23:AI33" si="56">BW23</f>
        <v>800</v>
      </c>
      <c r="AJ23" s="155">
        <f t="shared" ref="AJ23:AJ33" si="57">BY23</f>
        <v>465</v>
      </c>
      <c r="AK23" s="552">
        <f t="shared" ref="AK23:AK33" si="58">CB23</f>
        <v>1242</v>
      </c>
      <c r="AL23" s="155">
        <f t="shared" ref="AL23:AL33" si="59">CE23</f>
        <v>755</v>
      </c>
      <c r="AM23" s="155">
        <f t="shared" ref="AM23:AM33" si="60">CH23</f>
        <v>1848</v>
      </c>
      <c r="AN23" s="155">
        <f t="shared" ref="AN23:AN33" si="61">CJ23</f>
        <v>2560</v>
      </c>
      <c r="AO23" s="155">
        <f t="shared" ref="AO23:AP33" si="62">CC23</f>
        <v>1058</v>
      </c>
      <c r="AP23" s="155">
        <f t="shared" si="62"/>
        <v>419</v>
      </c>
      <c r="AQ23" s="155">
        <f t="shared" ref="AQ23:AQ33" si="63">CK23</f>
        <v>1248</v>
      </c>
      <c r="AR23" s="155">
        <f t="shared" ref="AR23:AR33" si="64">CI23</f>
        <v>1677</v>
      </c>
      <c r="AS23" s="156">
        <f t="shared" ref="AS23:AS29" si="65">CF23+CG23</f>
        <v>2009</v>
      </c>
      <c r="AT23" s="155">
        <v>198</v>
      </c>
      <c r="AU23" s="155">
        <v>604</v>
      </c>
      <c r="AV23" s="155">
        <v>659</v>
      </c>
      <c r="AW23" s="155">
        <v>782</v>
      </c>
      <c r="AX23" s="155">
        <v>1337</v>
      </c>
      <c r="AY23" s="155">
        <v>1288</v>
      </c>
      <c r="AZ23" s="155">
        <v>183</v>
      </c>
      <c r="BA23" s="155">
        <v>2126</v>
      </c>
      <c r="BB23" s="155">
        <v>1229</v>
      </c>
      <c r="BC23" s="155">
        <v>2031</v>
      </c>
      <c r="BD23" s="155">
        <v>1552</v>
      </c>
      <c r="BE23" s="155">
        <v>581</v>
      </c>
      <c r="BF23" s="552">
        <v>1827</v>
      </c>
      <c r="BG23" s="155">
        <v>114</v>
      </c>
      <c r="BH23" s="155">
        <v>65</v>
      </c>
      <c r="BI23" s="155">
        <v>763</v>
      </c>
      <c r="BJ23" s="155">
        <v>547</v>
      </c>
      <c r="BK23" s="155">
        <v>89</v>
      </c>
      <c r="BL23" s="155">
        <v>69</v>
      </c>
      <c r="BM23" s="155">
        <v>878</v>
      </c>
      <c r="BN23" s="155">
        <v>967</v>
      </c>
      <c r="BO23" s="155">
        <v>24</v>
      </c>
      <c r="BP23" s="155">
        <v>464</v>
      </c>
      <c r="BQ23" s="155">
        <v>433</v>
      </c>
      <c r="BR23" s="552">
        <v>517</v>
      </c>
      <c r="BS23" s="155">
        <v>214</v>
      </c>
      <c r="BT23" s="155">
        <v>2885</v>
      </c>
      <c r="BU23" s="155">
        <v>1422</v>
      </c>
      <c r="BV23" s="155">
        <v>3572</v>
      </c>
      <c r="BW23" s="155">
        <v>800</v>
      </c>
      <c r="BX23" s="155">
        <v>1037</v>
      </c>
      <c r="BY23" s="155">
        <v>465</v>
      </c>
      <c r="BZ23" s="155">
        <v>900</v>
      </c>
      <c r="CA23" s="155">
        <v>1074</v>
      </c>
      <c r="CB23" s="552">
        <v>1242</v>
      </c>
      <c r="CC23" s="155">
        <v>1058</v>
      </c>
      <c r="CD23" s="155">
        <v>419</v>
      </c>
      <c r="CE23" s="155">
        <v>755</v>
      </c>
      <c r="CF23" s="155">
        <v>118</v>
      </c>
      <c r="CG23" s="155">
        <v>1891</v>
      </c>
      <c r="CH23" s="155">
        <v>1848</v>
      </c>
      <c r="CI23" s="155">
        <v>1677</v>
      </c>
      <c r="CJ23" s="155">
        <v>2560</v>
      </c>
      <c r="CK23" s="156">
        <v>1248</v>
      </c>
      <c r="CL23" s="320">
        <v>44512</v>
      </c>
    </row>
    <row r="24" spans="1:90">
      <c r="A24" s="477">
        <f>ROWS($A$3:A22)</f>
        <v>20</v>
      </c>
      <c r="B24" s="92" t="s">
        <v>249</v>
      </c>
      <c r="C24" s="203"/>
      <c r="D24" s="259" t="s">
        <v>13</v>
      </c>
      <c r="E24" s="447">
        <v>40679</v>
      </c>
      <c r="F24" s="154">
        <v>2777</v>
      </c>
      <c r="G24" s="155">
        <v>850</v>
      </c>
      <c r="H24" s="155">
        <v>3557</v>
      </c>
      <c r="I24" s="156">
        <v>913</v>
      </c>
      <c r="J24" s="281"/>
      <c r="K24" s="154">
        <f t="shared" si="35"/>
        <v>84</v>
      </c>
      <c r="L24" s="155">
        <f t="shared" si="36"/>
        <v>428</v>
      </c>
      <c r="M24" s="155">
        <f t="shared" si="37"/>
        <v>173</v>
      </c>
      <c r="N24" s="155">
        <f t="shared" si="38"/>
        <v>84</v>
      </c>
      <c r="O24" s="155">
        <f t="shared" si="39"/>
        <v>22</v>
      </c>
      <c r="P24" s="155">
        <f>'2015'!AZ24+'2015'!BA24</f>
        <v>881</v>
      </c>
      <c r="Q24" s="155">
        <f>'2015'!AU24</f>
        <v>52</v>
      </c>
      <c r="R24" s="155">
        <f t="shared" si="40"/>
        <v>598</v>
      </c>
      <c r="S24" s="155">
        <f t="shared" si="41"/>
        <v>131</v>
      </c>
      <c r="T24" s="155">
        <f t="shared" si="42"/>
        <v>261</v>
      </c>
      <c r="U24" s="552">
        <f t="shared" si="42"/>
        <v>63</v>
      </c>
      <c r="V24" s="155">
        <f t="shared" si="43"/>
        <v>304</v>
      </c>
      <c r="W24" s="155">
        <f t="shared" si="44"/>
        <v>24</v>
      </c>
      <c r="X24" s="155">
        <f t="shared" si="45"/>
        <v>160</v>
      </c>
      <c r="Y24" s="155">
        <f t="shared" si="46"/>
        <v>225</v>
      </c>
      <c r="Z24" s="155">
        <f t="shared" si="47"/>
        <v>34</v>
      </c>
      <c r="AA24" s="155">
        <f t="shared" si="48"/>
        <v>78</v>
      </c>
      <c r="AB24" s="552">
        <f t="shared" si="49"/>
        <v>25</v>
      </c>
      <c r="AC24" s="155">
        <f t="shared" si="50"/>
        <v>16</v>
      </c>
      <c r="AD24" s="155">
        <f t="shared" si="51"/>
        <v>514</v>
      </c>
      <c r="AE24" s="155">
        <f t="shared" si="52"/>
        <v>1264</v>
      </c>
      <c r="AF24" s="155">
        <f t="shared" si="53"/>
        <v>215</v>
      </c>
      <c r="AG24" s="155">
        <f t="shared" si="54"/>
        <v>1291</v>
      </c>
      <c r="AH24" s="155">
        <f t="shared" si="55"/>
        <v>174</v>
      </c>
      <c r="AI24" s="155">
        <f t="shared" si="56"/>
        <v>21</v>
      </c>
      <c r="AJ24" s="155">
        <f t="shared" si="57"/>
        <v>11</v>
      </c>
      <c r="AK24" s="552">
        <f t="shared" si="58"/>
        <v>51</v>
      </c>
      <c r="AL24" s="155">
        <f t="shared" si="59"/>
        <v>23</v>
      </c>
      <c r="AM24" s="155">
        <f t="shared" si="60"/>
        <v>56</v>
      </c>
      <c r="AN24" s="155">
        <f t="shared" si="61"/>
        <v>152</v>
      </c>
      <c r="AO24" s="155">
        <f t="shared" si="62"/>
        <v>53</v>
      </c>
      <c r="AP24" s="155">
        <f t="shared" si="62"/>
        <v>41</v>
      </c>
      <c r="AQ24" s="155">
        <f t="shared" si="63"/>
        <v>40</v>
      </c>
      <c r="AR24" s="155">
        <f t="shared" si="64"/>
        <v>467</v>
      </c>
      <c r="AS24" s="156">
        <f t="shared" si="65"/>
        <v>81</v>
      </c>
      <c r="AT24" s="155">
        <v>104</v>
      </c>
      <c r="AU24" s="155">
        <v>52</v>
      </c>
      <c r="AV24" s="155">
        <v>131</v>
      </c>
      <c r="AW24" s="155">
        <v>84</v>
      </c>
      <c r="AX24" s="155">
        <v>494</v>
      </c>
      <c r="AY24" s="155">
        <v>428</v>
      </c>
      <c r="AZ24" s="155">
        <v>50</v>
      </c>
      <c r="BA24" s="155">
        <v>831</v>
      </c>
      <c r="BB24" s="155">
        <v>261</v>
      </c>
      <c r="BC24" s="155">
        <v>63</v>
      </c>
      <c r="BD24" s="155">
        <v>173</v>
      </c>
      <c r="BE24" s="155">
        <v>22</v>
      </c>
      <c r="BF24" s="552">
        <v>84</v>
      </c>
      <c r="BG24" s="155">
        <v>75</v>
      </c>
      <c r="BH24" s="155">
        <v>15</v>
      </c>
      <c r="BI24" s="155">
        <v>145</v>
      </c>
      <c r="BJ24" s="155">
        <v>229</v>
      </c>
      <c r="BK24" s="155">
        <v>28</v>
      </c>
      <c r="BL24" s="155">
        <v>12</v>
      </c>
      <c r="BM24" s="155">
        <v>34</v>
      </c>
      <c r="BN24" s="155">
        <v>185</v>
      </c>
      <c r="BO24" s="155">
        <v>7</v>
      </c>
      <c r="BP24" s="155">
        <v>25</v>
      </c>
      <c r="BQ24" s="155">
        <v>71</v>
      </c>
      <c r="BR24" s="552">
        <v>24</v>
      </c>
      <c r="BS24" s="155">
        <v>111</v>
      </c>
      <c r="BT24" s="155">
        <v>1153</v>
      </c>
      <c r="BU24" s="155">
        <v>514</v>
      </c>
      <c r="BV24" s="155">
        <v>1291</v>
      </c>
      <c r="BW24" s="155">
        <v>21</v>
      </c>
      <c r="BX24" s="155">
        <v>16</v>
      </c>
      <c r="BY24" s="155">
        <v>11</v>
      </c>
      <c r="BZ24" s="155">
        <v>174</v>
      </c>
      <c r="CA24" s="155">
        <v>215</v>
      </c>
      <c r="CB24" s="552">
        <v>51</v>
      </c>
      <c r="CC24" s="155">
        <v>53</v>
      </c>
      <c r="CD24" s="155">
        <v>41</v>
      </c>
      <c r="CE24" s="155">
        <v>23</v>
      </c>
      <c r="CF24" s="155">
        <v>16</v>
      </c>
      <c r="CG24" s="155">
        <v>65</v>
      </c>
      <c r="CH24" s="155">
        <v>56</v>
      </c>
      <c r="CI24" s="155">
        <v>467</v>
      </c>
      <c r="CJ24" s="155">
        <v>152</v>
      </c>
      <c r="CK24" s="156">
        <v>40</v>
      </c>
      <c r="CL24" s="320">
        <v>8097</v>
      </c>
    </row>
    <row r="25" spans="1:90">
      <c r="A25" s="477">
        <f>ROWS($A$3:A23)</f>
        <v>21</v>
      </c>
      <c r="B25" s="92" t="s">
        <v>250</v>
      </c>
      <c r="C25" s="203"/>
      <c r="D25" s="259" t="s">
        <v>13</v>
      </c>
      <c r="E25" s="447">
        <v>40679</v>
      </c>
      <c r="F25" s="154">
        <v>2154</v>
      </c>
      <c r="G25" s="155">
        <v>818</v>
      </c>
      <c r="H25" s="155">
        <v>2929</v>
      </c>
      <c r="I25" s="156">
        <v>1792</v>
      </c>
      <c r="J25" s="281"/>
      <c r="K25" s="154">
        <f t="shared" si="35"/>
        <v>347</v>
      </c>
      <c r="L25" s="155">
        <f t="shared" si="36"/>
        <v>246</v>
      </c>
      <c r="M25" s="155">
        <f t="shared" si="37"/>
        <v>183</v>
      </c>
      <c r="N25" s="155">
        <f t="shared" si="38"/>
        <v>115</v>
      </c>
      <c r="O25" s="155">
        <f t="shared" si="39"/>
        <v>78</v>
      </c>
      <c r="P25" s="155">
        <f>'2015'!AZ25+'2015'!BA25</f>
        <v>334</v>
      </c>
      <c r="Q25" s="155">
        <f>'2015'!AU25</f>
        <v>101</v>
      </c>
      <c r="R25" s="155">
        <f t="shared" si="40"/>
        <v>157</v>
      </c>
      <c r="S25" s="155">
        <f t="shared" si="41"/>
        <v>117</v>
      </c>
      <c r="T25" s="155">
        <f t="shared" si="42"/>
        <v>176</v>
      </c>
      <c r="U25" s="552">
        <f t="shared" si="42"/>
        <v>300</v>
      </c>
      <c r="V25" s="155">
        <f t="shared" si="43"/>
        <v>105</v>
      </c>
      <c r="W25" s="155">
        <f t="shared" si="44"/>
        <v>135</v>
      </c>
      <c r="X25" s="155">
        <f t="shared" si="45"/>
        <v>121</v>
      </c>
      <c r="Y25" s="155">
        <f t="shared" si="46"/>
        <v>133</v>
      </c>
      <c r="Z25" s="155">
        <f t="shared" si="47"/>
        <v>128</v>
      </c>
      <c r="AA25" s="155">
        <f t="shared" si="48"/>
        <v>64</v>
      </c>
      <c r="AB25" s="552">
        <f t="shared" si="49"/>
        <v>132</v>
      </c>
      <c r="AC25" s="155">
        <f t="shared" si="50"/>
        <v>215</v>
      </c>
      <c r="AD25" s="155">
        <f t="shared" si="51"/>
        <v>289</v>
      </c>
      <c r="AE25" s="155">
        <f t="shared" si="52"/>
        <v>516</v>
      </c>
      <c r="AF25" s="155">
        <f t="shared" si="53"/>
        <v>229</v>
      </c>
      <c r="AG25" s="155">
        <f t="shared" si="54"/>
        <v>928</v>
      </c>
      <c r="AH25" s="155">
        <f t="shared" si="55"/>
        <v>120</v>
      </c>
      <c r="AI25" s="155">
        <f t="shared" si="56"/>
        <v>198</v>
      </c>
      <c r="AJ25" s="155">
        <f t="shared" si="57"/>
        <v>86</v>
      </c>
      <c r="AK25" s="552">
        <f t="shared" si="58"/>
        <v>348</v>
      </c>
      <c r="AL25" s="155">
        <f t="shared" si="59"/>
        <v>173</v>
      </c>
      <c r="AM25" s="155">
        <f t="shared" si="60"/>
        <v>239</v>
      </c>
      <c r="AN25" s="155">
        <f t="shared" si="61"/>
        <v>311</v>
      </c>
      <c r="AO25" s="155">
        <f t="shared" si="62"/>
        <v>211</v>
      </c>
      <c r="AP25" s="155">
        <f t="shared" si="62"/>
        <v>71</v>
      </c>
      <c r="AQ25" s="155">
        <f t="shared" si="63"/>
        <v>218</v>
      </c>
      <c r="AR25" s="155">
        <f t="shared" si="64"/>
        <v>318</v>
      </c>
      <c r="AS25" s="156">
        <f t="shared" si="65"/>
        <v>251</v>
      </c>
      <c r="AT25" s="155">
        <v>31</v>
      </c>
      <c r="AU25" s="155">
        <v>101</v>
      </c>
      <c r="AV25" s="155">
        <v>117</v>
      </c>
      <c r="AW25" s="155">
        <v>115</v>
      </c>
      <c r="AX25" s="155">
        <v>126</v>
      </c>
      <c r="AY25" s="155">
        <v>246</v>
      </c>
      <c r="AZ25" s="155">
        <v>42</v>
      </c>
      <c r="BA25" s="155">
        <v>292</v>
      </c>
      <c r="BB25" s="155">
        <v>176</v>
      </c>
      <c r="BC25" s="155">
        <v>300</v>
      </c>
      <c r="BD25" s="155">
        <v>183</v>
      </c>
      <c r="BE25" s="155">
        <v>78</v>
      </c>
      <c r="BF25" s="552">
        <v>347</v>
      </c>
      <c r="BG25" s="155">
        <v>17</v>
      </c>
      <c r="BH25" s="155">
        <v>9</v>
      </c>
      <c r="BI25" s="155">
        <v>112</v>
      </c>
      <c r="BJ25" s="155">
        <v>88</v>
      </c>
      <c r="BK25" s="155">
        <v>14</v>
      </c>
      <c r="BL25" s="155">
        <v>6</v>
      </c>
      <c r="BM25" s="155">
        <v>128</v>
      </c>
      <c r="BN25" s="155">
        <v>113</v>
      </c>
      <c r="BO25" s="155">
        <v>2</v>
      </c>
      <c r="BP25" s="155">
        <v>132</v>
      </c>
      <c r="BQ25" s="155">
        <v>62</v>
      </c>
      <c r="BR25" s="552">
        <v>135</v>
      </c>
      <c r="BS25" s="155">
        <v>33</v>
      </c>
      <c r="BT25" s="155">
        <v>483</v>
      </c>
      <c r="BU25" s="155">
        <v>289</v>
      </c>
      <c r="BV25" s="155">
        <v>928</v>
      </c>
      <c r="BW25" s="155">
        <v>198</v>
      </c>
      <c r="BX25" s="155">
        <v>215</v>
      </c>
      <c r="BY25" s="155">
        <v>86</v>
      </c>
      <c r="BZ25" s="155">
        <v>120</v>
      </c>
      <c r="CA25" s="155">
        <v>229</v>
      </c>
      <c r="CB25" s="552">
        <v>348</v>
      </c>
      <c r="CC25" s="155">
        <v>211</v>
      </c>
      <c r="CD25" s="155">
        <v>71</v>
      </c>
      <c r="CE25" s="155">
        <v>173</v>
      </c>
      <c r="CF25" s="155">
        <v>8</v>
      </c>
      <c r="CG25" s="155">
        <v>243</v>
      </c>
      <c r="CH25" s="155">
        <v>239</v>
      </c>
      <c r="CI25" s="155">
        <v>318</v>
      </c>
      <c r="CJ25" s="155">
        <v>311</v>
      </c>
      <c r="CK25" s="156">
        <v>218</v>
      </c>
      <c r="CL25" s="320">
        <v>7693</v>
      </c>
    </row>
    <row r="26" spans="1:90">
      <c r="A26" s="477">
        <f>ROWS($A$3:A24)</f>
        <v>22</v>
      </c>
      <c r="B26" s="92" t="s">
        <v>251</v>
      </c>
      <c r="C26" s="203"/>
      <c r="D26" s="259" t="s">
        <v>13</v>
      </c>
      <c r="E26" s="447">
        <v>40679</v>
      </c>
      <c r="F26" s="154">
        <v>2758</v>
      </c>
      <c r="G26" s="155">
        <v>898</v>
      </c>
      <c r="H26" s="155">
        <v>2870</v>
      </c>
      <c r="I26" s="156">
        <v>2733</v>
      </c>
      <c r="J26" s="281"/>
      <c r="K26" s="154">
        <f t="shared" si="35"/>
        <v>495</v>
      </c>
      <c r="L26" s="155">
        <f t="shared" si="36"/>
        <v>245</v>
      </c>
      <c r="M26" s="155">
        <f t="shared" si="37"/>
        <v>303</v>
      </c>
      <c r="N26" s="155">
        <f t="shared" si="38"/>
        <v>160</v>
      </c>
      <c r="O26" s="155">
        <f t="shared" si="39"/>
        <v>123</v>
      </c>
      <c r="P26" s="155">
        <f>'2015'!AZ26+'2015'!BA26</f>
        <v>309</v>
      </c>
      <c r="Q26" s="155">
        <f>'2015'!AU26</f>
        <v>140</v>
      </c>
      <c r="R26" s="155">
        <f t="shared" si="40"/>
        <v>197</v>
      </c>
      <c r="S26" s="155">
        <f t="shared" si="41"/>
        <v>123</v>
      </c>
      <c r="T26" s="155">
        <f t="shared" si="42"/>
        <v>213</v>
      </c>
      <c r="U26" s="552">
        <f t="shared" si="42"/>
        <v>450</v>
      </c>
      <c r="V26" s="155">
        <f t="shared" si="43"/>
        <v>104</v>
      </c>
      <c r="W26" s="155">
        <f t="shared" si="44"/>
        <v>114</v>
      </c>
      <c r="X26" s="155">
        <f t="shared" si="45"/>
        <v>122</v>
      </c>
      <c r="Y26" s="155">
        <f t="shared" si="46"/>
        <v>175</v>
      </c>
      <c r="Z26" s="155">
        <f t="shared" si="47"/>
        <v>191</v>
      </c>
      <c r="AA26" s="155">
        <f t="shared" si="48"/>
        <v>85</v>
      </c>
      <c r="AB26" s="552">
        <f t="shared" si="49"/>
        <v>107</v>
      </c>
      <c r="AC26" s="155">
        <f t="shared" si="50"/>
        <v>228</v>
      </c>
      <c r="AD26" s="155">
        <f t="shared" si="51"/>
        <v>318</v>
      </c>
      <c r="AE26" s="155">
        <f t="shared" si="52"/>
        <v>534</v>
      </c>
      <c r="AF26" s="155">
        <f t="shared" si="53"/>
        <v>259</v>
      </c>
      <c r="AG26" s="155">
        <f t="shared" si="54"/>
        <v>707</v>
      </c>
      <c r="AH26" s="155">
        <f t="shared" si="55"/>
        <v>177</v>
      </c>
      <c r="AI26" s="155">
        <f t="shared" si="56"/>
        <v>207</v>
      </c>
      <c r="AJ26" s="155">
        <f t="shared" si="57"/>
        <v>113</v>
      </c>
      <c r="AK26" s="552">
        <f t="shared" si="58"/>
        <v>327</v>
      </c>
      <c r="AL26" s="155">
        <f t="shared" si="59"/>
        <v>183</v>
      </c>
      <c r="AM26" s="155">
        <f t="shared" si="60"/>
        <v>386</v>
      </c>
      <c r="AN26" s="155">
        <f t="shared" si="61"/>
        <v>617</v>
      </c>
      <c r="AO26" s="155">
        <f t="shared" si="62"/>
        <v>272</v>
      </c>
      <c r="AP26" s="155">
        <f t="shared" si="62"/>
        <v>91</v>
      </c>
      <c r="AQ26" s="155">
        <f t="shared" si="63"/>
        <v>306</v>
      </c>
      <c r="AR26" s="155">
        <f t="shared" si="64"/>
        <v>387</v>
      </c>
      <c r="AS26" s="156">
        <f t="shared" si="65"/>
        <v>491</v>
      </c>
      <c r="AT26" s="155">
        <v>29</v>
      </c>
      <c r="AU26" s="155">
        <v>140</v>
      </c>
      <c r="AV26" s="155">
        <v>123</v>
      </c>
      <c r="AW26" s="155">
        <v>160</v>
      </c>
      <c r="AX26" s="155">
        <v>168</v>
      </c>
      <c r="AY26" s="155">
        <v>245</v>
      </c>
      <c r="AZ26" s="155">
        <v>26</v>
      </c>
      <c r="BA26" s="155">
        <v>283</v>
      </c>
      <c r="BB26" s="155">
        <v>213</v>
      </c>
      <c r="BC26" s="155">
        <v>450</v>
      </c>
      <c r="BD26" s="155">
        <v>303</v>
      </c>
      <c r="BE26" s="155">
        <v>123</v>
      </c>
      <c r="BF26" s="552">
        <v>495</v>
      </c>
      <c r="BG26" s="155">
        <v>10</v>
      </c>
      <c r="BH26" s="155">
        <v>11</v>
      </c>
      <c r="BI26" s="155">
        <v>111</v>
      </c>
      <c r="BJ26" s="155">
        <v>94</v>
      </c>
      <c r="BK26" s="155">
        <v>14</v>
      </c>
      <c r="BL26" s="155">
        <v>7</v>
      </c>
      <c r="BM26" s="155">
        <v>191</v>
      </c>
      <c r="BN26" s="155">
        <v>154</v>
      </c>
      <c r="BO26" s="155">
        <v>3</v>
      </c>
      <c r="BP26" s="155">
        <v>107</v>
      </c>
      <c r="BQ26" s="155">
        <v>82</v>
      </c>
      <c r="BR26" s="552">
        <v>114</v>
      </c>
      <c r="BS26" s="155">
        <v>25</v>
      </c>
      <c r="BT26" s="155">
        <v>509</v>
      </c>
      <c r="BU26" s="155">
        <v>318</v>
      </c>
      <c r="BV26" s="155">
        <v>707</v>
      </c>
      <c r="BW26" s="155">
        <v>207</v>
      </c>
      <c r="BX26" s="155">
        <v>228</v>
      </c>
      <c r="BY26" s="155">
        <v>113</v>
      </c>
      <c r="BZ26" s="155">
        <v>177</v>
      </c>
      <c r="CA26" s="155">
        <v>259</v>
      </c>
      <c r="CB26" s="552">
        <v>327</v>
      </c>
      <c r="CC26" s="155">
        <v>272</v>
      </c>
      <c r="CD26" s="155">
        <v>91</v>
      </c>
      <c r="CE26" s="155">
        <v>183</v>
      </c>
      <c r="CF26" s="155">
        <v>23</v>
      </c>
      <c r="CG26" s="155">
        <v>468</v>
      </c>
      <c r="CH26" s="155">
        <v>386</v>
      </c>
      <c r="CI26" s="155">
        <v>387</v>
      </c>
      <c r="CJ26" s="155">
        <v>617</v>
      </c>
      <c r="CK26" s="156">
        <v>306</v>
      </c>
      <c r="CL26" s="320">
        <v>9259</v>
      </c>
    </row>
    <row r="27" spans="1:90">
      <c r="A27" s="477">
        <f>ROWS($A$3:A25)</f>
        <v>23</v>
      </c>
      <c r="B27" s="92" t="s">
        <v>252</v>
      </c>
      <c r="C27" s="203"/>
      <c r="D27" s="259" t="s">
        <v>13</v>
      </c>
      <c r="E27" s="447">
        <v>40679</v>
      </c>
      <c r="F27" s="154">
        <v>3588</v>
      </c>
      <c r="G27" s="155">
        <v>1000</v>
      </c>
      <c r="H27" s="155">
        <v>2416</v>
      </c>
      <c r="I27" s="156">
        <v>3349</v>
      </c>
      <c r="J27" s="281"/>
      <c r="K27" s="154">
        <f t="shared" si="35"/>
        <v>462</v>
      </c>
      <c r="L27" s="155">
        <f t="shared" si="36"/>
        <v>235</v>
      </c>
      <c r="M27" s="155">
        <f t="shared" si="37"/>
        <v>465</v>
      </c>
      <c r="N27" s="155">
        <f t="shared" si="38"/>
        <v>216</v>
      </c>
      <c r="O27" s="155">
        <f t="shared" si="39"/>
        <v>159</v>
      </c>
      <c r="P27" s="155">
        <f>'2015'!AZ27+'2015'!BA27</f>
        <v>418</v>
      </c>
      <c r="Q27" s="155">
        <f>'2015'!AU27</f>
        <v>153</v>
      </c>
      <c r="R27" s="155">
        <f t="shared" si="40"/>
        <v>371</v>
      </c>
      <c r="S27" s="155">
        <f t="shared" si="41"/>
        <v>155</v>
      </c>
      <c r="T27" s="155">
        <f t="shared" si="42"/>
        <v>298</v>
      </c>
      <c r="U27" s="552">
        <f t="shared" si="42"/>
        <v>656</v>
      </c>
      <c r="V27" s="155">
        <f t="shared" si="43"/>
        <v>58</v>
      </c>
      <c r="W27" s="155">
        <f t="shared" si="44"/>
        <v>129</v>
      </c>
      <c r="X27" s="155">
        <f t="shared" si="45"/>
        <v>147</v>
      </c>
      <c r="Y27" s="155">
        <f t="shared" si="46"/>
        <v>286</v>
      </c>
      <c r="Z27" s="155">
        <f t="shared" si="47"/>
        <v>210</v>
      </c>
      <c r="AA27" s="155">
        <f t="shared" si="48"/>
        <v>84</v>
      </c>
      <c r="AB27" s="552">
        <f t="shared" si="49"/>
        <v>86</v>
      </c>
      <c r="AC27" s="155">
        <f t="shared" si="50"/>
        <v>326</v>
      </c>
      <c r="AD27" s="155">
        <f t="shared" si="51"/>
        <v>210</v>
      </c>
      <c r="AE27" s="155">
        <f t="shared" si="52"/>
        <v>543</v>
      </c>
      <c r="AF27" s="155">
        <f t="shared" si="53"/>
        <v>255</v>
      </c>
      <c r="AG27" s="155">
        <f t="shared" si="54"/>
        <v>382</v>
      </c>
      <c r="AH27" s="155">
        <f t="shared" si="55"/>
        <v>190</v>
      </c>
      <c r="AI27" s="155">
        <f t="shared" si="56"/>
        <v>156</v>
      </c>
      <c r="AJ27" s="155">
        <f t="shared" si="57"/>
        <v>88</v>
      </c>
      <c r="AK27" s="552">
        <f t="shared" si="58"/>
        <v>266</v>
      </c>
      <c r="AL27" s="155">
        <f t="shared" si="59"/>
        <v>171</v>
      </c>
      <c r="AM27" s="155">
        <f t="shared" si="60"/>
        <v>605</v>
      </c>
      <c r="AN27" s="155">
        <f t="shared" si="61"/>
        <v>934</v>
      </c>
      <c r="AO27" s="155">
        <f t="shared" si="62"/>
        <v>256</v>
      </c>
      <c r="AP27" s="155">
        <f t="shared" si="62"/>
        <v>104</v>
      </c>
      <c r="AQ27" s="155">
        <f t="shared" si="63"/>
        <v>322</v>
      </c>
      <c r="AR27" s="155">
        <f t="shared" si="64"/>
        <v>351</v>
      </c>
      <c r="AS27" s="156">
        <f t="shared" si="65"/>
        <v>606</v>
      </c>
      <c r="AT27" s="155">
        <v>22</v>
      </c>
      <c r="AU27" s="155">
        <v>153</v>
      </c>
      <c r="AV27" s="155">
        <v>155</v>
      </c>
      <c r="AW27" s="155">
        <v>216</v>
      </c>
      <c r="AX27" s="155">
        <v>349</v>
      </c>
      <c r="AY27" s="155">
        <v>235</v>
      </c>
      <c r="AZ27" s="155">
        <v>45</v>
      </c>
      <c r="BA27" s="155">
        <v>373</v>
      </c>
      <c r="BB27" s="155">
        <v>298</v>
      </c>
      <c r="BC27" s="155">
        <v>656</v>
      </c>
      <c r="BD27" s="155">
        <v>465</v>
      </c>
      <c r="BE27" s="155">
        <v>159</v>
      </c>
      <c r="BF27" s="552">
        <v>462</v>
      </c>
      <c r="BG27" s="155">
        <v>4</v>
      </c>
      <c r="BH27" s="155">
        <v>20</v>
      </c>
      <c r="BI27" s="155">
        <v>127</v>
      </c>
      <c r="BJ27" s="155">
        <v>54</v>
      </c>
      <c r="BK27" s="155">
        <v>24</v>
      </c>
      <c r="BL27" s="155">
        <v>22</v>
      </c>
      <c r="BM27" s="155">
        <v>210</v>
      </c>
      <c r="BN27" s="155">
        <v>240</v>
      </c>
      <c r="BO27" s="155">
        <v>4</v>
      </c>
      <c r="BP27" s="155">
        <v>86</v>
      </c>
      <c r="BQ27" s="155">
        <v>80</v>
      </c>
      <c r="BR27" s="552">
        <v>129</v>
      </c>
      <c r="BS27" s="155">
        <v>30</v>
      </c>
      <c r="BT27" s="155">
        <v>513</v>
      </c>
      <c r="BU27" s="155">
        <v>210</v>
      </c>
      <c r="BV27" s="155">
        <v>382</v>
      </c>
      <c r="BW27" s="155">
        <v>156</v>
      </c>
      <c r="BX27" s="155">
        <v>326</v>
      </c>
      <c r="BY27" s="155">
        <v>88</v>
      </c>
      <c r="BZ27" s="155">
        <v>190</v>
      </c>
      <c r="CA27" s="155">
        <v>255</v>
      </c>
      <c r="CB27" s="552">
        <v>266</v>
      </c>
      <c r="CC27" s="155">
        <v>256</v>
      </c>
      <c r="CD27" s="155">
        <v>104</v>
      </c>
      <c r="CE27" s="155">
        <v>171</v>
      </c>
      <c r="CF27" s="155">
        <v>32</v>
      </c>
      <c r="CG27" s="155">
        <v>574</v>
      </c>
      <c r="CH27" s="155">
        <v>605</v>
      </c>
      <c r="CI27" s="155">
        <v>351</v>
      </c>
      <c r="CJ27" s="155">
        <v>934</v>
      </c>
      <c r="CK27" s="156">
        <v>322</v>
      </c>
      <c r="CL27" s="320">
        <v>10353</v>
      </c>
    </row>
    <row r="28" spans="1:90">
      <c r="A28" s="477">
        <f>ROWS($A$3:A26)</f>
        <v>24</v>
      </c>
      <c r="B28" s="92" t="s">
        <v>4</v>
      </c>
      <c r="C28" s="203"/>
      <c r="D28" s="259" t="s">
        <v>13</v>
      </c>
      <c r="E28" s="447">
        <v>40679</v>
      </c>
      <c r="F28" s="154">
        <v>2265</v>
      </c>
      <c r="G28" s="155">
        <v>809</v>
      </c>
      <c r="H28" s="155">
        <v>1258</v>
      </c>
      <c r="I28" s="156">
        <v>1995</v>
      </c>
      <c r="J28" s="281"/>
      <c r="K28" s="154">
        <f t="shared" si="35"/>
        <v>306</v>
      </c>
      <c r="L28" s="155">
        <f t="shared" si="36"/>
        <v>100</v>
      </c>
      <c r="M28" s="155">
        <f>BD28</f>
        <v>255</v>
      </c>
      <c r="N28" s="155">
        <f>AW28</f>
        <v>161</v>
      </c>
      <c r="O28" s="155">
        <f>BE28</f>
        <v>144</v>
      </c>
      <c r="P28" s="155">
        <f>'2015'!AZ28+'2015'!BA28</f>
        <v>252</v>
      </c>
      <c r="Q28" s="155">
        <f>'2015'!AU28</f>
        <v>110</v>
      </c>
      <c r="R28" s="155">
        <f>AT28+AX28</f>
        <v>179</v>
      </c>
      <c r="S28" s="155">
        <f>AV28</f>
        <v>103</v>
      </c>
      <c r="T28" s="155">
        <f>BB28</f>
        <v>198</v>
      </c>
      <c r="U28" s="552">
        <f>BC28</f>
        <v>457</v>
      </c>
      <c r="V28" s="155">
        <f>BG28+BJ28</f>
        <v>45</v>
      </c>
      <c r="W28" s="155">
        <f>BR28</f>
        <v>72</v>
      </c>
      <c r="X28" s="155">
        <f>BH28+BI28</f>
        <v>137</v>
      </c>
      <c r="Y28" s="155">
        <f>BK28+BL28+BN28</f>
        <v>218</v>
      </c>
      <c r="Z28" s="155">
        <f>BM28</f>
        <v>176</v>
      </c>
      <c r="AA28" s="155">
        <f>BO28+BQ28</f>
        <v>88</v>
      </c>
      <c r="AB28" s="552">
        <f>BP28</f>
        <v>73</v>
      </c>
      <c r="AC28" s="155">
        <f>BX28</f>
        <v>177</v>
      </c>
      <c r="AD28" s="155">
        <f>BU28</f>
        <v>65</v>
      </c>
      <c r="AE28" s="155">
        <f>BS28+BT28</f>
        <v>191</v>
      </c>
      <c r="AF28" s="155">
        <f>CA28</f>
        <v>97</v>
      </c>
      <c r="AG28" s="155">
        <f>BV28</f>
        <v>181</v>
      </c>
      <c r="AH28" s="155">
        <f>BZ28</f>
        <v>153</v>
      </c>
      <c r="AI28" s="155">
        <f>BW28</f>
        <v>140</v>
      </c>
      <c r="AJ28" s="155">
        <f>BY28</f>
        <v>80</v>
      </c>
      <c r="AK28" s="552">
        <f>CB28</f>
        <v>174</v>
      </c>
      <c r="AL28" s="155">
        <f>CE28</f>
        <v>100</v>
      </c>
      <c r="AM28" s="155">
        <f>CH28</f>
        <v>425</v>
      </c>
      <c r="AN28" s="155">
        <f>CJ28</f>
        <v>483</v>
      </c>
      <c r="AO28" s="155">
        <f>CC28</f>
        <v>163</v>
      </c>
      <c r="AP28" s="155">
        <f>CD28</f>
        <v>50</v>
      </c>
      <c r="AQ28" s="155">
        <f>CK28</f>
        <v>210</v>
      </c>
      <c r="AR28" s="155">
        <f>CI28</f>
        <v>125</v>
      </c>
      <c r="AS28" s="156">
        <f t="shared" si="65"/>
        <v>439</v>
      </c>
      <c r="AT28" s="155">
        <v>10</v>
      </c>
      <c r="AU28" s="155">
        <v>110</v>
      </c>
      <c r="AV28" s="155">
        <v>103</v>
      </c>
      <c r="AW28" s="155">
        <v>161</v>
      </c>
      <c r="AX28" s="155">
        <v>169</v>
      </c>
      <c r="AY28" s="155">
        <v>100</v>
      </c>
      <c r="AZ28" s="155">
        <v>14</v>
      </c>
      <c r="BA28" s="155">
        <v>238</v>
      </c>
      <c r="BB28" s="155">
        <v>198</v>
      </c>
      <c r="BC28" s="155">
        <v>457</v>
      </c>
      <c r="BD28" s="155">
        <v>255</v>
      </c>
      <c r="BE28" s="155">
        <v>144</v>
      </c>
      <c r="BF28" s="552">
        <v>306</v>
      </c>
      <c r="BG28" s="155">
        <v>4</v>
      </c>
      <c r="BH28" s="155">
        <v>4</v>
      </c>
      <c r="BI28" s="155">
        <v>133</v>
      </c>
      <c r="BJ28" s="155">
        <v>41</v>
      </c>
      <c r="BK28" s="155">
        <v>7</v>
      </c>
      <c r="BL28" s="155">
        <v>18</v>
      </c>
      <c r="BM28" s="155">
        <v>176</v>
      </c>
      <c r="BN28" s="155">
        <v>193</v>
      </c>
      <c r="BO28" s="155">
        <v>4</v>
      </c>
      <c r="BP28" s="155">
        <v>73</v>
      </c>
      <c r="BQ28" s="155">
        <v>84</v>
      </c>
      <c r="BR28" s="552">
        <v>72</v>
      </c>
      <c r="BS28" s="155">
        <v>11</v>
      </c>
      <c r="BT28" s="155">
        <v>180</v>
      </c>
      <c r="BU28" s="155">
        <v>65</v>
      </c>
      <c r="BV28" s="155">
        <v>181</v>
      </c>
      <c r="BW28" s="155">
        <v>140</v>
      </c>
      <c r="BX28" s="155">
        <v>177</v>
      </c>
      <c r="BY28" s="155">
        <v>80</v>
      </c>
      <c r="BZ28" s="155">
        <v>153</v>
      </c>
      <c r="CA28" s="155">
        <v>97</v>
      </c>
      <c r="CB28" s="552">
        <v>174</v>
      </c>
      <c r="CC28" s="155">
        <v>163</v>
      </c>
      <c r="CD28" s="155">
        <v>50</v>
      </c>
      <c r="CE28" s="155">
        <v>100</v>
      </c>
      <c r="CF28" s="155">
        <v>32</v>
      </c>
      <c r="CG28" s="155">
        <v>407</v>
      </c>
      <c r="CH28" s="155">
        <v>425</v>
      </c>
      <c r="CI28" s="155">
        <v>125</v>
      </c>
      <c r="CJ28" s="155">
        <v>483</v>
      </c>
      <c r="CK28" s="156">
        <v>210</v>
      </c>
      <c r="CL28" s="320">
        <v>6327</v>
      </c>
    </row>
    <row r="29" spans="1:90">
      <c r="A29" s="477">
        <f>ROWS($A$3:A27)</f>
        <v>25</v>
      </c>
      <c r="B29" s="92" t="s">
        <v>5</v>
      </c>
      <c r="C29" s="203"/>
      <c r="D29" s="259" t="s">
        <v>13</v>
      </c>
      <c r="E29" s="447">
        <v>40679</v>
      </c>
      <c r="F29" s="154">
        <v>855</v>
      </c>
      <c r="G29" s="155">
        <v>555</v>
      </c>
      <c r="H29" s="155">
        <v>581</v>
      </c>
      <c r="I29" s="156">
        <v>792</v>
      </c>
      <c r="J29" s="281"/>
      <c r="K29" s="154">
        <f t="shared" si="35"/>
        <v>133</v>
      </c>
      <c r="L29" s="155">
        <f t="shared" si="36"/>
        <v>34</v>
      </c>
      <c r="M29" s="155">
        <f t="shared" si="37"/>
        <v>173</v>
      </c>
      <c r="N29" s="155">
        <f t="shared" si="38"/>
        <v>46</v>
      </c>
      <c r="O29" s="155">
        <f t="shared" si="39"/>
        <v>55</v>
      </c>
      <c r="P29" s="155">
        <f>'2015'!AZ29+'2015'!BA29</f>
        <v>115</v>
      </c>
      <c r="Q29" s="155">
        <f>'2015'!AU29</f>
        <v>48</v>
      </c>
      <c r="R29" s="155">
        <f t="shared" si="40"/>
        <v>33</v>
      </c>
      <c r="S29" s="155">
        <f t="shared" si="41"/>
        <v>30</v>
      </c>
      <c r="T29" s="155">
        <f t="shared" si="42"/>
        <v>83</v>
      </c>
      <c r="U29" s="552">
        <f t="shared" si="42"/>
        <v>105</v>
      </c>
      <c r="V29" s="155">
        <f t="shared" si="43"/>
        <v>45</v>
      </c>
      <c r="W29" s="155">
        <f t="shared" si="44"/>
        <v>43</v>
      </c>
      <c r="X29" s="155">
        <f t="shared" si="45"/>
        <v>141</v>
      </c>
      <c r="Y29" s="155">
        <f t="shared" si="46"/>
        <v>88</v>
      </c>
      <c r="Z29" s="155">
        <f t="shared" si="47"/>
        <v>139</v>
      </c>
      <c r="AA29" s="155">
        <f t="shared" si="48"/>
        <v>58</v>
      </c>
      <c r="AB29" s="552">
        <f t="shared" si="49"/>
        <v>41</v>
      </c>
      <c r="AC29" s="155">
        <f t="shared" si="50"/>
        <v>75</v>
      </c>
      <c r="AD29" s="155">
        <f t="shared" si="51"/>
        <v>26</v>
      </c>
      <c r="AE29" s="155">
        <f t="shared" si="52"/>
        <v>51</v>
      </c>
      <c r="AF29" s="155">
        <f t="shared" si="53"/>
        <v>19</v>
      </c>
      <c r="AG29" s="155">
        <f t="shared" si="54"/>
        <v>83</v>
      </c>
      <c r="AH29" s="155">
        <f t="shared" si="55"/>
        <v>86</v>
      </c>
      <c r="AI29" s="155">
        <f t="shared" si="56"/>
        <v>78</v>
      </c>
      <c r="AJ29" s="155">
        <f t="shared" si="57"/>
        <v>87</v>
      </c>
      <c r="AK29" s="552">
        <f t="shared" si="58"/>
        <v>76</v>
      </c>
      <c r="AL29" s="155">
        <f t="shared" si="59"/>
        <v>105</v>
      </c>
      <c r="AM29" s="155">
        <f t="shared" si="60"/>
        <v>137</v>
      </c>
      <c r="AN29" s="155">
        <f t="shared" si="61"/>
        <v>63</v>
      </c>
      <c r="AO29" s="155">
        <f t="shared" si="62"/>
        <v>103</v>
      </c>
      <c r="AP29" s="155">
        <f t="shared" si="62"/>
        <v>62</v>
      </c>
      <c r="AQ29" s="155">
        <f t="shared" si="63"/>
        <v>152</v>
      </c>
      <c r="AR29" s="155">
        <f t="shared" si="64"/>
        <v>29</v>
      </c>
      <c r="AS29" s="156">
        <f t="shared" si="65"/>
        <v>141</v>
      </c>
      <c r="AT29" s="155">
        <v>2</v>
      </c>
      <c r="AU29" s="155">
        <v>48</v>
      </c>
      <c r="AV29" s="155">
        <v>30</v>
      </c>
      <c r="AW29" s="155">
        <v>46</v>
      </c>
      <c r="AX29" s="155">
        <v>31</v>
      </c>
      <c r="AY29" s="155">
        <v>34</v>
      </c>
      <c r="AZ29" s="155">
        <v>6</v>
      </c>
      <c r="BA29" s="155">
        <v>109</v>
      </c>
      <c r="BB29" s="155">
        <v>83</v>
      </c>
      <c r="BC29" s="155">
        <v>105</v>
      </c>
      <c r="BD29" s="155">
        <v>173</v>
      </c>
      <c r="BE29" s="155">
        <v>55</v>
      </c>
      <c r="BF29" s="552">
        <v>133</v>
      </c>
      <c r="BG29" s="155">
        <v>4</v>
      </c>
      <c r="BH29" s="155">
        <v>6</v>
      </c>
      <c r="BI29" s="155">
        <v>135</v>
      </c>
      <c r="BJ29" s="155">
        <v>41</v>
      </c>
      <c r="BK29" s="155">
        <v>2</v>
      </c>
      <c r="BL29" s="155">
        <v>4</v>
      </c>
      <c r="BM29" s="155">
        <v>139</v>
      </c>
      <c r="BN29" s="155">
        <v>82</v>
      </c>
      <c r="BO29" s="155">
        <v>4</v>
      </c>
      <c r="BP29" s="155">
        <v>41</v>
      </c>
      <c r="BQ29" s="155">
        <v>54</v>
      </c>
      <c r="BR29" s="552">
        <v>43</v>
      </c>
      <c r="BS29" s="155">
        <v>4</v>
      </c>
      <c r="BT29" s="155">
        <v>47</v>
      </c>
      <c r="BU29" s="155">
        <v>26</v>
      </c>
      <c r="BV29" s="155">
        <v>83</v>
      </c>
      <c r="BW29" s="155">
        <v>78</v>
      </c>
      <c r="BX29" s="155">
        <v>75</v>
      </c>
      <c r="BY29" s="155">
        <v>87</v>
      </c>
      <c r="BZ29" s="155">
        <v>86</v>
      </c>
      <c r="CA29" s="155">
        <v>19</v>
      </c>
      <c r="CB29" s="552">
        <v>76</v>
      </c>
      <c r="CC29" s="155">
        <v>103</v>
      </c>
      <c r="CD29" s="155">
        <v>62</v>
      </c>
      <c r="CE29" s="155">
        <v>105</v>
      </c>
      <c r="CF29" s="155">
        <v>7</v>
      </c>
      <c r="CG29" s="155">
        <v>134</v>
      </c>
      <c r="CH29" s="155">
        <v>137</v>
      </c>
      <c r="CI29" s="155">
        <v>29</v>
      </c>
      <c r="CJ29" s="155">
        <v>63</v>
      </c>
      <c r="CK29" s="156">
        <v>152</v>
      </c>
      <c r="CL29" s="320">
        <v>2783</v>
      </c>
    </row>
    <row r="30" spans="1:90">
      <c r="A30" s="477">
        <f>ROWS($A$3:A28)</f>
        <v>26</v>
      </c>
      <c r="B30" s="54" t="s">
        <v>256</v>
      </c>
      <c r="C30" s="252"/>
      <c r="D30" s="259" t="s">
        <v>1</v>
      </c>
      <c r="E30" s="451"/>
      <c r="F30" s="539">
        <f>F35/F23</f>
        <v>32.264638466347158</v>
      </c>
      <c r="G30" s="521">
        <f>G35/G23</f>
        <v>40.845436105476672</v>
      </c>
      <c r="H30" s="521">
        <f>H35/H23</f>
        <v>23.383219454852693</v>
      </c>
      <c r="I30" s="540">
        <f>I35/I23</f>
        <v>36.79255227233454</v>
      </c>
      <c r="J30" s="382"/>
      <c r="K30" s="536">
        <f t="shared" si="35"/>
        <v>35.38806787082649</v>
      </c>
      <c r="L30" s="537">
        <f t="shared" si="36"/>
        <v>19.795031055900623</v>
      </c>
      <c r="M30" s="537">
        <f t="shared" si="37"/>
        <v>43.84407216494845</v>
      </c>
      <c r="N30" s="537">
        <f t="shared" si="38"/>
        <v>35.966751918158565</v>
      </c>
      <c r="O30" s="537">
        <f t="shared" si="39"/>
        <v>45.077452667814114</v>
      </c>
      <c r="P30" s="521">
        <f>P35/P23</f>
        <v>25.152446946730187</v>
      </c>
      <c r="Q30" s="537">
        <f>'2015'!AU30</f>
        <v>36.519867549668874</v>
      </c>
      <c r="R30" s="521">
        <f>R35/R23</f>
        <v>22.584364820846904</v>
      </c>
      <c r="S30" s="537">
        <f t="shared" si="41"/>
        <v>29.792109256449166</v>
      </c>
      <c r="T30" s="537">
        <f t="shared" si="42"/>
        <v>33.543531326281531</v>
      </c>
      <c r="U30" s="561">
        <f t="shared" si="42"/>
        <v>37.588872476612508</v>
      </c>
      <c r="V30" s="521">
        <f>V35/V23</f>
        <v>24.246596066565811</v>
      </c>
      <c r="W30" s="537">
        <f t="shared" si="44"/>
        <v>36.584139264990327</v>
      </c>
      <c r="X30" s="521">
        <f>X35/X23</f>
        <v>48.205314009661834</v>
      </c>
      <c r="Y30" s="521">
        <f>Y35/Y23</f>
        <v>38.028444444444446</v>
      </c>
      <c r="Z30" s="537">
        <f t="shared" si="47"/>
        <v>52.759681093394079</v>
      </c>
      <c r="AA30" s="521">
        <f>AA35/AA23</f>
        <v>44.10503282275711</v>
      </c>
      <c r="AB30" s="561">
        <f t="shared" si="49"/>
        <v>37.181034482758619</v>
      </c>
      <c r="AC30" s="537">
        <f t="shared" si="50"/>
        <v>37.443587270973964</v>
      </c>
      <c r="AD30" s="537">
        <f t="shared" si="51"/>
        <v>15.685654008438819</v>
      </c>
      <c r="AE30" s="521">
        <f>AE35/AE23</f>
        <v>16.826072926750566</v>
      </c>
      <c r="AF30" s="537">
        <f t="shared" si="53"/>
        <v>21.553072625698324</v>
      </c>
      <c r="AG30" s="537">
        <f t="shared" si="54"/>
        <v>15.537513997760358</v>
      </c>
      <c r="AH30" s="537">
        <f t="shared" si="55"/>
        <v>37.394444444444446</v>
      </c>
      <c r="AI30" s="537">
        <f t="shared" si="56"/>
        <v>37.616250000000001</v>
      </c>
      <c r="AJ30" s="537">
        <f t="shared" si="57"/>
        <v>52.1505376344086</v>
      </c>
      <c r="AK30" s="561">
        <f t="shared" si="58"/>
        <v>30.872785829307567</v>
      </c>
      <c r="AL30" s="537">
        <f t="shared" si="59"/>
        <v>44.921854304635758</v>
      </c>
      <c r="AM30" s="537">
        <f t="shared" si="60"/>
        <v>41.305194805194802</v>
      </c>
      <c r="AN30" s="537">
        <f t="shared" si="61"/>
        <v>33.678125000000001</v>
      </c>
      <c r="AO30" s="537">
        <f t="shared" si="62"/>
        <v>40.339319470699429</v>
      </c>
      <c r="AP30" s="537">
        <f t="shared" si="62"/>
        <v>47.954653937947491</v>
      </c>
      <c r="AQ30" s="537">
        <f t="shared" si="63"/>
        <v>43.668269230769234</v>
      </c>
      <c r="AR30" s="537">
        <f t="shared" si="64"/>
        <v>19.904591532498511</v>
      </c>
      <c r="AS30" s="540">
        <f>AS35/AS23</f>
        <v>39.184171229467395</v>
      </c>
      <c r="AT30" s="521">
        <f>AT35/AT23</f>
        <v>12.631313131313131</v>
      </c>
      <c r="AU30" s="521">
        <f>AU35/AU23</f>
        <v>36.519867549668874</v>
      </c>
      <c r="AV30" s="521">
        <f t="shared" ref="AV30:CL30" si="66">AV35/AV23</f>
        <v>29.792109256449166</v>
      </c>
      <c r="AW30" s="521">
        <f t="shared" si="66"/>
        <v>35.966751918158565</v>
      </c>
      <c r="AX30" s="521">
        <f>AX35/AX23</f>
        <v>24.05833956619297</v>
      </c>
      <c r="AY30" s="521">
        <f t="shared" si="66"/>
        <v>19.795031055900623</v>
      </c>
      <c r="AZ30" s="521">
        <f t="shared" si="66"/>
        <v>22.846994535519126</v>
      </c>
      <c r="BA30" s="521">
        <f t="shared" si="66"/>
        <v>25.350893697083727</v>
      </c>
      <c r="BB30" s="521">
        <f t="shared" si="66"/>
        <v>33.543531326281531</v>
      </c>
      <c r="BC30" s="521">
        <f t="shared" si="66"/>
        <v>37.588872476612508</v>
      </c>
      <c r="BD30" s="521">
        <f t="shared" si="66"/>
        <v>43.84407216494845</v>
      </c>
      <c r="BE30" s="521">
        <f t="shared" si="66"/>
        <v>45.077452667814114</v>
      </c>
      <c r="BF30" s="559">
        <f t="shared" si="66"/>
        <v>35.38806787082649</v>
      </c>
      <c r="BG30" s="521">
        <f t="shared" si="66"/>
        <v>13.307017543859649</v>
      </c>
      <c r="BH30" s="521">
        <f>BH35/BH23</f>
        <v>38.738461538461536</v>
      </c>
      <c r="BI30" s="521">
        <f>BI35/BI23</f>
        <v>49.011795543905635</v>
      </c>
      <c r="BJ30" s="521">
        <f>BJ35/BJ23</f>
        <v>26.526508226691043</v>
      </c>
      <c r="BK30" s="521">
        <f t="shared" si="66"/>
        <v>20.573033707865168</v>
      </c>
      <c r="BL30" s="521">
        <f t="shared" si="66"/>
        <v>41.362318840579711</v>
      </c>
      <c r="BM30" s="521">
        <f>BM35/BM23</f>
        <v>52.759681093394079</v>
      </c>
      <c r="BN30" s="521">
        <f t="shared" si="66"/>
        <v>39.397104446742503</v>
      </c>
      <c r="BO30" s="521">
        <f t="shared" si="66"/>
        <v>42.458333333333336</v>
      </c>
      <c r="BP30" s="521">
        <f t="shared" si="66"/>
        <v>37.181034482758619</v>
      </c>
      <c r="BQ30" s="521">
        <f>BQ35/BQ23</f>
        <v>44.196304849884527</v>
      </c>
      <c r="BR30" s="559">
        <f t="shared" si="66"/>
        <v>36.584139264990327</v>
      </c>
      <c r="BS30" s="521">
        <f t="shared" si="66"/>
        <v>16.102803738317757</v>
      </c>
      <c r="BT30" s="521">
        <f t="shared" si="66"/>
        <v>16.879722703639516</v>
      </c>
      <c r="BU30" s="521">
        <f t="shared" si="66"/>
        <v>15.685654008438819</v>
      </c>
      <c r="BV30" s="521">
        <f t="shared" si="66"/>
        <v>15.537513997760358</v>
      </c>
      <c r="BW30" s="521">
        <f t="shared" si="66"/>
        <v>37.616250000000001</v>
      </c>
      <c r="BX30" s="521">
        <f t="shared" si="66"/>
        <v>37.443587270973964</v>
      </c>
      <c r="BY30" s="521">
        <f t="shared" si="66"/>
        <v>52.1505376344086</v>
      </c>
      <c r="BZ30" s="521">
        <f t="shared" si="66"/>
        <v>37.394444444444446</v>
      </c>
      <c r="CA30" s="521">
        <f t="shared" si="66"/>
        <v>21.553072625698324</v>
      </c>
      <c r="CB30" s="559">
        <f t="shared" si="66"/>
        <v>30.872785829307567</v>
      </c>
      <c r="CC30" s="521">
        <f t="shared" si="66"/>
        <v>40.339319470699429</v>
      </c>
      <c r="CD30" s="521">
        <f t="shared" si="66"/>
        <v>47.954653937947491</v>
      </c>
      <c r="CE30" s="521">
        <f t="shared" si="66"/>
        <v>44.921854304635758</v>
      </c>
      <c r="CF30" s="521">
        <f t="shared" si="66"/>
        <v>39.779661016949156</v>
      </c>
      <c r="CG30" s="521">
        <f t="shared" si="66"/>
        <v>39.147012162876784</v>
      </c>
      <c r="CH30" s="521">
        <f t="shared" si="66"/>
        <v>41.305194805194802</v>
      </c>
      <c r="CI30" s="521">
        <f t="shared" si="66"/>
        <v>19.904591532498511</v>
      </c>
      <c r="CJ30" s="521">
        <f t="shared" si="66"/>
        <v>33.678125000000001</v>
      </c>
      <c r="CK30" s="540">
        <f t="shared" si="66"/>
        <v>43.668269230769234</v>
      </c>
      <c r="CL30" s="560">
        <f t="shared" si="66"/>
        <v>31.67658159597412</v>
      </c>
    </row>
    <row r="31" spans="1:90">
      <c r="A31" s="477">
        <f>ROWS($A$3:A29)</f>
        <v>27</v>
      </c>
      <c r="B31" s="54" t="str">
        <f>"Entwicklung Betriebe ab 5 ha LF von 2001 / "&amp;C22</f>
        <v>Entwicklung Betriebe ab 5 ha LF von 2001 / 2010</v>
      </c>
      <c r="C31" s="252"/>
      <c r="D31" s="259" t="s">
        <v>3</v>
      </c>
      <c r="E31" s="451"/>
      <c r="F31" s="530">
        <f>(F23-F24)/('2001'!F23-'2001'!F24)%-100</f>
        <v>-21.145494028230189</v>
      </c>
      <c r="G31" s="531">
        <f>(G23-G24)/('2001'!G23-'2001'!G24)%-100</f>
        <v>-19.779787652379085</v>
      </c>
      <c r="H31" s="531">
        <f>(H23-H24)/('2001'!H23-'2001'!H24)%-100</f>
        <v>-18.794927711816499</v>
      </c>
      <c r="I31" s="532">
        <f>(I23-I24)/('2001'!I23-'2001'!I24)%-100</f>
        <v>-22.273257509477986</v>
      </c>
      <c r="J31" s="281"/>
      <c r="K31" s="154">
        <f t="shared" si="35"/>
        <v>-23.485513608428448</v>
      </c>
      <c r="L31" s="155">
        <f t="shared" si="36"/>
        <v>-17.068466730954668</v>
      </c>
      <c r="M31" s="155">
        <f t="shared" si="37"/>
        <v>-25.499729875742844</v>
      </c>
      <c r="N31" s="155">
        <f t="shared" si="38"/>
        <v>-18.266978922716618</v>
      </c>
      <c r="O31" s="155">
        <f t="shared" si="39"/>
        <v>-16.442451420029897</v>
      </c>
      <c r="P31" s="531">
        <f>100-(P23%/((AZ23%)/(100-AZ31)+(BA23%)/(100-BA31)))</f>
        <v>-18.548595714788078</v>
      </c>
      <c r="Q31" s="542">
        <f>'2015'!AU31</f>
        <v>-23.54570637119113</v>
      </c>
      <c r="R31" s="531">
        <f>100-(R23%/((AT23%)/(100-AT31)+(AX23%)/(100-AX31)))</f>
        <v>-14.41252553892528</v>
      </c>
      <c r="S31" s="542">
        <f t="shared" si="41"/>
        <v>-19.878603945371779</v>
      </c>
      <c r="T31" s="542">
        <f t="shared" si="42"/>
        <v>-25.193199381761971</v>
      </c>
      <c r="U31" s="554">
        <f t="shared" si="42"/>
        <v>-21.78060413354531</v>
      </c>
      <c r="V31" s="531">
        <f>100-(V23%/((BG23%)/(100-BG31)+(BJ23%)/(100-BJ31)))</f>
        <v>-10.70248002776637</v>
      </c>
      <c r="W31" s="542">
        <f t="shared" si="44"/>
        <v>-21.993670886075947</v>
      </c>
      <c r="X31" s="531">
        <f>100-(X23%/((BH23%)/(100-BH31)+(BI23%)/(100-BI31)))</f>
        <v>-16.486772896849217</v>
      </c>
      <c r="Y31" s="531">
        <f>100-(Y23%/((BK23%)/(100-BK31)+(BL23%)/(100-BL31)+(BN23%)/(100-BN31)))</f>
        <v>-19.588690181733554</v>
      </c>
      <c r="Z31" s="542">
        <f t="shared" si="47"/>
        <v>-23.272727272727266</v>
      </c>
      <c r="AA31" s="531">
        <f>100-(AA23%/((BO23%)/(100-BO31)+(BQ23%)/(100-BQ31)))</f>
        <v>-17.259985971940282</v>
      </c>
      <c r="AB31" s="554">
        <f t="shared" si="49"/>
        <v>-23.519163763066203</v>
      </c>
      <c r="AC31" s="542">
        <f t="shared" si="50"/>
        <v>-19.984326018808773</v>
      </c>
      <c r="AD31" s="542">
        <f t="shared" si="51"/>
        <v>-14.015151515151516</v>
      </c>
      <c r="AE31" s="531">
        <f>100-(AE23%/((BS23%)/(100-BS31)+(BT23%)/(100-BT31)))</f>
        <v>-15.770382419758363</v>
      </c>
      <c r="AF31" s="542">
        <f t="shared" si="53"/>
        <v>-19.944082013047534</v>
      </c>
      <c r="AG31" s="542">
        <f t="shared" si="54"/>
        <v>-16.385630498533729</v>
      </c>
      <c r="AH31" s="542">
        <f t="shared" si="55"/>
        <v>-21.001088139281819</v>
      </c>
      <c r="AI31" s="542">
        <f t="shared" si="56"/>
        <v>-21.233569261880689</v>
      </c>
      <c r="AJ31" s="542">
        <f t="shared" si="57"/>
        <v>-24.333333333333329</v>
      </c>
      <c r="AK31" s="554">
        <f t="shared" si="58"/>
        <v>-23.653846153846146</v>
      </c>
      <c r="AL31" s="542">
        <f t="shared" si="59"/>
        <v>-20.950323974082067</v>
      </c>
      <c r="AM31" s="542">
        <f t="shared" si="60"/>
        <v>-22.357019064124771</v>
      </c>
      <c r="AN31" s="542">
        <f t="shared" si="61"/>
        <v>-20.78947368421052</v>
      </c>
      <c r="AO31" s="542">
        <f t="shared" si="62"/>
        <v>-22.453703703703709</v>
      </c>
      <c r="AP31" s="542">
        <f t="shared" si="62"/>
        <v>-23.943661971830977</v>
      </c>
      <c r="AQ31" s="542">
        <f t="shared" si="63"/>
        <v>-25.56993222427603</v>
      </c>
      <c r="AR31" s="542">
        <f t="shared" si="64"/>
        <v>-18.628110289172824</v>
      </c>
      <c r="AS31" s="532">
        <f>100-(AS23%/((CF23%)/(100-CF31)+(CG23%)/(100-CG31)))</f>
        <v>-24.071959685113711</v>
      </c>
      <c r="AT31" s="542">
        <f>(AT23-AT24)/('2001'!AT23-'2001'!AT24)%-100</f>
        <v>-4.0816326530612201</v>
      </c>
      <c r="AU31" s="155">
        <f>(AU23-AU24)/('2001'!AU23-'2001'!AU24)%-100</f>
        <v>-23.54570637119113</v>
      </c>
      <c r="AV31" s="155">
        <f>(AV23-AV24)/('2001'!AV23-'2001'!AV24)%-100</f>
        <v>-19.878603945371779</v>
      </c>
      <c r="AW31" s="155">
        <f>(AW23-AW24)/('2001'!AW23-'2001'!AW24)%-100</f>
        <v>-18.266978922716618</v>
      </c>
      <c r="AX31" s="155">
        <f>(AX23-AX24)/('2001'!AX23-'2001'!AX24)%-100</f>
        <v>-16.119402985074629</v>
      </c>
      <c r="AY31" s="155">
        <f>(AY23-AY24)/('2001'!AY23-'2001'!AY24)%-100</f>
        <v>-17.068466730954668</v>
      </c>
      <c r="AZ31" s="155">
        <f>(AZ23-AZ24)/('2001'!AZ23-'2001'!AZ24)%-100</f>
        <v>-17.901234567901241</v>
      </c>
      <c r="BA31" s="155">
        <f>(BA23-BA24)/('2001'!BA23-'2001'!BA24)%-100</f>
        <v>-18.604651162790702</v>
      </c>
      <c r="BB31" s="155">
        <f>(BB23-BB24)/('2001'!BB23-'2001'!BB24)%-100</f>
        <v>-25.193199381761971</v>
      </c>
      <c r="BC31" s="155">
        <f>(BC23-BC24)/('2001'!BC23-'2001'!BC24)%-100</f>
        <v>-21.78060413354531</v>
      </c>
      <c r="BD31" s="155">
        <f>(BD23-BD24)/('2001'!BD23-'2001'!BD24)%-100</f>
        <v>-25.499729875742844</v>
      </c>
      <c r="BE31" s="155">
        <f>(BE23-BE24)/('2001'!BE23-'2001'!BE24)%-100</f>
        <v>-16.442451420029897</v>
      </c>
      <c r="BF31" s="552">
        <f>(BF23-BF24)/('2001'!BF23-'2001'!BF24)%-100</f>
        <v>-23.485513608428448</v>
      </c>
      <c r="BG31" s="155">
        <f>(BG23-BG24)/('2001'!BG23-'2001'!BG24)%-100</f>
        <v>-13.333333333333329</v>
      </c>
      <c r="BH31" s="155">
        <f>(BH23-BH24)/('2001'!BH23-'2001'!BH24)%-100</f>
        <v>-20.634920634920633</v>
      </c>
      <c r="BI31" s="155">
        <f>(BI23-BI24)/('2001'!BI23-'2001'!BI24)%-100</f>
        <v>-16.14654002713705</v>
      </c>
      <c r="BJ31" s="155">
        <f>(BJ23-BJ24)/('2001'!BJ23-'2001'!BJ24)%-100</f>
        <v>-10.169491525423723</v>
      </c>
      <c r="BK31" s="155">
        <f>(BK23-BK24)/('2001'!BK23-'2001'!BK24)%-100</f>
        <v>-10.294117647058826</v>
      </c>
      <c r="BL31" s="155">
        <f>(BL23-BL24)/('2001'!BL23-'2001'!BL24)%-100</f>
        <v>-22.972972972972968</v>
      </c>
      <c r="BM31" s="155">
        <f>(BM23-BM24)/('2001'!BM23-'2001'!BM24)%-100</f>
        <v>-23.272727272727266</v>
      </c>
      <c r="BN31" s="155">
        <f>(BN23-BN24)/('2001'!BN23-'2001'!BN24)%-100</f>
        <v>-20.285423037716626</v>
      </c>
      <c r="BO31" s="155">
        <f>(BO23-BO24)/('2001'!BO23-'2001'!BO24)%-100</f>
        <v>-19.047619047619051</v>
      </c>
      <c r="BP31" s="155">
        <f>(BP23-BP24)/('2001'!BP23-'2001'!BP24)%-100</f>
        <v>-23.519163763066203</v>
      </c>
      <c r="BQ31" s="155">
        <f>(BQ23-BQ24)/('2001'!BQ23-'2001'!BQ24)%-100</f>
        <v>-17.162471395881013</v>
      </c>
      <c r="BR31" s="552">
        <f>(BR23-BR24)/('2001'!BR23-'2001'!BR24)%-100</f>
        <v>-21.993670886075947</v>
      </c>
      <c r="BS31" s="155">
        <f>(BS23-BS24)/('2001'!BS23-'2001'!BS24)%-100</f>
        <v>-12.711864406779654</v>
      </c>
      <c r="BT31" s="155">
        <f>(BT23-BT24)/('2001'!BT23-'2001'!BT24)%-100</f>
        <v>-16.003879728419008</v>
      </c>
      <c r="BU31" s="155">
        <f>(BU23-BU24)/('2001'!BU23-'2001'!BU24)%-100</f>
        <v>-14.015151515151516</v>
      </c>
      <c r="BV31" s="155">
        <f>(BV23-BV24)/('2001'!BV23-'2001'!BV24)%-100</f>
        <v>-16.385630498533729</v>
      </c>
      <c r="BW31" s="155">
        <f>(BW23-BW24)/('2001'!BW23-'2001'!BW24)%-100</f>
        <v>-21.233569261880689</v>
      </c>
      <c r="BX31" s="155">
        <f>(BX23-BX24)/('2001'!BX23-'2001'!BX24)%-100</f>
        <v>-19.984326018808773</v>
      </c>
      <c r="BY31" s="155">
        <f>(BY23-BY24)/('2001'!BY23-'2001'!BY24)%-100</f>
        <v>-24.333333333333329</v>
      </c>
      <c r="BZ31" s="155">
        <f>(BZ23-BZ24)/('2001'!BZ23-'2001'!BZ24)%-100</f>
        <v>-21.001088139281819</v>
      </c>
      <c r="CA31" s="155">
        <f>(CA23-CA24)/('2001'!CA23-'2001'!CA24)%-100</f>
        <v>-19.944082013047534</v>
      </c>
      <c r="CB31" s="552">
        <f>(CB23-CB24)/('2001'!CB23-'2001'!CB24)%-100</f>
        <v>-23.653846153846146</v>
      </c>
      <c r="CC31" s="155">
        <f>(CC23-CC24)/('2001'!CC23-'2001'!CC24)%-100</f>
        <v>-22.453703703703709</v>
      </c>
      <c r="CD31" s="155">
        <f>(CD23-CD24)/('2001'!CD23-'2001'!CD24)%-100</f>
        <v>-23.943661971830977</v>
      </c>
      <c r="CE31" s="155">
        <f>(CE23-CE24)/('2001'!CE23-'2001'!CE24)%-100</f>
        <v>-20.950323974082067</v>
      </c>
      <c r="CF31" s="155">
        <f>(CF23-CF24)/('2001'!CF23-'2001'!CF24)%-100</f>
        <v>-26.086956521739125</v>
      </c>
      <c r="CG31" s="155">
        <f>(CG23-CG24)/('2001'!CG23-'2001'!CG24)%-100</f>
        <v>-23.948354852144945</v>
      </c>
      <c r="CH31" s="155">
        <f>(CH23-CH24)/('2001'!CH23-'2001'!CH24)%-100</f>
        <v>-22.357019064124771</v>
      </c>
      <c r="CI31" s="155">
        <f>(CI23-CI24)/('2001'!CI23-'2001'!CI24)%-100</f>
        <v>-18.628110289172824</v>
      </c>
      <c r="CJ31" s="155">
        <f>(CJ23-CJ24)/('2001'!CJ23-'2001'!CJ24)%-100</f>
        <v>-20.78947368421052</v>
      </c>
      <c r="CK31" s="156">
        <f>(CK23-CK24)/('2001'!CK23-'2001'!CK24)%-100</f>
        <v>-25.56993222427603</v>
      </c>
      <c r="CL31" s="320">
        <f>(CL23-CL24)/('2001'!CL23-'2001'!CL24)%-100</f>
        <v>-20.697314836995574</v>
      </c>
    </row>
    <row r="32" spans="1:90">
      <c r="A32" s="477">
        <f>ROWS($A$3:A30)</f>
        <v>28</v>
      </c>
      <c r="B32" s="54" t="s">
        <v>170</v>
      </c>
      <c r="C32" s="252"/>
      <c r="D32" s="259" t="s">
        <v>3</v>
      </c>
      <c r="E32" s="451"/>
      <c r="F32" s="154">
        <v>37</v>
      </c>
      <c r="G32" s="155">
        <v>31</v>
      </c>
      <c r="H32" s="155">
        <v>28</v>
      </c>
      <c r="I32" s="156">
        <v>42</v>
      </c>
      <c r="J32" s="281"/>
      <c r="K32" s="154">
        <f t="shared" si="35"/>
        <v>35</v>
      </c>
      <c r="L32" s="155">
        <f t="shared" si="36"/>
        <v>35</v>
      </c>
      <c r="M32" s="155">
        <f t="shared" si="37"/>
        <v>34</v>
      </c>
      <c r="N32" s="155">
        <f t="shared" si="38"/>
        <v>42</v>
      </c>
      <c r="O32" s="155">
        <f t="shared" si="39"/>
        <v>41</v>
      </c>
      <c r="P32" s="531">
        <f>(AZ23*AZ32+BA23*BA32)/P23</f>
        <v>40.664356864443484</v>
      </c>
      <c r="Q32" s="542">
        <f>'2015'!AU32</f>
        <v>30</v>
      </c>
      <c r="R32" s="531">
        <f>(AT23*AT32+AX23*AX32)/R23</f>
        <v>41.095765472312706</v>
      </c>
      <c r="S32" s="542">
        <f t="shared" si="41"/>
        <v>35</v>
      </c>
      <c r="T32" s="542">
        <f t="shared" si="42"/>
        <v>38</v>
      </c>
      <c r="U32" s="554">
        <f t="shared" si="42"/>
        <v>47</v>
      </c>
      <c r="V32" s="531">
        <f>(BG23*BG32+BJ23*BJ32)/V23</f>
        <v>16.827534039334342</v>
      </c>
      <c r="W32" s="542">
        <f t="shared" si="44"/>
        <v>25</v>
      </c>
      <c r="X32" s="531">
        <f>(BH23*BH32+BI23*BI32)/X23</f>
        <v>33.706521739130437</v>
      </c>
      <c r="Y32" s="531">
        <f>(BK23*BK32+BL23*BL32+BN23*BN32)/Y23</f>
        <v>43.694222222222223</v>
      </c>
      <c r="Z32" s="542">
        <f t="shared" si="47"/>
        <v>33</v>
      </c>
      <c r="AA32" s="531">
        <f>(BO23*BO32+BQ23*BQ32)/AA23</f>
        <v>31.997811816192559</v>
      </c>
      <c r="AB32" s="554">
        <f t="shared" si="49"/>
        <v>26</v>
      </c>
      <c r="AC32" s="542">
        <f t="shared" si="50"/>
        <v>36</v>
      </c>
      <c r="AD32" s="542">
        <f t="shared" si="51"/>
        <v>28</v>
      </c>
      <c r="AE32" s="531">
        <f>(BS23*BS32+BT23*BT32)/AE23</f>
        <v>32.138109067441107</v>
      </c>
      <c r="AF32" s="542">
        <f t="shared" si="53"/>
        <v>29</v>
      </c>
      <c r="AG32" s="542">
        <f t="shared" si="54"/>
        <v>30</v>
      </c>
      <c r="AH32" s="542">
        <f t="shared" si="55"/>
        <v>45</v>
      </c>
      <c r="AI32" s="542">
        <f t="shared" si="56"/>
        <v>26</v>
      </c>
      <c r="AJ32" s="542">
        <f t="shared" si="57"/>
        <v>26</v>
      </c>
      <c r="AK32" s="554">
        <f t="shared" si="58"/>
        <v>27</v>
      </c>
      <c r="AL32" s="542">
        <f t="shared" si="59"/>
        <v>23</v>
      </c>
      <c r="AM32" s="542">
        <f t="shared" si="60"/>
        <v>49</v>
      </c>
      <c r="AN32" s="542">
        <f t="shared" si="61"/>
        <v>59</v>
      </c>
      <c r="AO32" s="542">
        <f t="shared" si="62"/>
        <v>28</v>
      </c>
      <c r="AP32" s="542">
        <f t="shared" si="62"/>
        <v>24</v>
      </c>
      <c r="AQ32" s="542">
        <f t="shared" si="63"/>
        <v>34</v>
      </c>
      <c r="AR32" s="542">
        <f t="shared" si="64"/>
        <v>48</v>
      </c>
      <c r="AS32" s="532">
        <f>(CF23*CF32+CG23*CG32)/AS23</f>
        <v>41.411149825783973</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c r="A33" s="477">
        <f>ROWS($A$3:A31)</f>
        <v>29</v>
      </c>
      <c r="B33" s="54" t="s">
        <v>68</v>
      </c>
      <c r="C33" s="252"/>
      <c r="D33" s="259" t="s">
        <v>3</v>
      </c>
      <c r="E33" s="451"/>
      <c r="F33" s="530">
        <f>100-F32</f>
        <v>63</v>
      </c>
      <c r="G33" s="531">
        <f>100-G32</f>
        <v>69</v>
      </c>
      <c r="H33" s="531">
        <f>100-H32</f>
        <v>72</v>
      </c>
      <c r="I33" s="532">
        <f>100-I32</f>
        <v>58</v>
      </c>
      <c r="J33" s="281"/>
      <c r="K33" s="541">
        <f t="shared" si="35"/>
        <v>65</v>
      </c>
      <c r="L33" s="542">
        <f t="shared" si="36"/>
        <v>65</v>
      </c>
      <c r="M33" s="542">
        <f t="shared" si="37"/>
        <v>66</v>
      </c>
      <c r="N33" s="542">
        <f t="shared" si="38"/>
        <v>58</v>
      </c>
      <c r="O33" s="542">
        <f t="shared" si="39"/>
        <v>59</v>
      </c>
      <c r="P33" s="531">
        <f>100-P32</f>
        <v>59.335643135556516</v>
      </c>
      <c r="Q33" s="542">
        <f>'2015'!AU33</f>
        <v>70</v>
      </c>
      <c r="R33" s="531">
        <f>100-R32</f>
        <v>58.904234527687294</v>
      </c>
      <c r="S33" s="542">
        <f t="shared" si="41"/>
        <v>65</v>
      </c>
      <c r="T33" s="542">
        <f t="shared" si="42"/>
        <v>62</v>
      </c>
      <c r="U33" s="554">
        <f t="shared" si="42"/>
        <v>53</v>
      </c>
      <c r="V33" s="531">
        <f>100-V32</f>
        <v>83.172465960665662</v>
      </c>
      <c r="W33" s="542">
        <f t="shared" si="44"/>
        <v>75</v>
      </c>
      <c r="X33" s="531">
        <f>100-X32</f>
        <v>66.293478260869563</v>
      </c>
      <c r="Y33" s="531">
        <f>100-Y32</f>
        <v>56.305777777777777</v>
      </c>
      <c r="Z33" s="542">
        <f t="shared" si="47"/>
        <v>67</v>
      </c>
      <c r="AA33" s="531">
        <f>100-AA32</f>
        <v>68.002188183807448</v>
      </c>
      <c r="AB33" s="554">
        <f t="shared" si="49"/>
        <v>74</v>
      </c>
      <c r="AC33" s="542">
        <f t="shared" si="50"/>
        <v>64</v>
      </c>
      <c r="AD33" s="542">
        <f t="shared" si="51"/>
        <v>72</v>
      </c>
      <c r="AE33" s="531">
        <f>100-AE32</f>
        <v>67.861890932558893</v>
      </c>
      <c r="AF33" s="542">
        <f t="shared" si="53"/>
        <v>71</v>
      </c>
      <c r="AG33" s="542">
        <f t="shared" si="54"/>
        <v>70</v>
      </c>
      <c r="AH33" s="542">
        <f t="shared" si="55"/>
        <v>55</v>
      </c>
      <c r="AI33" s="542">
        <f t="shared" si="56"/>
        <v>74</v>
      </c>
      <c r="AJ33" s="542">
        <f t="shared" si="57"/>
        <v>74</v>
      </c>
      <c r="AK33" s="554">
        <f t="shared" si="58"/>
        <v>73</v>
      </c>
      <c r="AL33" s="542">
        <f t="shared" si="59"/>
        <v>77</v>
      </c>
      <c r="AM33" s="542">
        <f t="shared" si="60"/>
        <v>51</v>
      </c>
      <c r="AN33" s="542">
        <f t="shared" si="61"/>
        <v>41</v>
      </c>
      <c r="AO33" s="542">
        <f t="shared" si="62"/>
        <v>72</v>
      </c>
      <c r="AP33" s="542">
        <f t="shared" si="62"/>
        <v>76</v>
      </c>
      <c r="AQ33" s="542">
        <f t="shared" si="63"/>
        <v>66</v>
      </c>
      <c r="AR33" s="542">
        <f t="shared" si="64"/>
        <v>52</v>
      </c>
      <c r="AS33" s="532">
        <f>100-AS32</f>
        <v>58.588850174216027</v>
      </c>
      <c r="AT33" s="531">
        <f>100-AT32</f>
        <v>38</v>
      </c>
      <c r="AU33" s="531">
        <f>100-AU32</f>
        <v>70</v>
      </c>
      <c r="AV33" s="531">
        <f t="shared" ref="AV33:CL33" si="67">100-AV32</f>
        <v>65</v>
      </c>
      <c r="AW33" s="531">
        <f t="shared" si="67"/>
        <v>58</v>
      </c>
      <c r="AX33" s="531">
        <f>100-AX32</f>
        <v>62</v>
      </c>
      <c r="AY33" s="531">
        <f t="shared" si="67"/>
        <v>65</v>
      </c>
      <c r="AZ33" s="531">
        <f t="shared" si="67"/>
        <v>40</v>
      </c>
      <c r="BA33" s="531">
        <f t="shared" si="67"/>
        <v>61</v>
      </c>
      <c r="BB33" s="531">
        <f t="shared" si="67"/>
        <v>62</v>
      </c>
      <c r="BC33" s="531">
        <f t="shared" si="67"/>
        <v>53</v>
      </c>
      <c r="BD33" s="531">
        <f t="shared" si="67"/>
        <v>66</v>
      </c>
      <c r="BE33" s="531">
        <f t="shared" si="67"/>
        <v>59</v>
      </c>
      <c r="BF33" s="555">
        <f t="shared" si="67"/>
        <v>65</v>
      </c>
      <c r="BG33" s="531">
        <f t="shared" si="67"/>
        <v>84</v>
      </c>
      <c r="BH33" s="531">
        <f>100-BH32</f>
        <v>58</v>
      </c>
      <c r="BI33" s="531">
        <f>100-BI32</f>
        <v>67</v>
      </c>
      <c r="BJ33" s="531">
        <f>100-BJ32</f>
        <v>83</v>
      </c>
      <c r="BK33" s="531">
        <f t="shared" si="67"/>
        <v>42</v>
      </c>
      <c r="BL33" s="531">
        <f t="shared" si="67"/>
        <v>37</v>
      </c>
      <c r="BM33" s="531">
        <f>100-BM32</f>
        <v>67</v>
      </c>
      <c r="BN33" s="531">
        <f t="shared" si="67"/>
        <v>59</v>
      </c>
      <c r="BO33" s="531">
        <f t="shared" si="67"/>
        <v>50</v>
      </c>
      <c r="BP33" s="531">
        <f t="shared" si="67"/>
        <v>74</v>
      </c>
      <c r="BQ33" s="531">
        <f>100-BQ32</f>
        <v>69</v>
      </c>
      <c r="BR33" s="555">
        <f t="shared" si="67"/>
        <v>75</v>
      </c>
      <c r="BS33" s="531">
        <f t="shared" si="67"/>
        <v>66</v>
      </c>
      <c r="BT33" s="531">
        <f t="shared" si="67"/>
        <v>68</v>
      </c>
      <c r="BU33" s="531">
        <f t="shared" si="67"/>
        <v>72</v>
      </c>
      <c r="BV33" s="531">
        <f t="shared" si="67"/>
        <v>70</v>
      </c>
      <c r="BW33" s="531">
        <f t="shared" si="67"/>
        <v>74</v>
      </c>
      <c r="BX33" s="531">
        <f t="shared" si="67"/>
        <v>64</v>
      </c>
      <c r="BY33" s="531">
        <f t="shared" si="67"/>
        <v>74</v>
      </c>
      <c r="BZ33" s="531">
        <f t="shared" si="67"/>
        <v>55</v>
      </c>
      <c r="CA33" s="531">
        <f t="shared" si="67"/>
        <v>71</v>
      </c>
      <c r="CB33" s="555">
        <f t="shared" si="67"/>
        <v>73</v>
      </c>
      <c r="CC33" s="531">
        <f t="shared" si="67"/>
        <v>72</v>
      </c>
      <c r="CD33" s="531">
        <f t="shared" si="67"/>
        <v>76</v>
      </c>
      <c r="CE33" s="531">
        <f t="shared" si="67"/>
        <v>77</v>
      </c>
      <c r="CF33" s="531">
        <f t="shared" si="67"/>
        <v>52</v>
      </c>
      <c r="CG33" s="531">
        <f t="shared" si="67"/>
        <v>59</v>
      </c>
      <c r="CH33" s="531">
        <f t="shared" si="67"/>
        <v>51</v>
      </c>
      <c r="CI33" s="531">
        <f t="shared" si="67"/>
        <v>52</v>
      </c>
      <c r="CJ33" s="531">
        <f t="shared" si="67"/>
        <v>41</v>
      </c>
      <c r="CK33" s="532">
        <f t="shared" si="67"/>
        <v>66</v>
      </c>
      <c r="CL33" s="556">
        <f t="shared" si="67"/>
        <v>64</v>
      </c>
    </row>
    <row r="34" spans="1:90">
      <c r="A34" s="477">
        <f>ROWS($A$3:A32)</f>
        <v>30</v>
      </c>
      <c r="B34" s="59" t="s">
        <v>69</v>
      </c>
      <c r="C34" s="393">
        <v>2010</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c r="A35" s="477">
        <f>ROWS($A$3:A33)</f>
        <v>31</v>
      </c>
      <c r="B35" s="92" t="s">
        <v>71</v>
      </c>
      <c r="C35" s="205"/>
      <c r="D35" s="259" t="s">
        <v>1</v>
      </c>
      <c r="E35" s="447">
        <v>40652</v>
      </c>
      <c r="F35" s="154">
        <v>464514</v>
      </c>
      <c r="G35" s="155">
        <v>201368</v>
      </c>
      <c r="H35" s="155">
        <v>318269</v>
      </c>
      <c r="I35" s="156">
        <v>425837</v>
      </c>
      <c r="J35" s="281"/>
      <c r="K35" s="154">
        <f>BF35</f>
        <v>64654</v>
      </c>
      <c r="L35" s="155">
        <f>AY35</f>
        <v>25496</v>
      </c>
      <c r="M35" s="155">
        <f>BD35</f>
        <v>68046</v>
      </c>
      <c r="N35" s="155">
        <f>AW35</f>
        <v>28126</v>
      </c>
      <c r="O35" s="155">
        <f>BE35</f>
        <v>26190</v>
      </c>
      <c r="P35" s="155">
        <f>'2015'!AZ35+'2015'!BA35</f>
        <v>58077</v>
      </c>
      <c r="Q35" s="155">
        <f>'2015'!AU35</f>
        <v>22058</v>
      </c>
      <c r="R35" s="155">
        <f t="shared" ref="R35:R41" si="68">AT35+AX35</f>
        <v>34667</v>
      </c>
      <c r="S35" s="155">
        <f>AV35</f>
        <v>19633</v>
      </c>
      <c r="T35" s="155">
        <f t="shared" ref="T35:U39" si="69">BB35</f>
        <v>41225</v>
      </c>
      <c r="U35" s="552">
        <f t="shared" si="69"/>
        <v>76343</v>
      </c>
      <c r="V35" s="155">
        <f>BG35+BJ35</f>
        <v>16027</v>
      </c>
      <c r="W35" s="155">
        <f>BR35</f>
        <v>18914</v>
      </c>
      <c r="X35" s="155">
        <f>BH35+BI35</f>
        <v>39914</v>
      </c>
      <c r="Y35" s="155">
        <f>BK35+BL35+BN35</f>
        <v>42782</v>
      </c>
      <c r="Z35" s="155">
        <f>BM35</f>
        <v>46323</v>
      </c>
      <c r="AA35" s="155">
        <f>BO35+BQ35</f>
        <v>20156</v>
      </c>
      <c r="AB35" s="552">
        <f>BP35</f>
        <v>17252</v>
      </c>
      <c r="AC35" s="155">
        <f>BX35</f>
        <v>38829</v>
      </c>
      <c r="AD35" s="155">
        <f>BU35</f>
        <v>22305</v>
      </c>
      <c r="AE35" s="155">
        <f>BS35+BT35</f>
        <v>52144</v>
      </c>
      <c r="AF35" s="155">
        <f>CA35</f>
        <v>23148</v>
      </c>
      <c r="AG35" s="155">
        <f>BV35</f>
        <v>55500</v>
      </c>
      <c r="AH35" s="155">
        <f>BZ35</f>
        <v>33655</v>
      </c>
      <c r="AI35" s="155">
        <f>BW35</f>
        <v>30093</v>
      </c>
      <c r="AJ35" s="155">
        <f>BY35</f>
        <v>24250</v>
      </c>
      <c r="AK35" s="552">
        <f>CB35</f>
        <v>38344</v>
      </c>
      <c r="AL35" s="155">
        <f>CE35</f>
        <v>33916</v>
      </c>
      <c r="AM35" s="155">
        <f>CH35</f>
        <v>76332</v>
      </c>
      <c r="AN35" s="155">
        <f>CJ35</f>
        <v>86216</v>
      </c>
      <c r="AO35" s="155">
        <f t="shared" ref="AO35:AP39" si="70">CC35</f>
        <v>42679</v>
      </c>
      <c r="AP35" s="155">
        <f t="shared" si="70"/>
        <v>20093</v>
      </c>
      <c r="AQ35" s="155">
        <f>CK35</f>
        <v>54498</v>
      </c>
      <c r="AR35" s="155">
        <f>CI35</f>
        <v>33380</v>
      </c>
      <c r="AS35" s="156">
        <f>CF35+CG35</f>
        <v>78721</v>
      </c>
      <c r="AT35" s="155">
        <v>2501</v>
      </c>
      <c r="AU35" s="155">
        <v>22058</v>
      </c>
      <c r="AV35" s="155">
        <v>19633</v>
      </c>
      <c r="AW35" s="155">
        <v>28126</v>
      </c>
      <c r="AX35" s="155">
        <v>32166</v>
      </c>
      <c r="AY35" s="155">
        <v>25496</v>
      </c>
      <c r="AZ35" s="155">
        <v>4181</v>
      </c>
      <c r="BA35" s="155">
        <v>53896</v>
      </c>
      <c r="BB35" s="155">
        <v>41225</v>
      </c>
      <c r="BC35" s="155">
        <v>76343</v>
      </c>
      <c r="BD35" s="155">
        <v>68046</v>
      </c>
      <c r="BE35" s="155">
        <v>26190</v>
      </c>
      <c r="BF35" s="552">
        <v>64654</v>
      </c>
      <c r="BG35" s="155">
        <v>1517</v>
      </c>
      <c r="BH35" s="155">
        <v>2518</v>
      </c>
      <c r="BI35" s="155">
        <v>37396</v>
      </c>
      <c r="BJ35" s="155">
        <v>14510</v>
      </c>
      <c r="BK35" s="155">
        <v>1831</v>
      </c>
      <c r="BL35" s="155">
        <v>2854</v>
      </c>
      <c r="BM35" s="155">
        <v>46323</v>
      </c>
      <c r="BN35" s="155">
        <v>38097</v>
      </c>
      <c r="BO35" s="155">
        <v>1019</v>
      </c>
      <c r="BP35" s="155">
        <v>17252</v>
      </c>
      <c r="BQ35" s="155">
        <v>19137</v>
      </c>
      <c r="BR35" s="552">
        <v>18914</v>
      </c>
      <c r="BS35" s="155">
        <v>3446</v>
      </c>
      <c r="BT35" s="155">
        <v>48698</v>
      </c>
      <c r="BU35" s="155">
        <v>22305</v>
      </c>
      <c r="BV35" s="155">
        <v>55500</v>
      </c>
      <c r="BW35" s="155">
        <v>30093</v>
      </c>
      <c r="BX35" s="155">
        <v>38829</v>
      </c>
      <c r="BY35" s="155">
        <v>24250</v>
      </c>
      <c r="BZ35" s="155">
        <v>33655</v>
      </c>
      <c r="CA35" s="155">
        <v>23148</v>
      </c>
      <c r="CB35" s="552">
        <v>38344</v>
      </c>
      <c r="CC35" s="155">
        <v>42679</v>
      </c>
      <c r="CD35" s="155">
        <v>20093</v>
      </c>
      <c r="CE35" s="155">
        <v>33916</v>
      </c>
      <c r="CF35" s="155">
        <v>4694</v>
      </c>
      <c r="CG35" s="155">
        <v>74027</v>
      </c>
      <c r="CH35" s="155">
        <v>76332</v>
      </c>
      <c r="CI35" s="155">
        <v>33380</v>
      </c>
      <c r="CJ35" s="155">
        <v>86216</v>
      </c>
      <c r="CK35" s="156">
        <v>54498</v>
      </c>
      <c r="CL35" s="320">
        <v>1409988</v>
      </c>
    </row>
    <row r="36" spans="1:90">
      <c r="A36" s="477">
        <f>ROWS($A$3:A34)</f>
        <v>32</v>
      </c>
      <c r="B36" s="92" t="s">
        <v>72</v>
      </c>
      <c r="C36" s="203"/>
      <c r="D36" s="259" t="s">
        <v>1</v>
      </c>
      <c r="E36" s="447">
        <v>40652</v>
      </c>
      <c r="F36" s="154">
        <v>311698</v>
      </c>
      <c r="G36" s="155">
        <v>141235</v>
      </c>
      <c r="H36" s="155">
        <v>142389</v>
      </c>
      <c r="I36" s="156">
        <v>233949</v>
      </c>
      <c r="J36" s="281"/>
      <c r="K36" s="154">
        <f>BF36</f>
        <v>34721</v>
      </c>
      <c r="L36" s="155">
        <f>AY36</f>
        <v>11730</v>
      </c>
      <c r="M36" s="155">
        <f>BD36</f>
        <v>59094</v>
      </c>
      <c r="N36" s="155">
        <f>AW36</f>
        <v>12509</v>
      </c>
      <c r="O36" s="155">
        <f>BE36</f>
        <v>16900</v>
      </c>
      <c r="P36" s="155">
        <f>'2015'!AZ36+'2015'!BA36</f>
        <v>44169</v>
      </c>
      <c r="Q36" s="155">
        <f>'2015'!AU36</f>
        <v>15243</v>
      </c>
      <c r="R36" s="155">
        <f t="shared" si="68"/>
        <v>25995</v>
      </c>
      <c r="S36" s="155">
        <f>AV36</f>
        <v>10169</v>
      </c>
      <c r="T36" s="155">
        <f t="shared" si="69"/>
        <v>30557</v>
      </c>
      <c r="U36" s="552">
        <f t="shared" si="69"/>
        <v>50614</v>
      </c>
      <c r="V36" s="155">
        <f>BG36+BJ36</f>
        <v>10321</v>
      </c>
      <c r="W36" s="155">
        <f>BR36</f>
        <v>9490</v>
      </c>
      <c r="X36" s="155">
        <f>BH36+BI36</f>
        <v>31499</v>
      </c>
      <c r="Y36" s="155">
        <f>BK36+BL36+BN36</f>
        <v>34019</v>
      </c>
      <c r="Z36" s="155">
        <f>BM36</f>
        <v>35036</v>
      </c>
      <c r="AA36" s="155">
        <f>BO36+BQ36</f>
        <v>12420</v>
      </c>
      <c r="AB36" s="552">
        <f>BP36</f>
        <v>8451</v>
      </c>
      <c r="AC36" s="155">
        <f>BX36</f>
        <v>15862</v>
      </c>
      <c r="AD36" s="155">
        <f>BU36</f>
        <v>10287</v>
      </c>
      <c r="AE36" s="155">
        <f>BS36+BT36</f>
        <v>20874</v>
      </c>
      <c r="AF36" s="155">
        <f>CA36</f>
        <v>7269</v>
      </c>
      <c r="AG36" s="155">
        <f>BV36</f>
        <v>27684</v>
      </c>
      <c r="AH36" s="155">
        <f>BZ36</f>
        <v>19192</v>
      </c>
      <c r="AI36" s="155">
        <f>BW36</f>
        <v>16868</v>
      </c>
      <c r="AJ36" s="155">
        <f>BY36</f>
        <v>9020</v>
      </c>
      <c r="AK36" s="552">
        <f>CB36</f>
        <v>15333</v>
      </c>
      <c r="AL36" s="155">
        <f>CE36</f>
        <v>13101</v>
      </c>
      <c r="AM36" s="155">
        <f>CH36</f>
        <v>51921</v>
      </c>
      <c r="AN36" s="155">
        <f>CJ36</f>
        <v>26833</v>
      </c>
      <c r="AO36" s="155">
        <f t="shared" si="70"/>
        <v>20144</v>
      </c>
      <c r="AP36" s="155">
        <f t="shared" si="70"/>
        <v>13604</v>
      </c>
      <c r="AQ36" s="155">
        <f>CK36</f>
        <v>35032</v>
      </c>
      <c r="AR36" s="155">
        <f>CI36</f>
        <v>13924</v>
      </c>
      <c r="AS36" s="156">
        <f>CF36+CG36</f>
        <v>59389</v>
      </c>
      <c r="AT36" s="155">
        <v>1505</v>
      </c>
      <c r="AU36" s="155">
        <v>15243</v>
      </c>
      <c r="AV36" s="155">
        <v>10169</v>
      </c>
      <c r="AW36" s="155">
        <v>12509</v>
      </c>
      <c r="AX36" s="155">
        <v>24490</v>
      </c>
      <c r="AY36" s="155">
        <v>11730</v>
      </c>
      <c r="AZ36" s="155">
        <v>3228</v>
      </c>
      <c r="BA36" s="155">
        <v>40941</v>
      </c>
      <c r="BB36" s="155">
        <v>30557</v>
      </c>
      <c r="BC36" s="155">
        <v>50614</v>
      </c>
      <c r="BD36" s="155">
        <v>59094</v>
      </c>
      <c r="BE36" s="155">
        <v>16900</v>
      </c>
      <c r="BF36" s="552">
        <v>34721</v>
      </c>
      <c r="BG36" s="155">
        <v>574</v>
      </c>
      <c r="BH36" s="155">
        <v>1983</v>
      </c>
      <c r="BI36" s="155">
        <v>29516</v>
      </c>
      <c r="BJ36" s="155">
        <v>9747</v>
      </c>
      <c r="BK36" s="155">
        <v>1534</v>
      </c>
      <c r="BL36" s="155">
        <v>2446</v>
      </c>
      <c r="BM36" s="155">
        <v>35036</v>
      </c>
      <c r="BN36" s="155">
        <v>30039</v>
      </c>
      <c r="BO36" s="155">
        <v>530</v>
      </c>
      <c r="BP36" s="155">
        <v>8451</v>
      </c>
      <c r="BQ36" s="155">
        <v>11890</v>
      </c>
      <c r="BR36" s="552">
        <v>9490</v>
      </c>
      <c r="BS36" s="155">
        <v>1619</v>
      </c>
      <c r="BT36" s="155">
        <v>19255</v>
      </c>
      <c r="BU36" s="155">
        <v>10287</v>
      </c>
      <c r="BV36" s="155">
        <v>27684</v>
      </c>
      <c r="BW36" s="155">
        <v>16868</v>
      </c>
      <c r="BX36" s="155">
        <v>15862</v>
      </c>
      <c r="BY36" s="155">
        <v>9020</v>
      </c>
      <c r="BZ36" s="155">
        <v>19192</v>
      </c>
      <c r="CA36" s="155">
        <v>7269</v>
      </c>
      <c r="CB36" s="552">
        <v>15333</v>
      </c>
      <c r="CC36" s="155">
        <v>20144</v>
      </c>
      <c r="CD36" s="155">
        <v>13604</v>
      </c>
      <c r="CE36" s="155">
        <v>13101</v>
      </c>
      <c r="CF36" s="155">
        <v>4046</v>
      </c>
      <c r="CG36" s="155">
        <v>55343</v>
      </c>
      <c r="CH36" s="155">
        <v>51921</v>
      </c>
      <c r="CI36" s="155">
        <v>13924</v>
      </c>
      <c r="CJ36" s="155">
        <v>26833</v>
      </c>
      <c r="CK36" s="156">
        <v>35032</v>
      </c>
      <c r="CL36" s="320">
        <v>829272</v>
      </c>
    </row>
    <row r="37" spans="1:90">
      <c r="A37" s="477">
        <f>ROWS($A$3:A35)</f>
        <v>33</v>
      </c>
      <c r="B37" s="92" t="s">
        <v>6</v>
      </c>
      <c r="C37" s="203"/>
      <c r="D37" s="259" t="s">
        <v>1</v>
      </c>
      <c r="E37" s="447">
        <v>40652</v>
      </c>
      <c r="F37" s="154">
        <v>137597</v>
      </c>
      <c r="G37" s="155">
        <v>55922</v>
      </c>
      <c r="H37" s="155">
        <v>156404</v>
      </c>
      <c r="I37" s="156">
        <v>181770</v>
      </c>
      <c r="J37" s="281"/>
      <c r="K37" s="154">
        <f>BF37</f>
        <v>29497</v>
      </c>
      <c r="L37" s="155">
        <f>AY37</f>
        <v>12099</v>
      </c>
      <c r="M37" s="155">
        <f>BD37</f>
        <v>8022</v>
      </c>
      <c r="N37" s="155">
        <f>AW37</f>
        <v>15467</v>
      </c>
      <c r="O37" s="155">
        <f>BE37</f>
        <v>9260</v>
      </c>
      <c r="P37" s="155">
        <f>'2015'!AZ37+'2015'!BA37</f>
        <v>6934</v>
      </c>
      <c r="Q37" s="155">
        <f>'2015'!AU37</f>
        <v>6681</v>
      </c>
      <c r="R37" s="155">
        <f t="shared" si="68"/>
        <v>5997</v>
      </c>
      <c r="S37" s="155">
        <f>AV37</f>
        <v>9094</v>
      </c>
      <c r="T37" s="155">
        <f t="shared" si="69"/>
        <v>9049</v>
      </c>
      <c r="U37" s="552">
        <f t="shared" si="69"/>
        <v>25496</v>
      </c>
      <c r="V37" s="155">
        <f>BG37+BJ37</f>
        <v>4686</v>
      </c>
      <c r="W37" s="155">
        <f>BR37</f>
        <v>9409</v>
      </c>
      <c r="X37" s="155">
        <f>BH37+BI37</f>
        <v>7383</v>
      </c>
      <c r="Y37" s="155">
        <f>BK37+BL37+BN37</f>
        <v>7552</v>
      </c>
      <c r="Z37" s="155">
        <f>BM37</f>
        <v>10649</v>
      </c>
      <c r="AA37" s="155">
        <f>BO37+BQ37</f>
        <v>7491</v>
      </c>
      <c r="AB37" s="552">
        <f>BP37</f>
        <v>8752</v>
      </c>
      <c r="AC37" s="155">
        <f>BX37</f>
        <v>22942</v>
      </c>
      <c r="AD37" s="155">
        <f>BU37</f>
        <v>9545</v>
      </c>
      <c r="AE37" s="155">
        <f>BS37+BT37</f>
        <v>24439</v>
      </c>
      <c r="AF37" s="155">
        <f>CA37</f>
        <v>14435</v>
      </c>
      <c r="AG37" s="155">
        <f>BV37</f>
        <v>20564</v>
      </c>
      <c r="AH37" s="155">
        <f>BZ37</f>
        <v>13349</v>
      </c>
      <c r="AI37" s="155">
        <f>BW37</f>
        <v>13189</v>
      </c>
      <c r="AJ37" s="155">
        <f>BY37</f>
        <v>15208</v>
      </c>
      <c r="AK37" s="552">
        <f>CB37</f>
        <v>22734</v>
      </c>
      <c r="AL37" s="155">
        <f>CE37</f>
        <v>20667</v>
      </c>
      <c r="AM37" s="155">
        <f>CH37</f>
        <v>24245</v>
      </c>
      <c r="AN37" s="155">
        <f>CJ37</f>
        <v>57833</v>
      </c>
      <c r="AO37" s="155">
        <f t="shared" si="70"/>
        <v>22343</v>
      </c>
      <c r="AP37" s="155">
        <f t="shared" si="70"/>
        <v>6418</v>
      </c>
      <c r="AQ37" s="155">
        <f>CK37</f>
        <v>19369</v>
      </c>
      <c r="AR37" s="155">
        <f>CI37</f>
        <v>11723</v>
      </c>
      <c r="AS37" s="156">
        <f>CF37+CG37</f>
        <v>19170</v>
      </c>
      <c r="AT37" s="155">
        <v>535</v>
      </c>
      <c r="AU37" s="155">
        <v>6681</v>
      </c>
      <c r="AV37" s="155">
        <v>9094</v>
      </c>
      <c r="AW37" s="155">
        <v>15467</v>
      </c>
      <c r="AX37" s="155">
        <v>5462</v>
      </c>
      <c r="AY37" s="155">
        <v>12099</v>
      </c>
      <c r="AZ37" s="155">
        <v>211</v>
      </c>
      <c r="BA37" s="155">
        <v>6723</v>
      </c>
      <c r="BB37" s="155">
        <v>9049</v>
      </c>
      <c r="BC37" s="155">
        <v>25496</v>
      </c>
      <c r="BD37" s="155">
        <v>8022</v>
      </c>
      <c r="BE37" s="155">
        <v>9260</v>
      </c>
      <c r="BF37" s="552">
        <v>29497</v>
      </c>
      <c r="BG37" s="155">
        <v>682</v>
      </c>
      <c r="BH37" s="155">
        <v>453</v>
      </c>
      <c r="BI37" s="155">
        <v>6930</v>
      </c>
      <c r="BJ37" s="155">
        <v>4004</v>
      </c>
      <c r="BK37" s="155">
        <v>220</v>
      </c>
      <c r="BL37" s="155">
        <v>400</v>
      </c>
      <c r="BM37" s="155">
        <v>10649</v>
      </c>
      <c r="BN37" s="155">
        <v>6932</v>
      </c>
      <c r="BO37" s="155">
        <v>489</v>
      </c>
      <c r="BP37" s="155">
        <v>8752</v>
      </c>
      <c r="BQ37" s="155">
        <v>7002</v>
      </c>
      <c r="BR37" s="552">
        <v>9409</v>
      </c>
      <c r="BS37" s="155">
        <v>1036</v>
      </c>
      <c r="BT37" s="155">
        <v>23403</v>
      </c>
      <c r="BU37" s="155">
        <v>9545</v>
      </c>
      <c r="BV37" s="155">
        <v>20564</v>
      </c>
      <c r="BW37" s="155">
        <v>13189</v>
      </c>
      <c r="BX37" s="155">
        <v>22942</v>
      </c>
      <c r="BY37" s="155">
        <v>15208</v>
      </c>
      <c r="BZ37" s="155">
        <v>13349</v>
      </c>
      <c r="CA37" s="155">
        <v>14435</v>
      </c>
      <c r="CB37" s="552">
        <v>22734</v>
      </c>
      <c r="CC37" s="155">
        <v>22343</v>
      </c>
      <c r="CD37" s="155">
        <v>6418</v>
      </c>
      <c r="CE37" s="155">
        <v>20667</v>
      </c>
      <c r="CF37" s="155">
        <v>628</v>
      </c>
      <c r="CG37" s="155">
        <v>18542</v>
      </c>
      <c r="CH37" s="155">
        <v>24245</v>
      </c>
      <c r="CI37" s="155">
        <v>11723</v>
      </c>
      <c r="CJ37" s="155">
        <v>57833</v>
      </c>
      <c r="CK37" s="156">
        <v>19369</v>
      </c>
      <c r="CL37" s="320">
        <v>531692</v>
      </c>
    </row>
    <row r="38" spans="1:90">
      <c r="A38" s="477">
        <f>ROWS($A$3:A36)</f>
        <v>34</v>
      </c>
      <c r="B38" s="92" t="s">
        <v>244</v>
      </c>
      <c r="C38" s="203"/>
      <c r="D38" s="259" t="s">
        <v>1</v>
      </c>
      <c r="E38" s="447">
        <v>40652</v>
      </c>
      <c r="F38" s="154">
        <v>3429</v>
      </c>
      <c r="G38" s="155">
        <v>1255</v>
      </c>
      <c r="H38" s="155">
        <v>7541</v>
      </c>
      <c r="I38" s="156">
        <v>8842</v>
      </c>
      <c r="J38" s="281"/>
      <c r="K38" s="154">
        <f>BF38</f>
        <v>10</v>
      </c>
      <c r="L38" s="155">
        <f>AY38</f>
        <v>505</v>
      </c>
      <c r="M38" s="155">
        <f>BD38</f>
        <v>77</v>
      </c>
      <c r="N38" s="155">
        <f>AW38</f>
        <v>100</v>
      </c>
      <c r="O38" s="155">
        <f>BE38</f>
        <v>2</v>
      </c>
      <c r="P38" s="155">
        <f>'2015'!AZ38+'2015'!BA38</f>
        <v>1038</v>
      </c>
      <c r="Q38" s="155">
        <f>'2015'!AU38</f>
        <v>83</v>
      </c>
      <c r="R38" s="155">
        <f t="shared" si="68"/>
        <v>530</v>
      </c>
      <c r="S38" s="155">
        <f>AV38</f>
        <v>163</v>
      </c>
      <c r="T38" s="155">
        <f t="shared" si="69"/>
        <v>761</v>
      </c>
      <c r="U38" s="552">
        <f t="shared" si="69"/>
        <v>159</v>
      </c>
      <c r="V38" s="155">
        <f>BG38+BJ38</f>
        <v>448</v>
      </c>
      <c r="W38" s="155">
        <f>BR38</f>
        <v>2</v>
      </c>
      <c r="X38" s="155">
        <f>BH38+BI38</f>
        <v>231</v>
      </c>
      <c r="Y38" s="155">
        <f>BN38</f>
        <v>380</v>
      </c>
      <c r="Z38" s="155">
        <f>BM38</f>
        <v>133</v>
      </c>
      <c r="AA38" s="155">
        <f>BQ38</f>
        <v>31</v>
      </c>
      <c r="AB38" s="552" t="str">
        <f>BP38</f>
        <v>*</v>
      </c>
      <c r="AC38" s="155" t="str">
        <f>BX38</f>
        <v>*</v>
      </c>
      <c r="AD38" s="155">
        <f>BU38</f>
        <v>629</v>
      </c>
      <c r="AE38" s="155">
        <f>BS38+BT38</f>
        <v>889</v>
      </c>
      <c r="AF38" s="155">
        <f>CA38</f>
        <v>646</v>
      </c>
      <c r="AG38" s="155">
        <f>BV38</f>
        <v>4231</v>
      </c>
      <c r="AH38" s="155">
        <f>BZ38</f>
        <v>971</v>
      </c>
      <c r="AI38" s="155" t="str">
        <f>BW38</f>
        <v>*</v>
      </c>
      <c r="AJ38" s="155" t="str">
        <f>BY38</f>
        <v>*</v>
      </c>
      <c r="AK38" s="552">
        <f>CB38</f>
        <v>155</v>
      </c>
      <c r="AL38" s="155">
        <f>CE38</f>
        <v>10</v>
      </c>
      <c r="AM38" s="155">
        <f>CH38</f>
        <v>40</v>
      </c>
      <c r="AN38" s="155">
        <f>CJ38</f>
        <v>1365</v>
      </c>
      <c r="AO38" s="155">
        <f t="shared" si="70"/>
        <v>101</v>
      </c>
      <c r="AP38" s="155">
        <f t="shared" si="70"/>
        <v>52</v>
      </c>
      <c r="AQ38" s="155">
        <f>CK38</f>
        <v>29</v>
      </c>
      <c r="AR38" s="155">
        <f>CI38</f>
        <v>7179</v>
      </c>
      <c r="AS38" s="156">
        <f>CF38+CG38</f>
        <v>67</v>
      </c>
      <c r="AT38" s="155">
        <v>76</v>
      </c>
      <c r="AU38" s="155">
        <v>83</v>
      </c>
      <c r="AV38" s="155">
        <v>163</v>
      </c>
      <c r="AW38" s="155">
        <v>100</v>
      </c>
      <c r="AX38" s="155">
        <v>454</v>
      </c>
      <c r="AY38" s="155">
        <v>505</v>
      </c>
      <c r="AZ38" s="155">
        <v>59</v>
      </c>
      <c r="BA38" s="155">
        <v>979</v>
      </c>
      <c r="BB38" s="155">
        <v>761</v>
      </c>
      <c r="BC38" s="155">
        <v>159</v>
      </c>
      <c r="BD38" s="155">
        <v>77</v>
      </c>
      <c r="BE38" s="155">
        <v>2</v>
      </c>
      <c r="BF38" s="552">
        <v>10</v>
      </c>
      <c r="BG38" s="155">
        <v>40</v>
      </c>
      <c r="BH38" s="155">
        <v>54</v>
      </c>
      <c r="BI38" s="155">
        <v>177</v>
      </c>
      <c r="BJ38" s="155">
        <v>408</v>
      </c>
      <c r="BK38" s="155" t="s">
        <v>233</v>
      </c>
      <c r="BL38" s="155" t="s">
        <v>233</v>
      </c>
      <c r="BM38" s="155">
        <v>133</v>
      </c>
      <c r="BN38" s="155">
        <v>380</v>
      </c>
      <c r="BO38" s="155" t="s">
        <v>233</v>
      </c>
      <c r="BP38" s="155" t="s">
        <v>233</v>
      </c>
      <c r="BQ38" s="155">
        <v>31</v>
      </c>
      <c r="BR38" s="552">
        <v>2</v>
      </c>
      <c r="BS38" s="155">
        <v>76</v>
      </c>
      <c r="BT38" s="155">
        <v>813</v>
      </c>
      <c r="BU38" s="155">
        <v>629</v>
      </c>
      <c r="BV38" s="155">
        <v>4231</v>
      </c>
      <c r="BW38" s="155" t="s">
        <v>233</v>
      </c>
      <c r="BX38" s="155" t="s">
        <v>233</v>
      </c>
      <c r="BY38" s="155" t="s">
        <v>233</v>
      </c>
      <c r="BZ38" s="155">
        <v>971</v>
      </c>
      <c r="CA38" s="155">
        <v>646</v>
      </c>
      <c r="CB38" s="552">
        <v>155</v>
      </c>
      <c r="CC38" s="155">
        <v>101</v>
      </c>
      <c r="CD38" s="155">
        <v>52</v>
      </c>
      <c r="CE38" s="155">
        <v>10</v>
      </c>
      <c r="CF38" s="155">
        <v>7</v>
      </c>
      <c r="CG38" s="155">
        <v>60</v>
      </c>
      <c r="CH38" s="155">
        <v>40</v>
      </c>
      <c r="CI38" s="155">
        <v>7179</v>
      </c>
      <c r="CJ38" s="155">
        <v>1365</v>
      </c>
      <c r="CK38" s="156">
        <v>29</v>
      </c>
      <c r="CL38" s="320">
        <v>21067</v>
      </c>
    </row>
    <row r="39" spans="1:90">
      <c r="A39" s="477">
        <f>ROWS($A$3:A37)</f>
        <v>35</v>
      </c>
      <c r="B39" s="92" t="s">
        <v>245</v>
      </c>
      <c r="C39" s="203"/>
      <c r="D39" s="259" t="s">
        <v>1</v>
      </c>
      <c r="E39" s="447">
        <v>40652</v>
      </c>
      <c r="F39" s="154">
        <v>10197</v>
      </c>
      <c r="G39" s="155">
        <v>2082</v>
      </c>
      <c r="H39" s="155">
        <v>10885</v>
      </c>
      <c r="I39" s="156">
        <v>519</v>
      </c>
      <c r="J39" s="281"/>
      <c r="K39" s="154" t="str">
        <f>BF39</f>
        <v>-</v>
      </c>
      <c r="L39" s="155">
        <f>AY39</f>
        <v>1046</v>
      </c>
      <c r="M39" s="155">
        <f>BD39</f>
        <v>714</v>
      </c>
      <c r="N39" s="155" t="str">
        <f>AW39</f>
        <v>*</v>
      </c>
      <c r="O39" s="155" t="str">
        <f>BE39</f>
        <v>–</v>
      </c>
      <c r="P39" s="155">
        <f>'2015'!AZ39+'2015'!BA39</f>
        <v>5606</v>
      </c>
      <c r="Q39" s="155" t="str">
        <f>'2015'!AU39</f>
        <v>*</v>
      </c>
      <c r="R39" s="155">
        <f t="shared" si="68"/>
        <v>1963</v>
      </c>
      <c r="S39" s="155">
        <f>AV39</f>
        <v>115</v>
      </c>
      <c r="T39" s="155">
        <f t="shared" si="69"/>
        <v>751</v>
      </c>
      <c r="U39" s="552" t="str">
        <f t="shared" si="69"/>
        <v>*</v>
      </c>
      <c r="V39" s="155">
        <f>BG39+BJ39</f>
        <v>506</v>
      </c>
      <c r="W39" s="155" t="str">
        <f>BR39</f>
        <v>*</v>
      </c>
      <c r="X39" s="155">
        <f>BI39</f>
        <v>714</v>
      </c>
      <c r="Y39" s="155">
        <f>BN39</f>
        <v>611</v>
      </c>
      <c r="Z39" s="155" t="str">
        <f>BM39</f>
        <v>*</v>
      </c>
      <c r="AA39" s="155">
        <f>BQ39</f>
        <v>188</v>
      </c>
      <c r="AB39" s="552" t="str">
        <f>BP39</f>
        <v>-</v>
      </c>
      <c r="AC39" s="155" t="str">
        <f>BX39</f>
        <v xml:space="preserve"> -</v>
      </c>
      <c r="AD39" s="155">
        <f>BU39</f>
        <v>1705</v>
      </c>
      <c r="AE39" s="155">
        <f>BT39</f>
        <v>5142</v>
      </c>
      <c r="AF39" s="155">
        <f>CA39</f>
        <v>739</v>
      </c>
      <c r="AG39" s="155">
        <f>BV39</f>
        <v>2479</v>
      </c>
      <c r="AH39" s="155" t="str">
        <f>BZ39</f>
        <v>*</v>
      </c>
      <c r="AI39" s="155" t="str">
        <f>BW39</f>
        <v xml:space="preserve">      -</v>
      </c>
      <c r="AJ39" s="155" t="str">
        <f>BY39</f>
        <v>*</v>
      </c>
      <c r="AK39" s="552">
        <f>CB39</f>
        <v>56</v>
      </c>
      <c r="AL39" s="155" t="str">
        <f>CE39</f>
        <v>*</v>
      </c>
      <c r="AM39" s="155" t="str">
        <f>CH39</f>
        <v>*</v>
      </c>
      <c r="AN39" s="155" t="str">
        <f>CJ39</f>
        <v>*</v>
      </c>
      <c r="AO39" s="155">
        <f t="shared" si="70"/>
        <v>16</v>
      </c>
      <c r="AP39" s="155">
        <f t="shared" si="70"/>
        <v>9</v>
      </c>
      <c r="AQ39" s="155" t="str">
        <f>CK39</f>
        <v>*</v>
      </c>
      <c r="AR39" s="155">
        <f>CI39</f>
        <v>492</v>
      </c>
      <c r="AS39" s="156" t="str">
        <f>CG39</f>
        <v>*</v>
      </c>
      <c r="AT39" s="155">
        <v>354</v>
      </c>
      <c r="AU39" s="155" t="s">
        <v>233</v>
      </c>
      <c r="AV39" s="155">
        <v>115</v>
      </c>
      <c r="AW39" s="155" t="s">
        <v>233</v>
      </c>
      <c r="AX39" s="155">
        <v>1609</v>
      </c>
      <c r="AY39" s="155">
        <v>1046</v>
      </c>
      <c r="AZ39" s="155">
        <v>634</v>
      </c>
      <c r="BA39" s="155">
        <v>4972</v>
      </c>
      <c r="BB39" s="155">
        <v>751</v>
      </c>
      <c r="BC39" s="155" t="s">
        <v>233</v>
      </c>
      <c r="BD39" s="155">
        <v>714</v>
      </c>
      <c r="BE39" s="155" t="s">
        <v>41</v>
      </c>
      <c r="BF39" s="552" t="s">
        <v>58</v>
      </c>
      <c r="BG39" s="155">
        <v>187</v>
      </c>
      <c r="BH39" s="155" t="s">
        <v>233</v>
      </c>
      <c r="BI39" s="155">
        <v>714</v>
      </c>
      <c r="BJ39" s="155">
        <v>319</v>
      </c>
      <c r="BK39" s="155">
        <v>50</v>
      </c>
      <c r="BL39" s="155" t="s">
        <v>58</v>
      </c>
      <c r="BM39" s="155" t="s">
        <v>233</v>
      </c>
      <c r="BN39" s="155">
        <v>611</v>
      </c>
      <c r="BO39" s="155" t="s">
        <v>58</v>
      </c>
      <c r="BP39" s="155" t="s">
        <v>58</v>
      </c>
      <c r="BQ39" s="155">
        <v>188</v>
      </c>
      <c r="BR39" s="552" t="s">
        <v>233</v>
      </c>
      <c r="BS39" s="155">
        <v>703</v>
      </c>
      <c r="BT39" s="155">
        <v>5142</v>
      </c>
      <c r="BU39" s="155">
        <v>1705</v>
      </c>
      <c r="BV39" s="155">
        <v>2479</v>
      </c>
      <c r="BW39" s="155" t="s">
        <v>274</v>
      </c>
      <c r="BX39" s="155" t="s">
        <v>267</v>
      </c>
      <c r="BY39" s="155" t="s">
        <v>233</v>
      </c>
      <c r="BZ39" s="155" t="s">
        <v>233</v>
      </c>
      <c r="CA39" s="155">
        <v>739</v>
      </c>
      <c r="CB39" s="552">
        <v>56</v>
      </c>
      <c r="CC39" s="155">
        <v>16</v>
      </c>
      <c r="CD39" s="155">
        <v>9</v>
      </c>
      <c r="CE39" s="155" t="s">
        <v>233</v>
      </c>
      <c r="CF39" s="155" t="s">
        <v>267</v>
      </c>
      <c r="CG39" s="155" t="s">
        <v>233</v>
      </c>
      <c r="CH39" s="155" t="s">
        <v>233</v>
      </c>
      <c r="CI39" s="155">
        <v>492</v>
      </c>
      <c r="CJ39" s="155" t="s">
        <v>233</v>
      </c>
      <c r="CK39" s="156" t="s">
        <v>233</v>
      </c>
      <c r="CL39" s="320">
        <v>23682</v>
      </c>
    </row>
    <row r="40" spans="1:90">
      <c r="A40" s="477">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c r="A41" s="477">
        <f>ROWS($A$3:A39)</f>
        <v>37</v>
      </c>
      <c r="B41" s="92" t="s">
        <v>73</v>
      </c>
      <c r="C41" s="202">
        <v>2015</v>
      </c>
      <c r="D41" s="259" t="s">
        <v>7</v>
      </c>
      <c r="E41" s="447">
        <v>42549</v>
      </c>
      <c r="F41" s="154">
        <v>299202</v>
      </c>
      <c r="G41" s="155">
        <v>82615</v>
      </c>
      <c r="H41" s="155">
        <v>217140</v>
      </c>
      <c r="I41" s="156">
        <v>402835</v>
      </c>
      <c r="J41" s="281"/>
      <c r="K41" s="154">
        <f t="shared" ref="K41:K54" si="71">BF41</f>
        <v>73822</v>
      </c>
      <c r="L41" s="155">
        <f t="shared" ref="L41:L54" si="72">AY41</f>
        <v>21263</v>
      </c>
      <c r="M41" s="155">
        <f t="shared" ref="M41:M54" si="73">BD41</f>
        <v>19698</v>
      </c>
      <c r="N41" s="155">
        <f t="shared" ref="N41:N54" si="74">AW41</f>
        <v>30417</v>
      </c>
      <c r="O41" s="155">
        <f t="shared" ref="O41:O54" si="75">BE41</f>
        <v>20615</v>
      </c>
      <c r="P41" s="155">
        <f>'2015'!AZ41+'2015'!BA41</f>
        <v>13160</v>
      </c>
      <c r="Q41" s="155">
        <f>'2015'!AU41</f>
        <v>8898</v>
      </c>
      <c r="R41" s="155">
        <f t="shared" si="68"/>
        <v>14298</v>
      </c>
      <c r="S41" s="155">
        <f t="shared" ref="S41:S54" si="76">AV41</f>
        <v>8859</v>
      </c>
      <c r="T41" s="155">
        <f t="shared" ref="T41:U54" si="77">BB41</f>
        <v>22252</v>
      </c>
      <c r="U41" s="552">
        <f t="shared" si="77"/>
        <v>65920</v>
      </c>
      <c r="V41" s="155">
        <f>BG41+BJ41</f>
        <v>2903</v>
      </c>
      <c r="W41" s="155">
        <f t="shared" ref="W41:W54" si="78">BR41</f>
        <v>12410</v>
      </c>
      <c r="X41" s="155">
        <f>BH41+BI41</f>
        <v>6201</v>
      </c>
      <c r="Y41" s="155">
        <f>BK41+BL41+BN41</f>
        <v>12770</v>
      </c>
      <c r="Z41" s="155">
        <f t="shared" ref="Z41:Z54" si="79">BM41</f>
        <v>24145</v>
      </c>
      <c r="AA41" s="155">
        <f>BO41+BQ41</f>
        <v>11062</v>
      </c>
      <c r="AB41" s="552">
        <f t="shared" ref="AB41:AB54" si="80">BP41</f>
        <v>13124</v>
      </c>
      <c r="AC41" s="155">
        <f t="shared" ref="AC41:AC54" si="81">BX41</f>
        <v>32180</v>
      </c>
      <c r="AD41" s="155">
        <f t="shared" ref="AD41:AD54" si="82">BU41</f>
        <v>14855</v>
      </c>
      <c r="AE41" s="155">
        <f>BS41+BT41</f>
        <v>29511</v>
      </c>
      <c r="AF41" s="155">
        <f t="shared" ref="AF41:AF54" si="83">CA41</f>
        <v>14975</v>
      </c>
      <c r="AG41" s="155">
        <f t="shared" ref="AG41:AG54" si="84">BV41</f>
        <v>29083</v>
      </c>
      <c r="AH41" s="155">
        <f t="shared" ref="AH41:AH54" si="85">BZ41</f>
        <v>26105</v>
      </c>
      <c r="AI41" s="155">
        <f t="shared" ref="AI41:AI54" si="86">BW41</f>
        <v>18091</v>
      </c>
      <c r="AJ41" s="155">
        <f t="shared" ref="AJ41:AJ54" si="87">BY41</f>
        <v>16869</v>
      </c>
      <c r="AK41" s="552">
        <f t="shared" ref="AK41:AK54" si="88">CB41</f>
        <v>35471</v>
      </c>
      <c r="AL41" s="155">
        <f t="shared" ref="AL41:AL54" si="89">CE41</f>
        <v>14802</v>
      </c>
      <c r="AM41" s="155">
        <f t="shared" ref="AM41:AM54" si="90">CH41</f>
        <v>90568</v>
      </c>
      <c r="AN41" s="155">
        <f t="shared" ref="AN41:AN54" si="91">CJ41</f>
        <v>146347</v>
      </c>
      <c r="AO41" s="155">
        <f t="shared" ref="AO41:AP54" si="92">CC41</f>
        <v>30332</v>
      </c>
      <c r="AP41" s="155">
        <f t="shared" si="92"/>
        <v>5746</v>
      </c>
      <c r="AQ41" s="155">
        <f t="shared" ref="AQ41:AQ54" si="93">CK41</f>
        <v>38038</v>
      </c>
      <c r="AR41" s="155">
        <f t="shared" ref="AR41:AR54" si="94">CI41</f>
        <v>23013</v>
      </c>
      <c r="AS41" s="156">
        <f>CF41+CG41</f>
        <v>53989</v>
      </c>
      <c r="AT41" s="155">
        <v>927</v>
      </c>
      <c r="AU41" s="155">
        <v>8898</v>
      </c>
      <c r="AV41" s="155">
        <v>8859</v>
      </c>
      <c r="AW41" s="155">
        <v>30417</v>
      </c>
      <c r="AX41" s="155">
        <v>13371</v>
      </c>
      <c r="AY41" s="155">
        <v>21263</v>
      </c>
      <c r="AZ41" s="155">
        <v>112</v>
      </c>
      <c r="BA41" s="155">
        <v>13048</v>
      </c>
      <c r="BB41" s="155">
        <v>22252</v>
      </c>
      <c r="BC41" s="155">
        <v>65920</v>
      </c>
      <c r="BD41" s="155">
        <v>19698</v>
      </c>
      <c r="BE41" s="155">
        <v>20615</v>
      </c>
      <c r="BF41" s="552">
        <v>73822</v>
      </c>
      <c r="BG41" s="155">
        <v>252</v>
      </c>
      <c r="BH41" s="155">
        <v>409</v>
      </c>
      <c r="BI41" s="155">
        <v>5792</v>
      </c>
      <c r="BJ41" s="155">
        <v>2651</v>
      </c>
      <c r="BK41" s="155">
        <v>463</v>
      </c>
      <c r="BL41" s="155">
        <v>88</v>
      </c>
      <c r="BM41" s="155">
        <v>24145</v>
      </c>
      <c r="BN41" s="155">
        <v>12219</v>
      </c>
      <c r="BO41" s="155">
        <v>179</v>
      </c>
      <c r="BP41" s="155">
        <v>13124</v>
      </c>
      <c r="BQ41" s="155">
        <v>10883</v>
      </c>
      <c r="BR41" s="552">
        <v>12410</v>
      </c>
      <c r="BS41" s="155">
        <v>573</v>
      </c>
      <c r="BT41" s="155">
        <v>28938</v>
      </c>
      <c r="BU41" s="155">
        <v>14855</v>
      </c>
      <c r="BV41" s="155">
        <v>29083</v>
      </c>
      <c r="BW41" s="155">
        <v>18091</v>
      </c>
      <c r="BX41" s="155">
        <v>32180</v>
      </c>
      <c r="BY41" s="155">
        <v>16869</v>
      </c>
      <c r="BZ41" s="155">
        <v>26105</v>
      </c>
      <c r="CA41" s="155">
        <v>14975</v>
      </c>
      <c r="CB41" s="552">
        <v>35471</v>
      </c>
      <c r="CC41" s="155">
        <v>30332</v>
      </c>
      <c r="CD41" s="155">
        <v>5746</v>
      </c>
      <c r="CE41" s="155">
        <v>14802</v>
      </c>
      <c r="CF41" s="155">
        <v>2296</v>
      </c>
      <c r="CG41" s="155">
        <v>51693</v>
      </c>
      <c r="CH41" s="155">
        <v>90568</v>
      </c>
      <c r="CI41" s="155">
        <v>23013</v>
      </c>
      <c r="CJ41" s="155">
        <v>146347</v>
      </c>
      <c r="CK41" s="156">
        <v>38038</v>
      </c>
      <c r="CL41" s="320">
        <v>1001792</v>
      </c>
    </row>
    <row r="42" spans="1:90">
      <c r="A42" s="477">
        <f>ROWS($A$3:A40)</f>
        <v>38</v>
      </c>
      <c r="B42" s="92" t="s">
        <v>305</v>
      </c>
      <c r="C42" s="203"/>
      <c r="D42" s="259" t="s">
        <v>7</v>
      </c>
      <c r="E42" s="447">
        <v>42549</v>
      </c>
      <c r="F42" s="154">
        <v>114541</v>
      </c>
      <c r="G42" s="155">
        <v>31222</v>
      </c>
      <c r="H42" s="155">
        <v>89104</v>
      </c>
      <c r="I42" s="156">
        <v>173233</v>
      </c>
      <c r="J42" s="281"/>
      <c r="K42" s="154">
        <f t="shared" si="71"/>
        <v>29453</v>
      </c>
      <c r="L42" s="155">
        <f t="shared" si="72"/>
        <v>8562</v>
      </c>
      <c r="M42" s="155">
        <f t="shared" si="73"/>
        <v>7272</v>
      </c>
      <c r="N42" s="155">
        <f t="shared" si="74"/>
        <v>12128</v>
      </c>
      <c r="O42" s="155">
        <f t="shared" si="75"/>
        <v>7305</v>
      </c>
      <c r="P42" s="155">
        <f>'2015'!BA42</f>
        <v>4609</v>
      </c>
      <c r="Q42" s="155">
        <f>'2015'!AU42</f>
        <v>3532</v>
      </c>
      <c r="R42" s="155">
        <f>AX42</f>
        <v>4712</v>
      </c>
      <c r="S42" s="155">
        <f t="shared" si="76"/>
        <v>3246</v>
      </c>
      <c r="T42" s="155">
        <f t="shared" si="77"/>
        <v>8537</v>
      </c>
      <c r="U42" s="552">
        <f t="shared" si="77"/>
        <v>24694</v>
      </c>
      <c r="V42" s="155">
        <f>BJ42</f>
        <v>1098</v>
      </c>
      <c r="W42" s="155">
        <f t="shared" si="78"/>
        <v>4941</v>
      </c>
      <c r="X42" s="155">
        <f>BI42</f>
        <v>1982</v>
      </c>
      <c r="Y42" s="155">
        <f>BN42</f>
        <v>4320</v>
      </c>
      <c r="Z42" s="155">
        <f t="shared" si="79"/>
        <v>8978</v>
      </c>
      <c r="AA42" s="155">
        <f>BQ42</f>
        <v>4147</v>
      </c>
      <c r="AB42" s="552">
        <f t="shared" si="80"/>
        <v>5291</v>
      </c>
      <c r="AC42" s="155">
        <f t="shared" si="81"/>
        <v>14650</v>
      </c>
      <c r="AD42" s="155">
        <f t="shared" si="82"/>
        <v>5197</v>
      </c>
      <c r="AE42" s="155">
        <f>BS42+BT42</f>
        <v>13572</v>
      </c>
      <c r="AF42" s="155">
        <f t="shared" si="83"/>
        <v>5961</v>
      </c>
      <c r="AG42" s="155">
        <f t="shared" si="84"/>
        <v>11037</v>
      </c>
      <c r="AH42" s="155">
        <f t="shared" si="85"/>
        <v>10518</v>
      </c>
      <c r="AI42" s="155">
        <f t="shared" si="86"/>
        <v>6444</v>
      </c>
      <c r="AJ42" s="155">
        <f t="shared" si="87"/>
        <v>7365</v>
      </c>
      <c r="AK42" s="552">
        <f t="shared" si="88"/>
        <v>14360</v>
      </c>
      <c r="AL42" s="155">
        <f t="shared" si="89"/>
        <v>5526</v>
      </c>
      <c r="AM42" s="155">
        <f t="shared" si="90"/>
        <v>36019</v>
      </c>
      <c r="AN42" s="155">
        <f t="shared" si="91"/>
        <v>72965</v>
      </c>
      <c r="AO42" s="155">
        <f t="shared" si="92"/>
        <v>9759</v>
      </c>
      <c r="AP42" s="155">
        <f t="shared" si="92"/>
        <v>2117</v>
      </c>
      <c r="AQ42" s="155">
        <f t="shared" si="93"/>
        <v>15397</v>
      </c>
      <c r="AR42" s="155">
        <f t="shared" si="94"/>
        <v>10311</v>
      </c>
      <c r="AS42" s="156">
        <f>CF42+CG42</f>
        <v>21139</v>
      </c>
      <c r="AT42" s="155">
        <v>460</v>
      </c>
      <c r="AU42" s="155">
        <v>3532</v>
      </c>
      <c r="AV42" s="155">
        <v>3246</v>
      </c>
      <c r="AW42" s="155">
        <v>12128</v>
      </c>
      <c r="AX42" s="155">
        <v>4712</v>
      </c>
      <c r="AY42" s="155">
        <v>8562</v>
      </c>
      <c r="AZ42" s="155">
        <v>31</v>
      </c>
      <c r="BA42" s="155">
        <v>4609</v>
      </c>
      <c r="BB42" s="155">
        <v>8537</v>
      </c>
      <c r="BC42" s="155">
        <v>24694</v>
      </c>
      <c r="BD42" s="155">
        <v>7272</v>
      </c>
      <c r="BE42" s="155">
        <v>7305</v>
      </c>
      <c r="BF42" s="552">
        <v>29453</v>
      </c>
      <c r="BG42" s="155">
        <v>77</v>
      </c>
      <c r="BH42" s="155">
        <v>86</v>
      </c>
      <c r="BI42" s="155">
        <v>1982</v>
      </c>
      <c r="BJ42" s="155">
        <v>1098</v>
      </c>
      <c r="BK42" s="155">
        <v>206</v>
      </c>
      <c r="BL42" s="155">
        <v>30</v>
      </c>
      <c r="BM42" s="155">
        <v>8978</v>
      </c>
      <c r="BN42" s="155">
        <v>4320</v>
      </c>
      <c r="BO42" s="155">
        <v>66</v>
      </c>
      <c r="BP42" s="155">
        <v>5291</v>
      </c>
      <c r="BQ42" s="155">
        <v>4147</v>
      </c>
      <c r="BR42" s="552">
        <v>4941</v>
      </c>
      <c r="BS42" s="155">
        <v>227</v>
      </c>
      <c r="BT42" s="155">
        <v>13345</v>
      </c>
      <c r="BU42" s="155">
        <v>5197</v>
      </c>
      <c r="BV42" s="155">
        <v>11037</v>
      </c>
      <c r="BW42" s="155">
        <v>6444</v>
      </c>
      <c r="BX42" s="155">
        <v>14650</v>
      </c>
      <c r="BY42" s="155">
        <v>7365</v>
      </c>
      <c r="BZ42" s="155">
        <v>10518</v>
      </c>
      <c r="CA42" s="155">
        <v>5961</v>
      </c>
      <c r="CB42" s="552">
        <v>14360</v>
      </c>
      <c r="CC42" s="155">
        <v>9759</v>
      </c>
      <c r="CD42" s="155">
        <v>2117</v>
      </c>
      <c r="CE42" s="155">
        <v>5526</v>
      </c>
      <c r="CF42" s="155">
        <v>1042</v>
      </c>
      <c r="CG42" s="155">
        <v>20097</v>
      </c>
      <c r="CH42" s="155">
        <v>36019</v>
      </c>
      <c r="CI42" s="155">
        <v>10311</v>
      </c>
      <c r="CJ42" s="155">
        <v>72965</v>
      </c>
      <c r="CK42" s="156">
        <v>15397</v>
      </c>
      <c r="CL42" s="320">
        <v>408100</v>
      </c>
    </row>
    <row r="43" spans="1:90">
      <c r="A43" s="477">
        <f>ROWS($A$3:A41)</f>
        <v>39</v>
      </c>
      <c r="B43" s="92" t="s">
        <v>14</v>
      </c>
      <c r="C43" s="203"/>
      <c r="D43" s="259" t="s">
        <v>7</v>
      </c>
      <c r="E43" s="447">
        <v>42549</v>
      </c>
      <c r="F43" s="154"/>
      <c r="G43" s="155"/>
      <c r="H43" s="155"/>
      <c r="I43" s="156"/>
      <c r="J43" s="281"/>
      <c r="K43" s="154">
        <f>BF43</f>
        <v>0</v>
      </c>
      <c r="L43" s="155">
        <f>AY43</f>
        <v>0</v>
      </c>
      <c r="M43" s="155">
        <f>BD43</f>
        <v>0</v>
      </c>
      <c r="N43" s="155">
        <f>AW43</f>
        <v>0</v>
      </c>
      <c r="O43" s="155">
        <f>BE43</f>
        <v>0</v>
      </c>
      <c r="P43" s="155">
        <f>'2015'!BA43</f>
        <v>0</v>
      </c>
      <c r="Q43" s="155">
        <f>'2015'!AU43</f>
        <v>0</v>
      </c>
      <c r="R43" s="155">
        <f>AX43</f>
        <v>0</v>
      </c>
      <c r="S43" s="155">
        <f>AV43</f>
        <v>0</v>
      </c>
      <c r="T43" s="155">
        <f>BB43</f>
        <v>0</v>
      </c>
      <c r="U43" s="552">
        <f>BC43</f>
        <v>0</v>
      </c>
      <c r="V43" s="155">
        <f>BJ43</f>
        <v>0</v>
      </c>
      <c r="W43" s="155">
        <f>BR43</f>
        <v>0</v>
      </c>
      <c r="X43" s="155">
        <f>BI43</f>
        <v>0</v>
      </c>
      <c r="Y43" s="155">
        <f>BN43</f>
        <v>0</v>
      </c>
      <c r="Z43" s="155">
        <f>BM43</f>
        <v>0</v>
      </c>
      <c r="AA43" s="155">
        <f>BQ43</f>
        <v>0</v>
      </c>
      <c r="AB43" s="552">
        <f>BP43</f>
        <v>0</v>
      </c>
      <c r="AC43" s="155">
        <f>BX43</f>
        <v>0</v>
      </c>
      <c r="AD43" s="155">
        <f>BU43</f>
        <v>0</v>
      </c>
      <c r="AE43" s="155">
        <f>BS43+BT43</f>
        <v>0</v>
      </c>
      <c r="AF43" s="155">
        <f>CA43</f>
        <v>0</v>
      </c>
      <c r="AG43" s="155">
        <f>BV43</f>
        <v>0</v>
      </c>
      <c r="AH43" s="155">
        <f>BZ43</f>
        <v>0</v>
      </c>
      <c r="AI43" s="155">
        <f>BW43</f>
        <v>0</v>
      </c>
      <c r="AJ43" s="155">
        <f>BY43</f>
        <v>0</v>
      </c>
      <c r="AK43" s="552">
        <f>CB43</f>
        <v>0</v>
      </c>
      <c r="AL43" s="155">
        <f>CE43</f>
        <v>0</v>
      </c>
      <c r="AM43" s="155">
        <f>CH43</f>
        <v>0</v>
      </c>
      <c r="AN43" s="155">
        <f>CJ43</f>
        <v>0</v>
      </c>
      <c r="AO43" s="155">
        <f>CC43</f>
        <v>0</v>
      </c>
      <c r="AP43" s="155">
        <f>CD43</f>
        <v>0</v>
      </c>
      <c r="AQ43" s="155">
        <f>CK43</f>
        <v>0</v>
      </c>
      <c r="AR43" s="155">
        <f>CI43</f>
        <v>0</v>
      </c>
      <c r="AS43" s="156">
        <f>CF43+CG43</f>
        <v>0</v>
      </c>
      <c r="AT43" s="155"/>
      <c r="AU43" s="155"/>
      <c r="AV43" s="155"/>
      <c r="AW43" s="155"/>
      <c r="AX43" s="155"/>
      <c r="AY43" s="155"/>
      <c r="AZ43" s="155"/>
      <c r="BA43" s="155"/>
      <c r="BB43" s="155"/>
      <c r="BC43" s="155"/>
      <c r="BD43" s="155"/>
      <c r="BE43" s="155"/>
      <c r="BF43" s="552"/>
      <c r="BG43" s="155"/>
      <c r="BH43" s="155"/>
      <c r="BI43" s="155"/>
      <c r="BJ43" s="155"/>
      <c r="BK43" s="155"/>
      <c r="BL43" s="155"/>
      <c r="BM43" s="155"/>
      <c r="BN43" s="155"/>
      <c r="BO43" s="155"/>
      <c r="BP43" s="155"/>
      <c r="BQ43" s="155"/>
      <c r="BR43" s="552"/>
      <c r="BS43" s="155"/>
      <c r="BT43" s="155"/>
      <c r="BU43" s="155"/>
      <c r="BV43" s="155"/>
      <c r="BW43" s="155"/>
      <c r="BX43" s="155"/>
      <c r="BY43" s="155"/>
      <c r="BZ43" s="155"/>
      <c r="CA43" s="155"/>
      <c r="CB43" s="552"/>
      <c r="CC43" s="155"/>
      <c r="CD43" s="155"/>
      <c r="CE43" s="155"/>
      <c r="CF43" s="155"/>
      <c r="CG43" s="155"/>
      <c r="CH43" s="155"/>
      <c r="CI43" s="155"/>
      <c r="CJ43" s="155"/>
      <c r="CK43" s="156"/>
      <c r="CL43" s="320"/>
    </row>
    <row r="44" spans="1:90">
      <c r="A44" s="477">
        <f>ROWS($A$3:A42)</f>
        <v>40</v>
      </c>
      <c r="B44" s="54" t="s">
        <v>20</v>
      </c>
      <c r="C44" s="252"/>
      <c r="D44" s="259" t="s">
        <v>241</v>
      </c>
      <c r="E44" s="447">
        <v>42549</v>
      </c>
      <c r="F44" s="530">
        <f>IF(ISERROR(F43/F123)=TRUE,"*",F43/F123)</f>
        <v>0</v>
      </c>
      <c r="G44" s="531">
        <f t="shared" ref="G44:BR44" si="95">IF(ISERROR(G43/G123)=TRUE,"*",G43/G123)</f>
        <v>0</v>
      </c>
      <c r="H44" s="531">
        <f t="shared" si="95"/>
        <v>0</v>
      </c>
      <c r="I44" s="532">
        <f t="shared" si="95"/>
        <v>0</v>
      </c>
      <c r="J44" s="281"/>
      <c r="K44" s="154">
        <f t="shared" si="95"/>
        <v>0</v>
      </c>
      <c r="L44" s="155">
        <f t="shared" si="95"/>
        <v>0</v>
      </c>
      <c r="M44" s="155">
        <f t="shared" si="95"/>
        <v>0</v>
      </c>
      <c r="N44" s="155">
        <f t="shared" si="95"/>
        <v>0</v>
      </c>
      <c r="O44" s="155">
        <f t="shared" si="95"/>
        <v>0</v>
      </c>
      <c r="P44" s="531">
        <f t="shared" si="95"/>
        <v>0</v>
      </c>
      <c r="Q44" s="155">
        <f t="shared" si="95"/>
        <v>0</v>
      </c>
      <c r="R44" s="531">
        <f t="shared" si="95"/>
        <v>0</v>
      </c>
      <c r="S44" s="155">
        <f t="shared" si="95"/>
        <v>0</v>
      </c>
      <c r="T44" s="155">
        <f t="shared" si="95"/>
        <v>0</v>
      </c>
      <c r="U44" s="552">
        <f t="shared" si="95"/>
        <v>0</v>
      </c>
      <c r="V44" s="531">
        <f t="shared" si="95"/>
        <v>0</v>
      </c>
      <c r="W44" s="155">
        <f t="shared" si="95"/>
        <v>0</v>
      </c>
      <c r="X44" s="531">
        <f t="shared" si="95"/>
        <v>0</v>
      </c>
      <c r="Y44" s="531">
        <f t="shared" si="95"/>
        <v>0</v>
      </c>
      <c r="Z44" s="155">
        <f t="shared" si="95"/>
        <v>0</v>
      </c>
      <c r="AA44" s="531">
        <f t="shared" si="95"/>
        <v>0</v>
      </c>
      <c r="AB44" s="552">
        <f t="shared" si="95"/>
        <v>0</v>
      </c>
      <c r="AC44" s="155">
        <f t="shared" si="95"/>
        <v>0</v>
      </c>
      <c r="AD44" s="155">
        <f t="shared" si="95"/>
        <v>0</v>
      </c>
      <c r="AE44" s="531">
        <f t="shared" si="95"/>
        <v>0</v>
      </c>
      <c r="AF44" s="155">
        <f t="shared" si="95"/>
        <v>0</v>
      </c>
      <c r="AG44" s="155">
        <f t="shared" si="95"/>
        <v>0</v>
      </c>
      <c r="AH44" s="155">
        <f t="shared" si="95"/>
        <v>0</v>
      </c>
      <c r="AI44" s="155">
        <f t="shared" si="95"/>
        <v>0</v>
      </c>
      <c r="AJ44" s="155">
        <f t="shared" si="95"/>
        <v>0</v>
      </c>
      <c r="AK44" s="552">
        <f t="shared" si="95"/>
        <v>0</v>
      </c>
      <c r="AL44" s="155">
        <f t="shared" si="95"/>
        <v>0</v>
      </c>
      <c r="AM44" s="155">
        <f t="shared" si="95"/>
        <v>0</v>
      </c>
      <c r="AN44" s="155">
        <f t="shared" si="95"/>
        <v>0</v>
      </c>
      <c r="AO44" s="155">
        <f t="shared" si="95"/>
        <v>0</v>
      </c>
      <c r="AP44" s="155">
        <f t="shared" si="95"/>
        <v>0</v>
      </c>
      <c r="AQ44" s="155">
        <f t="shared" si="95"/>
        <v>0</v>
      </c>
      <c r="AR44" s="155">
        <f t="shared" si="95"/>
        <v>0</v>
      </c>
      <c r="AS44" s="532">
        <f t="shared" si="95"/>
        <v>0</v>
      </c>
      <c r="AT44" s="155">
        <f t="shared" si="95"/>
        <v>0</v>
      </c>
      <c r="AU44" s="155">
        <f t="shared" si="95"/>
        <v>0</v>
      </c>
      <c r="AV44" s="155">
        <f t="shared" si="95"/>
        <v>0</v>
      </c>
      <c r="AW44" s="155">
        <f t="shared" si="95"/>
        <v>0</v>
      </c>
      <c r="AX44" s="155">
        <f t="shared" si="95"/>
        <v>0</v>
      </c>
      <c r="AY44" s="155">
        <f t="shared" si="95"/>
        <v>0</v>
      </c>
      <c r="AZ44" s="155">
        <f t="shared" si="95"/>
        <v>0</v>
      </c>
      <c r="BA44" s="155">
        <f t="shared" si="95"/>
        <v>0</v>
      </c>
      <c r="BB44" s="155">
        <f t="shared" si="95"/>
        <v>0</v>
      </c>
      <c r="BC44" s="155">
        <f t="shared" si="95"/>
        <v>0</v>
      </c>
      <c r="BD44" s="155">
        <f t="shared" si="95"/>
        <v>0</v>
      </c>
      <c r="BE44" s="155">
        <f t="shared" si="95"/>
        <v>0</v>
      </c>
      <c r="BF44" s="552">
        <f t="shared" si="95"/>
        <v>0</v>
      </c>
      <c r="BG44" s="155">
        <f t="shared" si="95"/>
        <v>0</v>
      </c>
      <c r="BH44" s="155">
        <f t="shared" si="95"/>
        <v>0</v>
      </c>
      <c r="BI44" s="155">
        <f t="shared" si="95"/>
        <v>0</v>
      </c>
      <c r="BJ44" s="155">
        <f t="shared" si="95"/>
        <v>0</v>
      </c>
      <c r="BK44" s="155">
        <f t="shared" si="95"/>
        <v>0</v>
      </c>
      <c r="BL44" s="155">
        <f t="shared" si="95"/>
        <v>0</v>
      </c>
      <c r="BM44" s="155">
        <f t="shared" si="95"/>
        <v>0</v>
      </c>
      <c r="BN44" s="155">
        <f t="shared" si="95"/>
        <v>0</v>
      </c>
      <c r="BO44" s="155">
        <f t="shared" si="95"/>
        <v>0</v>
      </c>
      <c r="BP44" s="155">
        <f t="shared" si="95"/>
        <v>0</v>
      </c>
      <c r="BQ44" s="155">
        <f t="shared" si="95"/>
        <v>0</v>
      </c>
      <c r="BR44" s="552">
        <f t="shared" si="95"/>
        <v>0</v>
      </c>
      <c r="BS44" s="155">
        <f t="shared" ref="BS44:CL44" si="96">IF(ISERROR(BS43/BS123)=TRUE,"*",BS43/BS123)</f>
        <v>0</v>
      </c>
      <c r="BT44" s="155">
        <f t="shared" si="96"/>
        <v>0</v>
      </c>
      <c r="BU44" s="155">
        <f t="shared" si="96"/>
        <v>0</v>
      </c>
      <c r="BV44" s="155">
        <f t="shared" si="96"/>
        <v>0</v>
      </c>
      <c r="BW44" s="155">
        <f t="shared" si="96"/>
        <v>0</v>
      </c>
      <c r="BX44" s="155">
        <f t="shared" si="96"/>
        <v>0</v>
      </c>
      <c r="BY44" s="155">
        <f t="shared" si="96"/>
        <v>0</v>
      </c>
      <c r="BZ44" s="155">
        <f t="shared" si="96"/>
        <v>0</v>
      </c>
      <c r="CA44" s="155">
        <f t="shared" si="96"/>
        <v>0</v>
      </c>
      <c r="CB44" s="552">
        <f t="shared" si="96"/>
        <v>0</v>
      </c>
      <c r="CC44" s="155">
        <f t="shared" si="96"/>
        <v>0</v>
      </c>
      <c r="CD44" s="155">
        <f t="shared" si="96"/>
        <v>0</v>
      </c>
      <c r="CE44" s="155">
        <f t="shared" si="96"/>
        <v>0</v>
      </c>
      <c r="CF44" s="155">
        <f t="shared" si="96"/>
        <v>0</v>
      </c>
      <c r="CG44" s="155">
        <f t="shared" si="96"/>
        <v>0</v>
      </c>
      <c r="CH44" s="155">
        <f t="shared" si="96"/>
        <v>0</v>
      </c>
      <c r="CI44" s="155">
        <f t="shared" si="96"/>
        <v>0</v>
      </c>
      <c r="CJ44" s="155">
        <f t="shared" si="96"/>
        <v>0</v>
      </c>
      <c r="CK44" s="156">
        <f t="shared" si="96"/>
        <v>0</v>
      </c>
      <c r="CL44" s="320">
        <f t="shared" si="96"/>
        <v>0</v>
      </c>
    </row>
    <row r="45" spans="1:90">
      <c r="A45" s="477">
        <f>ROWS($A$3:A43)</f>
        <v>41</v>
      </c>
      <c r="B45" s="92" t="s">
        <v>74</v>
      </c>
      <c r="C45" s="393">
        <v>2010</v>
      </c>
      <c r="D45" s="259" t="s">
        <v>7</v>
      </c>
      <c r="E45" s="447">
        <v>40652</v>
      </c>
      <c r="F45" s="154">
        <v>1148077</v>
      </c>
      <c r="G45" s="155">
        <v>109564</v>
      </c>
      <c r="H45" s="155">
        <v>151726</v>
      </c>
      <c r="I45" s="156">
        <v>723432</v>
      </c>
      <c r="J45" s="281"/>
      <c r="K45" s="154">
        <f t="shared" si="71"/>
        <v>143135</v>
      </c>
      <c r="L45" s="155">
        <f t="shared" si="72"/>
        <v>16426</v>
      </c>
      <c r="M45" s="155">
        <f t="shared" si="73"/>
        <v>150540</v>
      </c>
      <c r="N45" s="155">
        <f t="shared" si="74"/>
        <v>25725</v>
      </c>
      <c r="O45" s="155">
        <f t="shared" si="75"/>
        <v>49736</v>
      </c>
      <c r="P45" s="806">
        <f>IF(ISERROR(AZ45+BA45),BA45,AZ45+BA45)</f>
        <v>35071</v>
      </c>
      <c r="Q45" s="155">
        <f>'2015'!AU45</f>
        <v>21372</v>
      </c>
      <c r="R45" s="806">
        <f>IF(ISERROR(AT45+AX45),AX45,AT45+AX45)</f>
        <v>42652</v>
      </c>
      <c r="S45" s="155">
        <f t="shared" si="76"/>
        <v>7266</v>
      </c>
      <c r="T45" s="155">
        <f t="shared" si="77"/>
        <v>180470</v>
      </c>
      <c r="U45" s="552">
        <f t="shared" si="77"/>
        <v>475187</v>
      </c>
      <c r="V45" s="806">
        <f>IF(ISERROR(BG45+BJ45),BJ45,(BG45+BJ45))</f>
        <v>7039</v>
      </c>
      <c r="W45" s="155">
        <f t="shared" si="78"/>
        <v>14067</v>
      </c>
      <c r="X45" s="806">
        <f>IF(ISERROR(BH45+BI45),BI45,(BH45+BI45))</f>
        <v>7841</v>
      </c>
      <c r="Y45" s="806">
        <f>IF(ISERROR(BK45+BL45+BN45),BK45+BN45,(BK45+BL45+BN45))</f>
        <v>28028</v>
      </c>
      <c r="Z45" s="155">
        <f t="shared" si="79"/>
        <v>37706</v>
      </c>
      <c r="AA45" s="806">
        <f>IF(ISERROR(BO45+BQ45),BQ45,(BO45+BQ45))</f>
        <v>7823</v>
      </c>
      <c r="AB45" s="552">
        <f t="shared" si="80"/>
        <v>6980</v>
      </c>
      <c r="AC45" s="155">
        <f t="shared" si="81"/>
        <v>22148</v>
      </c>
      <c r="AD45" s="155">
        <f t="shared" si="82"/>
        <v>5024</v>
      </c>
      <c r="AE45" s="806">
        <f>IF(ISERROR(BS45+BT45),BT45,(BS45+BT45))</f>
        <v>8955</v>
      </c>
      <c r="AF45" s="155">
        <f t="shared" si="83"/>
        <v>3562</v>
      </c>
      <c r="AG45" s="155">
        <f t="shared" si="84"/>
        <v>30888</v>
      </c>
      <c r="AH45" s="155">
        <f t="shared" si="85"/>
        <v>18417</v>
      </c>
      <c r="AI45" s="155">
        <f t="shared" si="86"/>
        <v>38725</v>
      </c>
      <c r="AJ45" s="155">
        <f t="shared" si="87"/>
        <v>10936</v>
      </c>
      <c r="AK45" s="552">
        <f t="shared" si="88"/>
        <v>13071</v>
      </c>
      <c r="AL45" s="155">
        <f t="shared" si="89"/>
        <v>9721</v>
      </c>
      <c r="AM45" s="155">
        <f t="shared" si="90"/>
        <v>173896</v>
      </c>
      <c r="AN45" s="155">
        <f t="shared" si="91"/>
        <v>56880</v>
      </c>
      <c r="AO45" s="155">
        <f t="shared" si="92"/>
        <v>30040</v>
      </c>
      <c r="AP45" s="155">
        <f t="shared" si="92"/>
        <v>17102</v>
      </c>
      <c r="AQ45" s="155">
        <f t="shared" si="93"/>
        <v>107463</v>
      </c>
      <c r="AR45" s="155">
        <f t="shared" si="94"/>
        <v>20295</v>
      </c>
      <c r="AS45" s="156">
        <f>CF45+CG45</f>
        <v>308035</v>
      </c>
      <c r="AT45" s="155">
        <v>0</v>
      </c>
      <c r="AU45" s="155">
        <v>21372</v>
      </c>
      <c r="AV45" s="155">
        <v>7266</v>
      </c>
      <c r="AW45" s="155">
        <v>25725</v>
      </c>
      <c r="AX45" s="155">
        <v>42652</v>
      </c>
      <c r="AY45" s="155">
        <v>16426</v>
      </c>
      <c r="AZ45" s="155">
        <v>0</v>
      </c>
      <c r="BA45" s="155">
        <v>35071</v>
      </c>
      <c r="BB45" s="155">
        <v>180470</v>
      </c>
      <c r="BC45" s="155">
        <v>475187</v>
      </c>
      <c r="BD45" s="155">
        <v>150540</v>
      </c>
      <c r="BE45" s="155">
        <v>49736</v>
      </c>
      <c r="BF45" s="552">
        <v>143135</v>
      </c>
      <c r="BG45" s="155">
        <v>0</v>
      </c>
      <c r="BH45" s="155">
        <v>1211</v>
      </c>
      <c r="BI45" s="155">
        <v>6630</v>
      </c>
      <c r="BJ45" s="155">
        <v>7039</v>
      </c>
      <c r="BK45" s="155">
        <v>765</v>
      </c>
      <c r="BL45" s="155" t="s">
        <v>233</v>
      </c>
      <c r="BM45" s="155">
        <v>37706</v>
      </c>
      <c r="BN45" s="155">
        <v>27263</v>
      </c>
      <c r="BO45" s="155">
        <v>95</v>
      </c>
      <c r="BP45" s="155">
        <v>6980</v>
      </c>
      <c r="BQ45" s="155">
        <v>7728</v>
      </c>
      <c r="BR45" s="552">
        <v>14067</v>
      </c>
      <c r="BS45" s="155">
        <v>400</v>
      </c>
      <c r="BT45" s="155">
        <v>8555</v>
      </c>
      <c r="BU45" s="155">
        <v>5024</v>
      </c>
      <c r="BV45" s="155">
        <v>30888</v>
      </c>
      <c r="BW45" s="155">
        <v>38725</v>
      </c>
      <c r="BX45" s="155">
        <v>22148</v>
      </c>
      <c r="BY45" s="155">
        <v>10936</v>
      </c>
      <c r="BZ45" s="155">
        <v>18417</v>
      </c>
      <c r="CA45" s="155">
        <v>3562</v>
      </c>
      <c r="CB45" s="552">
        <v>13071</v>
      </c>
      <c r="CC45" s="155">
        <v>30040</v>
      </c>
      <c r="CD45" s="155">
        <v>17102</v>
      </c>
      <c r="CE45" s="155">
        <v>9721</v>
      </c>
      <c r="CF45" s="155">
        <v>19867</v>
      </c>
      <c r="CG45" s="155">
        <v>288168</v>
      </c>
      <c r="CH45" s="155">
        <v>173896</v>
      </c>
      <c r="CI45" s="155">
        <v>20295</v>
      </c>
      <c r="CJ45" s="155">
        <v>56880</v>
      </c>
      <c r="CK45" s="156">
        <v>107463</v>
      </c>
      <c r="CL45" s="320">
        <v>2132799</v>
      </c>
    </row>
    <row r="46" spans="1:90">
      <c r="A46" s="477">
        <f>ROWS($A$3:A44)</f>
        <v>42</v>
      </c>
      <c r="B46" s="92" t="s">
        <v>8</v>
      </c>
      <c r="C46" s="203"/>
      <c r="D46" s="259" t="s">
        <v>7</v>
      </c>
      <c r="E46" s="447">
        <v>40652</v>
      </c>
      <c r="F46" s="154">
        <v>138422</v>
      </c>
      <c r="G46" s="155">
        <v>8774</v>
      </c>
      <c r="H46" s="155">
        <v>13335</v>
      </c>
      <c r="I46" s="156">
        <v>71363</v>
      </c>
      <c r="J46" s="281"/>
      <c r="K46" s="154">
        <f t="shared" si="71"/>
        <v>19542</v>
      </c>
      <c r="L46" s="155" t="str">
        <f t="shared" si="72"/>
        <v>*</v>
      </c>
      <c r="M46" s="155">
        <f t="shared" si="73"/>
        <v>19664</v>
      </c>
      <c r="N46" s="155">
        <f t="shared" si="74"/>
        <v>1477</v>
      </c>
      <c r="O46" s="155">
        <f t="shared" si="75"/>
        <v>4383</v>
      </c>
      <c r="P46" s="806">
        <f>IF(ISERROR(AZ46+BA46),BA46,AZ46+BA46)</f>
        <v>3335</v>
      </c>
      <c r="Q46" s="155">
        <f>'2015'!AU46</f>
        <v>2233</v>
      </c>
      <c r="R46" s="806">
        <f>IF(ISERROR(AT46+AX46),AX46,AT46+AX46)</f>
        <v>2945</v>
      </c>
      <c r="S46" s="155" t="str">
        <f t="shared" si="76"/>
        <v>*</v>
      </c>
      <c r="T46" s="155">
        <f t="shared" si="77"/>
        <v>24236</v>
      </c>
      <c r="U46" s="552">
        <f t="shared" si="77"/>
        <v>58271</v>
      </c>
      <c r="V46" s="806">
        <f>IF(ISERROR(BG46+BJ46),BJ46,(BG46+BJ46))</f>
        <v>532</v>
      </c>
      <c r="W46" s="155">
        <f t="shared" si="78"/>
        <v>1444</v>
      </c>
      <c r="X46" s="806">
        <f>IF(ISERROR(BH46+BI46),BI46,(BH46+BI46))</f>
        <v>180</v>
      </c>
      <c r="Y46" s="806">
        <f>IF(ISERROR(BK46+BL46+BN46),BN46,(BK46+BL46+BN46))</f>
        <v>1863</v>
      </c>
      <c r="Z46" s="155">
        <f t="shared" si="79"/>
        <v>2878</v>
      </c>
      <c r="AA46" s="806" t="str">
        <f>IF(ISERROR(BO46+BQ46),BQ46,(BO46+BQ46))</f>
        <v>*</v>
      </c>
      <c r="AB46" s="552">
        <f t="shared" si="80"/>
        <v>466</v>
      </c>
      <c r="AC46" s="155">
        <f t="shared" si="81"/>
        <v>1634</v>
      </c>
      <c r="AD46" s="155">
        <f t="shared" si="82"/>
        <v>471</v>
      </c>
      <c r="AE46" s="806">
        <f>IF(ISERROR(BS46+BT46),BT46,(BS46+BT46))</f>
        <v>692</v>
      </c>
      <c r="AF46" s="155">
        <f t="shared" si="83"/>
        <v>190</v>
      </c>
      <c r="AG46" s="155">
        <f t="shared" si="84"/>
        <v>3655</v>
      </c>
      <c r="AH46" s="155">
        <f t="shared" si="85"/>
        <v>1386</v>
      </c>
      <c r="AI46" s="155">
        <f t="shared" si="86"/>
        <v>2660</v>
      </c>
      <c r="AJ46" s="155">
        <f t="shared" si="87"/>
        <v>1032</v>
      </c>
      <c r="AK46" s="552">
        <f t="shared" si="88"/>
        <v>1615</v>
      </c>
      <c r="AL46" s="155">
        <f t="shared" si="89"/>
        <v>778</v>
      </c>
      <c r="AM46" s="155">
        <f t="shared" si="90"/>
        <v>17329</v>
      </c>
      <c r="AN46" s="155">
        <f t="shared" si="91"/>
        <v>6991</v>
      </c>
      <c r="AO46" s="155">
        <f t="shared" si="92"/>
        <v>3831</v>
      </c>
      <c r="AP46" s="155">
        <f t="shared" si="92"/>
        <v>941</v>
      </c>
      <c r="AQ46" s="155">
        <f t="shared" si="93"/>
        <v>10639</v>
      </c>
      <c r="AR46" s="155">
        <f t="shared" si="94"/>
        <v>1591</v>
      </c>
      <c r="AS46" s="156">
        <f>CF46+CG46</f>
        <v>29263</v>
      </c>
      <c r="AT46" s="155">
        <v>0</v>
      </c>
      <c r="AU46" s="155">
        <v>2233</v>
      </c>
      <c r="AV46" s="155" t="s">
        <v>233</v>
      </c>
      <c r="AW46" s="155">
        <v>1477</v>
      </c>
      <c r="AX46" s="155">
        <v>2945</v>
      </c>
      <c r="AY46" s="155" t="s">
        <v>233</v>
      </c>
      <c r="AZ46" s="155">
        <v>0</v>
      </c>
      <c r="BA46" s="155">
        <v>3335</v>
      </c>
      <c r="BB46" s="155">
        <v>24236</v>
      </c>
      <c r="BC46" s="155">
        <v>58271</v>
      </c>
      <c r="BD46" s="155">
        <v>19664</v>
      </c>
      <c r="BE46" s="155">
        <v>4383</v>
      </c>
      <c r="BF46" s="552">
        <v>19542</v>
      </c>
      <c r="BG46" s="155" t="s">
        <v>233</v>
      </c>
      <c r="BH46" s="155" t="s">
        <v>233</v>
      </c>
      <c r="BI46" s="155">
        <v>180</v>
      </c>
      <c r="BJ46" s="155">
        <v>532</v>
      </c>
      <c r="BK46" s="155" t="s">
        <v>233</v>
      </c>
      <c r="BL46" s="155">
        <v>0</v>
      </c>
      <c r="BM46" s="155">
        <v>2878</v>
      </c>
      <c r="BN46" s="155">
        <v>1863</v>
      </c>
      <c r="BO46" s="155" t="s">
        <v>233</v>
      </c>
      <c r="BP46" s="155">
        <v>466</v>
      </c>
      <c r="BQ46" s="155" t="s">
        <v>233</v>
      </c>
      <c r="BR46" s="552">
        <v>1444</v>
      </c>
      <c r="BS46" s="155">
        <v>83</v>
      </c>
      <c r="BT46" s="155">
        <v>609</v>
      </c>
      <c r="BU46" s="155">
        <v>471</v>
      </c>
      <c r="BV46" s="155">
        <v>3655</v>
      </c>
      <c r="BW46" s="155">
        <v>2660</v>
      </c>
      <c r="BX46" s="155">
        <v>1634</v>
      </c>
      <c r="BY46" s="155">
        <v>1032</v>
      </c>
      <c r="BZ46" s="155">
        <v>1386</v>
      </c>
      <c r="CA46" s="155">
        <v>190</v>
      </c>
      <c r="CB46" s="552">
        <v>1615</v>
      </c>
      <c r="CC46" s="155">
        <v>3831</v>
      </c>
      <c r="CD46" s="155">
        <v>941</v>
      </c>
      <c r="CE46" s="155">
        <v>778</v>
      </c>
      <c r="CF46" s="155">
        <v>1439</v>
      </c>
      <c r="CG46" s="155">
        <v>27824</v>
      </c>
      <c r="CH46" s="155">
        <v>17329</v>
      </c>
      <c r="CI46" s="155">
        <v>1591</v>
      </c>
      <c r="CJ46" s="155">
        <v>6991</v>
      </c>
      <c r="CK46" s="156">
        <v>10639</v>
      </c>
      <c r="CL46" s="320">
        <v>231894</v>
      </c>
    </row>
    <row r="47" spans="1:90">
      <c r="A47" s="477">
        <f>ROWS($A$3:A45)</f>
        <v>43</v>
      </c>
      <c r="B47" s="54" t="s">
        <v>19</v>
      </c>
      <c r="C47" s="252"/>
      <c r="D47" s="259" t="s">
        <v>241</v>
      </c>
      <c r="E47" s="447">
        <v>40652</v>
      </c>
      <c r="F47" s="154">
        <f>F125/F124</f>
        <v>174.11972065181243</v>
      </c>
      <c r="G47" s="155">
        <f>G125/G124</f>
        <v>101.33630952380952</v>
      </c>
      <c r="H47" s="155">
        <f>H125/H124</f>
        <v>48.009674134419555</v>
      </c>
      <c r="I47" s="156">
        <f>I125/I124</f>
        <v>168.79459002535927</v>
      </c>
      <c r="J47" s="281"/>
      <c r="K47" s="154">
        <f t="shared" si="71"/>
        <v>112.86274509803921</v>
      </c>
      <c r="L47" s="155">
        <f t="shared" si="72"/>
        <v>73.268656716417908</v>
      </c>
      <c r="M47" s="155">
        <f t="shared" si="73"/>
        <v>139.1906976744186</v>
      </c>
      <c r="N47" s="155">
        <f t="shared" si="74"/>
        <v>127.40163934426229</v>
      </c>
      <c r="O47" s="155">
        <f t="shared" si="75"/>
        <v>186.52071005917159</v>
      </c>
      <c r="P47" s="806">
        <f>IF(ISERROR((BA45*BA47+AZ45*AZ47)/P45),BA47,(BA45*BA47+AZ45*AZ47)/P45)</f>
        <v>177.03007518796991</v>
      </c>
      <c r="Q47" s="155">
        <f>'2015'!AU47</f>
        <v>143.6</v>
      </c>
      <c r="R47" s="806">
        <f>IF(ISERROR((AT47*AT45+AX45*AX47)/R45),AX47,(AT47*AT45+AX45*AX47)/R45)</f>
        <v>215.48872180451127</v>
      </c>
      <c r="S47" s="155">
        <f t="shared" si="76"/>
        <v>65.145161290322577</v>
      </c>
      <c r="T47" s="155">
        <f t="shared" si="77"/>
        <v>216.87465181058496</v>
      </c>
      <c r="U47" s="552">
        <f t="shared" si="77"/>
        <v>227.08178844056707</v>
      </c>
      <c r="V47" s="806">
        <f>IF(ISERROR((BG47*BG45+BJ45*BJ47)/V45),BJ47,(BG47*BG45+BJ45*BJ47)/V45)</f>
        <v>90.093023255813947</v>
      </c>
      <c r="W47" s="155">
        <f t="shared" si="78"/>
        <v>69.509433962264154</v>
      </c>
      <c r="X47" s="806">
        <f>IF(ISERROR((BH45*BH47+BI45*BI47)/X45),BI47,(BH45*BH47+BI45*BI47)/X45)</f>
        <v>92.466251115929097</v>
      </c>
      <c r="Y47" s="806">
        <f>(BK47*BK45+BN47*BN45)/Y45</f>
        <v>129.75415071941046</v>
      </c>
      <c r="Z47" s="155">
        <f t="shared" si="79"/>
        <v>147.13186813186815</v>
      </c>
      <c r="AA47" s="806">
        <f>IF(ISERROR((BO47*BO45+BQ47*BQ45)/AA45),BQ47,(BO47*BO45+BQ47*BQ45)/AA45)</f>
        <v>85.91379310344827</v>
      </c>
      <c r="AB47" s="552">
        <f t="shared" si="80"/>
        <v>44.670329670329672</v>
      </c>
      <c r="AC47" s="155">
        <f t="shared" si="81"/>
        <v>55.530364372469634</v>
      </c>
      <c r="AD47" s="155">
        <f t="shared" si="82"/>
        <v>22.611111111111111</v>
      </c>
      <c r="AE47" s="806">
        <f>IF(ISERROR((BS45*BS47+BT45*BT47)/AE45),BT47,(BS45*BS47+BT45*BT47)/AE45)</f>
        <v>21.937068584681651</v>
      </c>
      <c r="AF47" s="155">
        <f t="shared" si="83"/>
        <v>28.010416666666668</v>
      </c>
      <c r="AG47" s="155">
        <f t="shared" si="84"/>
        <v>31.215291750503017</v>
      </c>
      <c r="AH47" s="155">
        <f t="shared" si="85"/>
        <v>101.36134453781513</v>
      </c>
      <c r="AI47" s="155">
        <f t="shared" si="86"/>
        <v>116.59641255605381</v>
      </c>
      <c r="AJ47" s="155">
        <f t="shared" si="87"/>
        <v>69.136842105263156</v>
      </c>
      <c r="AK47" s="552">
        <f t="shared" si="88"/>
        <v>33.845794392523366</v>
      </c>
      <c r="AL47" s="155">
        <f t="shared" si="89"/>
        <v>74.096385542168676</v>
      </c>
      <c r="AM47" s="155">
        <f t="shared" si="90"/>
        <v>197.72</v>
      </c>
      <c r="AN47" s="155">
        <f t="shared" si="91"/>
        <v>117.89873417721519</v>
      </c>
      <c r="AO47" s="155">
        <f t="shared" si="92"/>
        <v>68.572727272727278</v>
      </c>
      <c r="AP47" s="155">
        <f t="shared" si="92"/>
        <v>154.06153846153848</v>
      </c>
      <c r="AQ47" s="155">
        <f t="shared" si="93"/>
        <v>150.2755905511811</v>
      </c>
      <c r="AR47" s="155">
        <f t="shared" si="94"/>
        <v>113.36974789915966</v>
      </c>
      <c r="AS47" s="532">
        <f>(CF45*CF47+CG45*CG47)/AS45</f>
        <v>229.46243470402328</v>
      </c>
      <c r="AT47" s="155" t="s">
        <v>58</v>
      </c>
      <c r="AU47" s="155">
        <f t="shared" ref="AU47:CJ47" si="97">AU125/AU124</f>
        <v>143.6</v>
      </c>
      <c r="AV47" s="155">
        <f t="shared" si="97"/>
        <v>65.145161290322577</v>
      </c>
      <c r="AW47" s="155">
        <f t="shared" si="97"/>
        <v>127.40163934426229</v>
      </c>
      <c r="AX47" s="155">
        <f t="shared" si="97"/>
        <v>215.48872180451127</v>
      </c>
      <c r="AY47" s="155">
        <f t="shared" si="97"/>
        <v>73.268656716417908</v>
      </c>
      <c r="AZ47" s="155" t="s">
        <v>58</v>
      </c>
      <c r="BA47" s="155">
        <f t="shared" si="97"/>
        <v>177.03007518796991</v>
      </c>
      <c r="BB47" s="155">
        <f t="shared" si="97"/>
        <v>216.87465181058496</v>
      </c>
      <c r="BC47" s="155">
        <f t="shared" si="97"/>
        <v>227.08178844056707</v>
      </c>
      <c r="BD47" s="155">
        <f t="shared" si="97"/>
        <v>139.1906976744186</v>
      </c>
      <c r="BE47" s="155">
        <f t="shared" si="97"/>
        <v>186.52071005917159</v>
      </c>
      <c r="BF47" s="552">
        <f t="shared" si="97"/>
        <v>112.86274509803921</v>
      </c>
      <c r="BG47" s="155" t="s">
        <v>58</v>
      </c>
      <c r="BH47" s="155">
        <f t="shared" si="97"/>
        <v>99.125</v>
      </c>
      <c r="BI47" s="155">
        <f t="shared" si="97"/>
        <v>91.25</v>
      </c>
      <c r="BJ47" s="155">
        <f t="shared" si="97"/>
        <v>90.093023255813947</v>
      </c>
      <c r="BK47" s="155">
        <f t="shared" si="97"/>
        <v>63</v>
      </c>
      <c r="BL47" s="155" t="s">
        <v>58</v>
      </c>
      <c r="BM47" s="155">
        <f t="shared" si="97"/>
        <v>147.13186813186815</v>
      </c>
      <c r="BN47" s="155">
        <f t="shared" si="97"/>
        <v>131.62727272727273</v>
      </c>
      <c r="BO47" s="155" t="s">
        <v>58</v>
      </c>
      <c r="BP47" s="155">
        <f t="shared" si="97"/>
        <v>44.670329670329672</v>
      </c>
      <c r="BQ47" s="155">
        <f t="shared" si="97"/>
        <v>85.91379310344827</v>
      </c>
      <c r="BR47" s="552">
        <f t="shared" si="97"/>
        <v>69.509433962264154</v>
      </c>
      <c r="BS47" s="155">
        <f t="shared" si="97"/>
        <v>17.153846153846153</v>
      </c>
      <c r="BT47" s="155">
        <f t="shared" si="97"/>
        <v>22.160714285714285</v>
      </c>
      <c r="BU47" s="155">
        <f t="shared" si="97"/>
        <v>22.611111111111111</v>
      </c>
      <c r="BV47" s="155">
        <f t="shared" si="97"/>
        <v>31.215291750503017</v>
      </c>
      <c r="BW47" s="155">
        <f t="shared" si="97"/>
        <v>116.59641255605381</v>
      </c>
      <c r="BX47" s="155">
        <f t="shared" si="97"/>
        <v>55.530364372469634</v>
      </c>
      <c r="BY47" s="155">
        <f t="shared" si="97"/>
        <v>69.136842105263156</v>
      </c>
      <c r="BZ47" s="155">
        <f t="shared" si="97"/>
        <v>101.36134453781513</v>
      </c>
      <c r="CA47" s="155">
        <f t="shared" si="97"/>
        <v>28.010416666666668</v>
      </c>
      <c r="CB47" s="552">
        <f t="shared" si="97"/>
        <v>33.845794392523366</v>
      </c>
      <c r="CC47" s="155">
        <f t="shared" si="97"/>
        <v>68.572727272727278</v>
      </c>
      <c r="CD47" s="155">
        <f t="shared" si="97"/>
        <v>154.06153846153848</v>
      </c>
      <c r="CE47" s="155">
        <f t="shared" si="97"/>
        <v>74.096385542168676</v>
      </c>
      <c r="CF47" s="155">
        <f t="shared" si="97"/>
        <v>428.06666666666666</v>
      </c>
      <c r="CG47" s="155">
        <f t="shared" si="97"/>
        <v>215.7701778385773</v>
      </c>
      <c r="CH47" s="155">
        <f t="shared" si="97"/>
        <v>197.72</v>
      </c>
      <c r="CI47" s="155">
        <f t="shared" si="97"/>
        <v>113.36974789915966</v>
      </c>
      <c r="CJ47" s="155">
        <f t="shared" si="97"/>
        <v>117.89873417721519</v>
      </c>
      <c r="CK47" s="156">
        <f>CK125/CK124</f>
        <v>150.2755905511811</v>
      </c>
      <c r="CL47" s="320">
        <f>CL125/CL124</f>
        <v>135.51442127606444</v>
      </c>
    </row>
    <row r="48" spans="1:90">
      <c r="A48" s="477">
        <f>ROWS($A$3:A46)</f>
        <v>44</v>
      </c>
      <c r="B48" s="196" t="s">
        <v>239</v>
      </c>
      <c r="C48" s="393">
        <v>2010</v>
      </c>
      <c r="D48" s="259" t="s">
        <v>7</v>
      </c>
      <c r="E48" s="447">
        <v>40652</v>
      </c>
      <c r="F48" s="154">
        <v>18657</v>
      </c>
      <c r="G48" s="155">
        <v>11690</v>
      </c>
      <c r="H48" s="155">
        <v>13322</v>
      </c>
      <c r="I48" s="156">
        <v>16072</v>
      </c>
      <c r="J48" s="281"/>
      <c r="K48" s="154">
        <f t="shared" si="71"/>
        <v>3102</v>
      </c>
      <c r="L48" s="155">
        <f t="shared" si="72"/>
        <v>1882</v>
      </c>
      <c r="M48" s="155">
        <f t="shared" si="73"/>
        <v>817</v>
      </c>
      <c r="N48" s="155">
        <f t="shared" si="74"/>
        <v>1667</v>
      </c>
      <c r="O48" s="155">
        <f t="shared" si="75"/>
        <v>739</v>
      </c>
      <c r="P48" s="155">
        <f>'2015'!AZ48+'2015'!BA48</f>
        <v>1429</v>
      </c>
      <c r="Q48" s="155">
        <f>'2015'!AU48</f>
        <v>2195</v>
      </c>
      <c r="R48" s="155">
        <f>AT48+AX48</f>
        <v>2352</v>
      </c>
      <c r="S48" s="155">
        <f t="shared" si="76"/>
        <v>2310</v>
      </c>
      <c r="T48" s="155">
        <f t="shared" si="77"/>
        <v>715</v>
      </c>
      <c r="U48" s="552">
        <f t="shared" si="77"/>
        <v>1449</v>
      </c>
      <c r="V48" s="155">
        <f>BG48+BJ48</f>
        <v>823</v>
      </c>
      <c r="W48" s="155">
        <f t="shared" si="78"/>
        <v>919</v>
      </c>
      <c r="X48" s="155">
        <f>BH48+BI48</f>
        <v>2585</v>
      </c>
      <c r="Y48" s="155">
        <f>BK48+BL48+BN48</f>
        <v>2816</v>
      </c>
      <c r="Z48" s="155">
        <f t="shared" si="79"/>
        <v>1619</v>
      </c>
      <c r="AA48" s="155">
        <f>BO48+BQ48</f>
        <v>1517</v>
      </c>
      <c r="AB48" s="552">
        <f t="shared" si="80"/>
        <v>1411</v>
      </c>
      <c r="AC48" s="155">
        <f t="shared" si="81"/>
        <v>1145</v>
      </c>
      <c r="AD48" s="155">
        <f t="shared" si="82"/>
        <v>998</v>
      </c>
      <c r="AE48" s="155">
        <f>BS48+BT48</f>
        <v>2422</v>
      </c>
      <c r="AF48" s="155">
        <f t="shared" si="83"/>
        <v>1691</v>
      </c>
      <c r="AG48" s="155">
        <f t="shared" si="84"/>
        <v>1682</v>
      </c>
      <c r="AH48" s="155">
        <f t="shared" si="85"/>
        <v>1607</v>
      </c>
      <c r="AI48" s="155">
        <f t="shared" si="86"/>
        <v>906</v>
      </c>
      <c r="AJ48" s="155">
        <f t="shared" si="87"/>
        <v>688</v>
      </c>
      <c r="AK48" s="552">
        <f t="shared" si="88"/>
        <v>2183</v>
      </c>
      <c r="AL48" s="155">
        <f t="shared" si="89"/>
        <v>1639</v>
      </c>
      <c r="AM48" s="155">
        <f t="shared" si="90"/>
        <v>2054</v>
      </c>
      <c r="AN48" s="155">
        <f t="shared" si="91"/>
        <v>3481</v>
      </c>
      <c r="AO48" s="155">
        <f t="shared" si="92"/>
        <v>2729</v>
      </c>
      <c r="AP48" s="155">
        <f t="shared" si="92"/>
        <v>920</v>
      </c>
      <c r="AQ48" s="155">
        <f t="shared" si="93"/>
        <v>1506</v>
      </c>
      <c r="AR48" s="155">
        <f t="shared" si="94"/>
        <v>1586</v>
      </c>
      <c r="AS48" s="156">
        <f>CF48+CG48</f>
        <v>2157</v>
      </c>
      <c r="AT48" s="155">
        <v>176</v>
      </c>
      <c r="AU48" s="155">
        <v>2195</v>
      </c>
      <c r="AV48" s="155">
        <v>2310</v>
      </c>
      <c r="AW48" s="155">
        <v>1667</v>
      </c>
      <c r="AX48" s="155">
        <v>2176</v>
      </c>
      <c r="AY48" s="155">
        <v>1882</v>
      </c>
      <c r="AZ48" s="155">
        <v>55</v>
      </c>
      <c r="BA48" s="155">
        <v>1374</v>
      </c>
      <c r="BB48" s="155">
        <v>715</v>
      </c>
      <c r="BC48" s="155">
        <v>1449</v>
      </c>
      <c r="BD48" s="155">
        <v>817</v>
      </c>
      <c r="BE48" s="155">
        <v>739</v>
      </c>
      <c r="BF48" s="552">
        <v>3102</v>
      </c>
      <c r="BG48" s="155">
        <v>50</v>
      </c>
      <c r="BH48" s="155">
        <v>168</v>
      </c>
      <c r="BI48" s="155">
        <v>2417</v>
      </c>
      <c r="BJ48" s="155">
        <v>773</v>
      </c>
      <c r="BK48" s="155">
        <v>116</v>
      </c>
      <c r="BL48" s="155">
        <v>469</v>
      </c>
      <c r="BM48" s="155">
        <v>1619</v>
      </c>
      <c r="BN48" s="155">
        <v>2231</v>
      </c>
      <c r="BO48" s="155">
        <v>95</v>
      </c>
      <c r="BP48" s="155">
        <v>1411</v>
      </c>
      <c r="BQ48" s="155">
        <v>1422</v>
      </c>
      <c r="BR48" s="552">
        <v>919</v>
      </c>
      <c r="BS48" s="155">
        <v>249</v>
      </c>
      <c r="BT48" s="155">
        <v>2173</v>
      </c>
      <c r="BU48" s="155">
        <v>998</v>
      </c>
      <c r="BV48" s="155">
        <v>1682</v>
      </c>
      <c r="BW48" s="155">
        <v>906</v>
      </c>
      <c r="BX48" s="155">
        <v>1145</v>
      </c>
      <c r="BY48" s="155">
        <v>688</v>
      </c>
      <c r="BZ48" s="155">
        <v>1607</v>
      </c>
      <c r="CA48" s="155">
        <v>1691</v>
      </c>
      <c r="CB48" s="552">
        <v>2183</v>
      </c>
      <c r="CC48" s="155">
        <v>2729</v>
      </c>
      <c r="CD48" s="155">
        <v>920</v>
      </c>
      <c r="CE48" s="155">
        <v>1639</v>
      </c>
      <c r="CF48" s="155">
        <v>220</v>
      </c>
      <c r="CG48" s="155">
        <v>1937</v>
      </c>
      <c r="CH48" s="155">
        <v>2054</v>
      </c>
      <c r="CI48" s="155">
        <v>1586</v>
      </c>
      <c r="CJ48" s="155">
        <v>3481</v>
      </c>
      <c r="CK48" s="156">
        <v>1506</v>
      </c>
      <c r="CL48" s="320">
        <v>59741</v>
      </c>
    </row>
    <row r="49" spans="1:90">
      <c r="A49" s="477">
        <f>ROWS($A$3:A47)</f>
        <v>45</v>
      </c>
      <c r="B49" s="92" t="s">
        <v>75</v>
      </c>
      <c r="C49" s="393">
        <v>2010</v>
      </c>
      <c r="D49" s="259" t="s">
        <v>7</v>
      </c>
      <c r="E49" s="447">
        <v>40652</v>
      </c>
      <c r="F49" s="154">
        <v>89942</v>
      </c>
      <c r="G49" s="155">
        <v>37333</v>
      </c>
      <c r="H49" s="155">
        <v>58301</v>
      </c>
      <c r="I49" s="156">
        <v>80552</v>
      </c>
      <c r="J49" s="281"/>
      <c r="K49" s="154">
        <f t="shared" si="71"/>
        <v>11026</v>
      </c>
      <c r="L49" s="155">
        <f t="shared" si="72"/>
        <v>7998</v>
      </c>
      <c r="M49" s="155">
        <f t="shared" si="73"/>
        <v>3629</v>
      </c>
      <c r="N49" s="155">
        <f t="shared" si="74"/>
        <v>11011</v>
      </c>
      <c r="O49" s="155">
        <f t="shared" si="75"/>
        <v>9759</v>
      </c>
      <c r="P49" s="155">
        <f>'2015'!AZ49+'2015'!BA49</f>
        <v>8316</v>
      </c>
      <c r="Q49" s="155">
        <f>'2015'!AU49</f>
        <v>5002</v>
      </c>
      <c r="R49" s="155">
        <f>AT49+AX49</f>
        <v>3480</v>
      </c>
      <c r="S49" s="155">
        <f t="shared" si="76"/>
        <v>12878</v>
      </c>
      <c r="T49" s="155">
        <f t="shared" si="77"/>
        <v>6146</v>
      </c>
      <c r="U49" s="552">
        <f t="shared" si="77"/>
        <v>11329</v>
      </c>
      <c r="V49" s="155">
        <f>BG49+BJ49</f>
        <v>4079</v>
      </c>
      <c r="W49" s="155">
        <f t="shared" si="78"/>
        <v>8075</v>
      </c>
      <c r="X49" s="155">
        <f>BH49+BI49</f>
        <v>5162</v>
      </c>
      <c r="Y49" s="155">
        <f>BN49</f>
        <v>4778</v>
      </c>
      <c r="Z49" s="155">
        <f t="shared" si="79"/>
        <v>2872</v>
      </c>
      <c r="AA49" s="155">
        <f>BQ49</f>
        <v>1648</v>
      </c>
      <c r="AB49" s="552">
        <f t="shared" si="80"/>
        <v>9701</v>
      </c>
      <c r="AC49" s="155">
        <f t="shared" si="81"/>
        <v>3492</v>
      </c>
      <c r="AD49" s="155">
        <f t="shared" si="82"/>
        <v>2712</v>
      </c>
      <c r="AE49" s="155">
        <f>BS49+BT49</f>
        <v>9536</v>
      </c>
      <c r="AF49" s="155">
        <f t="shared" si="83"/>
        <v>4480</v>
      </c>
      <c r="AG49" s="155">
        <f t="shared" si="84"/>
        <v>5909</v>
      </c>
      <c r="AH49" s="155">
        <f t="shared" si="85"/>
        <v>4775</v>
      </c>
      <c r="AI49" s="155">
        <f t="shared" si="86"/>
        <v>7827</v>
      </c>
      <c r="AJ49" s="155">
        <f t="shared" si="87"/>
        <v>4733</v>
      </c>
      <c r="AK49" s="552">
        <f t="shared" si="88"/>
        <v>5174</v>
      </c>
      <c r="AL49" s="155">
        <f t="shared" si="89"/>
        <v>16486</v>
      </c>
      <c r="AM49" s="155">
        <f t="shared" si="90"/>
        <v>4167</v>
      </c>
      <c r="AN49" s="155">
        <f t="shared" si="91"/>
        <v>5606</v>
      </c>
      <c r="AO49" s="155">
        <f t="shared" si="92"/>
        <v>20120</v>
      </c>
      <c r="AP49" s="155" t="str">
        <f t="shared" si="92"/>
        <v>*</v>
      </c>
      <c r="AQ49" s="155">
        <f t="shared" si="93"/>
        <v>4076</v>
      </c>
      <c r="AR49" s="155">
        <f t="shared" si="94"/>
        <v>4623</v>
      </c>
      <c r="AS49" s="156">
        <f>CG49</f>
        <v>10366</v>
      </c>
      <c r="AT49" s="155">
        <v>387</v>
      </c>
      <c r="AU49" s="155">
        <v>5002</v>
      </c>
      <c r="AV49" s="155">
        <v>12878</v>
      </c>
      <c r="AW49" s="155">
        <v>11011</v>
      </c>
      <c r="AX49" s="155">
        <v>3093</v>
      </c>
      <c r="AY49" s="155">
        <v>7998</v>
      </c>
      <c r="AZ49" s="155">
        <v>0</v>
      </c>
      <c r="BA49" s="155">
        <v>8316</v>
      </c>
      <c r="BB49" s="155">
        <v>6146</v>
      </c>
      <c r="BC49" s="155">
        <v>11329</v>
      </c>
      <c r="BD49" s="155">
        <v>3629</v>
      </c>
      <c r="BE49" s="155">
        <v>9759</v>
      </c>
      <c r="BF49" s="552">
        <v>11026</v>
      </c>
      <c r="BG49" s="155">
        <v>1526</v>
      </c>
      <c r="BH49" s="155">
        <v>881</v>
      </c>
      <c r="BI49" s="155">
        <v>4281</v>
      </c>
      <c r="BJ49" s="155">
        <v>2553</v>
      </c>
      <c r="BK49" s="155" t="s">
        <v>233</v>
      </c>
      <c r="BL49" s="155" t="s">
        <v>233</v>
      </c>
      <c r="BM49" s="155">
        <v>2872</v>
      </c>
      <c r="BN49" s="155">
        <v>4778</v>
      </c>
      <c r="BO49" s="155" t="s">
        <v>233</v>
      </c>
      <c r="BP49" s="155">
        <v>9701</v>
      </c>
      <c r="BQ49" s="155">
        <v>1648</v>
      </c>
      <c r="BR49" s="552">
        <v>8075</v>
      </c>
      <c r="BS49" s="155">
        <v>3491</v>
      </c>
      <c r="BT49" s="155">
        <v>6045</v>
      </c>
      <c r="BU49" s="155">
        <v>2712</v>
      </c>
      <c r="BV49" s="155">
        <v>5909</v>
      </c>
      <c r="BW49" s="155">
        <v>7827</v>
      </c>
      <c r="BX49" s="155">
        <v>3492</v>
      </c>
      <c r="BY49" s="155">
        <v>4733</v>
      </c>
      <c r="BZ49" s="155">
        <v>4775</v>
      </c>
      <c r="CA49" s="155">
        <v>4480</v>
      </c>
      <c r="CB49" s="552">
        <v>5174</v>
      </c>
      <c r="CC49" s="155">
        <v>20120</v>
      </c>
      <c r="CD49" s="155" t="s">
        <v>233</v>
      </c>
      <c r="CE49" s="155">
        <v>16486</v>
      </c>
      <c r="CF49" s="155" t="s">
        <v>233</v>
      </c>
      <c r="CG49" s="155">
        <v>10366</v>
      </c>
      <c r="CH49" s="155">
        <v>4167</v>
      </c>
      <c r="CI49" s="155">
        <v>4623</v>
      </c>
      <c r="CJ49" s="155">
        <v>5606</v>
      </c>
      <c r="CK49" s="156">
        <v>4076</v>
      </c>
      <c r="CL49" s="320">
        <v>274311</v>
      </c>
    </row>
    <row r="50" spans="1:90">
      <c r="A50" s="477">
        <f>ROWS($A$3:A48)</f>
        <v>46</v>
      </c>
      <c r="B50" s="92" t="s">
        <v>76</v>
      </c>
      <c r="C50" s="393">
        <v>2010</v>
      </c>
      <c r="D50" s="259" t="s">
        <v>21</v>
      </c>
      <c r="E50" s="451"/>
      <c r="F50" s="154">
        <v>81</v>
      </c>
      <c r="G50" s="155">
        <v>45</v>
      </c>
      <c r="H50" s="155">
        <v>63</v>
      </c>
      <c r="I50" s="156">
        <v>95</v>
      </c>
      <c r="J50" s="281"/>
      <c r="K50" s="154">
        <f t="shared" si="71"/>
        <v>111</v>
      </c>
      <c r="L50" s="155">
        <f t="shared" si="72"/>
        <v>81</v>
      </c>
      <c r="M50" s="155">
        <f t="shared" si="73"/>
        <v>48</v>
      </c>
      <c r="N50" s="155">
        <f t="shared" si="74"/>
        <v>98</v>
      </c>
      <c r="O50" s="155">
        <f t="shared" si="75"/>
        <v>91</v>
      </c>
      <c r="P50" s="531">
        <f>(AZ50*AZ35+BA50*BA35)/P35</f>
        <v>30.632177970625204</v>
      </c>
      <c r="Q50" s="155">
        <f>'2015'!AU50</f>
        <v>53</v>
      </c>
      <c r="R50" s="531">
        <f>(AT50*AT35+AX50*AX35)/R35</f>
        <v>53.917846943779388</v>
      </c>
      <c r="S50" s="155">
        <f t="shared" si="76"/>
        <v>58</v>
      </c>
      <c r="T50" s="155">
        <f t="shared" si="77"/>
        <v>94</v>
      </c>
      <c r="U50" s="552">
        <f t="shared" si="77"/>
        <v>130</v>
      </c>
      <c r="V50" s="531">
        <f>(BG50*BG35+BJ50*BJ35)/V35</f>
        <v>23.90534722655519</v>
      </c>
      <c r="W50" s="155">
        <f t="shared" si="78"/>
        <v>66</v>
      </c>
      <c r="X50" s="531">
        <f>(BH50*BH35+BI50*BI35)/X35</f>
        <v>23</v>
      </c>
      <c r="Y50" s="531">
        <f>(BK50*BK35+BL50*BL35+BN50*BN35)/Y35</f>
        <v>41.732504324248517</v>
      </c>
      <c r="Z50" s="155">
        <f t="shared" si="79"/>
        <v>55</v>
      </c>
      <c r="AA50" s="531">
        <f>(BO50*BO35+BQ50*BQ35)/AA35</f>
        <v>51.696666005159756</v>
      </c>
      <c r="AB50" s="552">
        <f t="shared" si="80"/>
        <v>67</v>
      </c>
      <c r="AC50" s="155">
        <f t="shared" si="81"/>
        <v>73</v>
      </c>
      <c r="AD50" s="155">
        <f t="shared" si="82"/>
        <v>61</v>
      </c>
      <c r="AE50" s="531">
        <f>(BS50*BS35+BT50*BT35)/AE35</f>
        <v>54.149585762503833</v>
      </c>
      <c r="AF50" s="155">
        <f t="shared" si="83"/>
        <v>64</v>
      </c>
      <c r="AG50" s="155">
        <f t="shared" si="84"/>
        <v>52</v>
      </c>
      <c r="AH50" s="155">
        <f t="shared" si="85"/>
        <v>69</v>
      </c>
      <c r="AI50" s="155">
        <f t="shared" si="86"/>
        <v>65</v>
      </c>
      <c r="AJ50" s="155">
        <f t="shared" si="87"/>
        <v>60</v>
      </c>
      <c r="AK50" s="552">
        <f t="shared" si="88"/>
        <v>80</v>
      </c>
      <c r="AL50" s="155">
        <f t="shared" si="89"/>
        <v>42</v>
      </c>
      <c r="AM50" s="155">
        <f t="shared" si="90"/>
        <v>115</v>
      </c>
      <c r="AN50" s="155">
        <f t="shared" si="91"/>
        <v>142</v>
      </c>
      <c r="AO50" s="155">
        <f t="shared" si="92"/>
        <v>67</v>
      </c>
      <c r="AP50" s="155">
        <f t="shared" si="92"/>
        <v>39</v>
      </c>
      <c r="AQ50" s="155">
        <f t="shared" si="93"/>
        <v>79</v>
      </c>
      <c r="AR50" s="155">
        <f t="shared" si="94"/>
        <v>72</v>
      </c>
      <c r="AS50" s="532">
        <f>(CF50*CF35+CG50*CG35)/AS35</f>
        <v>98.344088616760459</v>
      </c>
      <c r="AT50" s="155">
        <v>40</v>
      </c>
      <c r="AU50" s="155">
        <v>53</v>
      </c>
      <c r="AV50" s="155">
        <v>58</v>
      </c>
      <c r="AW50" s="155">
        <v>98</v>
      </c>
      <c r="AX50" s="155">
        <v>55</v>
      </c>
      <c r="AY50" s="155">
        <v>81</v>
      </c>
      <c r="AZ50" s="155">
        <v>13</v>
      </c>
      <c r="BA50" s="155">
        <v>32</v>
      </c>
      <c r="BB50" s="155">
        <v>94</v>
      </c>
      <c r="BC50" s="155">
        <v>130</v>
      </c>
      <c r="BD50" s="155">
        <v>48</v>
      </c>
      <c r="BE50" s="155">
        <v>91</v>
      </c>
      <c r="BF50" s="552">
        <v>111</v>
      </c>
      <c r="BG50" s="155">
        <v>23</v>
      </c>
      <c r="BH50" s="155">
        <v>23</v>
      </c>
      <c r="BI50" s="155">
        <v>23</v>
      </c>
      <c r="BJ50" s="155">
        <v>24</v>
      </c>
      <c r="BK50" s="155">
        <v>43</v>
      </c>
      <c r="BL50" s="155">
        <v>24</v>
      </c>
      <c r="BM50" s="155">
        <v>55</v>
      </c>
      <c r="BN50" s="155">
        <v>43</v>
      </c>
      <c r="BO50" s="155">
        <v>46</v>
      </c>
      <c r="BP50" s="155">
        <v>67</v>
      </c>
      <c r="BQ50" s="155">
        <v>52</v>
      </c>
      <c r="BR50" s="552">
        <v>66</v>
      </c>
      <c r="BS50" s="155">
        <v>28</v>
      </c>
      <c r="BT50" s="155">
        <v>56</v>
      </c>
      <c r="BU50" s="155">
        <v>61</v>
      </c>
      <c r="BV50" s="155">
        <v>52</v>
      </c>
      <c r="BW50" s="155">
        <v>65</v>
      </c>
      <c r="BX50" s="155">
        <v>73</v>
      </c>
      <c r="BY50" s="155">
        <v>60</v>
      </c>
      <c r="BZ50" s="155">
        <v>69</v>
      </c>
      <c r="CA50" s="155">
        <v>64</v>
      </c>
      <c r="CB50" s="552">
        <v>80</v>
      </c>
      <c r="CC50" s="155">
        <v>67</v>
      </c>
      <c r="CD50" s="155">
        <v>39</v>
      </c>
      <c r="CE50" s="155">
        <v>42</v>
      </c>
      <c r="CF50" s="155">
        <v>88</v>
      </c>
      <c r="CG50" s="155">
        <v>99</v>
      </c>
      <c r="CH50" s="155">
        <v>115</v>
      </c>
      <c r="CI50" s="155">
        <v>72</v>
      </c>
      <c r="CJ50" s="155">
        <v>142</v>
      </c>
      <c r="CK50" s="156">
        <v>79</v>
      </c>
      <c r="CL50" s="320">
        <v>76</v>
      </c>
    </row>
    <row r="51" spans="1:90">
      <c r="A51" s="477">
        <f>ROWS($A$3:A49)</f>
        <v>47</v>
      </c>
      <c r="B51" s="54" t="s">
        <v>92</v>
      </c>
      <c r="C51" s="252">
        <v>2010</v>
      </c>
      <c r="D51" s="259" t="s">
        <v>9</v>
      </c>
      <c r="E51" s="447">
        <v>40441</v>
      </c>
      <c r="F51" s="530">
        <f>IF(ISERROR(F95/F42)=TRUE,0,ROUND(F95/F42*1000,0))</f>
        <v>5389</v>
      </c>
      <c r="G51" s="531">
        <f>IF(ISERROR(G95/G42)=TRUE,0,ROUND(G95/G42*1000,0))</f>
        <v>4532</v>
      </c>
      <c r="H51" s="531">
        <f>IF(ISERROR(H95/H42)=TRUE,0,ROUND(H95/H42*1000,0))</f>
        <v>4157</v>
      </c>
      <c r="I51" s="532">
        <f>IF(ISERROR(I95/I42)=TRUE,0,ROUND(I95/I42*1000,0))</f>
        <v>5800</v>
      </c>
      <c r="J51" s="281"/>
      <c r="K51" s="541">
        <f t="shared" si="71"/>
        <v>5629</v>
      </c>
      <c r="L51" s="542">
        <f t="shared" si="72"/>
        <v>4905</v>
      </c>
      <c r="M51" s="542">
        <f t="shared" si="73"/>
        <v>5762</v>
      </c>
      <c r="N51" s="542">
        <f t="shared" si="74"/>
        <v>4749</v>
      </c>
      <c r="O51" s="542">
        <f t="shared" si="75"/>
        <v>6023</v>
      </c>
      <c r="P51" s="531">
        <f>IF(ISERROR(P95/P42)=TRUE,0,ROUND(P95/P42*1000,0))</f>
        <v>5945</v>
      </c>
      <c r="Q51" s="542">
        <f>'2010'!AU51</f>
        <v>4651</v>
      </c>
      <c r="R51" s="531">
        <f>IF(ISERROR(R95/R42)=TRUE,0,ROUND(R95/R42*1000,0))</f>
        <v>6112</v>
      </c>
      <c r="S51" s="542">
        <f t="shared" si="76"/>
        <v>3789</v>
      </c>
      <c r="T51" s="542">
        <f t="shared" si="77"/>
        <v>5060</v>
      </c>
      <c r="U51" s="554">
        <f t="shared" si="77"/>
        <v>5471</v>
      </c>
      <c r="V51" s="531">
        <f>IF(ISERROR(V95/V42)=TRUE,0,ROUND(V95/V42*1000,0))</f>
        <v>1730</v>
      </c>
      <c r="W51" s="542">
        <f t="shared" si="78"/>
        <v>4655</v>
      </c>
      <c r="X51" s="531">
        <f>IF(ISERROR(X95/X42)=TRUE,0,ROUND(X95/X42*1000,0))</f>
        <v>3229</v>
      </c>
      <c r="Y51" s="531">
        <f>IF(ISERROR(Y95/Y42)=TRUE,0,ROUND(Y95/Y42*1000,0))</f>
        <v>5255</v>
      </c>
      <c r="Z51" s="542">
        <f t="shared" si="79"/>
        <v>5335</v>
      </c>
      <c r="AA51" s="531">
        <f>IF(ISERROR(AA95/AA42)=TRUE,0,ROUND(AA95/AA42*1000,0))</f>
        <v>4485</v>
      </c>
      <c r="AB51" s="554">
        <f t="shared" si="80"/>
        <v>3969</v>
      </c>
      <c r="AC51" s="542">
        <f t="shared" si="81"/>
        <v>4430</v>
      </c>
      <c r="AD51" s="542">
        <f t="shared" si="82"/>
        <v>3521</v>
      </c>
      <c r="AE51" s="531">
        <f>IF(ISERROR(AE95/AE42)=TRUE,0,ROUND(AE95/AE42*1000,0))</f>
        <v>4148</v>
      </c>
      <c r="AF51" s="542">
        <f t="shared" si="83"/>
        <v>3003</v>
      </c>
      <c r="AG51" s="542">
        <f t="shared" si="84"/>
        <v>3515</v>
      </c>
      <c r="AH51" s="542">
        <f t="shared" si="85"/>
        <v>5362</v>
      </c>
      <c r="AI51" s="542">
        <f t="shared" si="86"/>
        <v>4174</v>
      </c>
      <c r="AJ51" s="542">
        <f t="shared" si="87"/>
        <v>4467</v>
      </c>
      <c r="AK51" s="554">
        <f t="shared" si="88"/>
        <v>4039</v>
      </c>
      <c r="AL51" s="542">
        <f t="shared" si="89"/>
        <v>3836</v>
      </c>
      <c r="AM51" s="542">
        <f t="shared" si="90"/>
        <v>6027</v>
      </c>
      <c r="AN51" s="542">
        <f t="shared" si="91"/>
        <v>6084</v>
      </c>
      <c r="AO51" s="542">
        <f t="shared" si="92"/>
        <v>5103</v>
      </c>
      <c r="AP51" s="542">
        <f t="shared" si="92"/>
        <v>4346</v>
      </c>
      <c r="AQ51" s="542">
        <f t="shared" si="93"/>
        <v>5066</v>
      </c>
      <c r="AR51" s="542">
        <f t="shared" si="94"/>
        <v>6013</v>
      </c>
      <c r="AS51" s="532">
        <f t="shared" ref="AS51:CL51" si="98">IF(ISERROR(AS95/AS42)=TRUE,0,ROUND(AS95/AS42*1000,0))</f>
        <v>5847</v>
      </c>
      <c r="AT51" s="531">
        <f t="shared" si="98"/>
        <v>4565</v>
      </c>
      <c r="AU51" s="531">
        <f t="shared" si="98"/>
        <v>4841</v>
      </c>
      <c r="AV51" s="531">
        <f t="shared" si="98"/>
        <v>3789</v>
      </c>
      <c r="AW51" s="531">
        <f t="shared" si="98"/>
        <v>4749</v>
      </c>
      <c r="AX51" s="531">
        <f t="shared" si="98"/>
        <v>6112</v>
      </c>
      <c r="AY51" s="531">
        <f t="shared" si="98"/>
        <v>4905</v>
      </c>
      <c r="AZ51" s="531">
        <f t="shared" si="98"/>
        <v>0</v>
      </c>
      <c r="BA51" s="531">
        <f t="shared" si="98"/>
        <v>5945</v>
      </c>
      <c r="BB51" s="531">
        <f t="shared" si="98"/>
        <v>5060</v>
      </c>
      <c r="BC51" s="531">
        <f t="shared" si="98"/>
        <v>5471</v>
      </c>
      <c r="BD51" s="531">
        <f t="shared" si="98"/>
        <v>5762</v>
      </c>
      <c r="BE51" s="531">
        <f t="shared" si="98"/>
        <v>6023</v>
      </c>
      <c r="BF51" s="555">
        <f t="shared" si="98"/>
        <v>5629</v>
      </c>
      <c r="BG51" s="531">
        <f t="shared" si="98"/>
        <v>0</v>
      </c>
      <c r="BH51" s="531">
        <f t="shared" si="98"/>
        <v>0</v>
      </c>
      <c r="BI51" s="531">
        <f t="shared" si="98"/>
        <v>3229</v>
      </c>
      <c r="BJ51" s="531">
        <f t="shared" si="98"/>
        <v>1730</v>
      </c>
      <c r="BK51" s="531">
        <f t="shared" si="98"/>
        <v>0</v>
      </c>
      <c r="BL51" s="531">
        <f t="shared" si="98"/>
        <v>0</v>
      </c>
      <c r="BM51" s="531">
        <f t="shared" si="98"/>
        <v>5335</v>
      </c>
      <c r="BN51" s="531">
        <f t="shared" si="98"/>
        <v>5255</v>
      </c>
      <c r="BO51" s="531">
        <f t="shared" si="98"/>
        <v>0</v>
      </c>
      <c r="BP51" s="531">
        <f t="shared" si="98"/>
        <v>3969</v>
      </c>
      <c r="BQ51" s="531">
        <f t="shared" si="98"/>
        <v>4485</v>
      </c>
      <c r="BR51" s="555">
        <f t="shared" si="98"/>
        <v>4655</v>
      </c>
      <c r="BS51" s="531">
        <f t="shared" si="98"/>
        <v>0</v>
      </c>
      <c r="BT51" s="531">
        <f t="shared" si="98"/>
        <v>4219</v>
      </c>
      <c r="BU51" s="531">
        <f t="shared" si="98"/>
        <v>3521</v>
      </c>
      <c r="BV51" s="531">
        <f t="shared" si="98"/>
        <v>3515</v>
      </c>
      <c r="BW51" s="531">
        <f t="shared" si="98"/>
        <v>4174</v>
      </c>
      <c r="BX51" s="531">
        <f t="shared" si="98"/>
        <v>4430</v>
      </c>
      <c r="BY51" s="531">
        <f t="shared" si="98"/>
        <v>4467</v>
      </c>
      <c r="BZ51" s="531">
        <f t="shared" si="98"/>
        <v>5362</v>
      </c>
      <c r="CA51" s="531">
        <f t="shared" si="98"/>
        <v>3003</v>
      </c>
      <c r="CB51" s="555">
        <f t="shared" si="98"/>
        <v>4039</v>
      </c>
      <c r="CC51" s="531">
        <f t="shared" si="98"/>
        <v>5103</v>
      </c>
      <c r="CD51" s="531">
        <f t="shared" si="98"/>
        <v>4346</v>
      </c>
      <c r="CE51" s="531">
        <f t="shared" si="98"/>
        <v>3836</v>
      </c>
      <c r="CF51" s="531">
        <f t="shared" si="98"/>
        <v>0</v>
      </c>
      <c r="CG51" s="531">
        <f t="shared" si="98"/>
        <v>6150</v>
      </c>
      <c r="CH51" s="531">
        <f t="shared" si="98"/>
        <v>6027</v>
      </c>
      <c r="CI51" s="531">
        <f t="shared" si="98"/>
        <v>6013</v>
      </c>
      <c r="CJ51" s="531">
        <f t="shared" si="98"/>
        <v>6084</v>
      </c>
      <c r="CK51" s="532">
        <f t="shared" si="98"/>
        <v>5066</v>
      </c>
      <c r="CL51" s="556">
        <f t="shared" si="98"/>
        <v>5470</v>
      </c>
    </row>
    <row r="52" spans="1:90">
      <c r="A52" s="477">
        <f>ROWS($A$3:A50)</f>
        <v>48</v>
      </c>
      <c r="B52" s="388" t="s">
        <v>357</v>
      </c>
      <c r="C52" s="387">
        <v>2014</v>
      </c>
      <c r="D52" s="259" t="s">
        <v>358</v>
      </c>
      <c r="E52" s="447">
        <v>42909</v>
      </c>
      <c r="F52" s="536">
        <v>676.4</v>
      </c>
      <c r="G52" s="537">
        <v>162.30000000000001</v>
      </c>
      <c r="H52" s="537">
        <v>415.8</v>
      </c>
      <c r="I52" s="538">
        <v>1102.0999999999999</v>
      </c>
      <c r="J52" s="281"/>
      <c r="K52" s="536">
        <f t="shared" si="71"/>
        <v>185</v>
      </c>
      <c r="L52" s="537">
        <f t="shared" si="72"/>
        <v>46.2</v>
      </c>
      <c r="M52" s="537">
        <f t="shared" si="73"/>
        <v>44.8</v>
      </c>
      <c r="N52" s="537">
        <f t="shared" si="74"/>
        <v>65.099999999999994</v>
      </c>
      <c r="O52" s="537">
        <f t="shared" si="75"/>
        <v>43.8</v>
      </c>
      <c r="P52" s="537">
        <f>BA52</f>
        <v>28.3</v>
      </c>
      <c r="Q52" s="537">
        <f>'2009'!AU52</f>
        <v>18.2</v>
      </c>
      <c r="R52" s="537">
        <f>AT52+AX52</f>
        <v>33.9</v>
      </c>
      <c r="S52" s="537">
        <f t="shared" si="76"/>
        <v>13.4</v>
      </c>
      <c r="T52" s="537">
        <f t="shared" si="77"/>
        <v>47.7</v>
      </c>
      <c r="U52" s="561">
        <f t="shared" si="77"/>
        <v>150.19999999999999</v>
      </c>
      <c r="V52" s="537">
        <f>BJ52</f>
        <v>2.1</v>
      </c>
      <c r="W52" s="537">
        <f t="shared" si="78"/>
        <v>27</v>
      </c>
      <c r="X52" s="537">
        <f>BI52</f>
        <v>8.4</v>
      </c>
      <c r="Y52" s="537">
        <f>BN52</f>
        <v>25</v>
      </c>
      <c r="Z52" s="537">
        <f t="shared" si="79"/>
        <v>53.8</v>
      </c>
      <c r="AA52" s="537">
        <f>BQ52</f>
        <v>21.4</v>
      </c>
      <c r="AB52" s="561">
        <f t="shared" si="80"/>
        <v>24.6</v>
      </c>
      <c r="AC52" s="537">
        <f t="shared" si="81"/>
        <v>76.5</v>
      </c>
      <c r="AD52" s="537">
        <f t="shared" si="82"/>
        <v>18.600000000000001</v>
      </c>
      <c r="AE52" s="537">
        <f>BT52</f>
        <v>58.4</v>
      </c>
      <c r="AF52" s="537">
        <f t="shared" si="83"/>
        <v>17.2</v>
      </c>
      <c r="AG52" s="537">
        <f t="shared" si="84"/>
        <v>39.299999999999997</v>
      </c>
      <c r="AH52" s="537">
        <f t="shared" si="85"/>
        <v>64.900000000000006</v>
      </c>
      <c r="AI52" s="537">
        <f t="shared" si="86"/>
        <v>28.1</v>
      </c>
      <c r="AJ52" s="537">
        <f t="shared" si="87"/>
        <v>41.7</v>
      </c>
      <c r="AK52" s="561">
        <f t="shared" si="88"/>
        <v>70.400000000000006</v>
      </c>
      <c r="AL52" s="537">
        <f t="shared" si="89"/>
        <v>24.9</v>
      </c>
      <c r="AM52" s="537">
        <f t="shared" si="90"/>
        <v>229.4</v>
      </c>
      <c r="AN52" s="537">
        <f t="shared" si="91"/>
        <v>489.5</v>
      </c>
      <c r="AO52" s="537">
        <f t="shared" si="92"/>
        <v>54.9</v>
      </c>
      <c r="AP52" s="537">
        <f t="shared" si="92"/>
        <v>10.6</v>
      </c>
      <c r="AQ52" s="537">
        <f t="shared" si="93"/>
        <v>95.7</v>
      </c>
      <c r="AR52" s="537">
        <f t="shared" si="94"/>
        <v>62.7</v>
      </c>
      <c r="AS52" s="538">
        <f>CG52</f>
        <v>134.19999999999999</v>
      </c>
      <c r="AT52" s="537">
        <v>2.2000000000000002</v>
      </c>
      <c r="AU52" s="537">
        <v>18.7</v>
      </c>
      <c r="AV52" s="537">
        <v>13.4</v>
      </c>
      <c r="AW52" s="537">
        <v>65.099999999999994</v>
      </c>
      <c r="AX52" s="537">
        <v>31.7</v>
      </c>
      <c r="AY52" s="537">
        <v>46.2</v>
      </c>
      <c r="AZ52" s="537" t="s">
        <v>233</v>
      </c>
      <c r="BA52" s="537">
        <v>28.3</v>
      </c>
      <c r="BB52" s="537">
        <v>47.7</v>
      </c>
      <c r="BC52" s="537">
        <v>150.19999999999999</v>
      </c>
      <c r="BD52" s="537">
        <v>44.8</v>
      </c>
      <c r="BE52" s="537">
        <v>43.8</v>
      </c>
      <c r="BF52" s="563">
        <v>185</v>
      </c>
      <c r="BG52" s="537" t="s">
        <v>233</v>
      </c>
      <c r="BH52" s="537" t="s">
        <v>233</v>
      </c>
      <c r="BI52" s="537">
        <v>8.4</v>
      </c>
      <c r="BJ52" s="537">
        <v>2.1</v>
      </c>
      <c r="BK52" s="537" t="s">
        <v>233</v>
      </c>
      <c r="BL52" s="537" t="s">
        <v>233</v>
      </c>
      <c r="BM52" s="537">
        <v>53.8</v>
      </c>
      <c r="BN52" s="537">
        <v>25</v>
      </c>
      <c r="BO52" s="537" t="s">
        <v>233</v>
      </c>
      <c r="BP52" s="537">
        <v>24.6</v>
      </c>
      <c r="BQ52" s="537">
        <v>21.4</v>
      </c>
      <c r="BR52" s="563">
        <v>27</v>
      </c>
      <c r="BS52" s="537" t="s">
        <v>233</v>
      </c>
      <c r="BT52" s="537">
        <v>58.4</v>
      </c>
      <c r="BU52" s="537">
        <v>18.600000000000001</v>
      </c>
      <c r="BV52" s="537">
        <v>39.299999999999997</v>
      </c>
      <c r="BW52" s="537">
        <v>28.1</v>
      </c>
      <c r="BX52" s="537">
        <v>76.5</v>
      </c>
      <c r="BY52" s="537">
        <v>41.7</v>
      </c>
      <c r="BZ52" s="537">
        <v>64.900000000000006</v>
      </c>
      <c r="CA52" s="537">
        <v>17.2</v>
      </c>
      <c r="CB52" s="563">
        <v>70.400000000000006</v>
      </c>
      <c r="CC52" s="537">
        <v>54.9</v>
      </c>
      <c r="CD52" s="537">
        <v>10.6</v>
      </c>
      <c r="CE52" s="537">
        <v>24.9</v>
      </c>
      <c r="CF52" s="537" t="s">
        <v>233</v>
      </c>
      <c r="CG52" s="537">
        <v>134.19999999999999</v>
      </c>
      <c r="CH52" s="537">
        <v>229.4</v>
      </c>
      <c r="CI52" s="537">
        <v>62.7</v>
      </c>
      <c r="CJ52" s="537">
        <v>489.5</v>
      </c>
      <c r="CK52" s="538">
        <v>95.7</v>
      </c>
      <c r="CL52" s="564">
        <v>2356.6</v>
      </c>
    </row>
    <row r="53" spans="1:90">
      <c r="A53" s="477">
        <f>ROWS($A$3:A51)</f>
        <v>49</v>
      </c>
      <c r="B53" s="54" t="str">
        <f>"Änderung der Milcherzeugung "&amp;C52&amp;"/"&amp;"2010"</f>
        <v>Änderung der Milcherzeugung 2014/2010</v>
      </c>
      <c r="C53" s="252"/>
      <c r="D53" s="259" t="s">
        <v>3</v>
      </c>
      <c r="E53" s="447">
        <v>42919</v>
      </c>
      <c r="F53" s="539">
        <f>F52/'2010'!F52%-100</f>
        <v>4.5117428924598215</v>
      </c>
      <c r="G53" s="521">
        <f>G52/'2010'!G52%-100</f>
        <v>8.4168336673346857</v>
      </c>
      <c r="H53" s="521">
        <f>H52/'2010'!H52%-100</f>
        <v>7.082152974504254</v>
      </c>
      <c r="I53" s="540">
        <f>I52/'2010'!I52%-100</f>
        <v>4.6529294463963566</v>
      </c>
      <c r="J53" s="382"/>
      <c r="K53" s="536">
        <f>K52/'2010'!K52%-100</f>
        <v>6.4441887226697219</v>
      </c>
      <c r="L53" s="537">
        <f>L52/'2010'!L52%-100</f>
        <v>5</v>
      </c>
      <c r="M53" s="537">
        <f>M52/'2010'!M52%-100</f>
        <v>2.0501138952163984</v>
      </c>
      <c r="N53" s="537">
        <f>N52/'2010'!N52%-100</f>
        <v>7.9601990049751237</v>
      </c>
      <c r="O53" s="537">
        <f>O52/'2010'!O52%-100</f>
        <v>-4.9891540130151952</v>
      </c>
      <c r="P53" s="521">
        <f>P52/'2010'!P52%-100</f>
        <v>-1.3937282229965007</v>
      </c>
      <c r="Q53" s="537">
        <f>Q52/'2010'!Q52%-100</f>
        <v>0</v>
      </c>
      <c r="R53" s="521">
        <f>R52/'2010'!R52%-100</f>
        <v>4.6296296296296191</v>
      </c>
      <c r="S53" s="537">
        <f>S52/'2010'!S52%-100</f>
        <v>3.8759689922480618</v>
      </c>
      <c r="T53" s="537">
        <f>T52/'2010'!T52%-100</f>
        <v>5.2980132450331325</v>
      </c>
      <c r="U53" s="561">
        <f>U52/'2010'!U52%-100</f>
        <v>5.9985885673959132</v>
      </c>
      <c r="V53" s="521">
        <f>V52/'2010'!V52%-100</f>
        <v>5</v>
      </c>
      <c r="W53" s="537">
        <f>W52/'2010'!W52%-100</f>
        <v>12.033195020746874</v>
      </c>
      <c r="X53" s="521">
        <f>X52/'2010'!X52%-100</f>
        <v>25.373134328358205</v>
      </c>
      <c r="Y53" s="521">
        <f>Y52/'2010'!Y52%-100</f>
        <v>0</v>
      </c>
      <c r="Z53" s="537">
        <f>Z52/'2010'!Z52%-100</f>
        <v>6.958250497017886</v>
      </c>
      <c r="AA53" s="521">
        <f>AA52/'2010'!AA52%-100</f>
        <v>-45.128205128205131</v>
      </c>
      <c r="AB53" s="561">
        <f>AB52/'2010'!AB52%-100</f>
        <v>11.312217194570138</v>
      </c>
      <c r="AC53" s="537">
        <f>AC52/'2010'!AC52%-100</f>
        <v>12.334801762114552</v>
      </c>
      <c r="AD53" s="537">
        <f>AD52/'2010'!AD52%-100</f>
        <v>-3.125</v>
      </c>
      <c r="AE53" s="521">
        <f>AE52/'2010'!AE52%-100</f>
        <v>-1.0169491525423666</v>
      </c>
      <c r="AF53" s="537">
        <f>AF52/'2010'!AF52%-100</f>
        <v>-8.5106382978723474</v>
      </c>
      <c r="AG53" s="537">
        <f>AG52/'2010'!AG52%-100</f>
        <v>-3.4398034398034554</v>
      </c>
      <c r="AH53" s="537">
        <f>AH52/'2010'!AH52%-100</f>
        <v>9.6283783783783718</v>
      </c>
      <c r="AI53" s="537">
        <f>AI52/'2010'!AI52%-100</f>
        <v>-0.35460992907799493</v>
      </c>
      <c r="AJ53" s="537">
        <f>AJ52/'2010'!AJ52%-100</f>
        <v>20.869565217391326</v>
      </c>
      <c r="AK53" s="561">
        <f>AK52/'2010'!AK52%-100</f>
        <v>15.789473684210535</v>
      </c>
      <c r="AL53" s="537">
        <f>AL52/'2010'!AL52%-100</f>
        <v>12.162162162162161</v>
      </c>
      <c r="AM53" s="537">
        <f>AM52/'2010'!AM52%-100</f>
        <v>0.79086115992971884</v>
      </c>
      <c r="AN53" s="537">
        <f>AN52/'2010'!AN52%-100</f>
        <v>5.2009456264775338</v>
      </c>
      <c r="AO53" s="537">
        <f>AO52/'2010'!AO52%-100</f>
        <v>5.1724137931034448</v>
      </c>
      <c r="AP53" s="537">
        <f>AP52/'2010'!AP52%-100</f>
        <v>10.416666666666657</v>
      </c>
      <c r="AQ53" s="537">
        <f>AQ52/'2010'!AQ52%-100</f>
        <v>16.992665036674822</v>
      </c>
      <c r="AR53" s="537">
        <f>AR52/'2010'!AR52%-100</f>
        <v>-3.3898305084745743</v>
      </c>
      <c r="AS53" s="540">
        <f>AS52/'2010'!AS52%-100</f>
        <v>3.629343629343623</v>
      </c>
      <c r="AT53" s="521">
        <f>AT52/'2010'!AT52%-100</f>
        <v>0</v>
      </c>
      <c r="AU53" s="521">
        <f>AU52/'2010'!AU52%-100</f>
        <v>3.8888888888888857</v>
      </c>
      <c r="AV53" s="521">
        <f>AV52/'2010'!AV52%-100</f>
        <v>3.8759689922480618</v>
      </c>
      <c r="AW53" s="521">
        <f>AW52/'2010'!AW52%-100</f>
        <v>7.9601990049751237</v>
      </c>
      <c r="AX53" s="521">
        <f>AX52/'2010'!AX52%-100</f>
        <v>4.966887417218544</v>
      </c>
      <c r="AY53" s="521">
        <f>AY52/'2010'!AY52%-100</f>
        <v>5</v>
      </c>
      <c r="AZ53" s="521" t="s">
        <v>233</v>
      </c>
      <c r="BA53" s="521">
        <f>BA52/'2010'!BA52%-100</f>
        <v>-1.3937282229965007</v>
      </c>
      <c r="BB53" s="521">
        <f>BB52/'2010'!BB52%-100</f>
        <v>5.2980132450331325</v>
      </c>
      <c r="BC53" s="521">
        <f>BC52/'2010'!BC52%-100</f>
        <v>5.9985885673959132</v>
      </c>
      <c r="BD53" s="521">
        <f>BD52/'2010'!BD52%-100</f>
        <v>2.0501138952163984</v>
      </c>
      <c r="BE53" s="521">
        <f>BE52/'2010'!BE52%-100</f>
        <v>-4.9891540130151952</v>
      </c>
      <c r="BF53" s="559">
        <f>BF52/'2010'!BF52%-100</f>
        <v>6.4441887226697219</v>
      </c>
      <c r="BG53" s="521" t="s">
        <v>233</v>
      </c>
      <c r="BH53" s="521" t="s">
        <v>233</v>
      </c>
      <c r="BI53" s="521">
        <f>BI52/'2010'!BI52%-100</f>
        <v>25.373134328358205</v>
      </c>
      <c r="BJ53" s="521">
        <f>BJ52/'2010'!BJ52%-100</f>
        <v>5</v>
      </c>
      <c r="BK53" s="521" t="s">
        <v>233</v>
      </c>
      <c r="BL53" s="521" t="s">
        <v>233</v>
      </c>
      <c r="BM53" s="521">
        <f>BM52/'2010'!BM52%-100</f>
        <v>6.958250497017886</v>
      </c>
      <c r="BN53" s="521">
        <f>BN52/'2010'!BN52%-100</f>
        <v>0</v>
      </c>
      <c r="BO53" s="521" t="s">
        <v>233</v>
      </c>
      <c r="BP53" s="521">
        <f>BP52/'2010'!BP52%-100</f>
        <v>11.312217194570138</v>
      </c>
      <c r="BQ53" s="521">
        <f>BQ52/'2010'!BQ52%-100</f>
        <v>9.7435897435897374</v>
      </c>
      <c r="BR53" s="559">
        <f>BR52/'2010'!BR52%-100</f>
        <v>12.033195020746874</v>
      </c>
      <c r="BS53" s="521" t="s">
        <v>233</v>
      </c>
      <c r="BT53" s="521">
        <f>BT52/'2010'!BT52%-100</f>
        <v>-1.0169491525423666</v>
      </c>
      <c r="BU53" s="521">
        <f>BU52/'2010'!BU52%-100</f>
        <v>-3.125</v>
      </c>
      <c r="BV53" s="521">
        <f>BV52/'2010'!BV52%-100</f>
        <v>-3.4398034398034554</v>
      </c>
      <c r="BW53" s="521">
        <f>BW52/'2010'!BW52%-100</f>
        <v>-0.35460992907799493</v>
      </c>
      <c r="BX53" s="521">
        <f>BX52/'2010'!BX52%-100</f>
        <v>12.334801762114552</v>
      </c>
      <c r="BY53" s="521">
        <f>BY52/'2010'!BY52%-100</f>
        <v>20.869565217391326</v>
      </c>
      <c r="BZ53" s="521">
        <f>BZ52/'2010'!BZ52%-100</f>
        <v>9.6283783783783718</v>
      </c>
      <c r="CA53" s="521">
        <f>CA52/'2010'!CA52%-100</f>
        <v>-8.5106382978723474</v>
      </c>
      <c r="CB53" s="559">
        <f>CB52/'2010'!CB52%-100</f>
        <v>15.789473684210535</v>
      </c>
      <c r="CC53" s="521">
        <f>CC52/'2010'!CC52%-100</f>
        <v>5.1724137931034448</v>
      </c>
      <c r="CD53" s="521">
        <f>CD52/'2010'!CD52%-100</f>
        <v>10.416666666666657</v>
      </c>
      <c r="CE53" s="521">
        <f>CE52/'2010'!CE52%-100</f>
        <v>12.162162162162161</v>
      </c>
      <c r="CF53" s="521" t="s">
        <v>233</v>
      </c>
      <c r="CG53" s="521">
        <f>CG52/'2010'!CG52%-100</f>
        <v>3.629343629343623</v>
      </c>
      <c r="CH53" s="521">
        <f>CH52/'2010'!CH52%-100</f>
        <v>0.79086115992971884</v>
      </c>
      <c r="CI53" s="521">
        <f>CI52/'2010'!CI52%-100</f>
        <v>-3.3898305084745743</v>
      </c>
      <c r="CJ53" s="521">
        <f>CJ52/'2010'!CJ52%-100</f>
        <v>5.2009456264775338</v>
      </c>
      <c r="CK53" s="540">
        <f>CK52/'2010'!CK52%-100</f>
        <v>16.992665036674822</v>
      </c>
      <c r="CL53" s="560">
        <f>CL52/'2010'!CL52%-100</f>
        <v>5.6060945552318913</v>
      </c>
    </row>
    <row r="54" spans="1:90">
      <c r="A54" s="477">
        <f>ROWS($A$3:A52)</f>
        <v>50</v>
      </c>
      <c r="B54" s="93" t="str">
        <f>"Änderung der Milchkühe "&amp;C51&amp;"/"&amp;C97</f>
        <v>Änderung der Milchkühe 2010/2001</v>
      </c>
      <c r="C54" s="253"/>
      <c r="D54" s="262" t="s">
        <v>3</v>
      </c>
      <c r="E54" s="452">
        <v>40441</v>
      </c>
      <c r="F54" s="544">
        <f>IF(ISERROR(F42/F97)=FALSE,ROUND((F42-F97)/F97%,3)," -")</f>
        <v>-6.6779999999999999</v>
      </c>
      <c r="G54" s="545">
        <f>IF(ISERROR(G42/G97)=FALSE,ROUND((G42-G97)/G97%,3)," -")</f>
        <v>3.2509999999999999</v>
      </c>
      <c r="H54" s="545">
        <f>IF(ISERROR(H42/H97)=FALSE,ROUND((H42-H97)/H97%,3)," -")</f>
        <v>8.5459999999999994</v>
      </c>
      <c r="I54" s="546">
        <f>IF(ISERROR(I42/I97)=FALSE,ROUND((I42-I97)/I97%,3)," -")</f>
        <v>-7.2779999999999996</v>
      </c>
      <c r="J54" s="597"/>
      <c r="K54" s="565">
        <f t="shared" si="71"/>
        <v>1.415</v>
      </c>
      <c r="L54" s="566">
        <f t="shared" si="72"/>
        <v>-1.2569999999999999</v>
      </c>
      <c r="M54" s="566">
        <f t="shared" si="73"/>
        <v>-24.619</v>
      </c>
      <c r="N54" s="566">
        <f t="shared" si="74"/>
        <v>-0.222</v>
      </c>
      <c r="O54" s="566">
        <f t="shared" si="75"/>
        <v>-17.754999999999999</v>
      </c>
      <c r="P54" s="545">
        <f>IF(ISERROR(P42/P97)=FALSE,ROUND((P42-P97)/P97%,3)," -")</f>
        <v>-31.719000000000001</v>
      </c>
      <c r="Q54" s="566">
        <f>'2010'!AU54</f>
        <v>2.2530000000000001</v>
      </c>
      <c r="R54" s="545">
        <f>IF(ISERROR(R42/R97)=FALSE,ROUND((R42-R97)/R97%,3)," -")</f>
        <v>-25.9</v>
      </c>
      <c r="S54" s="566">
        <f t="shared" si="76"/>
        <v>-9.7579999999999991</v>
      </c>
      <c r="T54" s="566">
        <f t="shared" si="77"/>
        <v>-5.6479999999999997</v>
      </c>
      <c r="U54" s="567">
        <f t="shared" si="77"/>
        <v>-1.2629999999999999</v>
      </c>
      <c r="V54" s="545">
        <f>IF(ISERROR(V42/V97)=FALSE,ROUND((V42-V97)/V97%,3)," -")</f>
        <v>49.795000000000002</v>
      </c>
      <c r="W54" s="566">
        <f t="shared" si="78"/>
        <v>4.1529999999999996</v>
      </c>
      <c r="X54" s="545">
        <f>IF(ISERROR(X42/X97)=FALSE,ROUND((X42-X97)/X97%,3)," -")</f>
        <v>-5.7089999999999996</v>
      </c>
      <c r="Y54" s="545">
        <f>IF(ISERROR(Y42/Y97)=FALSE,ROUND((Y42-Y97)/Y97%,3)," -")</f>
        <v>-16.521999999999998</v>
      </c>
      <c r="Z54" s="566">
        <f t="shared" si="79"/>
        <v>-7.5670000000000002</v>
      </c>
      <c r="AA54" s="545">
        <f>IF(ISERROR(AA42/AA97)=FALSE,ROUND((AA42-AA97)/AA97%,3)," -")</f>
        <v>25.591000000000001</v>
      </c>
      <c r="AB54" s="567">
        <f t="shared" si="80"/>
        <v>18.367000000000001</v>
      </c>
      <c r="AC54" s="566">
        <f t="shared" si="81"/>
        <v>6.8250000000000002</v>
      </c>
      <c r="AD54" s="566">
        <f t="shared" si="82"/>
        <v>13.545999999999999</v>
      </c>
      <c r="AE54" s="545">
        <f>IF(ISERROR(AE42/AE97)=FALSE,ROUND((AE42-AE97)/AE97%,3)," -")</f>
        <v>7.9279999999999999</v>
      </c>
      <c r="AF54" s="566">
        <f t="shared" si="83"/>
        <v>17.366</v>
      </c>
      <c r="AG54" s="566">
        <f t="shared" si="84"/>
        <v>-2.98</v>
      </c>
      <c r="AH54" s="566">
        <f t="shared" si="85"/>
        <v>2.2360000000000002</v>
      </c>
      <c r="AI54" s="566">
        <f t="shared" si="86"/>
        <v>-7.4939999999999998</v>
      </c>
      <c r="AJ54" s="566">
        <f t="shared" si="87"/>
        <v>29.917000000000002</v>
      </c>
      <c r="AK54" s="567">
        <f t="shared" si="88"/>
        <v>21.222000000000001</v>
      </c>
      <c r="AL54" s="566">
        <f t="shared" si="89"/>
        <v>50.081000000000003</v>
      </c>
      <c r="AM54" s="566">
        <f t="shared" si="90"/>
        <v>-10.058</v>
      </c>
      <c r="AN54" s="566">
        <f t="shared" si="91"/>
        <v>-6.2949999999999999</v>
      </c>
      <c r="AO54" s="566">
        <f t="shared" si="92"/>
        <v>-6.7279999999999998</v>
      </c>
      <c r="AP54" s="566">
        <f t="shared" si="92"/>
        <v>-3.2450000000000001</v>
      </c>
      <c r="AQ54" s="566">
        <f t="shared" si="93"/>
        <v>-4.069</v>
      </c>
      <c r="AR54" s="566">
        <f t="shared" si="94"/>
        <v>-22.111000000000001</v>
      </c>
      <c r="AS54" s="546">
        <f>IF(ISERROR(AS42/AS97)=FALSE,ROUND((AS42-AS97)/AS97%,3)," -")</f>
        <v>-9.2629999999999999</v>
      </c>
      <c r="AT54" s="545">
        <f>IF(ISERROR(AT42/AT97)=FALSE,ROUND((AT42-AT97)/AT97%,3)," -")</f>
        <v>-5.7380000000000004</v>
      </c>
      <c r="AU54" s="545">
        <f t="shared" ref="AU54:CL54" si="99">IF(ISERROR(AU42/AU97)=FALSE,ROUND((AU42-AU97)/AU97%,3)," -")</f>
        <v>-1.78</v>
      </c>
      <c r="AV54" s="545">
        <f t="shared" si="99"/>
        <v>-9.7579999999999991</v>
      </c>
      <c r="AW54" s="545">
        <f t="shared" si="99"/>
        <v>-0.222</v>
      </c>
      <c r="AX54" s="545">
        <f t="shared" si="99"/>
        <v>-19.741</v>
      </c>
      <c r="AY54" s="545">
        <f t="shared" si="99"/>
        <v>-1.2569999999999999</v>
      </c>
      <c r="AZ54" s="545">
        <f t="shared" si="99"/>
        <v>-88.346000000000004</v>
      </c>
      <c r="BA54" s="545">
        <f t="shared" si="99"/>
        <v>-28.917000000000002</v>
      </c>
      <c r="BB54" s="545">
        <f t="shared" si="99"/>
        <v>-5.6479999999999997</v>
      </c>
      <c r="BC54" s="545">
        <f t="shared" si="99"/>
        <v>-1.2629999999999999</v>
      </c>
      <c r="BD54" s="545">
        <f t="shared" si="99"/>
        <v>-24.619</v>
      </c>
      <c r="BE54" s="545">
        <f t="shared" si="99"/>
        <v>-17.754999999999999</v>
      </c>
      <c r="BF54" s="568">
        <f t="shared" si="99"/>
        <v>1.415</v>
      </c>
      <c r="BG54" s="545" t="str">
        <f t="shared" si="99"/>
        <v xml:space="preserve"> -</v>
      </c>
      <c r="BH54" s="545">
        <f t="shared" si="99"/>
        <v>-23.893999999999998</v>
      </c>
      <c r="BI54" s="545">
        <f t="shared" si="99"/>
        <v>-0.35199999999999998</v>
      </c>
      <c r="BJ54" s="545">
        <f t="shared" si="99"/>
        <v>49.795000000000002</v>
      </c>
      <c r="BK54" s="545">
        <f t="shared" si="99"/>
        <v>-19.530999999999999</v>
      </c>
      <c r="BL54" s="545">
        <f t="shared" si="99"/>
        <v>-23.077000000000002</v>
      </c>
      <c r="BM54" s="545">
        <f t="shared" si="99"/>
        <v>-7.5670000000000002</v>
      </c>
      <c r="BN54" s="545">
        <f t="shared" si="99"/>
        <v>-11.475</v>
      </c>
      <c r="BO54" s="545">
        <f t="shared" si="99"/>
        <v>-41.593000000000004</v>
      </c>
      <c r="BP54" s="545">
        <f t="shared" si="99"/>
        <v>18.367000000000001</v>
      </c>
      <c r="BQ54" s="545">
        <f t="shared" si="99"/>
        <v>30.041</v>
      </c>
      <c r="BR54" s="568">
        <f t="shared" si="99"/>
        <v>4.1529999999999996</v>
      </c>
      <c r="BS54" s="545" t="str">
        <f t="shared" si="99"/>
        <v xml:space="preserve"> -</v>
      </c>
      <c r="BT54" s="545">
        <f t="shared" si="99"/>
        <v>6.1230000000000002</v>
      </c>
      <c r="BU54" s="545">
        <f t="shared" si="99"/>
        <v>13.545999999999999</v>
      </c>
      <c r="BV54" s="545">
        <f t="shared" si="99"/>
        <v>-2.98</v>
      </c>
      <c r="BW54" s="545">
        <f t="shared" si="99"/>
        <v>-7.4939999999999998</v>
      </c>
      <c r="BX54" s="545">
        <f t="shared" si="99"/>
        <v>6.8250000000000002</v>
      </c>
      <c r="BY54" s="545">
        <f t="shared" si="99"/>
        <v>29.917000000000002</v>
      </c>
      <c r="BZ54" s="545">
        <f t="shared" si="99"/>
        <v>2.2360000000000002</v>
      </c>
      <c r="CA54" s="545">
        <f t="shared" si="99"/>
        <v>17.366</v>
      </c>
      <c r="CB54" s="568">
        <f t="shared" si="99"/>
        <v>21.222000000000001</v>
      </c>
      <c r="CC54" s="545">
        <f t="shared" si="99"/>
        <v>-6.7279999999999998</v>
      </c>
      <c r="CD54" s="545">
        <f t="shared" si="99"/>
        <v>-3.2450000000000001</v>
      </c>
      <c r="CE54" s="545">
        <f t="shared" si="99"/>
        <v>50.081000000000003</v>
      </c>
      <c r="CF54" s="545">
        <f t="shared" si="99"/>
        <v>3.992</v>
      </c>
      <c r="CG54" s="545">
        <f t="shared" si="99"/>
        <v>-9.859</v>
      </c>
      <c r="CH54" s="545">
        <f t="shared" si="99"/>
        <v>-10.058</v>
      </c>
      <c r="CI54" s="545">
        <f t="shared" si="99"/>
        <v>-22.111000000000001</v>
      </c>
      <c r="CJ54" s="545">
        <f t="shared" si="99"/>
        <v>-6.2949999999999999</v>
      </c>
      <c r="CK54" s="546">
        <f t="shared" si="99"/>
        <v>-4.069</v>
      </c>
      <c r="CL54" s="569">
        <f t="shared" si="99"/>
        <v>-3.27</v>
      </c>
    </row>
    <row r="55" spans="1:90" ht="14.25">
      <c r="A55" s="477">
        <f>ROWS($A$3:A53)</f>
        <v>51</v>
      </c>
      <c r="B55" s="59" t="s">
        <v>208</v>
      </c>
      <c r="C55" s="203"/>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c r="A56" s="477">
        <f>ROWS($A$3:A54)</f>
        <v>52</v>
      </c>
      <c r="B56" s="92" t="s">
        <v>54</v>
      </c>
      <c r="C56" s="202">
        <v>2016</v>
      </c>
      <c r="D56" s="259" t="s">
        <v>13</v>
      </c>
      <c r="E56" s="447">
        <v>42549</v>
      </c>
      <c r="F56" s="154">
        <v>257</v>
      </c>
      <c r="G56" s="155">
        <v>227</v>
      </c>
      <c r="H56" s="155">
        <v>266</v>
      </c>
      <c r="I56" s="156">
        <v>302</v>
      </c>
      <c r="J56" s="281"/>
      <c r="K56" s="154">
        <f t="shared" ref="K56:K63" si="100">BF56</f>
        <v>42</v>
      </c>
      <c r="L56" s="155">
        <f t="shared" ref="L56:L63" si="101">AY56</f>
        <v>26</v>
      </c>
      <c r="M56" s="155">
        <f t="shared" ref="M56:M63" si="102">BD56</f>
        <v>36</v>
      </c>
      <c r="N56" s="155">
        <f t="shared" ref="N56:N63" si="103">AW56</f>
        <v>19</v>
      </c>
      <c r="O56" s="155">
        <f t="shared" ref="O56:O63" si="104">BE56</f>
        <v>13</v>
      </c>
      <c r="P56" s="155">
        <f>'2015'!AZ56+'2015'!BA56</f>
        <v>25</v>
      </c>
      <c r="Q56" s="155">
        <f>'2015'!AU56</f>
        <v>20</v>
      </c>
      <c r="R56" s="155">
        <f t="shared" ref="R56:R63" si="105">AT56+AX56</f>
        <v>27</v>
      </c>
      <c r="S56" s="155">
        <f t="shared" ref="S56:S63" si="106">AV56</f>
        <v>29</v>
      </c>
      <c r="T56" s="155">
        <f t="shared" ref="T56:U63" si="107">BB56</f>
        <v>21</v>
      </c>
      <c r="U56" s="552">
        <f t="shared" si="107"/>
        <v>18</v>
      </c>
      <c r="V56" s="155">
        <f t="shared" ref="V56:V63" si="108">BG56+BJ56</f>
        <v>36</v>
      </c>
      <c r="W56" s="155">
        <f t="shared" ref="W56:W63" si="109">BR56</f>
        <v>18</v>
      </c>
      <c r="X56" s="155">
        <f t="shared" ref="X56:X63" si="110">BH56+BI56</f>
        <v>50</v>
      </c>
      <c r="Y56" s="155">
        <f t="shared" ref="Y56:Y63" si="111">BK56+BL56+BN56</f>
        <v>64</v>
      </c>
      <c r="Z56" s="155">
        <f t="shared" ref="Z56:Z63" si="112">BM56</f>
        <v>27</v>
      </c>
      <c r="AA56" s="155">
        <f t="shared" ref="AA56:AA63" si="113">BO56+BQ56</f>
        <v>32</v>
      </c>
      <c r="AB56" s="552">
        <f t="shared" ref="AB56:AB63" si="114">BP56</f>
        <v>26</v>
      </c>
      <c r="AC56" s="155">
        <f t="shared" ref="AC56:AC63" si="115">BX56</f>
        <v>26</v>
      </c>
      <c r="AD56" s="155">
        <f t="shared" ref="AD56:AD63" si="116">BU56</f>
        <v>19</v>
      </c>
      <c r="AE56" s="155">
        <f t="shared" ref="AE56:AE63" si="117">BS56+BT56</f>
        <v>55</v>
      </c>
      <c r="AF56" s="155">
        <f t="shared" ref="AF56:AF63" si="118">CA56</f>
        <v>26</v>
      </c>
      <c r="AG56" s="155">
        <f t="shared" ref="AG56:AG63" si="119">BV56</f>
        <v>23</v>
      </c>
      <c r="AH56" s="155">
        <f t="shared" ref="AH56:AH63" si="120">BZ56</f>
        <v>65</v>
      </c>
      <c r="AI56" s="155">
        <f t="shared" ref="AI56:AI63" si="121">BW56</f>
        <v>10</v>
      </c>
      <c r="AJ56" s="155">
        <f t="shared" ref="AJ56:AJ63" si="122">BY56</f>
        <v>24</v>
      </c>
      <c r="AK56" s="552">
        <f t="shared" ref="AK56:AK63" si="123">CB56</f>
        <v>37</v>
      </c>
      <c r="AL56" s="155">
        <f t="shared" ref="AL56:AL63" si="124">CE56</f>
        <v>53</v>
      </c>
      <c r="AM56" s="155">
        <f t="shared" ref="AM56:AM63" si="125">CH56</f>
        <v>31</v>
      </c>
      <c r="AN56" s="155">
        <f t="shared" ref="AN56:AN63" si="126">CJ56</f>
        <v>76</v>
      </c>
      <c r="AO56" s="155">
        <f t="shared" ref="AO56:AP63" si="127">CC56</f>
        <v>42</v>
      </c>
      <c r="AP56" s="155">
        <f t="shared" si="127"/>
        <v>22</v>
      </c>
      <c r="AQ56" s="155">
        <f t="shared" ref="AQ56:AQ63" si="128">CK56</f>
        <v>25</v>
      </c>
      <c r="AR56" s="155">
        <f t="shared" ref="AR56:AR63" si="129">CI56</f>
        <v>33</v>
      </c>
      <c r="AS56" s="156">
        <f t="shared" ref="AS56:AS63" si="130">CF56+CG56</f>
        <v>35</v>
      </c>
      <c r="AT56" s="155">
        <v>7</v>
      </c>
      <c r="AU56" s="155">
        <v>20</v>
      </c>
      <c r="AV56" s="155">
        <v>29</v>
      </c>
      <c r="AW56" s="155">
        <v>19</v>
      </c>
      <c r="AX56" s="155">
        <v>20</v>
      </c>
      <c r="AY56" s="155">
        <v>26</v>
      </c>
      <c r="AZ56" s="155">
        <v>5</v>
      </c>
      <c r="BA56" s="155">
        <v>20</v>
      </c>
      <c r="BB56" s="155">
        <v>21</v>
      </c>
      <c r="BC56" s="155">
        <v>18</v>
      </c>
      <c r="BD56" s="155">
        <v>36</v>
      </c>
      <c r="BE56" s="155">
        <v>13</v>
      </c>
      <c r="BF56" s="552">
        <v>42</v>
      </c>
      <c r="BG56" s="155">
        <v>7</v>
      </c>
      <c r="BH56" s="155">
        <v>9</v>
      </c>
      <c r="BI56" s="155">
        <v>41</v>
      </c>
      <c r="BJ56" s="155">
        <v>29</v>
      </c>
      <c r="BK56" s="155">
        <v>5</v>
      </c>
      <c r="BL56" s="155">
        <v>9</v>
      </c>
      <c r="BM56" s="155">
        <v>27</v>
      </c>
      <c r="BN56" s="155">
        <v>50</v>
      </c>
      <c r="BO56" s="155">
        <v>3</v>
      </c>
      <c r="BP56" s="155">
        <v>26</v>
      </c>
      <c r="BQ56" s="155">
        <v>29</v>
      </c>
      <c r="BR56" s="552">
        <v>18</v>
      </c>
      <c r="BS56" s="155">
        <v>7</v>
      </c>
      <c r="BT56" s="155">
        <v>48</v>
      </c>
      <c r="BU56" s="155">
        <v>19</v>
      </c>
      <c r="BV56" s="155">
        <v>23</v>
      </c>
      <c r="BW56" s="155">
        <v>10</v>
      </c>
      <c r="BX56" s="155">
        <v>26</v>
      </c>
      <c r="BY56" s="155">
        <v>24</v>
      </c>
      <c r="BZ56" s="155">
        <v>65</v>
      </c>
      <c r="CA56" s="155">
        <v>26</v>
      </c>
      <c r="CB56" s="552">
        <v>37</v>
      </c>
      <c r="CC56" s="155">
        <v>42</v>
      </c>
      <c r="CD56" s="155">
        <v>22</v>
      </c>
      <c r="CE56" s="155">
        <v>53</v>
      </c>
      <c r="CF56" s="155">
        <v>2</v>
      </c>
      <c r="CG56" s="155">
        <v>33</v>
      </c>
      <c r="CH56" s="155">
        <v>31</v>
      </c>
      <c r="CI56" s="155">
        <v>33</v>
      </c>
      <c r="CJ56" s="155">
        <v>76</v>
      </c>
      <c r="CK56" s="156">
        <v>25</v>
      </c>
      <c r="CL56" s="320">
        <v>1052</v>
      </c>
    </row>
    <row r="57" spans="1:90">
      <c r="A57" s="477">
        <f>ROWS($A$3:A55)</f>
        <v>53</v>
      </c>
      <c r="B57" s="92"/>
      <c r="C57" s="203"/>
      <c r="D57" s="259" t="s">
        <v>1</v>
      </c>
      <c r="E57" s="451"/>
      <c r="F57" s="154">
        <v>15464.99</v>
      </c>
      <c r="G57" s="155">
        <v>18628.23</v>
      </c>
      <c r="H57" s="155">
        <v>31661.46</v>
      </c>
      <c r="I57" s="156">
        <v>19269.580000000002</v>
      </c>
      <c r="J57" s="281"/>
      <c r="K57" s="154">
        <f t="shared" si="100"/>
        <v>2050.5100000000002</v>
      </c>
      <c r="L57" s="155">
        <f t="shared" si="101"/>
        <v>833.37</v>
      </c>
      <c r="M57" s="155">
        <f t="shared" si="102"/>
        <v>1093.8499999999999</v>
      </c>
      <c r="N57" s="155">
        <f t="shared" si="103"/>
        <v>2876.77</v>
      </c>
      <c r="O57" s="155">
        <f t="shared" si="104"/>
        <v>1198.06</v>
      </c>
      <c r="P57" s="155">
        <f>'2015'!AZ57+'2015'!BA57</f>
        <v>489.18999999999994</v>
      </c>
      <c r="Q57" s="155">
        <f>'2015'!AU57</f>
        <v>733.65</v>
      </c>
      <c r="R57" s="155">
        <f t="shared" si="105"/>
        <v>1999.5900000000001</v>
      </c>
      <c r="S57" s="155">
        <f t="shared" si="106"/>
        <v>2320.5700000000002</v>
      </c>
      <c r="T57" s="155">
        <f t="shared" si="107"/>
        <v>486.16</v>
      </c>
      <c r="U57" s="552">
        <f t="shared" si="107"/>
        <v>1383.29</v>
      </c>
      <c r="V57" s="155">
        <f t="shared" si="108"/>
        <v>4719.47</v>
      </c>
      <c r="W57" s="155">
        <f t="shared" si="109"/>
        <v>1206.49</v>
      </c>
      <c r="X57" s="155">
        <f t="shared" si="110"/>
        <v>3916.9399999999996</v>
      </c>
      <c r="Y57" s="155">
        <f t="shared" si="111"/>
        <v>3814.47</v>
      </c>
      <c r="Z57" s="155">
        <f t="shared" si="112"/>
        <v>1069.8900000000001</v>
      </c>
      <c r="AA57" s="155">
        <f t="shared" si="113"/>
        <v>1669.94</v>
      </c>
      <c r="AB57" s="552">
        <f t="shared" si="114"/>
        <v>2231.04</v>
      </c>
      <c r="AC57" s="155">
        <f t="shared" si="115"/>
        <v>2085.39</v>
      </c>
      <c r="AD57" s="155">
        <f t="shared" si="116"/>
        <v>3872.7</v>
      </c>
      <c r="AE57" s="155">
        <f t="shared" si="117"/>
        <v>6340.75</v>
      </c>
      <c r="AF57" s="155">
        <f t="shared" si="118"/>
        <v>6162.82</v>
      </c>
      <c r="AG57" s="155">
        <f t="shared" si="119"/>
        <v>3109.84</v>
      </c>
      <c r="AH57" s="155">
        <f t="shared" si="120"/>
        <v>3673.25</v>
      </c>
      <c r="AI57" s="155">
        <f t="shared" si="121"/>
        <v>437.31</v>
      </c>
      <c r="AJ57" s="155">
        <f t="shared" si="122"/>
        <v>2329.13</v>
      </c>
      <c r="AK57" s="552">
        <f t="shared" si="123"/>
        <v>3650.26</v>
      </c>
      <c r="AL57" s="155">
        <f t="shared" si="124"/>
        <v>1561.57</v>
      </c>
      <c r="AM57" s="155">
        <f t="shared" si="125"/>
        <v>3592.83</v>
      </c>
      <c r="AN57" s="155">
        <f t="shared" si="126"/>
        <v>5860.52</v>
      </c>
      <c r="AO57" s="155">
        <f t="shared" si="127"/>
        <v>1973.33</v>
      </c>
      <c r="AP57" s="155">
        <f t="shared" si="127"/>
        <v>1193.76</v>
      </c>
      <c r="AQ57" s="155">
        <f t="shared" si="128"/>
        <v>1982.3</v>
      </c>
      <c r="AR57" s="155">
        <f t="shared" si="129"/>
        <v>1204.5</v>
      </c>
      <c r="AS57" s="156">
        <f t="shared" si="130"/>
        <v>1900.77</v>
      </c>
      <c r="AT57" s="155">
        <v>1353.19</v>
      </c>
      <c r="AU57" s="155">
        <v>733.65</v>
      </c>
      <c r="AV57" s="155">
        <v>2320.5700000000002</v>
      </c>
      <c r="AW57" s="155">
        <v>2876.77</v>
      </c>
      <c r="AX57" s="155">
        <v>646.4</v>
      </c>
      <c r="AY57" s="155">
        <v>833.37</v>
      </c>
      <c r="AZ57" s="155">
        <v>97.91</v>
      </c>
      <c r="BA57" s="155">
        <v>391.28</v>
      </c>
      <c r="BB57" s="155">
        <v>486.16</v>
      </c>
      <c r="BC57" s="155">
        <v>1383.29</v>
      </c>
      <c r="BD57" s="155">
        <v>1093.8499999999999</v>
      </c>
      <c r="BE57" s="155">
        <v>1198.06</v>
      </c>
      <c r="BF57" s="552">
        <v>2050.5100000000002</v>
      </c>
      <c r="BG57" s="155">
        <v>692.86</v>
      </c>
      <c r="BH57" s="155">
        <v>728.74</v>
      </c>
      <c r="BI57" s="155">
        <v>3188.2</v>
      </c>
      <c r="BJ57" s="155">
        <v>4026.61</v>
      </c>
      <c r="BK57" s="155">
        <v>85.43</v>
      </c>
      <c r="BL57" s="155">
        <v>699.57</v>
      </c>
      <c r="BM57" s="155">
        <v>1069.8900000000001</v>
      </c>
      <c r="BN57" s="155">
        <v>3029.47</v>
      </c>
      <c r="BO57" s="155">
        <v>196.8</v>
      </c>
      <c r="BP57" s="155">
        <v>2231.04</v>
      </c>
      <c r="BQ57" s="155">
        <v>1473.14</v>
      </c>
      <c r="BR57" s="552">
        <v>1206.49</v>
      </c>
      <c r="BS57" s="155">
        <v>683.11</v>
      </c>
      <c r="BT57" s="155">
        <v>5657.64</v>
      </c>
      <c r="BU57" s="155">
        <v>3872.7</v>
      </c>
      <c r="BV57" s="155">
        <v>3109.84</v>
      </c>
      <c r="BW57" s="155">
        <v>437.31</v>
      </c>
      <c r="BX57" s="155">
        <v>2085.39</v>
      </c>
      <c r="BY57" s="155">
        <v>2329.13</v>
      </c>
      <c r="BZ57" s="155">
        <v>3673.25</v>
      </c>
      <c r="CA57" s="155">
        <v>6162.82</v>
      </c>
      <c r="CB57" s="552">
        <v>3650.26</v>
      </c>
      <c r="CC57" s="155">
        <v>1973.33</v>
      </c>
      <c r="CD57" s="155">
        <v>1193.76</v>
      </c>
      <c r="CE57" s="155">
        <v>1561.57</v>
      </c>
      <c r="CF57" s="155">
        <v>137.05000000000001</v>
      </c>
      <c r="CG57" s="155">
        <v>1763.72</v>
      </c>
      <c r="CH57" s="155">
        <v>3592.83</v>
      </c>
      <c r="CI57" s="155">
        <v>1204.5</v>
      </c>
      <c r="CJ57" s="155">
        <v>5860.52</v>
      </c>
      <c r="CK57" s="156">
        <v>1982.3</v>
      </c>
      <c r="CL57" s="320">
        <v>85949.91</v>
      </c>
    </row>
    <row r="58" spans="1:90">
      <c r="A58" s="477">
        <f>ROWS($A$3:A56)</f>
        <v>54</v>
      </c>
      <c r="B58" s="92" t="s">
        <v>231</v>
      </c>
      <c r="C58" s="202">
        <v>2016</v>
      </c>
      <c r="D58" s="259" t="s">
        <v>13</v>
      </c>
      <c r="E58" s="447">
        <v>42549</v>
      </c>
      <c r="F58" s="154">
        <v>56</v>
      </c>
      <c r="G58" s="155">
        <v>53</v>
      </c>
      <c r="H58" s="155">
        <v>67</v>
      </c>
      <c r="I58" s="156">
        <v>62</v>
      </c>
      <c r="J58" s="281"/>
      <c r="K58" s="154">
        <f t="shared" si="100"/>
        <v>14</v>
      </c>
      <c r="L58" s="155">
        <f t="shared" si="101"/>
        <v>5</v>
      </c>
      <c r="M58" s="155">
        <f t="shared" si="102"/>
        <v>10</v>
      </c>
      <c r="N58" s="155">
        <f t="shared" si="103"/>
        <v>8</v>
      </c>
      <c r="O58" s="155">
        <f t="shared" si="104"/>
        <v>6</v>
      </c>
      <c r="P58" s="155">
        <f>'2015'!AZ58+'2015'!BA58</f>
        <v>12</v>
      </c>
      <c r="Q58" s="155">
        <f>'2015'!AU58</f>
        <v>5</v>
      </c>
      <c r="R58" s="155">
        <f t="shared" si="105"/>
        <v>9</v>
      </c>
      <c r="S58" s="155">
        <f t="shared" si="106"/>
        <v>7</v>
      </c>
      <c r="T58" s="155">
        <f t="shared" si="107"/>
        <v>6</v>
      </c>
      <c r="U58" s="552">
        <f t="shared" si="107"/>
        <v>13</v>
      </c>
      <c r="V58" s="155">
        <f t="shared" si="108"/>
        <v>18</v>
      </c>
      <c r="W58" s="155">
        <f t="shared" si="109"/>
        <v>7</v>
      </c>
      <c r="X58" s="155">
        <f t="shared" si="110"/>
        <v>25</v>
      </c>
      <c r="Y58" s="155">
        <f t="shared" si="111"/>
        <v>18</v>
      </c>
      <c r="Z58" s="155">
        <f t="shared" si="112"/>
        <v>8</v>
      </c>
      <c r="AA58" s="155">
        <f t="shared" si="113"/>
        <v>12</v>
      </c>
      <c r="AB58" s="552">
        <f t="shared" si="114"/>
        <v>8</v>
      </c>
      <c r="AC58" s="155">
        <f t="shared" si="115"/>
        <v>8</v>
      </c>
      <c r="AD58" s="155">
        <f t="shared" si="116"/>
        <v>8</v>
      </c>
      <c r="AE58" s="155">
        <f t="shared" si="117"/>
        <v>21</v>
      </c>
      <c r="AF58" s="155">
        <f t="shared" si="118"/>
        <v>9</v>
      </c>
      <c r="AG58" s="155">
        <f t="shared" si="119"/>
        <v>14</v>
      </c>
      <c r="AH58" s="155">
        <f t="shared" si="120"/>
        <v>9</v>
      </c>
      <c r="AI58" s="155">
        <f t="shared" si="121"/>
        <v>8</v>
      </c>
      <c r="AJ58" s="155">
        <f t="shared" si="122"/>
        <v>8</v>
      </c>
      <c r="AK58" s="552">
        <f t="shared" si="123"/>
        <v>13</v>
      </c>
      <c r="AL58" s="155">
        <f t="shared" si="124"/>
        <v>17</v>
      </c>
      <c r="AM58" s="155">
        <f t="shared" si="125"/>
        <v>9</v>
      </c>
      <c r="AN58" s="155">
        <f t="shared" si="126"/>
        <v>16</v>
      </c>
      <c r="AO58" s="155">
        <f t="shared" si="127"/>
        <v>14</v>
      </c>
      <c r="AP58" s="155">
        <f t="shared" si="127"/>
        <v>6</v>
      </c>
      <c r="AQ58" s="155">
        <f t="shared" si="128"/>
        <v>12</v>
      </c>
      <c r="AR58" s="155">
        <f t="shared" si="129"/>
        <v>9</v>
      </c>
      <c r="AS58" s="156">
        <f t="shared" si="130"/>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238</v>
      </c>
    </row>
    <row r="59" spans="1:90">
      <c r="A59" s="477">
        <f>ROWS($A$3:A57)</f>
        <v>55</v>
      </c>
      <c r="B59" s="92"/>
      <c r="C59" s="203"/>
      <c r="D59" s="259" t="s">
        <v>1</v>
      </c>
      <c r="E59" s="451"/>
      <c r="F59" s="154">
        <v>92673.58</v>
      </c>
      <c r="G59" s="155">
        <v>96932.96</v>
      </c>
      <c r="H59" s="155">
        <v>131563.07</v>
      </c>
      <c r="I59" s="156">
        <v>94128.52</v>
      </c>
      <c r="J59" s="281"/>
      <c r="K59" s="154">
        <f t="shared" si="100"/>
        <v>10647.95</v>
      </c>
      <c r="L59" s="155">
        <f t="shared" si="101"/>
        <v>3094.18</v>
      </c>
      <c r="M59" s="155">
        <f t="shared" si="102"/>
        <v>8239.0300000000007</v>
      </c>
      <c r="N59" s="155">
        <f t="shared" si="103"/>
        <v>9429.69</v>
      </c>
      <c r="O59" s="155">
        <f t="shared" si="104"/>
        <v>7368.27</v>
      </c>
      <c r="P59" s="155">
        <f>'2015'!AZ59+'2015'!BA59</f>
        <v>11732.09</v>
      </c>
      <c r="Q59" s="155">
        <f>'2015'!AU59</f>
        <v>6854.1</v>
      </c>
      <c r="R59" s="155">
        <f t="shared" si="105"/>
        <v>10375.720000000001</v>
      </c>
      <c r="S59" s="155">
        <f t="shared" si="106"/>
        <v>8925.42</v>
      </c>
      <c r="T59" s="155">
        <f t="shared" si="107"/>
        <v>8628.2099999999991</v>
      </c>
      <c r="U59" s="552">
        <f t="shared" si="107"/>
        <v>7378.93</v>
      </c>
      <c r="V59" s="155">
        <f t="shared" si="108"/>
        <v>14709.06</v>
      </c>
      <c r="W59" s="155">
        <f t="shared" si="109"/>
        <v>5684.12</v>
      </c>
      <c r="X59" s="155">
        <f t="shared" si="110"/>
        <v>30185.63</v>
      </c>
      <c r="Y59" s="155">
        <f t="shared" si="111"/>
        <v>19398.03</v>
      </c>
      <c r="Z59" s="155">
        <f t="shared" si="112"/>
        <v>9679.44</v>
      </c>
      <c r="AA59" s="155">
        <f t="shared" si="113"/>
        <v>11875.439999999999</v>
      </c>
      <c r="AB59" s="552">
        <f t="shared" si="114"/>
        <v>5401.25</v>
      </c>
      <c r="AC59" s="155">
        <f t="shared" si="115"/>
        <v>8425.56</v>
      </c>
      <c r="AD59" s="155">
        <f t="shared" si="116"/>
        <v>10406.870000000001</v>
      </c>
      <c r="AE59" s="155">
        <f t="shared" si="117"/>
        <v>22675.86</v>
      </c>
      <c r="AF59" s="155">
        <f t="shared" si="118"/>
        <v>16080.45</v>
      </c>
      <c r="AG59" s="155">
        <f t="shared" si="119"/>
        <v>18368.13</v>
      </c>
      <c r="AH59" s="155">
        <f t="shared" si="120"/>
        <v>14604.38</v>
      </c>
      <c r="AI59" s="155">
        <f t="shared" si="121"/>
        <v>6048.28</v>
      </c>
      <c r="AJ59" s="155">
        <f t="shared" si="122"/>
        <v>12368.84</v>
      </c>
      <c r="AK59" s="552">
        <f t="shared" si="123"/>
        <v>22584.7</v>
      </c>
      <c r="AL59" s="155">
        <f t="shared" si="124"/>
        <v>12289.67</v>
      </c>
      <c r="AM59" s="155">
        <f t="shared" si="125"/>
        <v>8163.29</v>
      </c>
      <c r="AN59" s="155">
        <f t="shared" si="126"/>
        <v>12900.04</v>
      </c>
      <c r="AO59" s="155">
        <f t="shared" si="127"/>
        <v>22382.68</v>
      </c>
      <c r="AP59" s="155">
        <f t="shared" si="127"/>
        <v>12991.68</v>
      </c>
      <c r="AQ59" s="155">
        <f t="shared" si="128"/>
        <v>9825.44</v>
      </c>
      <c r="AR59" s="155">
        <f t="shared" si="129"/>
        <v>3966.79</v>
      </c>
      <c r="AS59" s="156">
        <f t="shared" si="130"/>
        <v>11608.939999999999</v>
      </c>
      <c r="AT59" s="155">
        <v>2321.13</v>
      </c>
      <c r="AU59" s="155">
        <v>6854.1</v>
      </c>
      <c r="AV59" s="155">
        <v>8925.42</v>
      </c>
      <c r="AW59" s="155">
        <v>9429.69</v>
      </c>
      <c r="AX59" s="155">
        <v>8054.59</v>
      </c>
      <c r="AY59" s="155">
        <v>3094.18</v>
      </c>
      <c r="AZ59" s="155">
        <v>1057.5999999999999</v>
      </c>
      <c r="BA59" s="155">
        <v>10674.49</v>
      </c>
      <c r="BB59" s="155">
        <v>8628.2099999999991</v>
      </c>
      <c r="BC59" s="155">
        <v>7378.93</v>
      </c>
      <c r="BD59" s="155">
        <v>8239.0300000000007</v>
      </c>
      <c r="BE59" s="155">
        <v>7368.27</v>
      </c>
      <c r="BF59" s="552">
        <v>10647.95</v>
      </c>
      <c r="BG59" s="155">
        <v>1534.08</v>
      </c>
      <c r="BH59" s="155">
        <v>4357.2299999999996</v>
      </c>
      <c r="BI59" s="155">
        <v>25828.400000000001</v>
      </c>
      <c r="BJ59" s="155">
        <v>13174.98</v>
      </c>
      <c r="BK59" s="155">
        <v>2350.92</v>
      </c>
      <c r="BL59" s="155">
        <v>1630.33</v>
      </c>
      <c r="BM59" s="155">
        <v>9679.44</v>
      </c>
      <c r="BN59" s="155">
        <v>15416.78</v>
      </c>
      <c r="BO59" s="155">
        <v>1427.79</v>
      </c>
      <c r="BP59" s="155">
        <v>5401.25</v>
      </c>
      <c r="BQ59" s="155">
        <v>10447.65</v>
      </c>
      <c r="BR59" s="552">
        <v>5684.12</v>
      </c>
      <c r="BS59" s="155">
        <v>3178.13</v>
      </c>
      <c r="BT59" s="155">
        <v>19497.73</v>
      </c>
      <c r="BU59" s="155">
        <v>10406.870000000001</v>
      </c>
      <c r="BV59" s="155">
        <v>18368.13</v>
      </c>
      <c r="BW59" s="155">
        <v>6048.28</v>
      </c>
      <c r="BX59" s="155">
        <v>8425.56</v>
      </c>
      <c r="BY59" s="155">
        <v>12368.84</v>
      </c>
      <c r="BZ59" s="155">
        <v>14604.38</v>
      </c>
      <c r="CA59" s="155">
        <v>16080.45</v>
      </c>
      <c r="CB59" s="552">
        <v>22584.7</v>
      </c>
      <c r="CC59" s="155">
        <v>22382.68</v>
      </c>
      <c r="CD59" s="155">
        <v>12991.68</v>
      </c>
      <c r="CE59" s="155">
        <v>12289.67</v>
      </c>
      <c r="CF59" s="155">
        <v>571.05999999999995</v>
      </c>
      <c r="CG59" s="155">
        <v>11037.88</v>
      </c>
      <c r="CH59" s="155">
        <v>8163.29</v>
      </c>
      <c r="CI59" s="155">
        <v>3966.79</v>
      </c>
      <c r="CJ59" s="155">
        <v>12900.04</v>
      </c>
      <c r="CK59" s="156">
        <v>9825.44</v>
      </c>
      <c r="CL59" s="320">
        <v>428597.92</v>
      </c>
    </row>
    <row r="60" spans="1:90">
      <c r="A60" s="477">
        <f>ROWS($A$3:A58)</f>
        <v>56</v>
      </c>
      <c r="B60" s="92" t="s">
        <v>232</v>
      </c>
      <c r="C60" s="202">
        <v>2016</v>
      </c>
      <c r="D60" s="259" t="s">
        <v>13</v>
      </c>
      <c r="E60" s="447">
        <v>42549</v>
      </c>
      <c r="F60" s="154">
        <v>21</v>
      </c>
      <c r="G60" s="281">
        <v>23</v>
      </c>
      <c r="H60" s="281">
        <v>34</v>
      </c>
      <c r="I60" s="156">
        <v>23</v>
      </c>
      <c r="J60" s="281"/>
      <c r="K60" s="154">
        <f t="shared" si="100"/>
        <v>6</v>
      </c>
      <c r="L60" s="155">
        <f t="shared" si="101"/>
        <v>2</v>
      </c>
      <c r="M60" s="155">
        <f t="shared" si="102"/>
        <v>2</v>
      </c>
      <c r="N60" s="155">
        <f t="shared" si="103"/>
        <v>3</v>
      </c>
      <c r="O60" s="155">
        <f t="shared" si="104"/>
        <v>3</v>
      </c>
      <c r="P60" s="155">
        <f>'2015'!AZ60+'2015'!BA60</f>
        <v>3</v>
      </c>
      <c r="Q60" s="155">
        <f>'2015'!AU60</f>
        <v>1</v>
      </c>
      <c r="R60" s="155">
        <f t="shared" si="105"/>
        <v>5</v>
      </c>
      <c r="S60" s="155">
        <f t="shared" si="106"/>
        <v>4</v>
      </c>
      <c r="T60" s="155">
        <f t="shared" si="107"/>
        <v>2</v>
      </c>
      <c r="U60" s="552">
        <f t="shared" si="107"/>
        <v>3</v>
      </c>
      <c r="V60" s="155">
        <f t="shared" si="108"/>
        <v>6</v>
      </c>
      <c r="W60" s="155">
        <f t="shared" si="109"/>
        <v>1</v>
      </c>
      <c r="X60" s="155">
        <f t="shared" si="110"/>
        <v>10</v>
      </c>
      <c r="Y60" s="155">
        <f t="shared" si="111"/>
        <v>9</v>
      </c>
      <c r="Z60" s="155">
        <f t="shared" si="112"/>
        <v>3</v>
      </c>
      <c r="AA60" s="155">
        <f t="shared" si="113"/>
        <v>3</v>
      </c>
      <c r="AB60" s="552">
        <f t="shared" si="114"/>
        <v>2</v>
      </c>
      <c r="AC60" s="155">
        <f t="shared" si="115"/>
        <v>3</v>
      </c>
      <c r="AD60" s="155">
        <f t="shared" si="116"/>
        <v>7</v>
      </c>
      <c r="AE60" s="155">
        <f t="shared" si="117"/>
        <v>14</v>
      </c>
      <c r="AF60" s="155">
        <f t="shared" si="118"/>
        <v>3</v>
      </c>
      <c r="AG60" s="155">
        <f t="shared" si="119"/>
        <v>12</v>
      </c>
      <c r="AH60" s="155">
        <f t="shared" si="120"/>
        <v>6</v>
      </c>
      <c r="AI60" s="155">
        <f t="shared" si="121"/>
        <v>6</v>
      </c>
      <c r="AJ60" s="155">
        <f t="shared" si="122"/>
        <v>3</v>
      </c>
      <c r="AK60" s="552">
        <f t="shared" si="123"/>
        <v>2</v>
      </c>
      <c r="AL60" s="155">
        <f t="shared" si="124"/>
        <v>3</v>
      </c>
      <c r="AM60" s="155">
        <f t="shared" si="125"/>
        <v>3</v>
      </c>
      <c r="AN60" s="155">
        <f t="shared" si="126"/>
        <v>7</v>
      </c>
      <c r="AO60" s="155">
        <f t="shared" si="127"/>
        <v>3</v>
      </c>
      <c r="AP60" s="155">
        <f t="shared" si="127"/>
        <v>5</v>
      </c>
      <c r="AQ60" s="155">
        <f t="shared" si="128"/>
        <v>3</v>
      </c>
      <c r="AR60" s="155">
        <f t="shared" si="129"/>
        <v>3</v>
      </c>
      <c r="AS60" s="156">
        <f t="shared" si="130"/>
        <v>6</v>
      </c>
      <c r="AT60" s="155">
        <v>1</v>
      </c>
      <c r="AU60" s="281">
        <v>1</v>
      </c>
      <c r="AV60" s="281">
        <v>4</v>
      </c>
      <c r="AW60" s="281">
        <v>3</v>
      </c>
      <c r="AX60" s="281">
        <v>4</v>
      </c>
      <c r="AY60" s="281">
        <v>2</v>
      </c>
      <c r="AZ60" s="281">
        <v>0</v>
      </c>
      <c r="BA60" s="281">
        <v>3</v>
      </c>
      <c r="BB60" s="281">
        <v>2</v>
      </c>
      <c r="BC60" s="281">
        <v>3</v>
      </c>
      <c r="BD60" s="281">
        <v>2</v>
      </c>
      <c r="BE60" s="281">
        <v>3</v>
      </c>
      <c r="BF60" s="552">
        <v>6</v>
      </c>
      <c r="BG60" s="281">
        <v>1</v>
      </c>
      <c r="BH60" s="281">
        <v>4</v>
      </c>
      <c r="BI60" s="281">
        <v>6</v>
      </c>
      <c r="BJ60" s="281">
        <v>5</v>
      </c>
      <c r="BK60" s="281">
        <v>1</v>
      </c>
      <c r="BL60" s="281">
        <v>1</v>
      </c>
      <c r="BM60" s="281">
        <v>3</v>
      </c>
      <c r="BN60" s="281">
        <v>7</v>
      </c>
      <c r="BO60" s="281">
        <v>0</v>
      </c>
      <c r="BP60" s="281">
        <v>2</v>
      </c>
      <c r="BQ60" s="281">
        <v>3</v>
      </c>
      <c r="BR60" s="552">
        <v>1</v>
      </c>
      <c r="BS60" s="281">
        <v>3</v>
      </c>
      <c r="BT60" s="281">
        <v>11</v>
      </c>
      <c r="BU60" s="281">
        <v>7</v>
      </c>
      <c r="BV60" s="281">
        <v>12</v>
      </c>
      <c r="BW60" s="281">
        <v>6</v>
      </c>
      <c r="BX60" s="281">
        <v>3</v>
      </c>
      <c r="BY60" s="281">
        <v>3</v>
      </c>
      <c r="BZ60" s="281">
        <v>6</v>
      </c>
      <c r="CA60" s="281">
        <v>3</v>
      </c>
      <c r="CB60" s="552">
        <v>2</v>
      </c>
      <c r="CC60" s="281">
        <v>3</v>
      </c>
      <c r="CD60" s="281">
        <v>5</v>
      </c>
      <c r="CE60" s="281">
        <v>3</v>
      </c>
      <c r="CF60" s="281">
        <v>1</v>
      </c>
      <c r="CG60" s="281">
        <v>5</v>
      </c>
      <c r="CH60" s="281">
        <v>3</v>
      </c>
      <c r="CI60" s="281">
        <v>3</v>
      </c>
      <c r="CJ60" s="281">
        <v>7</v>
      </c>
      <c r="CK60" s="156">
        <v>3</v>
      </c>
      <c r="CL60" s="320">
        <v>101</v>
      </c>
    </row>
    <row r="61" spans="1:90">
      <c r="A61" s="477">
        <f>ROWS($A$3:A59)</f>
        <v>57</v>
      </c>
      <c r="B61" s="92"/>
      <c r="C61" s="203"/>
      <c r="D61" s="259" t="s">
        <v>1</v>
      </c>
      <c r="E61" s="451"/>
      <c r="F61" s="154">
        <v>69128.23</v>
      </c>
      <c r="G61" s="155">
        <v>56214.11</v>
      </c>
      <c r="H61" s="155">
        <v>181976.13</v>
      </c>
      <c r="I61" s="156">
        <v>83744.05</v>
      </c>
      <c r="J61" s="281"/>
      <c r="K61" s="154">
        <f t="shared" si="100"/>
        <v>3640.6</v>
      </c>
      <c r="L61" s="155">
        <f t="shared" si="101"/>
        <v>2438.31</v>
      </c>
      <c r="M61" s="155">
        <f t="shared" si="102"/>
        <v>2646.18</v>
      </c>
      <c r="N61" s="155">
        <f t="shared" si="103"/>
        <v>18786.78</v>
      </c>
      <c r="O61" s="155">
        <f t="shared" si="104"/>
        <v>7507.33</v>
      </c>
      <c r="P61" s="155">
        <f>'2015'!AZ61+'2015'!BA61</f>
        <v>2511.94</v>
      </c>
      <c r="Q61" s="155">
        <f>'2015'!AU61</f>
        <v>5384.64</v>
      </c>
      <c r="R61" s="155">
        <f t="shared" si="105"/>
        <v>6609.3</v>
      </c>
      <c r="S61" s="155">
        <f t="shared" si="106"/>
        <v>17681.96</v>
      </c>
      <c r="T61" s="155">
        <f t="shared" si="107"/>
        <v>713.74</v>
      </c>
      <c r="U61" s="552">
        <f t="shared" si="107"/>
        <v>1207.45</v>
      </c>
      <c r="V61" s="155">
        <f t="shared" si="108"/>
        <v>14511.39</v>
      </c>
      <c r="W61" s="155">
        <f t="shared" si="109"/>
        <v>17414.150000000001</v>
      </c>
      <c r="X61" s="155">
        <f t="shared" si="110"/>
        <v>12530.210000000001</v>
      </c>
      <c r="Y61" s="155">
        <f t="shared" si="111"/>
        <v>6488.93</v>
      </c>
      <c r="Z61" s="155">
        <f t="shared" si="112"/>
        <v>218.49</v>
      </c>
      <c r="AA61" s="155">
        <f t="shared" si="113"/>
        <v>2407.1</v>
      </c>
      <c r="AB61" s="552">
        <f t="shared" si="114"/>
        <v>2643.84</v>
      </c>
      <c r="AC61" s="155">
        <f t="shared" si="115"/>
        <v>50305.78</v>
      </c>
      <c r="AD61" s="155">
        <f t="shared" si="116"/>
        <v>12559.86</v>
      </c>
      <c r="AE61" s="155">
        <f t="shared" si="117"/>
        <v>29117.7</v>
      </c>
      <c r="AF61" s="155">
        <f t="shared" si="118"/>
        <v>11381.72</v>
      </c>
      <c r="AG61" s="155">
        <f t="shared" si="119"/>
        <v>27567.38</v>
      </c>
      <c r="AH61" s="155">
        <f t="shared" si="120"/>
        <v>9555.84</v>
      </c>
      <c r="AI61" s="155">
        <f t="shared" si="121"/>
        <v>3426.68</v>
      </c>
      <c r="AJ61" s="155">
        <f t="shared" si="122"/>
        <v>20646.07</v>
      </c>
      <c r="AK61" s="552">
        <f t="shared" si="123"/>
        <v>17415.11</v>
      </c>
      <c r="AL61" s="155">
        <f t="shared" si="124"/>
        <v>19750.669999999998</v>
      </c>
      <c r="AM61" s="155">
        <f t="shared" si="125"/>
        <v>2982.45</v>
      </c>
      <c r="AN61" s="155">
        <f t="shared" si="126"/>
        <v>8762.36</v>
      </c>
      <c r="AO61" s="155">
        <f t="shared" si="127"/>
        <v>21889.26</v>
      </c>
      <c r="AP61" s="155">
        <f t="shared" si="127"/>
        <v>13710.3</v>
      </c>
      <c r="AQ61" s="155">
        <f t="shared" si="128"/>
        <v>8600.44</v>
      </c>
      <c r="AR61" s="155">
        <f t="shared" si="129"/>
        <v>882.97</v>
      </c>
      <c r="AS61" s="156">
        <f t="shared" si="130"/>
        <v>7165.59</v>
      </c>
      <c r="AT61" s="155">
        <v>3.01</v>
      </c>
      <c r="AU61" s="155">
        <v>5384.64</v>
      </c>
      <c r="AV61" s="155">
        <v>17681.96</v>
      </c>
      <c r="AW61" s="155">
        <v>18786.78</v>
      </c>
      <c r="AX61" s="155">
        <v>6606.29</v>
      </c>
      <c r="AY61" s="155">
        <v>2438.31</v>
      </c>
      <c r="AZ61" s="155">
        <v>0</v>
      </c>
      <c r="BA61" s="155">
        <v>2511.94</v>
      </c>
      <c r="BB61" s="155">
        <v>713.74</v>
      </c>
      <c r="BC61" s="155">
        <v>1207.45</v>
      </c>
      <c r="BD61" s="155">
        <v>2646.18</v>
      </c>
      <c r="BE61" s="155">
        <v>7507.33</v>
      </c>
      <c r="BF61" s="552">
        <v>3640.6</v>
      </c>
      <c r="BG61" s="155">
        <v>365.57</v>
      </c>
      <c r="BH61" s="155">
        <v>2893.59</v>
      </c>
      <c r="BI61" s="155">
        <v>9636.6200000000008</v>
      </c>
      <c r="BJ61" s="155">
        <v>14145.82</v>
      </c>
      <c r="BK61" s="155">
        <v>3.96</v>
      </c>
      <c r="BL61" s="155">
        <v>418.25</v>
      </c>
      <c r="BM61" s="155">
        <v>218.49</v>
      </c>
      <c r="BN61" s="155">
        <v>6066.72</v>
      </c>
      <c r="BO61" s="155">
        <v>0</v>
      </c>
      <c r="BP61" s="155">
        <v>2643.84</v>
      </c>
      <c r="BQ61" s="155">
        <v>2407.1</v>
      </c>
      <c r="BR61" s="552">
        <v>17414.150000000001</v>
      </c>
      <c r="BS61" s="155">
        <v>2995.61</v>
      </c>
      <c r="BT61" s="155">
        <v>26122.09</v>
      </c>
      <c r="BU61" s="155">
        <v>12559.86</v>
      </c>
      <c r="BV61" s="155">
        <v>27567.38</v>
      </c>
      <c r="BW61" s="155">
        <v>3426.68</v>
      </c>
      <c r="BX61" s="155">
        <v>50305.78</v>
      </c>
      <c r="BY61" s="155">
        <v>20646.07</v>
      </c>
      <c r="BZ61" s="155">
        <v>9555.84</v>
      </c>
      <c r="CA61" s="155">
        <v>11381.72</v>
      </c>
      <c r="CB61" s="552">
        <v>17415.11</v>
      </c>
      <c r="CC61" s="155">
        <v>21889.26</v>
      </c>
      <c r="CD61" s="155">
        <v>13710.3</v>
      </c>
      <c r="CE61" s="155">
        <v>19750.669999999998</v>
      </c>
      <c r="CF61" s="155">
        <v>132.03</v>
      </c>
      <c r="CG61" s="155">
        <v>7033.56</v>
      </c>
      <c r="CH61" s="155">
        <v>2982.45</v>
      </c>
      <c r="CI61" s="155">
        <v>882.97</v>
      </c>
      <c r="CJ61" s="155">
        <v>8762.36</v>
      </c>
      <c r="CK61" s="156">
        <v>8600.44</v>
      </c>
      <c r="CL61" s="320">
        <v>397044.05</v>
      </c>
    </row>
    <row r="62" spans="1:90">
      <c r="A62" s="477">
        <f>ROWS($A$3:A60)</f>
        <v>58</v>
      </c>
      <c r="B62" s="92" t="s">
        <v>56</v>
      </c>
      <c r="C62" s="202">
        <v>2016</v>
      </c>
      <c r="D62" s="259" t="s">
        <v>13</v>
      </c>
      <c r="E62" s="447">
        <v>42549</v>
      </c>
      <c r="F62" s="154">
        <v>775</v>
      </c>
      <c r="G62" s="155">
        <v>404</v>
      </c>
      <c r="H62" s="155">
        <v>995</v>
      </c>
      <c r="I62" s="156">
        <v>384</v>
      </c>
      <c r="J62" s="281"/>
      <c r="K62" s="154">
        <f t="shared" si="100"/>
        <v>70</v>
      </c>
      <c r="L62" s="155">
        <f t="shared" si="101"/>
        <v>171</v>
      </c>
      <c r="M62" s="155">
        <f t="shared" si="102"/>
        <v>49</v>
      </c>
      <c r="N62" s="155">
        <f t="shared" si="103"/>
        <v>35</v>
      </c>
      <c r="O62" s="155">
        <f t="shared" si="104"/>
        <v>15</v>
      </c>
      <c r="P62" s="155">
        <f>'2015'!AZ62+'2015'!BA62</f>
        <v>101</v>
      </c>
      <c r="Q62" s="155">
        <f>'2015'!AU62</f>
        <v>26</v>
      </c>
      <c r="R62" s="155">
        <f t="shared" si="105"/>
        <v>43</v>
      </c>
      <c r="S62" s="155">
        <f t="shared" si="106"/>
        <v>36</v>
      </c>
      <c r="T62" s="155">
        <f t="shared" si="107"/>
        <v>67</v>
      </c>
      <c r="U62" s="552">
        <f t="shared" si="107"/>
        <v>81</v>
      </c>
      <c r="V62" s="155">
        <f t="shared" si="108"/>
        <v>66</v>
      </c>
      <c r="W62" s="155">
        <f t="shared" si="109"/>
        <v>41</v>
      </c>
      <c r="X62" s="155">
        <f t="shared" si="110"/>
        <v>43</v>
      </c>
      <c r="Y62" s="155">
        <f t="shared" si="111"/>
        <v>54</v>
      </c>
      <c r="Z62" s="155">
        <f t="shared" si="112"/>
        <v>35</v>
      </c>
      <c r="AA62" s="155">
        <f t="shared" si="113"/>
        <v>37</v>
      </c>
      <c r="AB62" s="552">
        <f t="shared" si="114"/>
        <v>51</v>
      </c>
      <c r="AC62" s="155">
        <f t="shared" si="115"/>
        <v>120</v>
      </c>
      <c r="AD62" s="155">
        <f t="shared" si="116"/>
        <v>72</v>
      </c>
      <c r="AE62" s="155">
        <f t="shared" si="117"/>
        <v>126</v>
      </c>
      <c r="AF62" s="155">
        <f t="shared" si="118"/>
        <v>109</v>
      </c>
      <c r="AG62" s="155">
        <f t="shared" si="119"/>
        <v>138</v>
      </c>
      <c r="AH62" s="155">
        <f t="shared" si="120"/>
        <v>100</v>
      </c>
      <c r="AI62" s="155">
        <f t="shared" si="121"/>
        <v>39</v>
      </c>
      <c r="AJ62" s="155">
        <f t="shared" si="122"/>
        <v>42</v>
      </c>
      <c r="AK62" s="552">
        <f t="shared" si="123"/>
        <v>177</v>
      </c>
      <c r="AL62" s="155">
        <f t="shared" si="124"/>
        <v>34</v>
      </c>
      <c r="AM62" s="155">
        <f t="shared" si="125"/>
        <v>44</v>
      </c>
      <c r="AN62" s="155">
        <f t="shared" si="126"/>
        <v>70</v>
      </c>
      <c r="AO62" s="155">
        <f t="shared" si="127"/>
        <v>33</v>
      </c>
      <c r="AP62" s="155">
        <f t="shared" si="127"/>
        <v>12</v>
      </c>
      <c r="AQ62" s="155">
        <f t="shared" si="128"/>
        <v>57</v>
      </c>
      <c r="AR62" s="155">
        <f t="shared" si="129"/>
        <v>38</v>
      </c>
      <c r="AS62" s="156">
        <f t="shared" si="130"/>
        <v>33</v>
      </c>
      <c r="AT62" s="155">
        <v>2</v>
      </c>
      <c r="AU62" s="281">
        <v>26</v>
      </c>
      <c r="AV62" s="281">
        <v>36</v>
      </c>
      <c r="AW62" s="281">
        <v>35</v>
      </c>
      <c r="AX62" s="281">
        <v>41</v>
      </c>
      <c r="AY62" s="281">
        <v>171</v>
      </c>
      <c r="AZ62" s="281">
        <v>5</v>
      </c>
      <c r="BA62" s="281">
        <v>96</v>
      </c>
      <c r="BB62" s="281">
        <v>67</v>
      </c>
      <c r="BC62" s="281">
        <v>81</v>
      </c>
      <c r="BD62" s="281">
        <v>49</v>
      </c>
      <c r="BE62" s="281">
        <v>15</v>
      </c>
      <c r="BF62" s="552">
        <v>70</v>
      </c>
      <c r="BG62" s="281">
        <v>7</v>
      </c>
      <c r="BH62" s="281">
        <v>3</v>
      </c>
      <c r="BI62" s="281">
        <v>40</v>
      </c>
      <c r="BJ62" s="281">
        <v>59</v>
      </c>
      <c r="BK62" s="281">
        <v>5</v>
      </c>
      <c r="BL62" s="281">
        <v>2</v>
      </c>
      <c r="BM62" s="281">
        <v>35</v>
      </c>
      <c r="BN62" s="281">
        <v>47</v>
      </c>
      <c r="BO62" s="281">
        <v>2</v>
      </c>
      <c r="BP62" s="281">
        <v>51</v>
      </c>
      <c r="BQ62" s="281">
        <v>35</v>
      </c>
      <c r="BR62" s="552">
        <v>41</v>
      </c>
      <c r="BS62" s="281">
        <v>5</v>
      </c>
      <c r="BT62" s="281">
        <v>121</v>
      </c>
      <c r="BU62" s="281">
        <v>72</v>
      </c>
      <c r="BV62" s="281">
        <v>138</v>
      </c>
      <c r="BW62" s="281">
        <v>39</v>
      </c>
      <c r="BX62" s="281">
        <v>120</v>
      </c>
      <c r="BY62" s="281">
        <v>42</v>
      </c>
      <c r="BZ62" s="281">
        <v>100</v>
      </c>
      <c r="CA62" s="281">
        <v>109</v>
      </c>
      <c r="CB62" s="552">
        <v>177</v>
      </c>
      <c r="CC62" s="281">
        <v>33</v>
      </c>
      <c r="CD62" s="281">
        <v>12</v>
      </c>
      <c r="CE62" s="281">
        <v>34</v>
      </c>
      <c r="CF62" s="281">
        <v>2</v>
      </c>
      <c r="CG62" s="281">
        <v>31</v>
      </c>
      <c r="CH62" s="281">
        <v>44</v>
      </c>
      <c r="CI62" s="281">
        <v>38</v>
      </c>
      <c r="CJ62" s="281">
        <v>70</v>
      </c>
      <c r="CK62" s="156">
        <v>57</v>
      </c>
      <c r="CL62" s="320">
        <v>2265</v>
      </c>
    </row>
    <row r="63" spans="1:90">
      <c r="A63" s="477">
        <f>ROWS($A$3:A61)</f>
        <v>59</v>
      </c>
      <c r="B63" s="92"/>
      <c r="C63" s="203"/>
      <c r="D63" s="259" t="s">
        <v>1</v>
      </c>
      <c r="E63" s="451"/>
      <c r="F63" s="154">
        <v>279240</v>
      </c>
      <c r="G63" s="155">
        <v>200783</v>
      </c>
      <c r="H63" s="155">
        <v>157188</v>
      </c>
      <c r="I63" s="156">
        <v>305333</v>
      </c>
      <c r="J63" s="281"/>
      <c r="K63" s="154">
        <f t="shared" si="100"/>
        <v>16938.849999999999</v>
      </c>
      <c r="L63" s="155">
        <f t="shared" si="101"/>
        <v>7445.2699999999986</v>
      </c>
      <c r="M63" s="155">
        <f t="shared" si="102"/>
        <v>54163.430000000008</v>
      </c>
      <c r="N63" s="155">
        <f t="shared" si="103"/>
        <v>21258.05</v>
      </c>
      <c r="O63" s="155">
        <f t="shared" si="104"/>
        <v>68472.180000000008</v>
      </c>
      <c r="P63" s="155">
        <f>'2015'!AZ63+'2015'!BA63</f>
        <v>28600.820000000007</v>
      </c>
      <c r="Q63" s="155">
        <f>'2015'!AU63</f>
        <v>23580.449999999997</v>
      </c>
      <c r="R63" s="155">
        <f t="shared" si="105"/>
        <v>21226.1</v>
      </c>
      <c r="S63" s="155">
        <f t="shared" si="106"/>
        <v>12955.949999999999</v>
      </c>
      <c r="T63" s="155">
        <f t="shared" si="107"/>
        <v>13245.599999999997</v>
      </c>
      <c r="U63" s="552">
        <f t="shared" si="107"/>
        <v>5177.1599999999989</v>
      </c>
      <c r="V63" s="155">
        <f t="shared" si="108"/>
        <v>20813.570000000003</v>
      </c>
      <c r="W63" s="155">
        <f t="shared" si="109"/>
        <v>16027.159999999998</v>
      </c>
      <c r="X63" s="155">
        <f t="shared" si="110"/>
        <v>43231.960000000006</v>
      </c>
      <c r="Y63" s="155">
        <f t="shared" si="111"/>
        <v>40669.950000000004</v>
      </c>
      <c r="Z63" s="155">
        <f t="shared" si="112"/>
        <v>27966.929999999993</v>
      </c>
      <c r="AA63" s="155">
        <f t="shared" si="113"/>
        <v>23575.539999999997</v>
      </c>
      <c r="AB63" s="552">
        <f t="shared" si="114"/>
        <v>28286.890000000003</v>
      </c>
      <c r="AC63" s="155">
        <f t="shared" si="115"/>
        <v>16776.750000000004</v>
      </c>
      <c r="AD63" s="155">
        <f t="shared" si="116"/>
        <v>8690.27</v>
      </c>
      <c r="AE63" s="155">
        <f t="shared" si="117"/>
        <v>19653.369999999992</v>
      </c>
      <c r="AF63" s="155">
        <f t="shared" si="118"/>
        <v>9694.690000000006</v>
      </c>
      <c r="AG63" s="155">
        <f t="shared" si="119"/>
        <v>19851.240000000009</v>
      </c>
      <c r="AH63" s="155">
        <f t="shared" si="120"/>
        <v>26637.330000000009</v>
      </c>
      <c r="AI63" s="155">
        <f t="shared" si="121"/>
        <v>21599.480000000003</v>
      </c>
      <c r="AJ63" s="155">
        <f t="shared" si="122"/>
        <v>11316.08</v>
      </c>
      <c r="AK63" s="552">
        <f t="shared" si="123"/>
        <v>21473.16</v>
      </c>
      <c r="AL63" s="155">
        <f t="shared" si="124"/>
        <v>32297.29</v>
      </c>
      <c r="AM63" s="155">
        <f t="shared" si="125"/>
        <v>28238.520000000008</v>
      </c>
      <c r="AN63" s="155">
        <f t="shared" si="126"/>
        <v>21332.28</v>
      </c>
      <c r="AO63" s="155">
        <f t="shared" si="127"/>
        <v>55163.66</v>
      </c>
      <c r="AP63" s="155">
        <f t="shared" si="127"/>
        <v>15659.609999999999</v>
      </c>
      <c r="AQ63" s="155">
        <f t="shared" si="128"/>
        <v>43911.03</v>
      </c>
      <c r="AR63" s="155">
        <f t="shared" si="129"/>
        <v>9631.3799999999992</v>
      </c>
      <c r="AS63" s="156">
        <f t="shared" si="130"/>
        <v>114718.48000000001</v>
      </c>
      <c r="AT63" s="155">
        <v>1642.1299999999999</v>
      </c>
      <c r="AU63" s="155">
        <v>23580.449999999997</v>
      </c>
      <c r="AV63" s="155">
        <v>12955.949999999999</v>
      </c>
      <c r="AW63" s="155">
        <v>21258.05</v>
      </c>
      <c r="AX63" s="155">
        <v>19583.969999999998</v>
      </c>
      <c r="AY63" s="155">
        <v>7445.2699999999986</v>
      </c>
      <c r="AZ63" s="155">
        <v>802.22</v>
      </c>
      <c r="BA63" s="155">
        <v>27798.600000000006</v>
      </c>
      <c r="BB63" s="155">
        <v>13245.599999999997</v>
      </c>
      <c r="BC63" s="155">
        <v>5177.1599999999989</v>
      </c>
      <c r="BD63" s="155">
        <v>54163.430000000008</v>
      </c>
      <c r="BE63" s="155">
        <v>68472.180000000008</v>
      </c>
      <c r="BF63" s="552">
        <v>16938.849999999999</v>
      </c>
      <c r="BG63" s="155">
        <v>3990.3899999999994</v>
      </c>
      <c r="BH63" s="155">
        <v>8534.01</v>
      </c>
      <c r="BI63" s="155">
        <v>34697.950000000004</v>
      </c>
      <c r="BJ63" s="155">
        <v>16823.180000000004</v>
      </c>
      <c r="BK63" s="155">
        <v>2044.9399999999998</v>
      </c>
      <c r="BL63" s="155">
        <v>6646.3899999999994</v>
      </c>
      <c r="BM63" s="155">
        <v>27966.929999999993</v>
      </c>
      <c r="BN63" s="155">
        <v>31978.620000000006</v>
      </c>
      <c r="BO63" s="155">
        <v>3303.2</v>
      </c>
      <c r="BP63" s="155">
        <v>28286.890000000003</v>
      </c>
      <c r="BQ63" s="155">
        <v>20272.339999999997</v>
      </c>
      <c r="BR63" s="552">
        <v>16027.159999999998</v>
      </c>
      <c r="BS63" s="155">
        <v>1160.2599999999998</v>
      </c>
      <c r="BT63" s="155">
        <v>18493.109999999993</v>
      </c>
      <c r="BU63" s="155">
        <v>8690.27</v>
      </c>
      <c r="BV63" s="155">
        <v>19851.240000000009</v>
      </c>
      <c r="BW63" s="155">
        <v>21599.480000000003</v>
      </c>
      <c r="BX63" s="155">
        <v>16776.750000000004</v>
      </c>
      <c r="BY63" s="155">
        <v>11316.08</v>
      </c>
      <c r="BZ63" s="155">
        <v>26637.330000000009</v>
      </c>
      <c r="CA63" s="155">
        <v>9694.690000000006</v>
      </c>
      <c r="CB63" s="552">
        <v>21473.16</v>
      </c>
      <c r="CC63" s="155">
        <v>55163.66</v>
      </c>
      <c r="CD63" s="155">
        <v>15659.609999999999</v>
      </c>
      <c r="CE63" s="155">
        <v>32297.29</v>
      </c>
      <c r="CF63" s="155">
        <v>599.70000000000005</v>
      </c>
      <c r="CG63" s="155">
        <v>114118.78000000001</v>
      </c>
      <c r="CH63" s="155">
        <v>28238.520000000008</v>
      </c>
      <c r="CI63" s="155">
        <v>9631.3799999999992</v>
      </c>
      <c r="CJ63" s="155">
        <v>21332.28</v>
      </c>
      <c r="CK63" s="156">
        <v>43911.03</v>
      </c>
      <c r="CL63" s="320">
        <v>950280.48</v>
      </c>
    </row>
    <row r="64" spans="1:90">
      <c r="A64" s="477">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c r="A65" s="477">
        <f>ROWS($A$3:A63)</f>
        <v>61</v>
      </c>
      <c r="B65" s="54" t="str">
        <f>'Stand der Daten'!B66</f>
        <v>Gebietskulisse</v>
      </c>
      <c r="C65" s="202">
        <v>2012</v>
      </c>
      <c r="D65" s="259" t="s">
        <v>59</v>
      </c>
      <c r="E65" s="447">
        <v>42909</v>
      </c>
      <c r="F65" s="530">
        <f>SUM(AT65:BF65)</f>
        <v>314479.37931325939</v>
      </c>
      <c r="G65" s="531">
        <f>SUM(BG65:BR65)</f>
        <v>89897.598673236018</v>
      </c>
      <c r="H65" s="531">
        <f>SUM(BS65:CB65)</f>
        <v>243038.02430056274</v>
      </c>
      <c r="I65" s="532">
        <f>SUM(CC65:CK65)</f>
        <v>253397.00401661822</v>
      </c>
      <c r="J65" s="281"/>
      <c r="K65" s="541">
        <f>BF65</f>
        <v>67088.18121349439</v>
      </c>
      <c r="L65" s="542">
        <f>AY65</f>
        <v>21694.709696189002</v>
      </c>
      <c r="M65" s="542">
        <f>BD65</f>
        <v>50743.632540982115</v>
      </c>
      <c r="N65" s="542">
        <f>AW65</f>
        <v>23858.964067028599</v>
      </c>
      <c r="O65" s="542">
        <f>BE65</f>
        <v>13645.5788599189</v>
      </c>
      <c r="P65" s="542">
        <f>'2016'!AZ65+'2016'!BA65</f>
        <v>7281.3166639667988</v>
      </c>
      <c r="Q65" s="542">
        <f>'2016'!AU65</f>
        <v>13241.415086714902</v>
      </c>
      <c r="R65" s="542">
        <f>AT65+AX65</f>
        <v>298.92548990300003</v>
      </c>
      <c r="S65" s="542">
        <f>AV65</f>
        <v>16464.466047333601</v>
      </c>
      <c r="T65" s="542">
        <f>BB65</f>
        <v>24314.555380037702</v>
      </c>
      <c r="U65" s="554">
        <f>BC65</f>
        <v>75847.634267690344</v>
      </c>
      <c r="V65" s="542">
        <f>BG65+BJ65</f>
        <v>4782.2159732278005</v>
      </c>
      <c r="W65" s="542">
        <f>BR65</f>
        <v>19006.765023481599</v>
      </c>
      <c r="X65" s="542">
        <f>BH65+BI65</f>
        <v>2395.2442394348</v>
      </c>
      <c r="Y65" s="542">
        <f>BK65+BL65+BN65</f>
        <v>3495.0278979200002</v>
      </c>
      <c r="Z65" s="542">
        <f>BM65</f>
        <v>33553.801581314015</v>
      </c>
      <c r="AA65" s="542">
        <f>BO65+BQ65</f>
        <v>11118.094937060299</v>
      </c>
      <c r="AB65" s="554">
        <f>BP65</f>
        <v>15546.4490207975</v>
      </c>
      <c r="AC65" s="542">
        <f>BX65</f>
        <v>41771.511534796999</v>
      </c>
      <c r="AD65" s="542">
        <f>BU65</f>
        <v>11015.238704522701</v>
      </c>
      <c r="AE65" s="542">
        <f>BS65+BT65</f>
        <v>27698.816682424698</v>
      </c>
      <c r="AF65" s="542">
        <f>CA65</f>
        <v>15108.251329657398</v>
      </c>
      <c r="AG65" s="542">
        <f>BV65</f>
        <v>22911.120215382292</v>
      </c>
      <c r="AH65" s="542">
        <f>BZ65</f>
        <v>21429.034589089897</v>
      </c>
      <c r="AI65" s="542">
        <f>BW65</f>
        <v>32481.177064181302</v>
      </c>
      <c r="AJ65" s="542">
        <f>BY65</f>
        <v>27337.876733838995</v>
      </c>
      <c r="AK65" s="554">
        <f>CB65</f>
        <v>43284.997446668494</v>
      </c>
      <c r="AL65" s="542">
        <f>CE65</f>
        <v>37587.49923149489</v>
      </c>
      <c r="AM65" s="542">
        <f>CH65</f>
        <v>11780.271234555999</v>
      </c>
      <c r="AN65" s="542">
        <f>CJ65</f>
        <v>53315.547431706007</v>
      </c>
      <c r="AO65" s="542">
        <f>CC65</f>
        <v>48696.591738932875</v>
      </c>
      <c r="AP65" s="542">
        <f>CD65</f>
        <v>13425.063013786003</v>
      </c>
      <c r="AQ65" s="542">
        <f>CK65</f>
        <v>43548.144464026969</v>
      </c>
      <c r="AR65" s="542">
        <f>CI65</f>
        <v>10746.678063158999</v>
      </c>
      <c r="AS65" s="543">
        <f>CF65+CG65</f>
        <v>34297.208838956503</v>
      </c>
      <c r="AT65" s="281">
        <v>0</v>
      </c>
      <c r="AU65" s="281">
        <v>13241.415086714902</v>
      </c>
      <c r="AV65" s="281">
        <v>16464.466047333601</v>
      </c>
      <c r="AW65" s="281">
        <v>23858.964067028599</v>
      </c>
      <c r="AX65" s="281">
        <v>298.92548990300003</v>
      </c>
      <c r="AY65" s="281">
        <v>21694.709696189002</v>
      </c>
      <c r="AZ65" s="281">
        <v>0</v>
      </c>
      <c r="BA65" s="281">
        <v>7281.3166639667988</v>
      </c>
      <c r="BB65" s="281">
        <v>24314.555380037702</v>
      </c>
      <c r="BC65" s="281">
        <v>75847.634267690344</v>
      </c>
      <c r="BD65" s="281">
        <v>50743.632540982115</v>
      </c>
      <c r="BE65" s="281">
        <v>13645.5788599189</v>
      </c>
      <c r="BF65" s="299">
        <v>67088.18121349439</v>
      </c>
      <c r="BG65" s="281">
        <v>1368.2561210222</v>
      </c>
      <c r="BH65" s="281">
        <v>0</v>
      </c>
      <c r="BI65" s="281">
        <v>2395.2442394348</v>
      </c>
      <c r="BJ65" s="281">
        <v>3413.9598522056003</v>
      </c>
      <c r="BK65" s="281">
        <v>0</v>
      </c>
      <c r="BL65" s="281">
        <v>0</v>
      </c>
      <c r="BM65" s="281">
        <v>33553.801581314015</v>
      </c>
      <c r="BN65" s="281">
        <v>3495.0278979200002</v>
      </c>
      <c r="BO65" s="281">
        <v>408.51585075379995</v>
      </c>
      <c r="BP65" s="281">
        <v>15546.4490207975</v>
      </c>
      <c r="BQ65" s="281">
        <v>10709.579086306499</v>
      </c>
      <c r="BR65" s="299">
        <v>19006.765023481599</v>
      </c>
      <c r="BS65" s="281">
        <v>1030.3934755529999</v>
      </c>
      <c r="BT65" s="281">
        <v>26668.423206871699</v>
      </c>
      <c r="BU65" s="281">
        <v>11015.238704522701</v>
      </c>
      <c r="BV65" s="281">
        <v>22911.120215382292</v>
      </c>
      <c r="BW65" s="281">
        <v>32481.177064181302</v>
      </c>
      <c r="BX65" s="281">
        <v>41771.511534796999</v>
      </c>
      <c r="BY65" s="281">
        <v>27337.876733838995</v>
      </c>
      <c r="BZ65" s="281">
        <v>21429.034589089897</v>
      </c>
      <c r="CA65" s="281">
        <v>15108.251329657398</v>
      </c>
      <c r="CB65" s="299">
        <v>43284.997446668494</v>
      </c>
      <c r="CC65" s="281">
        <v>48696.591738932875</v>
      </c>
      <c r="CD65" s="281">
        <v>13425.063013786003</v>
      </c>
      <c r="CE65" s="281">
        <v>37587.49923149489</v>
      </c>
      <c r="CF65" s="281">
        <v>438.39042787099999</v>
      </c>
      <c r="CG65" s="281">
        <v>33858.8184110855</v>
      </c>
      <c r="CH65" s="281">
        <v>11780.271234555999</v>
      </c>
      <c r="CI65" s="281">
        <v>10746.678063158999</v>
      </c>
      <c r="CJ65" s="281">
        <v>53315.547431706007</v>
      </c>
      <c r="CK65" s="300">
        <v>43548.144464026969</v>
      </c>
      <c r="CL65" s="301">
        <v>900812.00630367652</v>
      </c>
    </row>
    <row r="66" spans="1:90">
      <c r="A66" s="477">
        <f>ROWS($A$3:A64)</f>
        <v>62</v>
      </c>
      <c r="B66" s="92" t="s">
        <v>364</v>
      </c>
      <c r="C66" s="203">
        <v>2001</v>
      </c>
      <c r="D66" s="259" t="s">
        <v>59</v>
      </c>
      <c r="E66" s="447">
        <v>42909</v>
      </c>
      <c r="F66" s="530">
        <f>SUM(AT66:BF66)</f>
        <v>6117</v>
      </c>
      <c r="G66" s="531">
        <f>SUM(BG66:BR66)</f>
        <v>2329</v>
      </c>
      <c r="H66" s="531">
        <f>SUM(BS66:CB66)</f>
        <v>72232</v>
      </c>
      <c r="I66" s="532">
        <f>SUM(CC66:CK66)</f>
        <v>20766</v>
      </c>
      <c r="J66" s="281"/>
      <c r="K66" s="154">
        <f>BF66</f>
        <v>325</v>
      </c>
      <c r="L66" s="155">
        <f>AY66</f>
        <v>0</v>
      </c>
      <c r="M66" s="155">
        <f>BD66</f>
        <v>0</v>
      </c>
      <c r="N66" s="155">
        <f>AW66</f>
        <v>4624</v>
      </c>
      <c r="O66" s="155">
        <f>BE66</f>
        <v>0</v>
      </c>
      <c r="P66" s="155">
        <f>'2016'!AZ66+'2016'!BA66</f>
        <v>0</v>
      </c>
      <c r="Q66" s="155">
        <f>'2016'!AU66</f>
        <v>0</v>
      </c>
      <c r="R66" s="155">
        <f>AT66+AX66</f>
        <v>0</v>
      </c>
      <c r="S66" s="155">
        <f>AV66</f>
        <v>1168</v>
      </c>
      <c r="T66" s="155">
        <f>BB66</f>
        <v>0</v>
      </c>
      <c r="U66" s="552">
        <f>BC66</f>
        <v>0</v>
      </c>
      <c r="V66" s="155">
        <f>BG66+BJ66</f>
        <v>111</v>
      </c>
      <c r="W66" s="155">
        <f>BR66</f>
        <v>1582</v>
      </c>
      <c r="X66" s="155">
        <f>BH66+BI66</f>
        <v>0</v>
      </c>
      <c r="Y66" s="155">
        <f>BK66+BL66+BN66</f>
        <v>0</v>
      </c>
      <c r="Z66" s="155">
        <f>BM66</f>
        <v>0</v>
      </c>
      <c r="AA66" s="155">
        <f>BO66+BQ66</f>
        <v>0</v>
      </c>
      <c r="AB66" s="552">
        <f>BP66</f>
        <v>636</v>
      </c>
      <c r="AC66" s="155">
        <f>BX66</f>
        <v>13560</v>
      </c>
      <c r="AD66" s="155">
        <f>BU66</f>
        <v>1668</v>
      </c>
      <c r="AE66" s="155">
        <f>BS66+BT66</f>
        <v>20148</v>
      </c>
      <c r="AF66" s="155">
        <f>CA66</f>
        <v>9601</v>
      </c>
      <c r="AG66" s="155">
        <f>BV66</f>
        <v>2692</v>
      </c>
      <c r="AH66" s="155">
        <f>BZ66</f>
        <v>0</v>
      </c>
      <c r="AI66" s="155">
        <f>BW66</f>
        <v>2362</v>
      </c>
      <c r="AJ66" s="155">
        <f>BY66</f>
        <v>8825</v>
      </c>
      <c r="AK66" s="552">
        <f>CB66</f>
        <v>13376</v>
      </c>
      <c r="AL66" s="155">
        <f>CE66</f>
        <v>13639</v>
      </c>
      <c r="AM66" s="155">
        <f>CH66</f>
        <v>0</v>
      </c>
      <c r="AN66" s="155">
        <f>CJ66</f>
        <v>1289</v>
      </c>
      <c r="AO66" s="155">
        <f>CC66</f>
        <v>1824</v>
      </c>
      <c r="AP66" s="155">
        <f>CD66</f>
        <v>0</v>
      </c>
      <c r="AQ66" s="155">
        <f>CK66</f>
        <v>2073</v>
      </c>
      <c r="AR66" s="155">
        <f>CI66</f>
        <v>415</v>
      </c>
      <c r="AS66" s="156">
        <f>CF66+CG66</f>
        <v>1526</v>
      </c>
      <c r="AT66" s="155">
        <v>0</v>
      </c>
      <c r="AU66" s="155">
        <v>0</v>
      </c>
      <c r="AV66" s="155">
        <v>1168</v>
      </c>
      <c r="AW66" s="155">
        <v>4624</v>
      </c>
      <c r="AX66" s="155">
        <v>0</v>
      </c>
      <c r="AY66" s="155">
        <v>0</v>
      </c>
      <c r="AZ66" s="155">
        <v>0</v>
      </c>
      <c r="BA66" s="155">
        <v>0</v>
      </c>
      <c r="BB66" s="155">
        <v>0</v>
      </c>
      <c r="BC66" s="155">
        <v>0</v>
      </c>
      <c r="BD66" s="155">
        <v>0</v>
      </c>
      <c r="BE66" s="155">
        <v>0</v>
      </c>
      <c r="BF66" s="552">
        <v>325</v>
      </c>
      <c r="BG66" s="155">
        <v>0</v>
      </c>
      <c r="BH66" s="155">
        <v>0</v>
      </c>
      <c r="BI66" s="155">
        <v>0</v>
      </c>
      <c r="BJ66" s="155">
        <v>111</v>
      </c>
      <c r="BK66" s="155">
        <v>0</v>
      </c>
      <c r="BL66" s="155">
        <v>0</v>
      </c>
      <c r="BM66" s="155">
        <v>0</v>
      </c>
      <c r="BN66" s="155">
        <v>0</v>
      </c>
      <c r="BO66" s="155">
        <v>0</v>
      </c>
      <c r="BP66" s="155">
        <v>636</v>
      </c>
      <c r="BQ66" s="155">
        <v>0</v>
      </c>
      <c r="BR66" s="552">
        <v>1582</v>
      </c>
      <c r="BS66" s="155">
        <v>0</v>
      </c>
      <c r="BT66" s="155">
        <v>20148</v>
      </c>
      <c r="BU66" s="155">
        <v>1668</v>
      </c>
      <c r="BV66" s="155">
        <v>2692</v>
      </c>
      <c r="BW66" s="155">
        <v>2362</v>
      </c>
      <c r="BX66" s="155">
        <v>13560</v>
      </c>
      <c r="BY66" s="155">
        <v>8825</v>
      </c>
      <c r="BZ66" s="155">
        <v>0</v>
      </c>
      <c r="CA66" s="155">
        <v>9601</v>
      </c>
      <c r="CB66" s="552">
        <v>13376</v>
      </c>
      <c r="CC66" s="155">
        <v>1824</v>
      </c>
      <c r="CD66" s="155">
        <v>0</v>
      </c>
      <c r="CE66" s="155">
        <v>13639</v>
      </c>
      <c r="CF66" s="155">
        <v>0</v>
      </c>
      <c r="CG66" s="155">
        <v>1526</v>
      </c>
      <c r="CH66" s="155">
        <v>0</v>
      </c>
      <c r="CI66" s="155">
        <v>415</v>
      </c>
      <c r="CJ66" s="155">
        <v>1289</v>
      </c>
      <c r="CK66" s="156">
        <v>2073</v>
      </c>
      <c r="CL66" s="320">
        <v>101444</v>
      </c>
    </row>
    <row r="67" spans="1:90">
      <c r="A67" s="477">
        <f>ROWS($A$3:A65)</f>
        <v>63</v>
      </c>
      <c r="B67" s="92" t="s">
        <v>363</v>
      </c>
      <c r="C67" s="203">
        <v>2015</v>
      </c>
      <c r="D67" s="259" t="s">
        <v>3</v>
      </c>
      <c r="E67" s="447">
        <v>42909</v>
      </c>
      <c r="F67" s="381">
        <f>IF(F65/F35%&gt;100,100,F65/F35%)</f>
        <v>67.700732230516053</v>
      </c>
      <c r="G67" s="384">
        <f t="shared" ref="G67:BR67" si="131">IF(G65/G35%&gt;100,100,G65/G35%)</f>
        <v>44.643438219198686</v>
      </c>
      <c r="H67" s="384">
        <f t="shared" si="131"/>
        <v>76.362455753014814</v>
      </c>
      <c r="I67" s="383">
        <f t="shared" si="131"/>
        <v>59.505633380053453</v>
      </c>
      <c r="J67" s="382"/>
      <c r="K67" s="381">
        <f t="shared" si="131"/>
        <v>100</v>
      </c>
      <c r="L67" s="384">
        <f t="shared" si="131"/>
        <v>85.090640477678861</v>
      </c>
      <c r="M67" s="384">
        <f t="shared" si="131"/>
        <v>74.572542898895037</v>
      </c>
      <c r="N67" s="384">
        <f t="shared" si="131"/>
        <v>84.828856101218093</v>
      </c>
      <c r="O67" s="384">
        <f t="shared" si="131"/>
        <v>52.10224841511608</v>
      </c>
      <c r="P67" s="384">
        <f t="shared" si="131"/>
        <v>12.537349835505964</v>
      </c>
      <c r="Q67" s="384">
        <f t="shared" si="131"/>
        <v>60.029989512716028</v>
      </c>
      <c r="R67" s="384">
        <f t="shared" si="131"/>
        <v>0.86227677590503937</v>
      </c>
      <c r="S67" s="384">
        <f t="shared" si="131"/>
        <v>83.861182943684611</v>
      </c>
      <c r="T67" s="384">
        <f t="shared" si="131"/>
        <v>58.980122207489877</v>
      </c>
      <c r="U67" s="385">
        <f t="shared" si="131"/>
        <v>99.351131430111934</v>
      </c>
      <c r="V67" s="384">
        <f t="shared" si="131"/>
        <v>29.838497368364635</v>
      </c>
      <c r="W67" s="384">
        <f t="shared" si="131"/>
        <v>100</v>
      </c>
      <c r="X67" s="384">
        <f t="shared" si="131"/>
        <v>6.0010127760555196</v>
      </c>
      <c r="Y67" s="384">
        <f t="shared" si="131"/>
        <v>8.1693887567668657</v>
      </c>
      <c r="Z67" s="384">
        <f t="shared" si="131"/>
        <v>72.434431235701524</v>
      </c>
      <c r="AA67" s="384">
        <f t="shared" si="131"/>
        <v>55.16022493084094</v>
      </c>
      <c r="AB67" s="385">
        <f t="shared" si="131"/>
        <v>90.113894161821804</v>
      </c>
      <c r="AC67" s="384">
        <f t="shared" si="131"/>
        <v>100</v>
      </c>
      <c r="AD67" s="384">
        <f t="shared" si="131"/>
        <v>49.384616473986547</v>
      </c>
      <c r="AE67" s="384">
        <f t="shared" si="131"/>
        <v>53.119854024287925</v>
      </c>
      <c r="AF67" s="384">
        <f t="shared" si="131"/>
        <v>65.268063459726108</v>
      </c>
      <c r="AG67" s="384">
        <f t="shared" si="131"/>
        <v>41.281297685373502</v>
      </c>
      <c r="AH67" s="384">
        <f t="shared" si="131"/>
        <v>63.672662573436028</v>
      </c>
      <c r="AI67" s="384">
        <f t="shared" si="131"/>
        <v>100</v>
      </c>
      <c r="AJ67" s="384">
        <f t="shared" si="131"/>
        <v>100</v>
      </c>
      <c r="AK67" s="385">
        <f t="shared" si="131"/>
        <v>100</v>
      </c>
      <c r="AL67" s="384">
        <f t="shared" si="131"/>
        <v>100</v>
      </c>
      <c r="AM67" s="384">
        <f t="shared" si="131"/>
        <v>15.432939310585336</v>
      </c>
      <c r="AN67" s="384">
        <f t="shared" si="131"/>
        <v>61.839504769075354</v>
      </c>
      <c r="AO67" s="384">
        <f t="shared" si="131"/>
        <v>100</v>
      </c>
      <c r="AP67" s="384">
        <f t="shared" si="131"/>
        <v>66.814627053132938</v>
      </c>
      <c r="AQ67" s="384">
        <f t="shared" si="131"/>
        <v>79.907784623338415</v>
      </c>
      <c r="AR67" s="384">
        <f t="shared" si="131"/>
        <v>32.194961243735769</v>
      </c>
      <c r="AS67" s="383">
        <f t="shared" si="131"/>
        <v>43.568055333337355</v>
      </c>
      <c r="AT67" s="384">
        <f t="shared" si="131"/>
        <v>0</v>
      </c>
      <c r="AU67" s="384">
        <f t="shared" si="131"/>
        <v>60.029989512716028</v>
      </c>
      <c r="AV67" s="384">
        <f t="shared" si="131"/>
        <v>83.861182943684611</v>
      </c>
      <c r="AW67" s="384">
        <f t="shared" si="131"/>
        <v>84.828856101218093</v>
      </c>
      <c r="AX67" s="384">
        <f t="shared" si="131"/>
        <v>0.92932130169433569</v>
      </c>
      <c r="AY67" s="384">
        <f t="shared" si="131"/>
        <v>85.090640477678861</v>
      </c>
      <c r="AZ67" s="384">
        <f t="shared" si="131"/>
        <v>0</v>
      </c>
      <c r="BA67" s="384">
        <f t="shared" si="131"/>
        <v>13.509938889651918</v>
      </c>
      <c r="BB67" s="384">
        <f t="shared" si="131"/>
        <v>58.980122207489877</v>
      </c>
      <c r="BC67" s="384">
        <f t="shared" si="131"/>
        <v>99.351131430111934</v>
      </c>
      <c r="BD67" s="384">
        <f t="shared" si="131"/>
        <v>74.572542898895037</v>
      </c>
      <c r="BE67" s="384">
        <f t="shared" si="131"/>
        <v>52.10224841511608</v>
      </c>
      <c r="BF67" s="385">
        <f t="shared" si="131"/>
        <v>100</v>
      </c>
      <c r="BG67" s="384">
        <f t="shared" si="131"/>
        <v>90.194866250639421</v>
      </c>
      <c r="BH67" s="384">
        <f t="shared" si="131"/>
        <v>0</v>
      </c>
      <c r="BI67" s="384">
        <f t="shared" si="131"/>
        <v>6.4050813975687237</v>
      </c>
      <c r="BJ67" s="384">
        <f t="shared" si="131"/>
        <v>23.528324274332189</v>
      </c>
      <c r="BK67" s="384">
        <f t="shared" si="131"/>
        <v>0</v>
      </c>
      <c r="BL67" s="384">
        <f t="shared" si="131"/>
        <v>0</v>
      </c>
      <c r="BM67" s="384">
        <f t="shared" si="131"/>
        <v>72.434431235701524</v>
      </c>
      <c r="BN67" s="384">
        <f t="shared" si="131"/>
        <v>9.1740239334330784</v>
      </c>
      <c r="BO67" s="384">
        <f t="shared" si="131"/>
        <v>40.089877404690874</v>
      </c>
      <c r="BP67" s="384">
        <f t="shared" si="131"/>
        <v>90.113894161821804</v>
      </c>
      <c r="BQ67" s="384">
        <f t="shared" si="131"/>
        <v>55.962685302327948</v>
      </c>
      <c r="BR67" s="385">
        <f t="shared" si="131"/>
        <v>100</v>
      </c>
      <c r="BS67" s="384">
        <f t="shared" ref="BS67:CL67" si="132">IF(BS65/BS35%&gt;100,100,BS65/BS35%)</f>
        <v>29.901145547098082</v>
      </c>
      <c r="BT67" s="384">
        <f t="shared" si="132"/>
        <v>54.762871589945583</v>
      </c>
      <c r="BU67" s="384">
        <f t="shared" si="132"/>
        <v>49.384616473986547</v>
      </c>
      <c r="BV67" s="384">
        <f t="shared" si="132"/>
        <v>41.281297685373502</v>
      </c>
      <c r="BW67" s="384">
        <f t="shared" si="132"/>
        <v>100</v>
      </c>
      <c r="BX67" s="384">
        <f t="shared" si="132"/>
        <v>100</v>
      </c>
      <c r="BY67" s="384">
        <f t="shared" si="132"/>
        <v>100</v>
      </c>
      <c r="BZ67" s="384">
        <f t="shared" si="132"/>
        <v>63.672662573436028</v>
      </c>
      <c r="CA67" s="384">
        <f t="shared" si="132"/>
        <v>65.268063459726108</v>
      </c>
      <c r="CB67" s="385">
        <f t="shared" si="132"/>
        <v>100</v>
      </c>
      <c r="CC67" s="384">
        <f t="shared" si="132"/>
        <v>100</v>
      </c>
      <c r="CD67" s="384">
        <f t="shared" si="132"/>
        <v>66.814627053132938</v>
      </c>
      <c r="CE67" s="384">
        <f t="shared" si="132"/>
        <v>100</v>
      </c>
      <c r="CF67" s="384">
        <f t="shared" si="132"/>
        <v>9.3393785230293993</v>
      </c>
      <c r="CG67" s="384">
        <f t="shared" si="132"/>
        <v>45.738471653701353</v>
      </c>
      <c r="CH67" s="384">
        <f t="shared" si="132"/>
        <v>15.432939310585336</v>
      </c>
      <c r="CI67" s="384">
        <f t="shared" si="132"/>
        <v>32.194961243735769</v>
      </c>
      <c r="CJ67" s="384">
        <f t="shared" si="132"/>
        <v>61.839504769075354</v>
      </c>
      <c r="CK67" s="383">
        <f t="shared" si="132"/>
        <v>79.907784623338415</v>
      </c>
      <c r="CL67" s="319">
        <f t="shared" si="132"/>
        <v>63.887920060573322</v>
      </c>
    </row>
    <row r="68" spans="1:90">
      <c r="A68" s="477">
        <f>ROWS($A$3:A66)</f>
        <v>64</v>
      </c>
      <c r="B68" s="59" t="s">
        <v>81</v>
      </c>
      <c r="C68" s="203"/>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c r="A69" s="477">
        <f>ROWS($A$3:A67)</f>
        <v>65</v>
      </c>
      <c r="B69" s="92" t="s">
        <v>265</v>
      </c>
      <c r="C69" s="202">
        <v>2015</v>
      </c>
      <c r="D69" s="259" t="s">
        <v>13</v>
      </c>
      <c r="E69" s="447">
        <v>42572</v>
      </c>
      <c r="F69" s="154">
        <f>SUM(AT69:BF69)</f>
        <v>744</v>
      </c>
      <c r="G69" s="155">
        <f>SUM(BG69:BR69)</f>
        <v>221</v>
      </c>
      <c r="H69" s="155">
        <f>SUM(BS69:CB69)</f>
        <v>1007</v>
      </c>
      <c r="I69" s="156">
        <f>SUM(CC69:CK69)</f>
        <v>899</v>
      </c>
      <c r="J69" s="281"/>
      <c r="K69" s="154">
        <f>BF69</f>
        <v>108</v>
      </c>
      <c r="L69" s="155">
        <f>AY69</f>
        <v>79</v>
      </c>
      <c r="M69" s="155">
        <f>BD69</f>
        <v>104</v>
      </c>
      <c r="N69" s="155">
        <f>AW69</f>
        <v>39</v>
      </c>
      <c r="O69" s="155">
        <f>BE69</f>
        <v>51</v>
      </c>
      <c r="P69" s="155">
        <f>SUM(AZ69,BA69)</f>
        <v>69</v>
      </c>
      <c r="Q69" s="155">
        <f>'2010'!AU69</f>
        <v>29</v>
      </c>
      <c r="R69" s="155">
        <f>SUM(AT69+AX69)</f>
        <v>40</v>
      </c>
      <c r="S69" s="155">
        <f>AV69</f>
        <v>42</v>
      </c>
      <c r="T69" s="155">
        <f>BB69</f>
        <v>42</v>
      </c>
      <c r="U69" s="552">
        <f>BC69</f>
        <v>141</v>
      </c>
      <c r="V69" s="155">
        <f>SUM(BG69,BJ69)</f>
        <v>11</v>
      </c>
      <c r="W69" s="155">
        <f>BR69</f>
        <v>34</v>
      </c>
      <c r="X69" s="155">
        <f>SUM(BH69,BI69)</f>
        <v>36</v>
      </c>
      <c r="Y69" s="155">
        <f>SUM(BK69,BL69,BN69)</f>
        <v>28</v>
      </c>
      <c r="Z69" s="155">
        <f>BM69</f>
        <v>41</v>
      </c>
      <c r="AA69" s="155">
        <f>SUM(BO69,BQ69)</f>
        <v>37</v>
      </c>
      <c r="AB69" s="552">
        <f>BP69</f>
        <v>34</v>
      </c>
      <c r="AC69" s="155">
        <f>BX69</f>
        <v>109</v>
      </c>
      <c r="AD69" s="155">
        <f>BU69</f>
        <v>67</v>
      </c>
      <c r="AE69" s="155">
        <f>SUM(BS69+BT69)</f>
        <v>270</v>
      </c>
      <c r="AF69" s="155">
        <f>CA69</f>
        <v>97</v>
      </c>
      <c r="AG69" s="155">
        <f>BV69</f>
        <v>117</v>
      </c>
      <c r="AH69" s="155">
        <f>BZ69</f>
        <v>76</v>
      </c>
      <c r="AI69" s="155">
        <f>BW69</f>
        <v>55</v>
      </c>
      <c r="AJ69" s="155">
        <f>BY69</f>
        <v>45</v>
      </c>
      <c r="AK69" s="552">
        <f>CB69</f>
        <v>171</v>
      </c>
      <c r="AL69" s="155">
        <f>CE69</f>
        <v>86</v>
      </c>
      <c r="AM69" s="155">
        <f>CH69</f>
        <v>91</v>
      </c>
      <c r="AN69" s="155">
        <f>CJ69</f>
        <v>304</v>
      </c>
      <c r="AO69" s="155">
        <f>CC69</f>
        <v>95</v>
      </c>
      <c r="AP69" s="155">
        <f>CD69</f>
        <v>47</v>
      </c>
      <c r="AQ69" s="155">
        <f>CK69</f>
        <v>72</v>
      </c>
      <c r="AR69" s="155">
        <f>CI69</f>
        <v>113</v>
      </c>
      <c r="AS69" s="156">
        <f>SUM(CF69:CG69)</f>
        <v>91</v>
      </c>
      <c r="AT69" s="281">
        <v>0</v>
      </c>
      <c r="AU69" s="281">
        <v>29</v>
      </c>
      <c r="AV69" s="281">
        <v>42</v>
      </c>
      <c r="AW69" s="281">
        <v>39</v>
      </c>
      <c r="AX69" s="281">
        <v>40</v>
      </c>
      <c r="AY69" s="281">
        <v>79</v>
      </c>
      <c r="AZ69" s="281">
        <v>0</v>
      </c>
      <c r="BA69" s="281">
        <v>69</v>
      </c>
      <c r="BB69" s="281">
        <v>42</v>
      </c>
      <c r="BC69" s="281">
        <v>141</v>
      </c>
      <c r="BD69" s="281">
        <v>104</v>
      </c>
      <c r="BE69" s="281">
        <v>51</v>
      </c>
      <c r="BF69" s="299">
        <v>108</v>
      </c>
      <c r="BG69" s="281">
        <v>0</v>
      </c>
      <c r="BH69" s="281">
        <v>0</v>
      </c>
      <c r="BI69" s="281">
        <v>36</v>
      </c>
      <c r="BJ69" s="281">
        <v>11</v>
      </c>
      <c r="BK69" s="281">
        <v>0</v>
      </c>
      <c r="BL69" s="281">
        <v>0</v>
      </c>
      <c r="BM69" s="281">
        <v>41</v>
      </c>
      <c r="BN69" s="281">
        <v>28</v>
      </c>
      <c r="BO69" s="281">
        <v>0</v>
      </c>
      <c r="BP69" s="281">
        <v>34</v>
      </c>
      <c r="BQ69" s="281">
        <v>37</v>
      </c>
      <c r="BR69" s="299">
        <v>34</v>
      </c>
      <c r="BS69" s="281">
        <v>0</v>
      </c>
      <c r="BT69" s="281">
        <v>270</v>
      </c>
      <c r="BU69" s="281">
        <v>67</v>
      </c>
      <c r="BV69" s="281">
        <v>117</v>
      </c>
      <c r="BW69" s="281">
        <v>55</v>
      </c>
      <c r="BX69" s="281">
        <v>109</v>
      </c>
      <c r="BY69" s="281">
        <v>45</v>
      </c>
      <c r="BZ69" s="281">
        <v>76</v>
      </c>
      <c r="CA69" s="281">
        <v>97</v>
      </c>
      <c r="CB69" s="299">
        <v>171</v>
      </c>
      <c r="CC69" s="281">
        <v>95</v>
      </c>
      <c r="CD69" s="281">
        <v>47</v>
      </c>
      <c r="CE69" s="281">
        <v>86</v>
      </c>
      <c r="CF69" s="155">
        <v>0</v>
      </c>
      <c r="CG69" s="281">
        <v>91</v>
      </c>
      <c r="CH69" s="281">
        <v>91</v>
      </c>
      <c r="CI69" s="281">
        <v>113</v>
      </c>
      <c r="CJ69" s="281">
        <v>304</v>
      </c>
      <c r="CK69" s="300">
        <v>72</v>
      </c>
      <c r="CL69" s="301">
        <f>SUM(AT69:CK69)</f>
        <v>2871</v>
      </c>
    </row>
    <row r="70" spans="1:90">
      <c r="A70" s="477">
        <f>ROWS($A$3:A68)</f>
        <v>66</v>
      </c>
      <c r="B70" s="92" t="s">
        <v>70</v>
      </c>
      <c r="C70" s="252"/>
      <c r="D70" s="259" t="s">
        <v>1</v>
      </c>
      <c r="E70" s="451"/>
      <c r="F70" s="154">
        <f>SUM(AT70:BF70)</f>
        <v>29995</v>
      </c>
      <c r="G70" s="155">
        <f>SUM(BG70:BR70)</f>
        <v>11568</v>
      </c>
      <c r="H70" s="155">
        <f>SUM(BS70:CB70)</f>
        <v>35303</v>
      </c>
      <c r="I70" s="156">
        <f>SUM(CC70:CK70)</f>
        <v>37348</v>
      </c>
      <c r="J70" s="281"/>
      <c r="K70" s="154">
        <f>BF70</f>
        <v>3606</v>
      </c>
      <c r="L70" s="155">
        <f>AY70</f>
        <v>2781</v>
      </c>
      <c r="M70" s="155">
        <f>BD70</f>
        <v>4748</v>
      </c>
      <c r="N70" s="155">
        <f>AW70</f>
        <v>1574</v>
      </c>
      <c r="O70" s="155">
        <f>BE70</f>
        <v>2707</v>
      </c>
      <c r="P70" s="155">
        <f>SUM(AZ70,BA70)</f>
        <v>2344</v>
      </c>
      <c r="Q70" s="155">
        <f>'2010'!AU70</f>
        <v>1115</v>
      </c>
      <c r="R70" s="155">
        <f>SUM(AT70+AX70)</f>
        <v>1671</v>
      </c>
      <c r="S70" s="155">
        <f>AV70</f>
        <v>1578</v>
      </c>
      <c r="T70" s="155">
        <f>BB70</f>
        <v>2208</v>
      </c>
      <c r="U70" s="552">
        <f>BC70</f>
        <v>5318</v>
      </c>
      <c r="V70" s="155">
        <f>SUM(BG70,BJ70)</f>
        <v>422</v>
      </c>
      <c r="W70" s="155">
        <f>BR70</f>
        <v>1560</v>
      </c>
      <c r="X70" s="155">
        <f>SUM(BH70,BI70)</f>
        <v>2264</v>
      </c>
      <c r="Y70" s="155">
        <f>SUM(BK70,BL70,BN70)</f>
        <v>1692</v>
      </c>
      <c r="Z70" s="155">
        <f>BM70</f>
        <v>2012</v>
      </c>
      <c r="AA70" s="155">
        <f>SUM(BO70,BQ70)</f>
        <v>2289</v>
      </c>
      <c r="AB70" s="552">
        <f>BP70</f>
        <v>1329</v>
      </c>
      <c r="AC70" s="155">
        <f>BX70</f>
        <v>4100</v>
      </c>
      <c r="AD70" s="155">
        <f>BU70</f>
        <v>1575</v>
      </c>
      <c r="AE70" s="155">
        <f>SUM(BS70+BT70)</f>
        <v>7818</v>
      </c>
      <c r="AF70" s="155">
        <f>CA70</f>
        <v>3203</v>
      </c>
      <c r="AG70" s="155">
        <f>BV70</f>
        <v>3489</v>
      </c>
      <c r="AH70" s="155">
        <f>BZ70</f>
        <v>3564</v>
      </c>
      <c r="AI70" s="155">
        <f>BW70</f>
        <v>2032</v>
      </c>
      <c r="AJ70" s="155">
        <f>BY70</f>
        <v>2782</v>
      </c>
      <c r="AK70" s="552">
        <f>CB70</f>
        <v>6740</v>
      </c>
      <c r="AL70" s="155">
        <f>CE70</f>
        <v>4984</v>
      </c>
      <c r="AM70" s="155">
        <f>CH70</f>
        <v>4080</v>
      </c>
      <c r="AN70" s="155">
        <f>CJ70</f>
        <v>10366</v>
      </c>
      <c r="AO70" s="155">
        <f>CC70</f>
        <v>3892</v>
      </c>
      <c r="AP70" s="155">
        <f>CD70</f>
        <v>3244</v>
      </c>
      <c r="AQ70" s="155">
        <f>CK70</f>
        <v>3631</v>
      </c>
      <c r="AR70" s="155">
        <f>CI70</f>
        <v>3455</v>
      </c>
      <c r="AS70" s="156">
        <f>SUM(CF70:CG70)</f>
        <v>3696</v>
      </c>
      <c r="AT70" s="281">
        <v>0</v>
      </c>
      <c r="AU70" s="281">
        <v>1460</v>
      </c>
      <c r="AV70" s="281">
        <v>1578</v>
      </c>
      <c r="AW70" s="281">
        <v>1574</v>
      </c>
      <c r="AX70" s="281">
        <v>1671</v>
      </c>
      <c r="AY70" s="281">
        <v>2781</v>
      </c>
      <c r="AZ70" s="281">
        <v>0</v>
      </c>
      <c r="BA70" s="281">
        <v>2344</v>
      </c>
      <c r="BB70" s="281">
        <v>2208</v>
      </c>
      <c r="BC70" s="281">
        <v>5318</v>
      </c>
      <c r="BD70" s="281">
        <v>4748</v>
      </c>
      <c r="BE70" s="281">
        <v>2707</v>
      </c>
      <c r="BF70" s="299">
        <v>3606</v>
      </c>
      <c r="BG70" s="281">
        <v>0</v>
      </c>
      <c r="BH70" s="281">
        <v>0</v>
      </c>
      <c r="BI70" s="281">
        <v>2264</v>
      </c>
      <c r="BJ70" s="281">
        <v>422</v>
      </c>
      <c r="BK70" s="281">
        <v>0</v>
      </c>
      <c r="BL70" s="281">
        <v>0</v>
      </c>
      <c r="BM70" s="281">
        <v>2012</v>
      </c>
      <c r="BN70" s="281">
        <v>1692</v>
      </c>
      <c r="BO70" s="281">
        <v>0</v>
      </c>
      <c r="BP70" s="281">
        <v>1329</v>
      </c>
      <c r="BQ70" s="281">
        <v>2289</v>
      </c>
      <c r="BR70" s="299">
        <v>1560</v>
      </c>
      <c r="BS70" s="281">
        <v>0</v>
      </c>
      <c r="BT70" s="281">
        <v>7818</v>
      </c>
      <c r="BU70" s="281">
        <v>1575</v>
      </c>
      <c r="BV70" s="281">
        <v>3489</v>
      </c>
      <c r="BW70" s="281">
        <v>2032</v>
      </c>
      <c r="BX70" s="281">
        <v>4100</v>
      </c>
      <c r="BY70" s="281">
        <v>2782</v>
      </c>
      <c r="BZ70" s="281">
        <v>3564</v>
      </c>
      <c r="CA70" s="281">
        <v>3203</v>
      </c>
      <c r="CB70" s="299">
        <v>6740</v>
      </c>
      <c r="CC70" s="281">
        <v>3892</v>
      </c>
      <c r="CD70" s="281">
        <v>3244</v>
      </c>
      <c r="CE70" s="281">
        <v>4984</v>
      </c>
      <c r="CF70" s="155">
        <v>0</v>
      </c>
      <c r="CG70" s="281">
        <v>3696</v>
      </c>
      <c r="CH70" s="281">
        <v>4080</v>
      </c>
      <c r="CI70" s="281">
        <v>3455</v>
      </c>
      <c r="CJ70" s="281">
        <v>10366</v>
      </c>
      <c r="CK70" s="300">
        <v>3631</v>
      </c>
      <c r="CL70" s="301">
        <f>SUM(AT70:CK70)</f>
        <v>114214</v>
      </c>
    </row>
    <row r="71" spans="1:90">
      <c r="A71" s="477">
        <f>ROWS($A$3:A69)</f>
        <v>67</v>
      </c>
      <c r="B71" s="54" t="s">
        <v>266</v>
      </c>
      <c r="C71" s="252"/>
      <c r="D71" s="259" t="s">
        <v>1</v>
      </c>
      <c r="E71" s="451"/>
      <c r="F71" s="539">
        <f>IF(ISERROR(F70/F69)=FALSE,F70/F69," -")</f>
        <v>40.31586021505376</v>
      </c>
      <c r="G71" s="521">
        <f>IF(ISERROR(G70/G69)=FALSE,G70/G69," -")</f>
        <v>52.343891402714931</v>
      </c>
      <c r="H71" s="521">
        <f>IF(ISERROR(H70/H69)=FALSE,H70/H69," -")</f>
        <v>35.057596822244292</v>
      </c>
      <c r="I71" s="540">
        <f>IF(ISERROR(I70/I69)=FALSE,I70/I69," -")</f>
        <v>41.543937708565075</v>
      </c>
      <c r="J71" s="382"/>
      <c r="K71" s="539">
        <f t="shared" ref="K71:BV71" si="133">IF(ISERROR(K70/K69)=FALSE,K70/K69," -")</f>
        <v>33.388888888888886</v>
      </c>
      <c r="L71" s="521">
        <f t="shared" si="133"/>
        <v>35.202531645569621</v>
      </c>
      <c r="M71" s="521">
        <f t="shared" si="133"/>
        <v>45.653846153846153</v>
      </c>
      <c r="N71" s="521">
        <f t="shared" si="133"/>
        <v>40.358974358974358</v>
      </c>
      <c r="O71" s="521">
        <f t="shared" si="133"/>
        <v>53.078431372549019</v>
      </c>
      <c r="P71" s="521">
        <f t="shared" si="133"/>
        <v>33.971014492753625</v>
      </c>
      <c r="Q71" s="521">
        <f t="shared" si="133"/>
        <v>38.448275862068968</v>
      </c>
      <c r="R71" s="521">
        <f t="shared" si="133"/>
        <v>41.774999999999999</v>
      </c>
      <c r="S71" s="521">
        <f t="shared" si="133"/>
        <v>37.571428571428569</v>
      </c>
      <c r="T71" s="521">
        <f t="shared" si="133"/>
        <v>52.571428571428569</v>
      </c>
      <c r="U71" s="559">
        <f t="shared" si="133"/>
        <v>37.716312056737586</v>
      </c>
      <c r="V71" s="521">
        <f t="shared" si="133"/>
        <v>38.363636363636367</v>
      </c>
      <c r="W71" s="521">
        <f t="shared" si="133"/>
        <v>45.882352941176471</v>
      </c>
      <c r="X71" s="521">
        <f t="shared" si="133"/>
        <v>62.888888888888886</v>
      </c>
      <c r="Y71" s="521">
        <f t="shared" si="133"/>
        <v>60.428571428571431</v>
      </c>
      <c r="Z71" s="521">
        <f t="shared" si="133"/>
        <v>49.073170731707314</v>
      </c>
      <c r="AA71" s="521">
        <f t="shared" si="133"/>
        <v>61.864864864864863</v>
      </c>
      <c r="AB71" s="559">
        <f t="shared" si="133"/>
        <v>39.088235294117645</v>
      </c>
      <c r="AC71" s="521">
        <f t="shared" si="133"/>
        <v>37.61467889908257</v>
      </c>
      <c r="AD71" s="521">
        <f t="shared" si="133"/>
        <v>23.507462686567163</v>
      </c>
      <c r="AE71" s="521">
        <f t="shared" si="133"/>
        <v>28.955555555555556</v>
      </c>
      <c r="AF71" s="521">
        <f t="shared" si="133"/>
        <v>33.020618556701031</v>
      </c>
      <c r="AG71" s="521">
        <f t="shared" si="133"/>
        <v>29.820512820512821</v>
      </c>
      <c r="AH71" s="521">
        <f t="shared" si="133"/>
        <v>46.89473684210526</v>
      </c>
      <c r="AI71" s="521">
        <f t="shared" si="133"/>
        <v>36.945454545454545</v>
      </c>
      <c r="AJ71" s="521">
        <f t="shared" si="133"/>
        <v>61.822222222222223</v>
      </c>
      <c r="AK71" s="559">
        <f t="shared" si="133"/>
        <v>39.415204678362571</v>
      </c>
      <c r="AL71" s="521">
        <f t="shared" si="133"/>
        <v>57.953488372093027</v>
      </c>
      <c r="AM71" s="521">
        <f t="shared" si="133"/>
        <v>44.835164835164832</v>
      </c>
      <c r="AN71" s="521">
        <f t="shared" si="133"/>
        <v>34.098684210526315</v>
      </c>
      <c r="AO71" s="521">
        <f t="shared" si="133"/>
        <v>40.968421052631577</v>
      </c>
      <c r="AP71" s="521">
        <f t="shared" si="133"/>
        <v>69.021276595744681</v>
      </c>
      <c r="AQ71" s="521">
        <f t="shared" si="133"/>
        <v>50.430555555555557</v>
      </c>
      <c r="AR71" s="521">
        <f t="shared" si="133"/>
        <v>30.575221238938052</v>
      </c>
      <c r="AS71" s="540">
        <f t="shared" si="133"/>
        <v>40.615384615384613</v>
      </c>
      <c r="AT71" s="521" t="str">
        <f t="shared" si="133"/>
        <v xml:space="preserve"> -</v>
      </c>
      <c r="AU71" s="521">
        <f t="shared" si="133"/>
        <v>50.344827586206897</v>
      </c>
      <c r="AV71" s="521">
        <f t="shared" si="133"/>
        <v>37.571428571428569</v>
      </c>
      <c r="AW71" s="521">
        <f t="shared" si="133"/>
        <v>40.358974358974358</v>
      </c>
      <c r="AX71" s="521">
        <f t="shared" si="133"/>
        <v>41.774999999999999</v>
      </c>
      <c r="AY71" s="521">
        <f t="shared" si="133"/>
        <v>35.202531645569621</v>
      </c>
      <c r="AZ71" s="521" t="str">
        <f t="shared" si="133"/>
        <v xml:space="preserve"> -</v>
      </c>
      <c r="BA71" s="521">
        <f t="shared" si="133"/>
        <v>33.971014492753625</v>
      </c>
      <c r="BB71" s="521">
        <f t="shared" si="133"/>
        <v>52.571428571428569</v>
      </c>
      <c r="BC71" s="521">
        <f t="shared" si="133"/>
        <v>37.716312056737586</v>
      </c>
      <c r="BD71" s="521">
        <f t="shared" si="133"/>
        <v>45.653846153846153</v>
      </c>
      <c r="BE71" s="521">
        <f t="shared" si="133"/>
        <v>53.078431372549019</v>
      </c>
      <c r="BF71" s="559">
        <f t="shared" si="133"/>
        <v>33.388888888888886</v>
      </c>
      <c r="BG71" s="521" t="str">
        <f t="shared" si="133"/>
        <v xml:space="preserve"> -</v>
      </c>
      <c r="BH71" s="521" t="str">
        <f t="shared" si="133"/>
        <v xml:space="preserve"> -</v>
      </c>
      <c r="BI71" s="521">
        <f t="shared" si="133"/>
        <v>62.888888888888886</v>
      </c>
      <c r="BJ71" s="521">
        <f t="shared" si="133"/>
        <v>38.363636363636367</v>
      </c>
      <c r="BK71" s="521" t="str">
        <f t="shared" si="133"/>
        <v xml:space="preserve"> -</v>
      </c>
      <c r="BL71" s="521" t="str">
        <f t="shared" si="133"/>
        <v xml:space="preserve"> -</v>
      </c>
      <c r="BM71" s="521">
        <f t="shared" si="133"/>
        <v>49.073170731707314</v>
      </c>
      <c r="BN71" s="521">
        <f t="shared" si="133"/>
        <v>60.428571428571431</v>
      </c>
      <c r="BO71" s="521" t="str">
        <f t="shared" si="133"/>
        <v xml:space="preserve"> -</v>
      </c>
      <c r="BP71" s="521">
        <f t="shared" si="133"/>
        <v>39.088235294117645</v>
      </c>
      <c r="BQ71" s="521">
        <f t="shared" si="133"/>
        <v>61.864864864864863</v>
      </c>
      <c r="BR71" s="559">
        <f t="shared" si="133"/>
        <v>45.882352941176471</v>
      </c>
      <c r="BS71" s="521" t="str">
        <f t="shared" si="133"/>
        <v xml:space="preserve"> -</v>
      </c>
      <c r="BT71" s="521">
        <f t="shared" si="133"/>
        <v>28.955555555555556</v>
      </c>
      <c r="BU71" s="521">
        <f t="shared" si="133"/>
        <v>23.507462686567163</v>
      </c>
      <c r="BV71" s="521">
        <f t="shared" si="133"/>
        <v>29.820512820512821</v>
      </c>
      <c r="BW71" s="521">
        <f t="shared" ref="BW71:CK71" si="134">IF(ISERROR(BW70/BW69)=FALSE,BW70/BW69," -")</f>
        <v>36.945454545454545</v>
      </c>
      <c r="BX71" s="521">
        <f t="shared" si="134"/>
        <v>37.61467889908257</v>
      </c>
      <c r="BY71" s="521">
        <f t="shared" si="134"/>
        <v>61.822222222222223</v>
      </c>
      <c r="BZ71" s="521">
        <f t="shared" si="134"/>
        <v>46.89473684210526</v>
      </c>
      <c r="CA71" s="521">
        <f t="shared" si="134"/>
        <v>33.020618556701031</v>
      </c>
      <c r="CB71" s="559">
        <f t="shared" si="134"/>
        <v>39.415204678362571</v>
      </c>
      <c r="CC71" s="521">
        <f t="shared" si="134"/>
        <v>40.968421052631577</v>
      </c>
      <c r="CD71" s="521">
        <f t="shared" si="134"/>
        <v>69.021276595744681</v>
      </c>
      <c r="CE71" s="521">
        <f t="shared" si="134"/>
        <v>57.953488372093027</v>
      </c>
      <c r="CF71" s="521" t="str">
        <f t="shared" si="134"/>
        <v xml:space="preserve"> -</v>
      </c>
      <c r="CG71" s="521">
        <f t="shared" si="134"/>
        <v>40.615384615384613</v>
      </c>
      <c r="CH71" s="521">
        <f t="shared" si="134"/>
        <v>44.835164835164832</v>
      </c>
      <c r="CI71" s="521">
        <f t="shared" si="134"/>
        <v>30.575221238938052</v>
      </c>
      <c r="CJ71" s="521">
        <f t="shared" si="134"/>
        <v>34.098684210526315</v>
      </c>
      <c r="CK71" s="521">
        <f t="shared" si="134"/>
        <v>50.430555555555557</v>
      </c>
      <c r="CL71" s="560">
        <f>IF(OR(CL69&lt;0.1,CL70&lt;0.1),0,CL70/CL69)</f>
        <v>39.781957506095438</v>
      </c>
    </row>
    <row r="72" spans="1:90">
      <c r="A72" s="477">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c r="A73" s="477">
        <f>ROWS($A$3:A71)</f>
        <v>69</v>
      </c>
      <c r="B73" s="92" t="s">
        <v>84</v>
      </c>
      <c r="C73" s="393">
        <v>2010</v>
      </c>
      <c r="D73" s="259" t="s">
        <v>13</v>
      </c>
      <c r="E73" s="451"/>
      <c r="F73" s="154">
        <v>2934</v>
      </c>
      <c r="G73" s="155">
        <v>1628</v>
      </c>
      <c r="H73" s="155">
        <v>1925</v>
      </c>
      <c r="I73" s="156">
        <v>2407</v>
      </c>
      <c r="J73" s="281"/>
      <c r="K73" s="154">
        <f t="shared" ref="K73:K78" si="135">BF73</f>
        <v>261</v>
      </c>
      <c r="L73" s="155">
        <f t="shared" ref="L73:L78" si="136">AY73</f>
        <v>128</v>
      </c>
      <c r="M73" s="155">
        <f t="shared" ref="M73:M78" si="137">BD73</f>
        <v>692</v>
      </c>
      <c r="N73" s="155">
        <f t="shared" ref="N73:N78" si="138">AW73</f>
        <v>93</v>
      </c>
      <c r="O73" s="155">
        <f t="shared" ref="O73:O78" si="139">BE73</f>
        <v>141</v>
      </c>
      <c r="P73" s="155">
        <f t="shared" ref="P73:P78" si="140">SUM(AZ73,BA73)</f>
        <v>467</v>
      </c>
      <c r="Q73" s="155">
        <f>'2010'!AU73</f>
        <v>256</v>
      </c>
      <c r="R73" s="155">
        <f t="shared" ref="R73:R78" si="141">SUM(AT73,AX73)</f>
        <v>320</v>
      </c>
      <c r="S73" s="155">
        <f t="shared" ref="S73:S78" si="142">AV73</f>
        <v>167</v>
      </c>
      <c r="T73" s="155">
        <f t="shared" ref="T73:U78" si="143">BB73</f>
        <v>195</v>
      </c>
      <c r="U73" s="552">
        <f t="shared" si="143"/>
        <v>214</v>
      </c>
      <c r="V73" s="155">
        <f t="shared" ref="V73:V78" si="144">SUM(BG73,BJ73)</f>
        <v>118</v>
      </c>
      <c r="W73" s="155">
        <f t="shared" ref="W73:W78" si="145">BR73</f>
        <v>139</v>
      </c>
      <c r="X73" s="155">
        <f t="shared" ref="X73:X78" si="146">SUM(BH73,BI73)</f>
        <v>350</v>
      </c>
      <c r="Y73" s="155">
        <f t="shared" ref="Y73:Y78" si="147">SUM(BK73,BL73,BN73)</f>
        <v>461</v>
      </c>
      <c r="Z73" s="155">
        <f t="shared" ref="Z73:Z78" si="148">BM73</f>
        <v>333</v>
      </c>
      <c r="AA73" s="155">
        <f t="shared" ref="AA73:AA78" si="149">SUM(BO73,BQ73)</f>
        <v>125</v>
      </c>
      <c r="AB73" s="552">
        <f t="shared" ref="AB73:AB78" si="150">BP73</f>
        <v>92</v>
      </c>
      <c r="AC73" s="155">
        <f t="shared" ref="AC73:AC78" si="151">BX73</f>
        <v>196</v>
      </c>
      <c r="AD73" s="155">
        <f t="shared" ref="AD73:AD78" si="152">BU73</f>
        <v>154</v>
      </c>
      <c r="AE73" s="155">
        <f t="shared" ref="AE73:AE78" si="153">SUM(BS73,BT73)</f>
        <v>313</v>
      </c>
      <c r="AF73" s="155">
        <f t="shared" ref="AF73:AF78" si="154">CA73</f>
        <v>95</v>
      </c>
      <c r="AG73" s="155">
        <f t="shared" ref="AG73:AG78" si="155">BV73</f>
        <v>426</v>
      </c>
      <c r="AH73" s="155">
        <f t="shared" ref="AH73:AH78" si="156">BZ73</f>
        <v>194</v>
      </c>
      <c r="AI73" s="155">
        <f t="shared" ref="AI73:AI78" si="157">BW73</f>
        <v>199</v>
      </c>
      <c r="AJ73" s="155">
        <f t="shared" ref="AJ73:AJ78" si="158">BY73</f>
        <v>150</v>
      </c>
      <c r="AK73" s="552">
        <f t="shared" ref="AK73:AK78" si="159">CB73</f>
        <v>198</v>
      </c>
      <c r="AL73" s="155">
        <f t="shared" ref="AL73:AL78" si="160">CE73</f>
        <v>317</v>
      </c>
      <c r="AM73" s="155">
        <f t="shared" ref="AM73:AM78" si="161">CH73</f>
        <v>348</v>
      </c>
      <c r="AN73" s="155">
        <f t="shared" ref="AN73:AN78" si="162">CJ73</f>
        <v>190</v>
      </c>
      <c r="AO73" s="155">
        <f t="shared" ref="AO73:AP78" si="163">CC73</f>
        <v>306</v>
      </c>
      <c r="AP73" s="155">
        <f t="shared" si="163"/>
        <v>195</v>
      </c>
      <c r="AQ73" s="155">
        <f t="shared" ref="AQ73:AQ78" si="164">CK73</f>
        <v>347</v>
      </c>
      <c r="AR73" s="155">
        <f t="shared" ref="AR73:AR78" si="165">CI73</f>
        <v>181</v>
      </c>
      <c r="AS73" s="156">
        <f t="shared" ref="AS73:AS78" si="166">SUM(CF73,CG73)</f>
        <v>523</v>
      </c>
      <c r="AT73" s="155">
        <v>25</v>
      </c>
      <c r="AU73" s="155">
        <v>256</v>
      </c>
      <c r="AV73" s="155">
        <v>167</v>
      </c>
      <c r="AW73" s="155">
        <v>93</v>
      </c>
      <c r="AX73" s="155">
        <v>295</v>
      </c>
      <c r="AY73" s="155">
        <v>128</v>
      </c>
      <c r="AZ73" s="155">
        <v>53</v>
      </c>
      <c r="BA73" s="155">
        <v>414</v>
      </c>
      <c r="BB73" s="155">
        <v>195</v>
      </c>
      <c r="BC73" s="155">
        <v>214</v>
      </c>
      <c r="BD73" s="155">
        <v>692</v>
      </c>
      <c r="BE73" s="155">
        <v>141</v>
      </c>
      <c r="BF73" s="552">
        <v>261</v>
      </c>
      <c r="BG73" s="155">
        <v>5</v>
      </c>
      <c r="BH73" s="155">
        <v>25</v>
      </c>
      <c r="BI73" s="155">
        <v>325</v>
      </c>
      <c r="BJ73" s="155">
        <v>113</v>
      </c>
      <c r="BK73" s="155">
        <v>28</v>
      </c>
      <c r="BL73" s="155">
        <v>42</v>
      </c>
      <c r="BM73" s="155">
        <v>333</v>
      </c>
      <c r="BN73" s="155">
        <v>391</v>
      </c>
      <c r="BO73" s="155">
        <v>6</v>
      </c>
      <c r="BP73" s="155">
        <v>92</v>
      </c>
      <c r="BQ73" s="155">
        <v>119</v>
      </c>
      <c r="BR73" s="552">
        <v>139</v>
      </c>
      <c r="BS73" s="155">
        <v>17</v>
      </c>
      <c r="BT73" s="155">
        <v>296</v>
      </c>
      <c r="BU73" s="155">
        <v>154</v>
      </c>
      <c r="BV73" s="155">
        <v>426</v>
      </c>
      <c r="BW73" s="155">
        <v>199</v>
      </c>
      <c r="BX73" s="155">
        <v>196</v>
      </c>
      <c r="BY73" s="155">
        <v>150</v>
      </c>
      <c r="BZ73" s="155">
        <v>194</v>
      </c>
      <c r="CA73" s="155">
        <v>95</v>
      </c>
      <c r="CB73" s="552">
        <v>198</v>
      </c>
      <c r="CC73" s="155">
        <v>306</v>
      </c>
      <c r="CD73" s="155">
        <v>195</v>
      </c>
      <c r="CE73" s="155">
        <v>317</v>
      </c>
      <c r="CF73" s="155">
        <v>43</v>
      </c>
      <c r="CG73" s="155">
        <v>480</v>
      </c>
      <c r="CH73" s="155">
        <v>348</v>
      </c>
      <c r="CI73" s="155">
        <v>181</v>
      </c>
      <c r="CJ73" s="155">
        <v>190</v>
      </c>
      <c r="CK73" s="156">
        <v>347</v>
      </c>
      <c r="CL73" s="320">
        <v>8894</v>
      </c>
    </row>
    <row r="74" spans="1:90">
      <c r="A74" s="477">
        <f>ROWS($A$3:A72)</f>
        <v>70</v>
      </c>
      <c r="B74" s="92" t="s">
        <v>85</v>
      </c>
      <c r="C74" s="203"/>
      <c r="D74" s="259" t="s">
        <v>13</v>
      </c>
      <c r="E74" s="451"/>
      <c r="F74" s="154">
        <v>465</v>
      </c>
      <c r="G74" s="155">
        <v>243</v>
      </c>
      <c r="H74" s="155">
        <v>314</v>
      </c>
      <c r="I74" s="156">
        <v>188</v>
      </c>
      <c r="J74" s="281"/>
      <c r="K74" s="154">
        <f t="shared" si="135"/>
        <v>46</v>
      </c>
      <c r="L74" s="155">
        <f t="shared" si="136"/>
        <v>76</v>
      </c>
      <c r="M74" s="155">
        <f t="shared" si="137"/>
        <v>12</v>
      </c>
      <c r="N74" s="155">
        <f t="shared" si="138"/>
        <v>30</v>
      </c>
      <c r="O74" s="155">
        <f t="shared" si="139"/>
        <v>12</v>
      </c>
      <c r="P74" s="155">
        <f t="shared" si="140"/>
        <v>50</v>
      </c>
      <c r="Q74" s="155">
        <f>'2010'!AU74</f>
        <v>20</v>
      </c>
      <c r="R74" s="155">
        <f t="shared" si="141"/>
        <v>137</v>
      </c>
      <c r="S74" s="155">
        <f t="shared" si="142"/>
        <v>47</v>
      </c>
      <c r="T74" s="155">
        <f t="shared" si="143"/>
        <v>16</v>
      </c>
      <c r="U74" s="552">
        <f t="shared" si="143"/>
        <v>19</v>
      </c>
      <c r="V74" s="155">
        <f t="shared" si="144"/>
        <v>27</v>
      </c>
      <c r="W74" s="155">
        <f t="shared" si="145"/>
        <v>10</v>
      </c>
      <c r="X74" s="155">
        <f t="shared" si="146"/>
        <v>51</v>
      </c>
      <c r="Y74" s="155">
        <f t="shared" si="147"/>
        <v>86</v>
      </c>
      <c r="Z74" s="155">
        <f t="shared" si="148"/>
        <v>18</v>
      </c>
      <c r="AA74" s="155">
        <f t="shared" si="149"/>
        <v>29</v>
      </c>
      <c r="AB74" s="552">
        <f t="shared" si="150"/>
        <v>22</v>
      </c>
      <c r="AC74" s="155">
        <f t="shared" si="151"/>
        <v>9</v>
      </c>
      <c r="AD74" s="155">
        <f t="shared" si="152"/>
        <v>29</v>
      </c>
      <c r="AE74" s="155">
        <f t="shared" si="153"/>
        <v>56</v>
      </c>
      <c r="AF74" s="155">
        <f t="shared" si="154"/>
        <v>29</v>
      </c>
      <c r="AG74" s="155">
        <f t="shared" si="155"/>
        <v>63</v>
      </c>
      <c r="AH74" s="155">
        <f t="shared" si="156"/>
        <v>98</v>
      </c>
      <c r="AI74" s="155">
        <f t="shared" si="157"/>
        <v>11</v>
      </c>
      <c r="AJ74" s="155">
        <f t="shared" si="158"/>
        <v>6</v>
      </c>
      <c r="AK74" s="552">
        <f t="shared" si="159"/>
        <v>13</v>
      </c>
      <c r="AL74" s="155">
        <f t="shared" si="160"/>
        <v>16</v>
      </c>
      <c r="AM74" s="155">
        <f t="shared" si="161"/>
        <v>27</v>
      </c>
      <c r="AN74" s="155">
        <f t="shared" si="162"/>
        <v>29</v>
      </c>
      <c r="AO74" s="155">
        <f t="shared" si="163"/>
        <v>26</v>
      </c>
      <c r="AP74" s="155">
        <f t="shared" si="163"/>
        <v>24</v>
      </c>
      <c r="AQ74" s="155">
        <f t="shared" si="164"/>
        <v>13</v>
      </c>
      <c r="AR74" s="155">
        <f t="shared" si="165"/>
        <v>22</v>
      </c>
      <c r="AS74" s="156">
        <f t="shared" si="166"/>
        <v>31</v>
      </c>
      <c r="AT74" s="155">
        <v>42</v>
      </c>
      <c r="AU74" s="155">
        <v>20</v>
      </c>
      <c r="AV74" s="155">
        <v>47</v>
      </c>
      <c r="AW74" s="155">
        <v>30</v>
      </c>
      <c r="AX74" s="155">
        <v>95</v>
      </c>
      <c r="AY74" s="155">
        <v>76</v>
      </c>
      <c r="AZ74" s="155">
        <v>10</v>
      </c>
      <c r="BA74" s="155">
        <v>40</v>
      </c>
      <c r="BB74" s="155">
        <v>16</v>
      </c>
      <c r="BC74" s="155">
        <v>19</v>
      </c>
      <c r="BD74" s="155">
        <v>12</v>
      </c>
      <c r="BE74" s="155">
        <v>12</v>
      </c>
      <c r="BF74" s="552">
        <v>46</v>
      </c>
      <c r="BG74" s="155">
        <v>8</v>
      </c>
      <c r="BH74" s="155">
        <v>15</v>
      </c>
      <c r="BI74" s="155">
        <v>36</v>
      </c>
      <c r="BJ74" s="155">
        <v>19</v>
      </c>
      <c r="BK74" s="155">
        <v>28</v>
      </c>
      <c r="BL74" s="155">
        <v>12</v>
      </c>
      <c r="BM74" s="155">
        <v>18</v>
      </c>
      <c r="BN74" s="155">
        <v>46</v>
      </c>
      <c r="BO74" s="155">
        <v>7</v>
      </c>
      <c r="BP74" s="155">
        <v>22</v>
      </c>
      <c r="BQ74" s="155">
        <v>22</v>
      </c>
      <c r="BR74" s="552">
        <v>10</v>
      </c>
      <c r="BS74" s="155">
        <v>9</v>
      </c>
      <c r="BT74" s="155">
        <v>47</v>
      </c>
      <c r="BU74" s="155">
        <v>29</v>
      </c>
      <c r="BV74" s="155">
        <v>63</v>
      </c>
      <c r="BW74" s="155">
        <v>11</v>
      </c>
      <c r="BX74" s="155">
        <v>9</v>
      </c>
      <c r="BY74" s="155">
        <v>6</v>
      </c>
      <c r="BZ74" s="155">
        <v>98</v>
      </c>
      <c r="CA74" s="155">
        <v>29</v>
      </c>
      <c r="CB74" s="552">
        <v>13</v>
      </c>
      <c r="CC74" s="155">
        <v>26</v>
      </c>
      <c r="CD74" s="155">
        <v>24</v>
      </c>
      <c r="CE74" s="155">
        <v>16</v>
      </c>
      <c r="CF74" s="155">
        <v>11</v>
      </c>
      <c r="CG74" s="155">
        <v>20</v>
      </c>
      <c r="CH74" s="155">
        <v>27</v>
      </c>
      <c r="CI74" s="155">
        <v>22</v>
      </c>
      <c r="CJ74" s="155">
        <v>29</v>
      </c>
      <c r="CK74" s="156">
        <v>13</v>
      </c>
      <c r="CL74" s="320">
        <v>1210</v>
      </c>
    </row>
    <row r="75" spans="1:90">
      <c r="A75" s="477">
        <f>ROWS($A$3:A73)</f>
        <v>71</v>
      </c>
      <c r="B75" s="92" t="s">
        <v>86</v>
      </c>
      <c r="C75" s="203"/>
      <c r="D75" s="259" t="s">
        <v>13</v>
      </c>
      <c r="E75" s="451"/>
      <c r="F75" s="154">
        <v>3016</v>
      </c>
      <c r="G75" s="155">
        <v>779</v>
      </c>
      <c r="H75" s="155">
        <v>4390</v>
      </c>
      <c r="I75" s="156">
        <v>1072</v>
      </c>
      <c r="J75" s="281"/>
      <c r="K75" s="154">
        <f t="shared" si="135"/>
        <v>12</v>
      </c>
      <c r="L75" s="155">
        <f t="shared" si="136"/>
        <v>446</v>
      </c>
      <c r="M75" s="155">
        <f t="shared" si="137"/>
        <v>200</v>
      </c>
      <c r="N75" s="155">
        <f t="shared" si="138"/>
        <v>33</v>
      </c>
      <c r="O75" s="155" t="str">
        <f t="shared" si="139"/>
        <v>*</v>
      </c>
      <c r="P75" s="155">
        <f t="shared" si="140"/>
        <v>1287</v>
      </c>
      <c r="Q75" s="155">
        <f>'2010'!AU75</f>
        <v>31</v>
      </c>
      <c r="R75" s="155">
        <f t="shared" si="141"/>
        <v>600</v>
      </c>
      <c r="S75" s="155">
        <f t="shared" si="142"/>
        <v>81</v>
      </c>
      <c r="T75" s="155">
        <f t="shared" si="143"/>
        <v>316</v>
      </c>
      <c r="U75" s="552" t="str">
        <f t="shared" si="143"/>
        <v>*</v>
      </c>
      <c r="V75" s="155">
        <f t="shared" si="144"/>
        <v>334</v>
      </c>
      <c r="W75" s="155" t="str">
        <f t="shared" si="145"/>
        <v>*</v>
      </c>
      <c r="X75" s="155">
        <f t="shared" si="146"/>
        <v>145</v>
      </c>
      <c r="Y75" s="155">
        <f t="shared" si="147"/>
        <v>197</v>
      </c>
      <c r="Z75" s="155">
        <f t="shared" si="148"/>
        <v>32</v>
      </c>
      <c r="AA75" s="155">
        <f t="shared" si="149"/>
        <v>63</v>
      </c>
      <c r="AB75" s="552" t="str">
        <f t="shared" si="150"/>
        <v xml:space="preserve"> -</v>
      </c>
      <c r="AC75" s="155" t="str">
        <f t="shared" si="151"/>
        <v xml:space="preserve"> -</v>
      </c>
      <c r="AD75" s="155">
        <f t="shared" si="152"/>
        <v>602</v>
      </c>
      <c r="AE75" s="155">
        <f t="shared" si="153"/>
        <v>1615</v>
      </c>
      <c r="AF75" s="155">
        <f t="shared" si="154"/>
        <v>249</v>
      </c>
      <c r="AG75" s="155">
        <f t="shared" si="155"/>
        <v>1758</v>
      </c>
      <c r="AH75" s="155">
        <f t="shared" si="156"/>
        <v>116</v>
      </c>
      <c r="AI75" s="155" t="str">
        <f t="shared" si="157"/>
        <v>*</v>
      </c>
      <c r="AJ75" s="155" t="str">
        <f t="shared" si="158"/>
        <v>*</v>
      </c>
      <c r="AK75" s="552">
        <f t="shared" si="159"/>
        <v>43</v>
      </c>
      <c r="AL75" s="155" t="str">
        <f t="shared" si="160"/>
        <v>*</v>
      </c>
      <c r="AM75" s="155">
        <f t="shared" si="161"/>
        <v>6</v>
      </c>
      <c r="AN75" s="155">
        <f t="shared" si="162"/>
        <v>137</v>
      </c>
      <c r="AO75" s="155">
        <f t="shared" si="163"/>
        <v>29</v>
      </c>
      <c r="AP75" s="155">
        <f t="shared" si="163"/>
        <v>13</v>
      </c>
      <c r="AQ75" s="155">
        <f t="shared" si="164"/>
        <v>13</v>
      </c>
      <c r="AR75" s="155">
        <f t="shared" si="165"/>
        <v>859</v>
      </c>
      <c r="AS75" s="156">
        <f t="shared" si="166"/>
        <v>11</v>
      </c>
      <c r="AT75" s="155">
        <v>96</v>
      </c>
      <c r="AU75" s="155">
        <v>31</v>
      </c>
      <c r="AV75" s="155">
        <v>81</v>
      </c>
      <c r="AW75" s="155">
        <v>33</v>
      </c>
      <c r="AX75" s="155">
        <v>504</v>
      </c>
      <c r="AY75" s="155">
        <v>446</v>
      </c>
      <c r="AZ75" s="155">
        <v>97</v>
      </c>
      <c r="BA75" s="155">
        <v>1190</v>
      </c>
      <c r="BB75" s="155">
        <v>316</v>
      </c>
      <c r="BC75" s="155" t="s">
        <v>233</v>
      </c>
      <c r="BD75" s="155">
        <v>200</v>
      </c>
      <c r="BE75" s="155" t="s">
        <v>233</v>
      </c>
      <c r="BF75" s="552">
        <v>12</v>
      </c>
      <c r="BG75" s="155">
        <v>82</v>
      </c>
      <c r="BH75" s="155" t="s">
        <v>233</v>
      </c>
      <c r="BI75" s="155">
        <v>145</v>
      </c>
      <c r="BJ75" s="155">
        <v>252</v>
      </c>
      <c r="BK75" s="155">
        <v>11</v>
      </c>
      <c r="BL75" s="155" t="s">
        <v>267</v>
      </c>
      <c r="BM75" s="155">
        <v>32</v>
      </c>
      <c r="BN75" s="155">
        <v>186</v>
      </c>
      <c r="BO75" s="155" t="s">
        <v>233</v>
      </c>
      <c r="BP75" s="155" t="s">
        <v>267</v>
      </c>
      <c r="BQ75" s="155">
        <v>63</v>
      </c>
      <c r="BR75" s="552" t="s">
        <v>233</v>
      </c>
      <c r="BS75" s="155">
        <v>146</v>
      </c>
      <c r="BT75" s="155">
        <v>1469</v>
      </c>
      <c r="BU75" s="155">
        <v>602</v>
      </c>
      <c r="BV75" s="155">
        <v>1758</v>
      </c>
      <c r="BW75" s="155" t="s">
        <v>233</v>
      </c>
      <c r="BX75" s="155" t="s">
        <v>267</v>
      </c>
      <c r="BY75" s="155" t="s">
        <v>233</v>
      </c>
      <c r="BZ75" s="155">
        <v>116</v>
      </c>
      <c r="CA75" s="155">
        <v>249</v>
      </c>
      <c r="CB75" s="552">
        <v>43</v>
      </c>
      <c r="CC75" s="155">
        <v>29</v>
      </c>
      <c r="CD75" s="155">
        <v>13</v>
      </c>
      <c r="CE75" s="155" t="s">
        <v>233</v>
      </c>
      <c r="CF75" s="155" t="s">
        <v>233</v>
      </c>
      <c r="CG75" s="155">
        <v>11</v>
      </c>
      <c r="CH75" s="155">
        <v>6</v>
      </c>
      <c r="CI75" s="155">
        <v>859</v>
      </c>
      <c r="CJ75" s="155">
        <v>137</v>
      </c>
      <c r="CK75" s="156">
        <v>13</v>
      </c>
      <c r="CL75" s="320">
        <v>9257</v>
      </c>
    </row>
    <row r="76" spans="1:90">
      <c r="A76" s="477">
        <f>ROWS($A$3:A74)</f>
        <v>72</v>
      </c>
      <c r="B76" s="92" t="s">
        <v>87</v>
      </c>
      <c r="C76" s="203"/>
      <c r="D76" s="259" t="s">
        <v>13</v>
      </c>
      <c r="E76" s="451"/>
      <c r="F76" s="154">
        <v>4205</v>
      </c>
      <c r="G76" s="155">
        <v>1272</v>
      </c>
      <c r="H76" s="155">
        <v>5289</v>
      </c>
      <c r="I76" s="156">
        <v>5348</v>
      </c>
      <c r="J76" s="281"/>
      <c r="K76" s="154">
        <f t="shared" si="135"/>
        <v>1123</v>
      </c>
      <c r="L76" s="155">
        <f t="shared" si="136"/>
        <v>428</v>
      </c>
      <c r="M76" s="155">
        <f t="shared" si="137"/>
        <v>179</v>
      </c>
      <c r="N76" s="155">
        <f t="shared" si="138"/>
        <v>491</v>
      </c>
      <c r="O76" s="155">
        <f t="shared" si="139"/>
        <v>233</v>
      </c>
      <c r="P76" s="155">
        <f t="shared" si="140"/>
        <v>125</v>
      </c>
      <c r="Q76" s="155">
        <f>'2010'!AU76</f>
        <v>122</v>
      </c>
      <c r="R76" s="155">
        <f t="shared" si="141"/>
        <v>107</v>
      </c>
      <c r="S76" s="155">
        <f t="shared" si="142"/>
        <v>207</v>
      </c>
      <c r="T76" s="155">
        <f t="shared" si="143"/>
        <v>253</v>
      </c>
      <c r="U76" s="552">
        <f t="shared" si="143"/>
        <v>923</v>
      </c>
      <c r="V76" s="155">
        <f t="shared" si="144"/>
        <v>105</v>
      </c>
      <c r="W76" s="155">
        <f t="shared" si="145"/>
        <v>272</v>
      </c>
      <c r="X76" s="155">
        <f t="shared" si="146"/>
        <v>121</v>
      </c>
      <c r="Y76" s="155">
        <f t="shared" si="147"/>
        <v>179</v>
      </c>
      <c r="Z76" s="155">
        <f t="shared" si="148"/>
        <v>235</v>
      </c>
      <c r="AA76" s="155">
        <f t="shared" si="149"/>
        <v>123</v>
      </c>
      <c r="AB76" s="552">
        <f t="shared" si="150"/>
        <v>237</v>
      </c>
      <c r="AC76" s="155">
        <f t="shared" si="151"/>
        <v>688</v>
      </c>
      <c r="AD76" s="155">
        <f t="shared" si="152"/>
        <v>513</v>
      </c>
      <c r="AE76" s="155">
        <f t="shared" si="153"/>
        <v>870</v>
      </c>
      <c r="AF76" s="155">
        <f t="shared" si="154"/>
        <v>551</v>
      </c>
      <c r="AG76" s="155">
        <f t="shared" si="155"/>
        <v>898</v>
      </c>
      <c r="AH76" s="155">
        <f t="shared" si="156"/>
        <v>322</v>
      </c>
      <c r="AI76" s="155">
        <f t="shared" si="157"/>
        <v>392</v>
      </c>
      <c r="AJ76" s="155">
        <f t="shared" si="158"/>
        <v>225</v>
      </c>
      <c r="AK76" s="552">
        <f t="shared" si="159"/>
        <v>830</v>
      </c>
      <c r="AL76" s="155">
        <f t="shared" si="160"/>
        <v>327</v>
      </c>
      <c r="AM76" s="155">
        <f t="shared" si="161"/>
        <v>1026</v>
      </c>
      <c r="AN76" s="155">
        <f t="shared" si="162"/>
        <v>1983</v>
      </c>
      <c r="AO76" s="155">
        <f t="shared" si="163"/>
        <v>441</v>
      </c>
      <c r="AP76" s="155">
        <f t="shared" si="163"/>
        <v>99</v>
      </c>
      <c r="AQ76" s="155">
        <f t="shared" si="164"/>
        <v>498</v>
      </c>
      <c r="AR76" s="155">
        <f t="shared" si="165"/>
        <v>328</v>
      </c>
      <c r="AS76" s="156">
        <f t="shared" si="166"/>
        <v>646</v>
      </c>
      <c r="AT76" s="155" t="s">
        <v>233</v>
      </c>
      <c r="AU76" s="155">
        <v>122</v>
      </c>
      <c r="AV76" s="155">
        <v>207</v>
      </c>
      <c r="AW76" s="155">
        <v>491</v>
      </c>
      <c r="AX76" s="155">
        <v>107</v>
      </c>
      <c r="AY76" s="155">
        <v>428</v>
      </c>
      <c r="AZ76" s="155" t="s">
        <v>233</v>
      </c>
      <c r="BA76" s="155">
        <v>125</v>
      </c>
      <c r="BB76" s="155">
        <v>253</v>
      </c>
      <c r="BC76" s="155">
        <v>923</v>
      </c>
      <c r="BD76" s="155">
        <v>179</v>
      </c>
      <c r="BE76" s="155">
        <v>233</v>
      </c>
      <c r="BF76" s="552">
        <v>1123</v>
      </c>
      <c r="BG76" s="155">
        <v>15</v>
      </c>
      <c r="BH76" s="155">
        <v>8</v>
      </c>
      <c r="BI76" s="155">
        <v>113</v>
      </c>
      <c r="BJ76" s="155">
        <v>90</v>
      </c>
      <c r="BK76" s="155">
        <v>7</v>
      </c>
      <c r="BL76" s="155">
        <v>5</v>
      </c>
      <c r="BM76" s="155">
        <v>235</v>
      </c>
      <c r="BN76" s="155">
        <v>167</v>
      </c>
      <c r="BO76" s="155">
        <v>7</v>
      </c>
      <c r="BP76" s="155">
        <v>237</v>
      </c>
      <c r="BQ76" s="155">
        <v>116</v>
      </c>
      <c r="BR76" s="552">
        <v>272</v>
      </c>
      <c r="BS76" s="155">
        <v>20</v>
      </c>
      <c r="BT76" s="155">
        <v>850</v>
      </c>
      <c r="BU76" s="155">
        <v>513</v>
      </c>
      <c r="BV76" s="155">
        <v>898</v>
      </c>
      <c r="BW76" s="155">
        <v>392</v>
      </c>
      <c r="BX76" s="155">
        <v>688</v>
      </c>
      <c r="BY76" s="155">
        <v>225</v>
      </c>
      <c r="BZ76" s="155">
        <v>322</v>
      </c>
      <c r="CA76" s="155">
        <v>551</v>
      </c>
      <c r="CB76" s="552">
        <v>830</v>
      </c>
      <c r="CC76" s="155">
        <v>441</v>
      </c>
      <c r="CD76" s="155">
        <v>99</v>
      </c>
      <c r="CE76" s="155">
        <v>327</v>
      </c>
      <c r="CF76" s="155">
        <v>28</v>
      </c>
      <c r="CG76" s="155">
        <v>618</v>
      </c>
      <c r="CH76" s="155">
        <v>1026</v>
      </c>
      <c r="CI76" s="155">
        <v>328</v>
      </c>
      <c r="CJ76" s="155">
        <v>1983</v>
      </c>
      <c r="CK76" s="156">
        <v>498</v>
      </c>
      <c r="CL76" s="320">
        <v>16114</v>
      </c>
    </row>
    <row r="77" spans="1:90">
      <c r="A77" s="477">
        <f>ROWS($A$3:A75)</f>
        <v>73</v>
      </c>
      <c r="B77" s="92" t="s">
        <v>88</v>
      </c>
      <c r="C77" s="203"/>
      <c r="D77" s="259" t="s">
        <v>13</v>
      </c>
      <c r="E77" s="451"/>
      <c r="F77" s="154">
        <v>1140</v>
      </c>
      <c r="G77" s="155">
        <v>76</v>
      </c>
      <c r="H77" s="155">
        <v>119</v>
      </c>
      <c r="I77" s="156">
        <v>662</v>
      </c>
      <c r="J77" s="281"/>
      <c r="K77" s="154">
        <f t="shared" si="135"/>
        <v>123</v>
      </c>
      <c r="L77" s="155">
        <f t="shared" si="136"/>
        <v>22</v>
      </c>
      <c r="M77" s="155">
        <f t="shared" si="137"/>
        <v>132</v>
      </c>
      <c r="N77" s="155">
        <f t="shared" si="138"/>
        <v>21</v>
      </c>
      <c r="O77" s="155">
        <f t="shared" si="139"/>
        <v>46</v>
      </c>
      <c r="P77" s="155">
        <f t="shared" si="140"/>
        <v>29</v>
      </c>
      <c r="Q77" s="155">
        <f>'2010'!AU77</f>
        <v>14</v>
      </c>
      <c r="R77" s="155">
        <f t="shared" si="141"/>
        <v>39</v>
      </c>
      <c r="S77" s="155" t="str">
        <f t="shared" si="142"/>
        <v>*</v>
      </c>
      <c r="T77" s="155">
        <f t="shared" si="143"/>
        <v>168</v>
      </c>
      <c r="U77" s="552">
        <f t="shared" si="143"/>
        <v>538</v>
      </c>
      <c r="V77" s="155">
        <f t="shared" si="144"/>
        <v>0</v>
      </c>
      <c r="W77" s="155">
        <f t="shared" si="145"/>
        <v>10</v>
      </c>
      <c r="X77" s="155">
        <f t="shared" si="146"/>
        <v>0</v>
      </c>
      <c r="Y77" s="155">
        <f t="shared" si="147"/>
        <v>24</v>
      </c>
      <c r="Z77" s="155">
        <f t="shared" si="148"/>
        <v>24</v>
      </c>
      <c r="AA77" s="155">
        <f t="shared" si="149"/>
        <v>6</v>
      </c>
      <c r="AB77" s="552">
        <f t="shared" si="150"/>
        <v>3</v>
      </c>
      <c r="AC77" s="155">
        <f t="shared" si="151"/>
        <v>17</v>
      </c>
      <c r="AD77" s="155">
        <f t="shared" si="152"/>
        <v>6</v>
      </c>
      <c r="AE77" s="155">
        <f t="shared" si="153"/>
        <v>8</v>
      </c>
      <c r="AF77" s="155" t="str">
        <f t="shared" si="154"/>
        <v>*</v>
      </c>
      <c r="AG77" s="155">
        <f t="shared" si="155"/>
        <v>25</v>
      </c>
      <c r="AH77" s="155">
        <f t="shared" si="156"/>
        <v>16</v>
      </c>
      <c r="AI77" s="155">
        <f t="shared" si="157"/>
        <v>21</v>
      </c>
      <c r="AJ77" s="155" t="str">
        <f t="shared" si="158"/>
        <v>*</v>
      </c>
      <c r="AK77" s="552">
        <f t="shared" si="159"/>
        <v>19</v>
      </c>
      <c r="AL77" s="155">
        <f t="shared" si="160"/>
        <v>7</v>
      </c>
      <c r="AM77" s="155">
        <f t="shared" si="161"/>
        <v>156</v>
      </c>
      <c r="AN77" s="155">
        <f t="shared" si="162"/>
        <v>55</v>
      </c>
      <c r="AO77" s="155">
        <f t="shared" si="163"/>
        <v>28</v>
      </c>
      <c r="AP77" s="155">
        <f t="shared" si="163"/>
        <v>7</v>
      </c>
      <c r="AQ77" s="155">
        <f t="shared" si="164"/>
        <v>84</v>
      </c>
      <c r="AR77" s="155">
        <f t="shared" si="165"/>
        <v>13</v>
      </c>
      <c r="AS77" s="156">
        <f t="shared" si="166"/>
        <v>312</v>
      </c>
      <c r="AT77" s="155" t="s">
        <v>267</v>
      </c>
      <c r="AU77" s="155">
        <v>14</v>
      </c>
      <c r="AV77" s="155" t="s">
        <v>233</v>
      </c>
      <c r="AW77" s="155">
        <v>21</v>
      </c>
      <c r="AX77" s="155">
        <v>39</v>
      </c>
      <c r="AY77" s="155">
        <v>22</v>
      </c>
      <c r="AZ77" s="155" t="s">
        <v>233</v>
      </c>
      <c r="BA77" s="155">
        <v>29</v>
      </c>
      <c r="BB77" s="155">
        <v>168</v>
      </c>
      <c r="BC77" s="155">
        <v>538</v>
      </c>
      <c r="BD77" s="155">
        <v>132</v>
      </c>
      <c r="BE77" s="155">
        <v>46</v>
      </c>
      <c r="BF77" s="552">
        <v>123</v>
      </c>
      <c r="BG77" s="155" t="s">
        <v>267</v>
      </c>
      <c r="BH77" s="155" t="s">
        <v>267</v>
      </c>
      <c r="BI77" s="155" t="s">
        <v>233</v>
      </c>
      <c r="BJ77" s="155" t="s">
        <v>233</v>
      </c>
      <c r="BK77" s="155" t="s">
        <v>233</v>
      </c>
      <c r="BL77" s="155" t="s">
        <v>267</v>
      </c>
      <c r="BM77" s="155">
        <v>24</v>
      </c>
      <c r="BN77" s="155">
        <v>24</v>
      </c>
      <c r="BO77" s="155" t="s">
        <v>267</v>
      </c>
      <c r="BP77" s="155">
        <v>3</v>
      </c>
      <c r="BQ77" s="155">
        <v>6</v>
      </c>
      <c r="BR77" s="552">
        <v>10</v>
      </c>
      <c r="BS77" s="155" t="s">
        <v>267</v>
      </c>
      <c r="BT77" s="155">
        <v>8</v>
      </c>
      <c r="BU77" s="155">
        <v>6</v>
      </c>
      <c r="BV77" s="155">
        <v>25</v>
      </c>
      <c r="BW77" s="155">
        <v>21</v>
      </c>
      <c r="BX77" s="155">
        <v>17</v>
      </c>
      <c r="BY77" s="155" t="s">
        <v>233</v>
      </c>
      <c r="BZ77" s="155">
        <v>16</v>
      </c>
      <c r="CA77" s="155" t="s">
        <v>233</v>
      </c>
      <c r="CB77" s="552">
        <v>19</v>
      </c>
      <c r="CC77" s="155">
        <v>28</v>
      </c>
      <c r="CD77" s="155">
        <v>7</v>
      </c>
      <c r="CE77" s="155">
        <v>7</v>
      </c>
      <c r="CF77" s="155">
        <v>17</v>
      </c>
      <c r="CG77" s="155">
        <v>295</v>
      </c>
      <c r="CH77" s="155">
        <v>156</v>
      </c>
      <c r="CI77" s="155">
        <v>13</v>
      </c>
      <c r="CJ77" s="155">
        <v>55</v>
      </c>
      <c r="CK77" s="156">
        <v>84</v>
      </c>
      <c r="CL77" s="320">
        <v>1997</v>
      </c>
    </row>
    <row r="78" spans="1:90">
      <c r="A78" s="477">
        <f>ROWS($A$3:A76)</f>
        <v>74</v>
      </c>
      <c r="B78" s="92" t="s">
        <v>89</v>
      </c>
      <c r="C78" s="203"/>
      <c r="D78" s="259" t="s">
        <v>13</v>
      </c>
      <c r="E78" s="451"/>
      <c r="F78" s="154">
        <v>2637</v>
      </c>
      <c r="G78" s="155">
        <v>932</v>
      </c>
      <c r="H78" s="155">
        <v>1574</v>
      </c>
      <c r="I78" s="156">
        <v>1897</v>
      </c>
      <c r="J78" s="281"/>
      <c r="K78" s="154">
        <f t="shared" si="135"/>
        <v>262</v>
      </c>
      <c r="L78" s="155">
        <f t="shared" si="136"/>
        <v>188</v>
      </c>
      <c r="M78" s="155">
        <f t="shared" si="137"/>
        <v>337</v>
      </c>
      <c r="N78" s="155">
        <f t="shared" si="138"/>
        <v>114</v>
      </c>
      <c r="O78" s="155">
        <f t="shared" si="139"/>
        <v>143</v>
      </c>
      <c r="P78" s="155">
        <f t="shared" si="140"/>
        <v>348</v>
      </c>
      <c r="Q78" s="155">
        <f>'2010'!AU78</f>
        <v>161</v>
      </c>
      <c r="R78" s="155">
        <f t="shared" si="141"/>
        <v>319</v>
      </c>
      <c r="S78" s="155">
        <f t="shared" si="142"/>
        <v>138</v>
      </c>
      <c r="T78" s="155">
        <f t="shared" si="143"/>
        <v>281</v>
      </c>
      <c r="U78" s="552">
        <f t="shared" si="143"/>
        <v>323</v>
      </c>
      <c r="V78" s="155">
        <f t="shared" si="144"/>
        <v>66</v>
      </c>
      <c r="W78" s="155">
        <f t="shared" si="145"/>
        <v>63</v>
      </c>
      <c r="X78" s="155">
        <f t="shared" si="146"/>
        <v>131</v>
      </c>
      <c r="Y78" s="155">
        <f t="shared" si="147"/>
        <v>159</v>
      </c>
      <c r="Z78" s="155">
        <f t="shared" si="148"/>
        <v>236</v>
      </c>
      <c r="AA78" s="155">
        <f t="shared" si="149"/>
        <v>107</v>
      </c>
      <c r="AB78" s="552">
        <f t="shared" si="150"/>
        <v>110</v>
      </c>
      <c r="AC78" s="155">
        <f t="shared" si="151"/>
        <v>127</v>
      </c>
      <c r="AD78" s="155">
        <f t="shared" si="152"/>
        <v>118</v>
      </c>
      <c r="AE78" s="155">
        <f t="shared" si="153"/>
        <v>215</v>
      </c>
      <c r="AF78" s="155">
        <f t="shared" si="154"/>
        <v>141</v>
      </c>
      <c r="AG78" s="155">
        <f t="shared" si="155"/>
        <v>402</v>
      </c>
      <c r="AH78" s="155">
        <f t="shared" si="156"/>
        <v>154</v>
      </c>
      <c r="AI78" s="155">
        <f t="shared" si="157"/>
        <v>171</v>
      </c>
      <c r="AJ78" s="155">
        <f t="shared" si="158"/>
        <v>33</v>
      </c>
      <c r="AK78" s="552">
        <f t="shared" si="159"/>
        <v>139</v>
      </c>
      <c r="AL78" s="155">
        <f t="shared" si="160"/>
        <v>67</v>
      </c>
      <c r="AM78" s="155">
        <f t="shared" si="161"/>
        <v>285</v>
      </c>
      <c r="AN78" s="155">
        <f t="shared" si="162"/>
        <v>166</v>
      </c>
      <c r="AO78" s="155">
        <f t="shared" si="163"/>
        <v>228</v>
      </c>
      <c r="AP78" s="155">
        <f t="shared" si="163"/>
        <v>81</v>
      </c>
      <c r="AQ78" s="155">
        <f t="shared" si="164"/>
        <v>293</v>
      </c>
      <c r="AR78" s="155">
        <f t="shared" si="165"/>
        <v>274</v>
      </c>
      <c r="AS78" s="156">
        <f t="shared" si="166"/>
        <v>482</v>
      </c>
      <c r="AT78" s="155">
        <v>22</v>
      </c>
      <c r="AU78" s="155">
        <v>161</v>
      </c>
      <c r="AV78" s="155">
        <v>138</v>
      </c>
      <c r="AW78" s="155">
        <v>114</v>
      </c>
      <c r="AX78" s="155">
        <v>297</v>
      </c>
      <c r="AY78" s="155">
        <v>188</v>
      </c>
      <c r="AZ78" s="155">
        <v>20</v>
      </c>
      <c r="BA78" s="155">
        <v>328</v>
      </c>
      <c r="BB78" s="155">
        <v>281</v>
      </c>
      <c r="BC78" s="155">
        <v>323</v>
      </c>
      <c r="BD78" s="155">
        <v>337</v>
      </c>
      <c r="BE78" s="155">
        <v>143</v>
      </c>
      <c r="BF78" s="552">
        <v>262</v>
      </c>
      <c r="BG78" s="155" t="s">
        <v>233</v>
      </c>
      <c r="BH78" s="155">
        <v>5</v>
      </c>
      <c r="BI78" s="155">
        <v>126</v>
      </c>
      <c r="BJ78" s="155">
        <v>66</v>
      </c>
      <c r="BK78" s="155">
        <v>6</v>
      </c>
      <c r="BL78" s="155" t="s">
        <v>233</v>
      </c>
      <c r="BM78" s="155">
        <v>236</v>
      </c>
      <c r="BN78" s="155">
        <v>153</v>
      </c>
      <c r="BO78" s="155" t="s">
        <v>233</v>
      </c>
      <c r="BP78" s="155">
        <v>110</v>
      </c>
      <c r="BQ78" s="155">
        <v>107</v>
      </c>
      <c r="BR78" s="552">
        <v>63</v>
      </c>
      <c r="BS78" s="155" t="s">
        <v>233</v>
      </c>
      <c r="BT78" s="155">
        <v>215</v>
      </c>
      <c r="BU78" s="155">
        <v>118</v>
      </c>
      <c r="BV78" s="155">
        <v>402</v>
      </c>
      <c r="BW78" s="155">
        <v>171</v>
      </c>
      <c r="BX78" s="155">
        <v>127</v>
      </c>
      <c r="BY78" s="155">
        <v>33</v>
      </c>
      <c r="BZ78" s="155">
        <v>154</v>
      </c>
      <c r="CA78" s="155">
        <v>141</v>
      </c>
      <c r="CB78" s="552">
        <v>139</v>
      </c>
      <c r="CC78" s="155">
        <v>228</v>
      </c>
      <c r="CD78" s="155">
        <v>81</v>
      </c>
      <c r="CE78" s="155">
        <v>67</v>
      </c>
      <c r="CF78" s="155">
        <v>15</v>
      </c>
      <c r="CG78" s="155">
        <v>467</v>
      </c>
      <c r="CH78" s="155">
        <v>285</v>
      </c>
      <c r="CI78" s="155">
        <v>274</v>
      </c>
      <c r="CJ78" s="155">
        <v>166</v>
      </c>
      <c r="CK78" s="156">
        <v>293</v>
      </c>
      <c r="CL78" s="320">
        <v>7040</v>
      </c>
    </row>
    <row r="79" spans="1:90">
      <c r="A79" s="477">
        <f>ROWS($A$3:A77)</f>
        <v>75</v>
      </c>
      <c r="B79" s="59" t="s">
        <v>79</v>
      </c>
      <c r="C79" s="393">
        <v>2011</v>
      </c>
      <c r="D79" s="259"/>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320" t="s">
        <v>57</v>
      </c>
    </row>
    <row r="80" spans="1:90">
      <c r="A80" s="477">
        <f>ROWS($A$3:A78)</f>
        <v>76</v>
      </c>
      <c r="B80" s="92" t="s">
        <v>90</v>
      </c>
      <c r="C80" s="205">
        <v>2015</v>
      </c>
      <c r="D80" s="259" t="s">
        <v>13</v>
      </c>
      <c r="E80" s="447">
        <v>42549</v>
      </c>
      <c r="F80" s="154">
        <f>SUM(AT80:BF80)</f>
        <v>14633</v>
      </c>
      <c r="G80" s="155">
        <f>SUM(BG80:BR80)</f>
        <v>5022</v>
      </c>
      <c r="H80" s="155">
        <f>SUM(BS80:CB80)</f>
        <v>13089</v>
      </c>
      <c r="I80" s="156">
        <f>SUM(CC80:CK80)</f>
        <v>12574</v>
      </c>
      <c r="J80" s="281"/>
      <c r="K80" s="154">
        <f>BF80</f>
        <v>2168</v>
      </c>
      <c r="L80" s="155">
        <f>AY80</f>
        <v>1063</v>
      </c>
      <c r="M80" s="155">
        <f>BD80</f>
        <v>1672</v>
      </c>
      <c r="N80" s="155">
        <f>AW80</f>
        <v>801</v>
      </c>
      <c r="O80" s="155">
        <f>BE80</f>
        <v>601</v>
      </c>
      <c r="P80" s="155">
        <f>AZ80+BA80</f>
        <v>1989</v>
      </c>
      <c r="Q80" s="155">
        <f>AU80</f>
        <v>652</v>
      </c>
      <c r="R80" s="155">
        <f>AT80+AX80</f>
        <v>1245</v>
      </c>
      <c r="S80" s="155">
        <f>AV80</f>
        <v>604</v>
      </c>
      <c r="T80" s="155">
        <f>BB80</f>
        <v>1422</v>
      </c>
      <c r="U80" s="552">
        <f>BC80</f>
        <v>2416</v>
      </c>
      <c r="V80" s="155">
        <f>BG80+BJ80</f>
        <v>579</v>
      </c>
      <c r="W80" s="155">
        <f>BR80</f>
        <v>653</v>
      </c>
      <c r="X80" s="155">
        <f>BH80+BI80</f>
        <v>798</v>
      </c>
      <c r="Y80" s="155">
        <f>BK80+BL80+BN80</f>
        <v>952</v>
      </c>
      <c r="Z80" s="155">
        <f>BM80</f>
        <v>1014</v>
      </c>
      <c r="AA80" s="155">
        <f>BO80+BQ80</f>
        <v>466</v>
      </c>
      <c r="AB80" s="552">
        <f>BP80</f>
        <v>560</v>
      </c>
      <c r="AC80" s="155">
        <f>BX80</f>
        <v>1216</v>
      </c>
      <c r="AD80" s="155">
        <f>BU80</f>
        <v>1207</v>
      </c>
      <c r="AE80" s="155">
        <f>BS80+BT80</f>
        <v>2367</v>
      </c>
      <c r="AF80" s="155">
        <f>CA80</f>
        <v>1041</v>
      </c>
      <c r="AG80" s="155">
        <f>BV80</f>
        <v>3366</v>
      </c>
      <c r="AH80" s="155">
        <f>BZ80</f>
        <v>968</v>
      </c>
      <c r="AI80" s="155">
        <f>BW80</f>
        <v>982</v>
      </c>
      <c r="AJ80" s="155">
        <f>BY80</f>
        <v>510</v>
      </c>
      <c r="AK80" s="552">
        <f>CB80</f>
        <v>1432</v>
      </c>
      <c r="AL80" s="155">
        <f>CE80</f>
        <v>862</v>
      </c>
      <c r="AM80" s="155">
        <f>CH80</f>
        <v>2022</v>
      </c>
      <c r="AN80" s="155">
        <f>CJ80</f>
        <v>2911</v>
      </c>
      <c r="AO80" s="155">
        <f>CC80</f>
        <v>1157</v>
      </c>
      <c r="AP80" s="155">
        <f>CD80</f>
        <v>445</v>
      </c>
      <c r="AQ80" s="155">
        <f>CK80</f>
        <v>1487</v>
      </c>
      <c r="AR80" s="155">
        <f>CI80</f>
        <v>1488</v>
      </c>
      <c r="AS80" s="156">
        <f>CF80+CG80</f>
        <v>2202</v>
      </c>
      <c r="AT80" s="281">
        <v>139</v>
      </c>
      <c r="AU80" s="281">
        <v>652</v>
      </c>
      <c r="AV80" s="281">
        <v>604</v>
      </c>
      <c r="AW80" s="281">
        <v>801</v>
      </c>
      <c r="AX80" s="281">
        <v>1106</v>
      </c>
      <c r="AY80" s="281">
        <v>1063</v>
      </c>
      <c r="AZ80" s="281">
        <v>165</v>
      </c>
      <c r="BA80" s="281">
        <v>1824</v>
      </c>
      <c r="BB80" s="281">
        <v>1422</v>
      </c>
      <c r="BC80" s="281">
        <v>2416</v>
      </c>
      <c r="BD80" s="281">
        <v>1672</v>
      </c>
      <c r="BE80" s="281">
        <v>601</v>
      </c>
      <c r="BF80" s="299">
        <v>2168</v>
      </c>
      <c r="BG80" s="281">
        <v>79</v>
      </c>
      <c r="BH80" s="281">
        <v>50</v>
      </c>
      <c r="BI80" s="281">
        <v>748</v>
      </c>
      <c r="BJ80" s="281">
        <v>500</v>
      </c>
      <c r="BK80" s="281">
        <v>62</v>
      </c>
      <c r="BL80" s="281">
        <v>53</v>
      </c>
      <c r="BM80" s="281">
        <v>1014</v>
      </c>
      <c r="BN80" s="281">
        <v>837</v>
      </c>
      <c r="BO80" s="281">
        <v>19</v>
      </c>
      <c r="BP80" s="281">
        <v>560</v>
      </c>
      <c r="BQ80" s="281">
        <v>447</v>
      </c>
      <c r="BR80" s="299">
        <v>653</v>
      </c>
      <c r="BS80" s="281">
        <v>139</v>
      </c>
      <c r="BT80" s="281">
        <v>2228</v>
      </c>
      <c r="BU80" s="281">
        <v>1207</v>
      </c>
      <c r="BV80" s="281">
        <v>3366</v>
      </c>
      <c r="BW80" s="281">
        <v>982</v>
      </c>
      <c r="BX80" s="281">
        <v>1216</v>
      </c>
      <c r="BY80" s="281">
        <v>510</v>
      </c>
      <c r="BZ80" s="281">
        <v>968</v>
      </c>
      <c r="CA80" s="281">
        <v>1041</v>
      </c>
      <c r="CB80" s="299">
        <v>1432</v>
      </c>
      <c r="CC80" s="281">
        <v>1157</v>
      </c>
      <c r="CD80" s="281">
        <v>445</v>
      </c>
      <c r="CE80" s="281">
        <v>862</v>
      </c>
      <c r="CF80" s="155">
        <v>123</v>
      </c>
      <c r="CG80" s="281">
        <v>2079</v>
      </c>
      <c r="CH80" s="281">
        <v>2022</v>
      </c>
      <c r="CI80" s="281">
        <v>1488</v>
      </c>
      <c r="CJ80" s="281">
        <v>2911</v>
      </c>
      <c r="CK80" s="300">
        <v>1487</v>
      </c>
      <c r="CL80" s="301">
        <v>45318</v>
      </c>
    </row>
    <row r="81" spans="1:90">
      <c r="A81" s="477">
        <f>ROWS($A$3:A79)</f>
        <v>77</v>
      </c>
      <c r="B81" s="602" t="s">
        <v>365</v>
      </c>
      <c r="C81" s="590">
        <v>2015</v>
      </c>
      <c r="D81" s="603" t="s">
        <v>13</v>
      </c>
      <c r="E81" s="522">
        <v>43320</v>
      </c>
      <c r="F81" s="154">
        <f>SUM(AT81:BF81)</f>
        <v>1017796</v>
      </c>
      <c r="G81" s="155">
        <f>SUM(BG81:BR81)</f>
        <v>661844</v>
      </c>
      <c r="H81" s="155">
        <f>SUM(BS81:CB81)</f>
        <v>664201</v>
      </c>
      <c r="I81" s="156">
        <f>SUM(CC81:CK81)</f>
        <v>580186</v>
      </c>
      <c r="J81" s="141"/>
      <c r="K81" s="154">
        <f>BF81</f>
        <v>77940</v>
      </c>
      <c r="L81" s="155">
        <f>AY81</f>
        <v>120159</v>
      </c>
      <c r="M81" s="155">
        <f>BD81</f>
        <v>100652</v>
      </c>
      <c r="N81" s="155">
        <f>AW81</f>
        <v>51053</v>
      </c>
      <c r="O81" s="155">
        <f>BE81</f>
        <v>29034</v>
      </c>
      <c r="P81" s="155">
        <f>AZ81+BA81</f>
        <v>152940</v>
      </c>
      <c r="Q81" s="155">
        <f>AU81</f>
        <v>102175</v>
      </c>
      <c r="R81" s="155">
        <f>AT81+AX81</f>
        <v>146355</v>
      </c>
      <c r="S81" s="155">
        <f>AV81</f>
        <v>104892</v>
      </c>
      <c r="T81" s="155">
        <f>BB81</f>
        <v>51118</v>
      </c>
      <c r="U81" s="552">
        <f>BC81</f>
        <v>81478</v>
      </c>
      <c r="V81" s="155">
        <f>BG81+BJ81</f>
        <v>92341</v>
      </c>
      <c r="W81" s="155">
        <f>BR81</f>
        <v>49858</v>
      </c>
      <c r="X81" s="155">
        <f>BH81+BI81</f>
        <v>170597</v>
      </c>
      <c r="Y81" s="155">
        <f>BK81+BL81+BN81</f>
        <v>101409</v>
      </c>
      <c r="Z81" s="155">
        <f>BM81</f>
        <v>80153</v>
      </c>
      <c r="AA81" s="155">
        <f>BO81+BQ81</f>
        <v>110452</v>
      </c>
      <c r="AB81" s="552">
        <f>BP81</f>
        <v>57034</v>
      </c>
      <c r="AC81" s="155">
        <f>BX81</f>
        <v>36641</v>
      </c>
      <c r="AD81" s="155">
        <f>BU81</f>
        <v>56048</v>
      </c>
      <c r="AE81" s="155">
        <f>BS81+BT81</f>
        <v>104315</v>
      </c>
      <c r="AF81" s="155">
        <f>CA81</f>
        <v>72200</v>
      </c>
      <c r="AG81" s="155">
        <f>BV81</f>
        <v>139515</v>
      </c>
      <c r="AH81" s="155">
        <f>BZ81</f>
        <v>58365</v>
      </c>
      <c r="AI81" s="155">
        <f>BW81</f>
        <v>59830</v>
      </c>
      <c r="AJ81" s="155">
        <f>BY81</f>
        <v>75291</v>
      </c>
      <c r="AK81" s="552">
        <f>CB81</f>
        <v>61996</v>
      </c>
      <c r="AL81" s="155">
        <f>CE81</f>
        <v>102013</v>
      </c>
      <c r="AM81" s="155">
        <f>CH81</f>
        <v>73790</v>
      </c>
      <c r="AN81" s="155">
        <f>CJ81</f>
        <v>32970</v>
      </c>
      <c r="AO81" s="155">
        <f>CC81</f>
        <v>78314</v>
      </c>
      <c r="AP81" s="155">
        <f>CD81</f>
        <v>91916</v>
      </c>
      <c r="AQ81" s="155">
        <f>CK81</f>
        <v>69786</v>
      </c>
      <c r="AR81" s="155">
        <f>CI81</f>
        <v>59318</v>
      </c>
      <c r="AS81" s="156">
        <f>CF81+CG81</f>
        <v>72079</v>
      </c>
      <c r="AT81" s="155">
        <v>12810</v>
      </c>
      <c r="AU81" s="155">
        <v>102175</v>
      </c>
      <c r="AV81" s="155">
        <v>104892</v>
      </c>
      <c r="AW81" s="155">
        <v>51053</v>
      </c>
      <c r="AX81" s="155">
        <v>133545</v>
      </c>
      <c r="AY81" s="155">
        <v>120159</v>
      </c>
      <c r="AZ81" s="155">
        <v>15823</v>
      </c>
      <c r="BA81" s="155">
        <v>137117</v>
      </c>
      <c r="BB81" s="155">
        <v>51118</v>
      </c>
      <c r="BC81" s="155">
        <v>81478</v>
      </c>
      <c r="BD81" s="155">
        <v>100652</v>
      </c>
      <c r="BE81" s="155">
        <v>29034</v>
      </c>
      <c r="BF81" s="552">
        <v>77940</v>
      </c>
      <c r="BG81" s="155">
        <v>11788</v>
      </c>
      <c r="BH81" s="155">
        <v>10250</v>
      </c>
      <c r="BI81" s="155">
        <v>160347</v>
      </c>
      <c r="BJ81" s="155">
        <v>80553</v>
      </c>
      <c r="BK81" s="155">
        <v>3583</v>
      </c>
      <c r="BL81" s="155">
        <v>5228</v>
      </c>
      <c r="BM81" s="155">
        <v>80153</v>
      </c>
      <c r="BN81" s="155">
        <v>92598</v>
      </c>
      <c r="BO81" s="155">
        <v>4610</v>
      </c>
      <c r="BP81" s="155">
        <v>57034</v>
      </c>
      <c r="BQ81" s="155">
        <v>105842</v>
      </c>
      <c r="BR81" s="552">
        <v>49858</v>
      </c>
      <c r="BS81" s="155">
        <v>9111</v>
      </c>
      <c r="BT81" s="155">
        <v>95204</v>
      </c>
      <c r="BU81" s="155">
        <v>56048</v>
      </c>
      <c r="BV81" s="155">
        <v>139515</v>
      </c>
      <c r="BW81" s="155">
        <v>59830</v>
      </c>
      <c r="BX81" s="155">
        <v>36641</v>
      </c>
      <c r="BY81" s="155">
        <v>75291</v>
      </c>
      <c r="BZ81" s="155">
        <v>58365</v>
      </c>
      <c r="CA81" s="155">
        <v>72200</v>
      </c>
      <c r="CB81" s="552">
        <v>61996</v>
      </c>
      <c r="CC81" s="155">
        <v>78314</v>
      </c>
      <c r="CD81" s="155">
        <v>91916</v>
      </c>
      <c r="CE81" s="155">
        <v>102013</v>
      </c>
      <c r="CF81" s="155">
        <v>5490</v>
      </c>
      <c r="CG81" s="155">
        <v>66589</v>
      </c>
      <c r="CH81" s="155">
        <v>73790</v>
      </c>
      <c r="CI81" s="155">
        <v>59318</v>
      </c>
      <c r="CJ81" s="155">
        <v>32970</v>
      </c>
      <c r="CK81" s="156">
        <v>69786</v>
      </c>
      <c r="CL81" s="553">
        <f>SUM(AT81:CK81)</f>
        <v>2924027</v>
      </c>
    </row>
    <row r="82" spans="1:90">
      <c r="A82" s="477">
        <f>ROWS($A$3:A80)</f>
        <v>78</v>
      </c>
      <c r="B82" s="610" t="s">
        <v>367</v>
      </c>
      <c r="C82" s="590">
        <v>2015</v>
      </c>
      <c r="D82" s="603" t="s">
        <v>13</v>
      </c>
      <c r="E82" s="522">
        <v>43320</v>
      </c>
      <c r="F82" s="530">
        <f t="shared" ref="F82:AQ82" si="167">F81/F80</f>
        <v>69.554841795940689</v>
      </c>
      <c r="G82" s="531">
        <f t="shared" si="167"/>
        <v>131.78892871365989</v>
      </c>
      <c r="H82" s="531">
        <f t="shared" si="167"/>
        <v>50.74497669799068</v>
      </c>
      <c r="I82" s="532">
        <f t="shared" si="167"/>
        <v>46.14172101161126</v>
      </c>
      <c r="J82" s="141"/>
      <c r="K82" s="530">
        <f t="shared" si="167"/>
        <v>35.950184501845015</v>
      </c>
      <c r="L82" s="531">
        <f t="shared" si="167"/>
        <v>113.0376293508937</v>
      </c>
      <c r="M82" s="531">
        <f t="shared" si="167"/>
        <v>60.198564593301434</v>
      </c>
      <c r="N82" s="531">
        <f t="shared" si="167"/>
        <v>63.736579275905122</v>
      </c>
      <c r="O82" s="531">
        <f t="shared" si="167"/>
        <v>48.309484193011649</v>
      </c>
      <c r="P82" s="531">
        <f t="shared" si="167"/>
        <v>76.892911010558066</v>
      </c>
      <c r="Q82" s="531">
        <f t="shared" si="167"/>
        <v>156.71012269938652</v>
      </c>
      <c r="R82" s="531">
        <f t="shared" si="167"/>
        <v>117.55421686746988</v>
      </c>
      <c r="S82" s="531">
        <f t="shared" si="167"/>
        <v>173.66225165562915</v>
      </c>
      <c r="T82" s="531">
        <f t="shared" si="167"/>
        <v>35.947960618846693</v>
      </c>
      <c r="U82" s="555">
        <f t="shared" si="167"/>
        <v>33.724337748344368</v>
      </c>
      <c r="V82" s="531">
        <f t="shared" si="167"/>
        <v>159.48359240069084</v>
      </c>
      <c r="W82" s="531">
        <f t="shared" si="167"/>
        <v>76.352220520673811</v>
      </c>
      <c r="X82" s="531">
        <f t="shared" si="167"/>
        <v>213.78070175438597</v>
      </c>
      <c r="Y82" s="531">
        <f t="shared" si="167"/>
        <v>106.52205882352941</v>
      </c>
      <c r="Z82" s="531">
        <f t="shared" si="167"/>
        <v>79.046351084812628</v>
      </c>
      <c r="AA82" s="531">
        <f t="shared" si="167"/>
        <v>237.0214592274678</v>
      </c>
      <c r="AB82" s="555">
        <f t="shared" si="167"/>
        <v>101.84642857142858</v>
      </c>
      <c r="AC82" s="531">
        <f t="shared" si="167"/>
        <v>30.132401315789473</v>
      </c>
      <c r="AD82" s="531">
        <f t="shared" si="167"/>
        <v>46.435791217895606</v>
      </c>
      <c r="AE82" s="531">
        <f t="shared" si="167"/>
        <v>44.070553443177019</v>
      </c>
      <c r="AF82" s="531">
        <f t="shared" si="167"/>
        <v>69.356388088376562</v>
      </c>
      <c r="AG82" s="531">
        <f t="shared" si="167"/>
        <v>41.448306595365416</v>
      </c>
      <c r="AH82" s="531">
        <f t="shared" si="167"/>
        <v>60.294421487603309</v>
      </c>
      <c r="AI82" s="531">
        <f t="shared" si="167"/>
        <v>60.926680244399186</v>
      </c>
      <c r="AJ82" s="531">
        <f t="shared" si="167"/>
        <v>147.62941176470588</v>
      </c>
      <c r="AK82" s="555">
        <f t="shared" si="167"/>
        <v>43.293296089385478</v>
      </c>
      <c r="AL82" s="531">
        <f t="shared" si="167"/>
        <v>118.34454756380511</v>
      </c>
      <c r="AM82" s="531">
        <f t="shared" si="167"/>
        <v>36.49357072205737</v>
      </c>
      <c r="AN82" s="531">
        <f t="shared" si="167"/>
        <v>11.326004809343868</v>
      </c>
      <c r="AO82" s="531">
        <f t="shared" si="167"/>
        <v>67.687121866897144</v>
      </c>
      <c r="AP82" s="531">
        <f t="shared" si="167"/>
        <v>206.55280898876404</v>
      </c>
      <c r="AQ82" s="531">
        <f t="shared" si="167"/>
        <v>46.930733019502355</v>
      </c>
      <c r="AR82" s="531">
        <f>AR81/AR80</f>
        <v>39.86424731182796</v>
      </c>
      <c r="AS82" s="532">
        <f>AS81/AS80</f>
        <v>32.733424159854678</v>
      </c>
      <c r="AT82" s="531">
        <f>IF(OR(AT80&lt;0.1,AT81&lt;0.1),0,AT81/AT80)</f>
        <v>92.158273381294961</v>
      </c>
      <c r="AU82" s="531">
        <f>IF(OR(AU80&lt;0.1,AU81&lt;0.1),0,AU81/AU80)</f>
        <v>156.71012269938652</v>
      </c>
      <c r="AV82" s="531">
        <f t="shared" ref="AV82:CK82" si="168">IF(OR(AV80&lt;0.1,AV81&lt;0.1),0,AV81/AV80)</f>
        <v>173.66225165562915</v>
      </c>
      <c r="AW82" s="531">
        <f t="shared" si="168"/>
        <v>63.736579275905122</v>
      </c>
      <c r="AX82" s="531">
        <f>IF(OR(AX80&lt;0.1,AX81&lt;0.1),0,AX81/AX80)</f>
        <v>120.74593128390596</v>
      </c>
      <c r="AY82" s="531">
        <f t="shared" si="168"/>
        <v>113.0376293508937</v>
      </c>
      <c r="AZ82" s="531">
        <f t="shared" si="168"/>
        <v>95.896969696969691</v>
      </c>
      <c r="BA82" s="531">
        <f t="shared" si="168"/>
        <v>75.173793859649123</v>
      </c>
      <c r="BB82" s="531">
        <f t="shared" si="168"/>
        <v>35.947960618846693</v>
      </c>
      <c r="BC82" s="531">
        <f t="shared" si="168"/>
        <v>33.724337748344368</v>
      </c>
      <c r="BD82" s="531">
        <f t="shared" si="168"/>
        <v>60.198564593301434</v>
      </c>
      <c r="BE82" s="531">
        <f t="shared" si="168"/>
        <v>48.309484193011649</v>
      </c>
      <c r="BF82" s="555">
        <f t="shared" si="168"/>
        <v>35.950184501845015</v>
      </c>
      <c r="BG82" s="531">
        <f t="shared" si="168"/>
        <v>149.21518987341773</v>
      </c>
      <c r="BH82" s="531">
        <f>IF(OR(BH80&lt;0.1,BH81&lt;0.1),0,BH81/BH80)</f>
        <v>205</v>
      </c>
      <c r="BI82" s="531">
        <f>IF(OR(BI80&lt;0.1,BI81&lt;0.1),0,BI81/BI80)</f>
        <v>214.36764705882354</v>
      </c>
      <c r="BJ82" s="531">
        <f>IF(OR(BJ80&lt;0.1,BJ81&lt;0.1),0,BJ81/BJ80)</f>
        <v>161.10599999999999</v>
      </c>
      <c r="BK82" s="531">
        <f t="shared" si="168"/>
        <v>57.79032258064516</v>
      </c>
      <c r="BL82" s="531">
        <f t="shared" si="168"/>
        <v>98.64150943396227</v>
      </c>
      <c r="BM82" s="531">
        <f>IF(OR(BM80&lt;0.1,BM81&lt;0.1),0,BM81/BM80)</f>
        <v>79.046351084812628</v>
      </c>
      <c r="BN82" s="531">
        <f t="shared" si="168"/>
        <v>110.63082437275986</v>
      </c>
      <c r="BO82" s="531">
        <f t="shared" si="168"/>
        <v>242.63157894736841</v>
      </c>
      <c r="BP82" s="531">
        <f t="shared" si="168"/>
        <v>101.84642857142858</v>
      </c>
      <c r="BQ82" s="531">
        <f>IF(OR(BQ80&lt;0.1,BQ81&lt;0.1),0,BQ81/BQ80)</f>
        <v>236.78299776286354</v>
      </c>
      <c r="BR82" s="555">
        <f t="shared" si="168"/>
        <v>76.352220520673811</v>
      </c>
      <c r="BS82" s="531">
        <f t="shared" si="168"/>
        <v>65.546762589928051</v>
      </c>
      <c r="BT82" s="531">
        <f t="shared" si="168"/>
        <v>42.730700179533216</v>
      </c>
      <c r="BU82" s="531">
        <f t="shared" si="168"/>
        <v>46.435791217895606</v>
      </c>
      <c r="BV82" s="531">
        <f t="shared" si="168"/>
        <v>41.448306595365416</v>
      </c>
      <c r="BW82" s="531">
        <f t="shared" si="168"/>
        <v>60.926680244399186</v>
      </c>
      <c r="BX82" s="531">
        <f t="shared" si="168"/>
        <v>30.132401315789473</v>
      </c>
      <c r="BY82" s="531">
        <f t="shared" si="168"/>
        <v>147.62941176470588</v>
      </c>
      <c r="BZ82" s="531">
        <f t="shared" si="168"/>
        <v>60.294421487603309</v>
      </c>
      <c r="CA82" s="531">
        <f t="shared" si="168"/>
        <v>69.356388088376562</v>
      </c>
      <c r="CB82" s="555">
        <f t="shared" si="168"/>
        <v>43.293296089385478</v>
      </c>
      <c r="CC82" s="531">
        <f t="shared" si="168"/>
        <v>67.687121866897144</v>
      </c>
      <c r="CD82" s="531">
        <f t="shared" si="168"/>
        <v>206.55280898876404</v>
      </c>
      <c r="CE82" s="531">
        <f t="shared" si="168"/>
        <v>118.34454756380511</v>
      </c>
      <c r="CF82" s="531">
        <f t="shared" si="168"/>
        <v>44.634146341463413</v>
      </c>
      <c r="CG82" s="531">
        <f t="shared" si="168"/>
        <v>32.029341029341026</v>
      </c>
      <c r="CH82" s="531">
        <f t="shared" si="168"/>
        <v>36.49357072205737</v>
      </c>
      <c r="CI82" s="531">
        <f t="shared" si="168"/>
        <v>39.86424731182796</v>
      </c>
      <c r="CJ82" s="531">
        <f t="shared" si="168"/>
        <v>11.326004809343868</v>
      </c>
      <c r="CK82" s="532">
        <f t="shared" si="168"/>
        <v>46.930733019502355</v>
      </c>
      <c r="CL82" s="556">
        <f>IF(OR(CL80&lt;0.1,CL81&lt;0.1),0,CL81/CL80)</f>
        <v>64.522419347720557</v>
      </c>
    </row>
    <row r="83" spans="1:90">
      <c r="A83" s="477">
        <f>ROWS($A$3:A81)</f>
        <v>79</v>
      </c>
      <c r="B83" s="602" t="s">
        <v>366</v>
      </c>
      <c r="C83" s="590">
        <v>2015</v>
      </c>
      <c r="D83" s="603" t="s">
        <v>13</v>
      </c>
      <c r="E83" s="522">
        <v>43320</v>
      </c>
      <c r="F83" s="154">
        <f>SUM(AT83:BF83)</f>
        <v>1172633</v>
      </c>
      <c r="G83" s="155">
        <f>SUM(BG83:BR83)</f>
        <v>745623</v>
      </c>
      <c r="H83" s="155">
        <f>SUM(BS83:CB83)</f>
        <v>836326</v>
      </c>
      <c r="I83" s="156">
        <f>SUM(CC83:CK83)</f>
        <v>718868</v>
      </c>
      <c r="J83" s="122"/>
      <c r="K83" s="154">
        <f>BF83</f>
        <v>98233</v>
      </c>
      <c r="L83" s="155">
        <f>AY83</f>
        <v>133103</v>
      </c>
      <c r="M83" s="155">
        <f>BD83</f>
        <v>119212</v>
      </c>
      <c r="N83" s="155">
        <f>AW83</f>
        <v>60939</v>
      </c>
      <c r="O83" s="155">
        <f>BE83</f>
        <v>34660</v>
      </c>
      <c r="P83" s="155">
        <f>AZ83+BA83</f>
        <v>172378</v>
      </c>
      <c r="Q83" s="155">
        <f>AU83</f>
        <v>110607</v>
      </c>
      <c r="R83" s="155">
        <f>AT83+AX83</f>
        <v>158176</v>
      </c>
      <c r="S83" s="155">
        <f>AV83</f>
        <v>112310</v>
      </c>
      <c r="T83" s="155">
        <f>BB83</f>
        <v>65083</v>
      </c>
      <c r="U83" s="552">
        <f>BC83</f>
        <v>107932</v>
      </c>
      <c r="V83" s="155">
        <f>BG83+BJ83</f>
        <v>100836</v>
      </c>
      <c r="W83" s="155">
        <f>BR83</f>
        <v>58369</v>
      </c>
      <c r="X83" s="155">
        <f>BH83+BI83</f>
        <v>185531</v>
      </c>
      <c r="Y83" s="155">
        <f>BK83+BL83+BN83</f>
        <v>114690</v>
      </c>
      <c r="Z83" s="155">
        <f>BM83</f>
        <v>99757</v>
      </c>
      <c r="AA83" s="155">
        <f>BO83+BQ83</f>
        <v>120289</v>
      </c>
      <c r="AB83" s="552">
        <f>BP83</f>
        <v>66151</v>
      </c>
      <c r="AC83" s="155">
        <f>BX83</f>
        <v>56464</v>
      </c>
      <c r="AD83" s="155">
        <f>BU83</f>
        <v>70000</v>
      </c>
      <c r="AE83" s="155">
        <f>BS83+BT83</f>
        <v>127695</v>
      </c>
      <c r="AF83" s="155">
        <f>CA83</f>
        <v>87260</v>
      </c>
      <c r="AG83" s="155">
        <f>BV83</f>
        <v>180841</v>
      </c>
      <c r="AH83" s="155">
        <f>BZ83</f>
        <v>76326</v>
      </c>
      <c r="AI83" s="155">
        <f>BW83</f>
        <v>74146</v>
      </c>
      <c r="AJ83" s="155">
        <f>BY83</f>
        <v>84774</v>
      </c>
      <c r="AK83" s="552">
        <f>CB83</f>
        <v>78820</v>
      </c>
      <c r="AL83" s="155">
        <f>CE83</f>
        <v>112097</v>
      </c>
      <c r="AM83" s="155">
        <f>CH83</f>
        <v>91491</v>
      </c>
      <c r="AN83" s="155">
        <f>CJ83</f>
        <v>48540</v>
      </c>
      <c r="AO83" s="155">
        <f>CC83</f>
        <v>94369</v>
      </c>
      <c r="AP83" s="155">
        <f>CD83</f>
        <v>98313</v>
      </c>
      <c r="AQ83" s="155">
        <f>CK83</f>
        <v>88878</v>
      </c>
      <c r="AR83" s="155">
        <f>CI83</f>
        <v>94835</v>
      </c>
      <c r="AS83" s="156">
        <f>CF83+CG83</f>
        <v>90345</v>
      </c>
      <c r="AT83" s="155">
        <v>13804</v>
      </c>
      <c r="AU83" s="155">
        <v>110607</v>
      </c>
      <c r="AV83" s="155">
        <v>112310</v>
      </c>
      <c r="AW83" s="155">
        <v>60939</v>
      </c>
      <c r="AX83" s="155">
        <v>144372</v>
      </c>
      <c r="AY83" s="155">
        <v>133103</v>
      </c>
      <c r="AZ83" s="155">
        <v>19838</v>
      </c>
      <c r="BA83" s="155">
        <v>152540</v>
      </c>
      <c r="BB83" s="155">
        <v>65083</v>
      </c>
      <c r="BC83" s="155">
        <v>107932</v>
      </c>
      <c r="BD83" s="155">
        <v>119212</v>
      </c>
      <c r="BE83" s="155">
        <v>34660</v>
      </c>
      <c r="BF83" s="552">
        <v>98233</v>
      </c>
      <c r="BG83" s="155">
        <v>12934</v>
      </c>
      <c r="BH83" s="155">
        <v>11342</v>
      </c>
      <c r="BI83" s="155">
        <v>174189</v>
      </c>
      <c r="BJ83" s="155">
        <v>87902</v>
      </c>
      <c r="BK83" s="155">
        <v>4269</v>
      </c>
      <c r="BL83" s="155">
        <v>6044</v>
      </c>
      <c r="BM83" s="155">
        <v>99757</v>
      </c>
      <c r="BN83" s="155">
        <v>104377</v>
      </c>
      <c r="BO83" s="155">
        <v>5017</v>
      </c>
      <c r="BP83" s="155">
        <v>66151</v>
      </c>
      <c r="BQ83" s="155">
        <v>115272</v>
      </c>
      <c r="BR83" s="552">
        <v>58369</v>
      </c>
      <c r="BS83" s="155">
        <v>10282</v>
      </c>
      <c r="BT83" s="155">
        <v>117413</v>
      </c>
      <c r="BU83" s="155">
        <v>70000</v>
      </c>
      <c r="BV83" s="155">
        <v>180841</v>
      </c>
      <c r="BW83" s="155">
        <v>74146</v>
      </c>
      <c r="BX83" s="155">
        <v>56464</v>
      </c>
      <c r="BY83" s="155">
        <v>84774</v>
      </c>
      <c r="BZ83" s="155">
        <v>76326</v>
      </c>
      <c r="CA83" s="155">
        <v>87260</v>
      </c>
      <c r="CB83" s="552">
        <v>78820</v>
      </c>
      <c r="CC83" s="155">
        <v>94369</v>
      </c>
      <c r="CD83" s="155">
        <v>98313</v>
      </c>
      <c r="CE83" s="155">
        <v>112097</v>
      </c>
      <c r="CF83" s="155">
        <v>6418</v>
      </c>
      <c r="CG83" s="155">
        <v>83927</v>
      </c>
      <c r="CH83" s="155">
        <v>91491</v>
      </c>
      <c r="CI83" s="155">
        <v>94835</v>
      </c>
      <c r="CJ83" s="155">
        <v>48540</v>
      </c>
      <c r="CK83" s="156">
        <v>88878</v>
      </c>
      <c r="CL83" s="320">
        <f>SUM(AT83:CK83)</f>
        <v>3473450</v>
      </c>
    </row>
    <row r="84" spans="1:90">
      <c r="A84" s="477">
        <f>ROWS($A$3:A82)</f>
        <v>80</v>
      </c>
      <c r="B84" s="610" t="s">
        <v>368</v>
      </c>
      <c r="C84" s="590">
        <v>2015</v>
      </c>
      <c r="D84" s="603" t="s">
        <v>13</v>
      </c>
      <c r="E84" s="522">
        <v>43320</v>
      </c>
      <c r="F84" s="530">
        <f>F83/F80</f>
        <v>80.136199002255182</v>
      </c>
      <c r="G84" s="531">
        <f>G83/G80</f>
        <v>148.47132616487454</v>
      </c>
      <c r="H84" s="531">
        <f>H83/H80</f>
        <v>63.895331958132786</v>
      </c>
      <c r="I84" s="532">
        <f>I83/I80</f>
        <v>57.17098775250517</v>
      </c>
      <c r="J84" s="122"/>
      <c r="K84" s="530">
        <f t="shared" ref="K84:BV84" si="169">K83/K80</f>
        <v>45.310424354243544</v>
      </c>
      <c r="L84" s="531">
        <f t="shared" si="169"/>
        <v>125.21448730009408</v>
      </c>
      <c r="M84" s="531">
        <f t="shared" si="169"/>
        <v>71.299043062200951</v>
      </c>
      <c r="N84" s="531">
        <f t="shared" si="169"/>
        <v>76.078651685393254</v>
      </c>
      <c r="O84" s="531">
        <f t="shared" si="169"/>
        <v>57.670549084858571</v>
      </c>
      <c r="P84" s="531">
        <f t="shared" si="169"/>
        <v>86.665661136249369</v>
      </c>
      <c r="Q84" s="531">
        <f t="shared" si="169"/>
        <v>169.64263803680981</v>
      </c>
      <c r="R84" s="531">
        <f t="shared" si="169"/>
        <v>127.04899598393574</v>
      </c>
      <c r="S84" s="531">
        <f t="shared" si="169"/>
        <v>185.94370860927151</v>
      </c>
      <c r="T84" s="531">
        <f t="shared" si="169"/>
        <v>45.768635724331929</v>
      </c>
      <c r="U84" s="555">
        <f t="shared" si="169"/>
        <v>44.673841059602651</v>
      </c>
      <c r="V84" s="531">
        <f t="shared" si="169"/>
        <v>174.15544041450778</v>
      </c>
      <c r="W84" s="531">
        <f t="shared" si="169"/>
        <v>89.38591117917305</v>
      </c>
      <c r="X84" s="531">
        <f t="shared" si="169"/>
        <v>232.49498746867167</v>
      </c>
      <c r="Y84" s="531">
        <f t="shared" si="169"/>
        <v>120.47268907563026</v>
      </c>
      <c r="Z84" s="531">
        <f t="shared" si="169"/>
        <v>98.379684418145956</v>
      </c>
      <c r="AA84" s="531">
        <f t="shared" si="169"/>
        <v>258.13090128755363</v>
      </c>
      <c r="AB84" s="555">
        <f t="shared" si="169"/>
        <v>118.12678571428572</v>
      </c>
      <c r="AC84" s="531">
        <f t="shared" si="169"/>
        <v>46.434210526315788</v>
      </c>
      <c r="AD84" s="531">
        <f t="shared" si="169"/>
        <v>57.995028997514495</v>
      </c>
      <c r="AE84" s="531">
        <f t="shared" si="169"/>
        <v>53.948035487959444</v>
      </c>
      <c r="AF84" s="531">
        <f t="shared" si="169"/>
        <v>83.823246878001925</v>
      </c>
      <c r="AG84" s="531">
        <f t="shared" si="169"/>
        <v>53.725787284610817</v>
      </c>
      <c r="AH84" s="531">
        <f t="shared" si="169"/>
        <v>78.849173553719012</v>
      </c>
      <c r="AI84" s="531">
        <f t="shared" si="169"/>
        <v>75.505091649694506</v>
      </c>
      <c r="AJ84" s="531">
        <f t="shared" si="169"/>
        <v>166.2235294117647</v>
      </c>
      <c r="AK84" s="555">
        <f t="shared" si="169"/>
        <v>55.041899441340782</v>
      </c>
      <c r="AL84" s="531">
        <f t="shared" si="169"/>
        <v>130.04292343387471</v>
      </c>
      <c r="AM84" s="531">
        <f t="shared" si="169"/>
        <v>45.247774480712167</v>
      </c>
      <c r="AN84" s="531">
        <f t="shared" si="169"/>
        <v>16.674682239780143</v>
      </c>
      <c r="AO84" s="531">
        <f t="shared" si="169"/>
        <v>81.563526361279173</v>
      </c>
      <c r="AP84" s="531">
        <f t="shared" si="169"/>
        <v>220.92808988764045</v>
      </c>
      <c r="AQ84" s="531">
        <f t="shared" si="169"/>
        <v>59.77000672494956</v>
      </c>
      <c r="AR84" s="531">
        <f t="shared" si="169"/>
        <v>63.733198924731184</v>
      </c>
      <c r="AS84" s="532">
        <f t="shared" si="169"/>
        <v>41.028610354223432</v>
      </c>
      <c r="AT84" s="531">
        <f t="shared" si="169"/>
        <v>99.309352517985616</v>
      </c>
      <c r="AU84" s="531">
        <f t="shared" si="169"/>
        <v>169.64263803680981</v>
      </c>
      <c r="AV84" s="531">
        <f t="shared" si="169"/>
        <v>185.94370860927151</v>
      </c>
      <c r="AW84" s="531">
        <f t="shared" si="169"/>
        <v>76.078651685393254</v>
      </c>
      <c r="AX84" s="531">
        <f t="shared" si="169"/>
        <v>130.53526220614827</v>
      </c>
      <c r="AY84" s="531">
        <f t="shared" si="169"/>
        <v>125.21448730009408</v>
      </c>
      <c r="AZ84" s="531">
        <f t="shared" si="169"/>
        <v>120.23030303030303</v>
      </c>
      <c r="BA84" s="531">
        <f t="shared" si="169"/>
        <v>83.629385964912274</v>
      </c>
      <c r="BB84" s="531">
        <f t="shared" si="169"/>
        <v>45.768635724331929</v>
      </c>
      <c r="BC84" s="531">
        <f t="shared" si="169"/>
        <v>44.673841059602651</v>
      </c>
      <c r="BD84" s="531">
        <f t="shared" si="169"/>
        <v>71.299043062200951</v>
      </c>
      <c r="BE84" s="531">
        <f t="shared" si="169"/>
        <v>57.670549084858571</v>
      </c>
      <c r="BF84" s="555">
        <f t="shared" si="169"/>
        <v>45.310424354243544</v>
      </c>
      <c r="BG84" s="531">
        <f t="shared" si="169"/>
        <v>163.72151898734177</v>
      </c>
      <c r="BH84" s="531">
        <f t="shared" si="169"/>
        <v>226.84</v>
      </c>
      <c r="BI84" s="531">
        <f t="shared" si="169"/>
        <v>232.87299465240642</v>
      </c>
      <c r="BJ84" s="531">
        <f t="shared" si="169"/>
        <v>175.804</v>
      </c>
      <c r="BK84" s="531">
        <f t="shared" si="169"/>
        <v>68.854838709677423</v>
      </c>
      <c r="BL84" s="531">
        <f t="shared" si="169"/>
        <v>114.0377358490566</v>
      </c>
      <c r="BM84" s="531">
        <f t="shared" si="169"/>
        <v>98.379684418145956</v>
      </c>
      <c r="BN84" s="531">
        <f t="shared" si="169"/>
        <v>124.70370370370371</v>
      </c>
      <c r="BO84" s="531">
        <f t="shared" si="169"/>
        <v>264.05263157894734</v>
      </c>
      <c r="BP84" s="531">
        <f t="shared" si="169"/>
        <v>118.12678571428572</v>
      </c>
      <c r="BQ84" s="531">
        <f t="shared" si="169"/>
        <v>257.87919463087246</v>
      </c>
      <c r="BR84" s="555">
        <f t="shared" si="169"/>
        <v>89.38591117917305</v>
      </c>
      <c r="BS84" s="531">
        <f t="shared" si="169"/>
        <v>73.97122302158273</v>
      </c>
      <c r="BT84" s="531">
        <f t="shared" si="169"/>
        <v>52.69883303411131</v>
      </c>
      <c r="BU84" s="531">
        <f t="shared" si="169"/>
        <v>57.995028997514495</v>
      </c>
      <c r="BV84" s="531">
        <f t="shared" si="169"/>
        <v>53.725787284610817</v>
      </c>
      <c r="BW84" s="531">
        <f t="shared" ref="BW84:CL84" si="170">BW83/BW80</f>
        <v>75.505091649694506</v>
      </c>
      <c r="BX84" s="531">
        <f t="shared" si="170"/>
        <v>46.434210526315788</v>
      </c>
      <c r="BY84" s="531">
        <f t="shared" si="170"/>
        <v>166.2235294117647</v>
      </c>
      <c r="BZ84" s="531">
        <f t="shared" si="170"/>
        <v>78.849173553719012</v>
      </c>
      <c r="CA84" s="531">
        <f t="shared" si="170"/>
        <v>83.823246878001925</v>
      </c>
      <c r="CB84" s="555">
        <f t="shared" si="170"/>
        <v>55.041899441340782</v>
      </c>
      <c r="CC84" s="531">
        <f t="shared" si="170"/>
        <v>81.563526361279173</v>
      </c>
      <c r="CD84" s="531">
        <f t="shared" si="170"/>
        <v>220.92808988764045</v>
      </c>
      <c r="CE84" s="531">
        <f t="shared" si="170"/>
        <v>130.04292343387471</v>
      </c>
      <c r="CF84" s="531">
        <f t="shared" si="170"/>
        <v>52.178861788617887</v>
      </c>
      <c r="CG84" s="531">
        <f t="shared" si="170"/>
        <v>40.368927368927366</v>
      </c>
      <c r="CH84" s="531">
        <f t="shared" si="170"/>
        <v>45.247774480712167</v>
      </c>
      <c r="CI84" s="531">
        <f t="shared" si="170"/>
        <v>63.733198924731184</v>
      </c>
      <c r="CJ84" s="531">
        <f t="shared" si="170"/>
        <v>16.674682239780143</v>
      </c>
      <c r="CK84" s="532">
        <f t="shared" si="170"/>
        <v>59.77000672494956</v>
      </c>
      <c r="CL84" s="556">
        <f t="shared" si="170"/>
        <v>76.646145019638993</v>
      </c>
    </row>
    <row r="85" spans="1:90">
      <c r="A85" s="477">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477">
        <f>ROWS($A$3:A84)</f>
        <v>82</v>
      </c>
      <c r="B86" s="59" t="s">
        <v>189</v>
      </c>
      <c r="C86" s="202">
        <v>2014</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c r="A87" s="477">
        <f>ROWS($A$3:A85)</f>
        <v>83</v>
      </c>
      <c r="B87" s="54" t="s">
        <v>292</v>
      </c>
      <c r="C87" s="266"/>
      <c r="D87" s="259" t="s">
        <v>188</v>
      </c>
      <c r="E87" s="447">
        <v>42185</v>
      </c>
      <c r="F87" s="550">
        <v>26193</v>
      </c>
      <c r="G87" s="550">
        <v>18961</v>
      </c>
      <c r="H87" s="550">
        <v>17423</v>
      </c>
      <c r="I87" s="551">
        <v>25441</v>
      </c>
      <c r="J87" s="599"/>
      <c r="K87" s="154">
        <f>BF87</f>
        <v>24192</v>
      </c>
      <c r="L87" s="155">
        <f>AY87</f>
        <v>21580</v>
      </c>
      <c r="M87" s="155">
        <f>BD87</f>
        <v>15369</v>
      </c>
      <c r="N87" s="155">
        <f>AW87</f>
        <v>25635</v>
      </c>
      <c r="O87" s="155">
        <f>BE87</f>
        <v>30024</v>
      </c>
      <c r="P87" s="531">
        <f>(AZ100*AZ87+BA100*BA87)/(AZ100+BA100)</f>
        <v>29216.88085106383</v>
      </c>
      <c r="Q87" s="155">
        <f>'2008'!AU87</f>
        <v>31866</v>
      </c>
      <c r="R87" s="531">
        <f>(AT100*AT87+AX100*AX87)/(AT100+AX100)</f>
        <v>46339.121212121216</v>
      </c>
      <c r="S87" s="155">
        <f>AV87</f>
        <v>28946</v>
      </c>
      <c r="T87" s="155">
        <f>BB87</f>
        <v>23146</v>
      </c>
      <c r="U87" s="552">
        <f>BC87</f>
        <v>23878</v>
      </c>
      <c r="V87" s="531">
        <f>(BG100*BG87+BJ100*BJ87)/(BG100+BJ100)</f>
        <v>18006.731343283584</v>
      </c>
      <c r="W87" s="155" t="str">
        <f>BR87</f>
        <v xml:space="preserve">                     .</v>
      </c>
      <c r="X87" s="531">
        <f>(BH100*BH87+BI100*BI87)/(BH100+BI100)</f>
        <v>23619.128205128207</v>
      </c>
      <c r="Y87" s="531">
        <f>(BK100*BK87+BL100*BL87+BN100*BN87)/(BK100+BL100+BN100)</f>
        <v>28652.200772200773</v>
      </c>
      <c r="Z87" s="155">
        <f>BM87</f>
        <v>13239</v>
      </c>
      <c r="AA87" s="531">
        <f>IF(BO100=".",BQ100,(BO100*BO87+BQ100*BQ87)/(BO100+BQ100))</f>
        <v>176</v>
      </c>
      <c r="AB87" s="552">
        <f>BP87</f>
        <v>16790</v>
      </c>
      <c r="AC87" s="155">
        <f>BX87</f>
        <v>17238</v>
      </c>
      <c r="AD87" s="155">
        <f>BU87</f>
        <v>27790</v>
      </c>
      <c r="AE87" s="531">
        <f>(BS100*BS87+BT100*BT87)/(BS100+BT100)</f>
        <v>23010.253731343284</v>
      </c>
      <c r="AF87" s="155">
        <f>CA87</f>
        <v>16819</v>
      </c>
      <c r="AG87" s="155">
        <f>BV87</f>
        <v>20259</v>
      </c>
      <c r="AH87" s="155">
        <f>BZ87</f>
        <v>17391</v>
      </c>
      <c r="AI87" s="155">
        <f>BW87</f>
        <v>11970</v>
      </c>
      <c r="AJ87" s="155">
        <f>BY87</f>
        <v>13234</v>
      </c>
      <c r="AK87" s="552">
        <f>CB87</f>
        <v>13608</v>
      </c>
      <c r="AL87" s="155">
        <f>CE87</f>
        <v>15592</v>
      </c>
      <c r="AM87" s="155">
        <f>CH87</f>
        <v>27996</v>
      </c>
      <c r="AN87" s="155">
        <f>CJ87</f>
        <v>27084</v>
      </c>
      <c r="AO87" s="155">
        <f>CC87</f>
        <v>19457</v>
      </c>
      <c r="AP87" s="155">
        <f>CD87</f>
        <v>23573</v>
      </c>
      <c r="AQ87" s="155">
        <f>CK87</f>
        <v>18414</v>
      </c>
      <c r="AR87" s="155">
        <f>CI87</f>
        <v>33185</v>
      </c>
      <c r="AS87" s="532">
        <f>(CF100*CF87+CG100*CG87)/(CF100+CG100)</f>
        <v>34842</v>
      </c>
      <c r="AT87" s="155">
        <v>140305</v>
      </c>
      <c r="AU87" s="550">
        <v>35409</v>
      </c>
      <c r="AV87" s="550">
        <v>28946</v>
      </c>
      <c r="AW87" s="550">
        <v>25635</v>
      </c>
      <c r="AX87" s="550">
        <v>38637</v>
      </c>
      <c r="AY87" s="550">
        <v>21580</v>
      </c>
      <c r="AZ87" s="550">
        <v>70842</v>
      </c>
      <c r="BA87" s="550">
        <v>25660</v>
      </c>
      <c r="BB87" s="550">
        <v>23146</v>
      </c>
      <c r="BC87" s="550">
        <v>23878</v>
      </c>
      <c r="BD87" s="550">
        <v>15369</v>
      </c>
      <c r="BE87" s="550">
        <v>30024</v>
      </c>
      <c r="BF87" s="572">
        <v>24192</v>
      </c>
      <c r="BG87" s="550">
        <v>18223</v>
      </c>
      <c r="BH87" s="550">
        <v>35936</v>
      </c>
      <c r="BI87" s="550">
        <v>23295</v>
      </c>
      <c r="BJ87" s="550">
        <v>17908</v>
      </c>
      <c r="BK87" s="550">
        <v>86973</v>
      </c>
      <c r="BL87" s="550">
        <v>0</v>
      </c>
      <c r="BM87" s="550">
        <v>13239</v>
      </c>
      <c r="BN87" s="550">
        <v>26310</v>
      </c>
      <c r="BO87" s="550" t="s">
        <v>303</v>
      </c>
      <c r="BP87" s="550">
        <v>16790</v>
      </c>
      <c r="BQ87" s="550">
        <v>21949</v>
      </c>
      <c r="BR87" s="572" t="s">
        <v>303</v>
      </c>
      <c r="BS87" s="550">
        <v>59771</v>
      </c>
      <c r="BT87" s="550">
        <v>17306</v>
      </c>
      <c r="BU87" s="550">
        <v>27790</v>
      </c>
      <c r="BV87" s="550">
        <v>20259</v>
      </c>
      <c r="BW87" s="550">
        <v>11970</v>
      </c>
      <c r="BX87" s="550">
        <v>17238</v>
      </c>
      <c r="BY87" s="550">
        <v>13234</v>
      </c>
      <c r="BZ87" s="550">
        <v>17391</v>
      </c>
      <c r="CA87" s="550">
        <v>16819</v>
      </c>
      <c r="CB87" s="572">
        <v>13608</v>
      </c>
      <c r="CC87" s="550">
        <v>19457</v>
      </c>
      <c r="CD87" s="550">
        <v>23573</v>
      </c>
      <c r="CE87" s="550">
        <v>15592</v>
      </c>
      <c r="CF87" s="550">
        <v>57750</v>
      </c>
      <c r="CG87" s="550">
        <v>32634</v>
      </c>
      <c r="CH87" s="550">
        <v>27996</v>
      </c>
      <c r="CI87" s="550">
        <v>33185</v>
      </c>
      <c r="CJ87" s="550">
        <v>27084</v>
      </c>
      <c r="CK87" s="550">
        <v>18414</v>
      </c>
      <c r="CL87" s="320">
        <v>22859</v>
      </c>
    </row>
    <row r="88" spans="1:90">
      <c r="A88" s="477">
        <f>ROWS($A$3:A86)</f>
        <v>84</v>
      </c>
      <c r="B88" s="59" t="s">
        <v>190</v>
      </c>
      <c r="C88" s="387">
        <v>2015</v>
      </c>
      <c r="D88" s="259"/>
      <c r="E88" s="451"/>
      <c r="F88" s="154"/>
      <c r="G88" s="155"/>
      <c r="H88" s="155"/>
      <c r="I88" s="156"/>
      <c r="J88" s="281"/>
      <c r="K88" s="154"/>
      <c r="L88" s="155"/>
      <c r="M88" s="155"/>
      <c r="N88" s="155"/>
      <c r="O88" s="155"/>
      <c r="P88" s="155"/>
      <c r="Q88" s="155"/>
      <c r="R88" s="155"/>
      <c r="S88" s="155"/>
      <c r="T88" s="155"/>
      <c r="U88" s="552"/>
      <c r="V88" s="155"/>
      <c r="W88" s="155"/>
      <c r="X88" s="155"/>
      <c r="Y88" s="155"/>
      <c r="Z88" s="155"/>
      <c r="AA88" s="155"/>
      <c r="AB88" s="552"/>
      <c r="AC88" s="155"/>
      <c r="AD88" s="155"/>
      <c r="AE88" s="155"/>
      <c r="AF88" s="155"/>
      <c r="AG88" s="155"/>
      <c r="AH88" s="155"/>
      <c r="AI88" s="155"/>
      <c r="AJ88" s="155"/>
      <c r="AK88" s="552"/>
      <c r="AL88" s="155"/>
      <c r="AM88" s="155"/>
      <c r="AN88" s="155"/>
      <c r="AO88" s="155"/>
      <c r="AP88" s="155"/>
      <c r="AQ88" s="155"/>
      <c r="AR88" s="155"/>
      <c r="AS88" s="156"/>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c r="A89" s="477">
        <f>ROWS($A$3:A87)</f>
        <v>85</v>
      </c>
      <c r="B89" s="388" t="s">
        <v>284</v>
      </c>
      <c r="C89" s="205"/>
      <c r="D89" s="259" t="s">
        <v>192</v>
      </c>
      <c r="E89" s="447">
        <v>42181</v>
      </c>
      <c r="F89" s="381">
        <v>76.599999999999994</v>
      </c>
      <c r="G89" s="382">
        <v>74.5</v>
      </c>
      <c r="H89" s="382">
        <v>78.2</v>
      </c>
      <c r="I89" s="383">
        <v>76.2</v>
      </c>
      <c r="J89" s="382"/>
      <c r="K89" s="381">
        <f>BF89</f>
        <v>85.2</v>
      </c>
      <c r="L89" s="384">
        <f>AY89</f>
        <v>72.8</v>
      </c>
      <c r="M89" s="384">
        <f>BD89</f>
        <v>64.8</v>
      </c>
      <c r="N89" s="384">
        <f>AW89</f>
        <v>79.900000000000006</v>
      </c>
      <c r="O89" s="384">
        <f>BE89</f>
        <v>68.8</v>
      </c>
      <c r="P89" s="384">
        <f>'2015'!BA89</f>
        <v>85.2</v>
      </c>
      <c r="Q89" s="384">
        <f>'2015'!AU89</f>
        <v>87.2</v>
      </c>
      <c r="R89" s="384">
        <f>AX89</f>
        <v>81.400000000000006</v>
      </c>
      <c r="S89" s="384">
        <f>AV89</f>
        <v>79.7</v>
      </c>
      <c r="T89" s="384">
        <f t="shared" ref="T89:U93" si="171">BB89</f>
        <v>81.2</v>
      </c>
      <c r="U89" s="385">
        <f t="shared" si="171"/>
        <v>83.9</v>
      </c>
      <c r="V89" s="384" t="str">
        <f>BJ89</f>
        <v>-</v>
      </c>
      <c r="W89" s="384">
        <f>BR89</f>
        <v>75.7</v>
      </c>
      <c r="X89" s="384">
        <f>BI89</f>
        <v>75.400000000000006</v>
      </c>
      <c r="Y89" s="384">
        <f>BN89</f>
        <v>72.8</v>
      </c>
      <c r="Z89" s="384">
        <f>BM89</f>
        <v>71.400000000000006</v>
      </c>
      <c r="AA89" s="384">
        <f>BQ89</f>
        <v>83</v>
      </c>
      <c r="AB89" s="385">
        <f>BP89</f>
        <v>82</v>
      </c>
      <c r="AC89" s="384">
        <f>BX89</f>
        <v>78.3</v>
      </c>
      <c r="AD89" s="384" t="str">
        <f>BU89</f>
        <v>-</v>
      </c>
      <c r="AE89" s="384">
        <f>BT89</f>
        <v>90.3</v>
      </c>
      <c r="AF89" s="384" t="str">
        <f>CA89</f>
        <v>-</v>
      </c>
      <c r="AG89" s="384">
        <f>BV89</f>
        <v>86</v>
      </c>
      <c r="AH89" s="384" t="str">
        <f>BZ89</f>
        <v>-</v>
      </c>
      <c r="AI89" s="384">
        <f>BW89</f>
        <v>70.5</v>
      </c>
      <c r="AJ89" s="384">
        <f>BY89</f>
        <v>65</v>
      </c>
      <c r="AK89" s="385">
        <f>CB89</f>
        <v>81.099999999999994</v>
      </c>
      <c r="AL89" s="384">
        <f>CE89</f>
        <v>60.5</v>
      </c>
      <c r="AM89" s="384">
        <f>CH89</f>
        <v>85.8</v>
      </c>
      <c r="AN89" s="384">
        <f>CJ89</f>
        <v>78.7</v>
      </c>
      <c r="AO89" s="384">
        <f t="shared" ref="AO89:AP93" si="172">CC89</f>
        <v>59.2</v>
      </c>
      <c r="AP89" s="384">
        <f t="shared" si="172"/>
        <v>74.7</v>
      </c>
      <c r="AQ89" s="384">
        <f>CK89</f>
        <v>80.099999999999994</v>
      </c>
      <c r="AR89" s="384">
        <f>CI89</f>
        <v>81.7</v>
      </c>
      <c r="AS89" s="383">
        <f>CG89</f>
        <v>79.5</v>
      </c>
      <c r="AT89" s="384" t="s">
        <v>58</v>
      </c>
      <c r="AU89" s="382">
        <v>87.2</v>
      </c>
      <c r="AV89" s="382">
        <v>79.7</v>
      </c>
      <c r="AW89" s="382">
        <v>79.900000000000006</v>
      </c>
      <c r="AX89" s="382">
        <v>81.400000000000006</v>
      </c>
      <c r="AY89" s="382">
        <v>72.8</v>
      </c>
      <c r="AZ89" s="384" t="s">
        <v>58</v>
      </c>
      <c r="BA89" s="382">
        <v>85.2</v>
      </c>
      <c r="BB89" s="382">
        <v>81.2</v>
      </c>
      <c r="BC89" s="382">
        <v>83.9</v>
      </c>
      <c r="BD89" s="382">
        <v>64.8</v>
      </c>
      <c r="BE89" s="382">
        <v>68.8</v>
      </c>
      <c r="BF89" s="385">
        <v>85.2</v>
      </c>
      <c r="BG89" s="384" t="s">
        <v>58</v>
      </c>
      <c r="BH89" s="384" t="s">
        <v>58</v>
      </c>
      <c r="BI89" s="382">
        <v>75.400000000000006</v>
      </c>
      <c r="BJ89" s="382" t="s">
        <v>58</v>
      </c>
      <c r="BK89" s="384" t="s">
        <v>58</v>
      </c>
      <c r="BL89" s="382" t="s">
        <v>58</v>
      </c>
      <c r="BM89" s="382">
        <v>71.400000000000006</v>
      </c>
      <c r="BN89" s="382">
        <v>72.8</v>
      </c>
      <c r="BO89" s="384" t="s">
        <v>58</v>
      </c>
      <c r="BP89" s="382">
        <v>82</v>
      </c>
      <c r="BQ89" s="382">
        <v>83</v>
      </c>
      <c r="BR89" s="385">
        <v>75.7</v>
      </c>
      <c r="BS89" s="384" t="s">
        <v>58</v>
      </c>
      <c r="BT89" s="382">
        <v>90.3</v>
      </c>
      <c r="BU89" s="382" t="s">
        <v>58</v>
      </c>
      <c r="BV89" s="382">
        <v>86</v>
      </c>
      <c r="BW89" s="382">
        <v>70.5</v>
      </c>
      <c r="BX89" s="382">
        <v>78.3</v>
      </c>
      <c r="BY89" s="382">
        <v>65</v>
      </c>
      <c r="BZ89" s="382" t="s">
        <v>58</v>
      </c>
      <c r="CA89" s="382" t="s">
        <v>58</v>
      </c>
      <c r="CB89" s="385">
        <v>81.099999999999994</v>
      </c>
      <c r="CC89" s="382">
        <v>59.2</v>
      </c>
      <c r="CD89" s="382">
        <v>74.7</v>
      </c>
      <c r="CE89" s="382">
        <v>60.5</v>
      </c>
      <c r="CF89" s="384" t="s">
        <v>58</v>
      </c>
      <c r="CG89" s="382">
        <v>79.5</v>
      </c>
      <c r="CH89" s="382">
        <v>85.8</v>
      </c>
      <c r="CI89" s="384">
        <v>81.7</v>
      </c>
      <c r="CJ89" s="382">
        <v>78.7</v>
      </c>
      <c r="CK89" s="383">
        <v>80.099999999999994</v>
      </c>
      <c r="CL89" s="319">
        <v>76.3</v>
      </c>
    </row>
    <row r="90" spans="1:90">
      <c r="A90" s="477">
        <f>ROWS($A$3:A88)</f>
        <v>86</v>
      </c>
      <c r="B90" s="92" t="s">
        <v>193</v>
      </c>
      <c r="C90" s="203"/>
      <c r="D90" s="259" t="s">
        <v>192</v>
      </c>
      <c r="E90" s="447">
        <v>42181</v>
      </c>
      <c r="F90" s="381">
        <v>681.9</v>
      </c>
      <c r="G90" s="382">
        <v>635.79999999999995</v>
      </c>
      <c r="H90" s="384" t="s">
        <v>267</v>
      </c>
      <c r="I90" s="383">
        <v>709.7</v>
      </c>
      <c r="J90" s="382"/>
      <c r="K90" s="381" t="str">
        <f>BF90</f>
        <v>-</v>
      </c>
      <c r="L90" s="384">
        <f>AY90</f>
        <v>735.1</v>
      </c>
      <c r="M90" s="384">
        <f>BD90</f>
        <v>574.79999999999995</v>
      </c>
      <c r="N90" s="384" t="str">
        <f>AW90</f>
        <v>-</v>
      </c>
      <c r="O90" s="384" t="str">
        <f>BE90</f>
        <v>-</v>
      </c>
      <c r="P90" s="384">
        <f>'2015'!BA90</f>
        <v>720.9</v>
      </c>
      <c r="Q90" s="384">
        <f>'2015'!AU90</f>
        <v>716.2</v>
      </c>
      <c r="R90" s="384">
        <f>AX90</f>
        <v>672.7</v>
      </c>
      <c r="S90" s="384" t="str">
        <f>AV90</f>
        <v>-</v>
      </c>
      <c r="T90" s="384">
        <f t="shared" si="171"/>
        <v>629.6</v>
      </c>
      <c r="U90" s="385" t="str">
        <f t="shared" si="171"/>
        <v>-</v>
      </c>
      <c r="V90" s="384" t="str">
        <f>BJ90</f>
        <v>-</v>
      </c>
      <c r="W90" s="384" t="str">
        <f>BR90</f>
        <v>-</v>
      </c>
      <c r="X90" s="384">
        <f>BI90</f>
        <v>681.1</v>
      </c>
      <c r="Y90" s="384">
        <f>BN90</f>
        <v>733.7</v>
      </c>
      <c r="Z90" s="384" t="str">
        <f>BM90</f>
        <v>-</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2"/>
        <v>-</v>
      </c>
      <c r="AP90" s="384" t="str">
        <f t="shared" si="172"/>
        <v>-</v>
      </c>
      <c r="AQ90" s="384" t="str">
        <f>CK90</f>
        <v>-</v>
      </c>
      <c r="AR90" s="384" t="str">
        <f>CI90</f>
        <v>-</v>
      </c>
      <c r="AS90" s="383" t="str">
        <f>CG90</f>
        <v>-</v>
      </c>
      <c r="AT90" s="384" t="s">
        <v>58</v>
      </c>
      <c r="AU90" s="382">
        <v>716.2</v>
      </c>
      <c r="AV90" s="384" t="s">
        <v>58</v>
      </c>
      <c r="AW90" s="382" t="s">
        <v>58</v>
      </c>
      <c r="AX90" s="382">
        <v>672.7</v>
      </c>
      <c r="AY90" s="384">
        <v>735.1</v>
      </c>
      <c r="AZ90" s="384" t="s">
        <v>58</v>
      </c>
      <c r="BA90" s="382">
        <v>720.9</v>
      </c>
      <c r="BB90" s="382">
        <v>629.6</v>
      </c>
      <c r="BC90" s="382" t="s">
        <v>58</v>
      </c>
      <c r="BD90" s="382">
        <v>574.79999999999995</v>
      </c>
      <c r="BE90" s="384" t="s">
        <v>58</v>
      </c>
      <c r="BF90" s="385" t="s">
        <v>58</v>
      </c>
      <c r="BG90" s="384" t="s">
        <v>58</v>
      </c>
      <c r="BH90" s="384" t="s">
        <v>58</v>
      </c>
      <c r="BI90" s="382">
        <v>681.1</v>
      </c>
      <c r="BJ90" s="382" t="s">
        <v>58</v>
      </c>
      <c r="BK90" s="382" t="s">
        <v>58</v>
      </c>
      <c r="BL90" s="382" t="s">
        <v>58</v>
      </c>
      <c r="BM90" s="382" t="s">
        <v>58</v>
      </c>
      <c r="BN90" s="382">
        <v>733.7</v>
      </c>
      <c r="BO90" s="384" t="s">
        <v>58</v>
      </c>
      <c r="BP90" s="384" t="s">
        <v>58</v>
      </c>
      <c r="BQ90" s="384" t="s">
        <v>58</v>
      </c>
      <c r="BR90" s="385" t="s">
        <v>58</v>
      </c>
      <c r="BS90" s="384" t="s">
        <v>58</v>
      </c>
      <c r="BT90" s="382" t="s">
        <v>58</v>
      </c>
      <c r="BU90" s="382" t="s">
        <v>58</v>
      </c>
      <c r="BV90" s="382" t="s">
        <v>58</v>
      </c>
      <c r="BW90" s="382" t="s">
        <v>58</v>
      </c>
      <c r="BX90" s="382" t="s">
        <v>58</v>
      </c>
      <c r="BY90" s="382" t="s">
        <v>58</v>
      </c>
      <c r="BZ90" s="382" t="s">
        <v>58</v>
      </c>
      <c r="CA90" s="382" t="s">
        <v>58</v>
      </c>
      <c r="CB90" s="385" t="s">
        <v>58</v>
      </c>
      <c r="CC90" s="382" t="s">
        <v>58</v>
      </c>
      <c r="CD90" s="382" t="s">
        <v>58</v>
      </c>
      <c r="CE90" s="382" t="s">
        <v>58</v>
      </c>
      <c r="CF90" s="384" t="s">
        <v>58</v>
      </c>
      <c r="CG90" s="384" t="s">
        <v>58</v>
      </c>
      <c r="CH90" s="384" t="s">
        <v>58</v>
      </c>
      <c r="CI90" s="384" t="s">
        <v>58</v>
      </c>
      <c r="CJ90" s="382" t="s">
        <v>58</v>
      </c>
      <c r="CK90" s="383" t="s">
        <v>58</v>
      </c>
      <c r="CL90" s="386">
        <v>673.8</v>
      </c>
    </row>
    <row r="91" spans="1:90">
      <c r="A91" s="477">
        <f>ROWS($A$3:A89)</f>
        <v>87</v>
      </c>
      <c r="B91" s="92" t="s">
        <v>194</v>
      </c>
      <c r="C91" s="203"/>
      <c r="D91" s="259" t="s">
        <v>192</v>
      </c>
      <c r="E91" s="447">
        <v>42181</v>
      </c>
      <c r="F91" s="381">
        <v>41.6</v>
      </c>
      <c r="G91" s="384">
        <v>40.700000000000003</v>
      </c>
      <c r="H91" s="384">
        <v>39.4</v>
      </c>
      <c r="I91" s="383">
        <v>40</v>
      </c>
      <c r="J91" s="382"/>
      <c r="K91" s="381">
        <f>BF91</f>
        <v>47.7</v>
      </c>
      <c r="L91" s="384" t="str">
        <f>AY91</f>
        <v>-</v>
      </c>
      <c r="M91" s="384">
        <f>BD91</f>
        <v>40.1</v>
      </c>
      <c r="N91" s="384" t="str">
        <f>AW91</f>
        <v>-</v>
      </c>
      <c r="O91" s="384" t="str">
        <f>BE91</f>
        <v>-</v>
      </c>
      <c r="P91" s="384">
        <f>'2015'!BA91</f>
        <v>45.4</v>
      </c>
      <c r="Q91" s="384">
        <f>'2015'!AU91</f>
        <v>42.6</v>
      </c>
      <c r="R91" s="384" t="str">
        <f>AX91</f>
        <v>-</v>
      </c>
      <c r="S91" s="384" t="str">
        <f>AV91</f>
        <v>-</v>
      </c>
      <c r="T91" s="384">
        <f t="shared" si="171"/>
        <v>41.2</v>
      </c>
      <c r="U91" s="385">
        <f t="shared" si="171"/>
        <v>40.700000000000003</v>
      </c>
      <c r="V91" s="384" t="str">
        <f>BJ91</f>
        <v>-</v>
      </c>
      <c r="W91" s="384">
        <f>BR91</f>
        <v>42.6</v>
      </c>
      <c r="X91" s="384">
        <f>BI91</f>
        <v>42</v>
      </c>
      <c r="Y91" s="384">
        <f>BN91</f>
        <v>38.200000000000003</v>
      </c>
      <c r="Z91" s="384">
        <f>BM91</f>
        <v>37.1</v>
      </c>
      <c r="AA91" s="384">
        <f>BQ91</f>
        <v>45.2</v>
      </c>
      <c r="AB91" s="385" t="str">
        <f>BP91</f>
        <v>-</v>
      </c>
      <c r="AC91" s="384" t="str">
        <f>BX91</f>
        <v>-</v>
      </c>
      <c r="AD91" s="384" t="str">
        <f>BU91</f>
        <v>-</v>
      </c>
      <c r="AE91" s="384" t="str">
        <f>BT91</f>
        <v>-</v>
      </c>
      <c r="AF91" s="384" t="str">
        <f>CA91</f>
        <v>-</v>
      </c>
      <c r="AG91" s="384" t="str">
        <f>BV91</f>
        <v>-</v>
      </c>
      <c r="AH91" s="384" t="str">
        <f>BZ91</f>
        <v>-</v>
      </c>
      <c r="AI91" s="384">
        <f>BW91</f>
        <v>37.6</v>
      </c>
      <c r="AJ91" s="384" t="str">
        <f>BY91</f>
        <v>-</v>
      </c>
      <c r="AK91" s="385" t="str">
        <f>CB91</f>
        <v>-</v>
      </c>
      <c r="AL91" s="384" t="str">
        <f>CE91</f>
        <v>-</v>
      </c>
      <c r="AM91" s="384">
        <f>CH91</f>
        <v>37.299999999999997</v>
      </c>
      <c r="AN91" s="384" t="str">
        <f>CJ91</f>
        <v>-</v>
      </c>
      <c r="AO91" s="384" t="str">
        <f t="shared" si="172"/>
        <v>-</v>
      </c>
      <c r="AP91" s="384">
        <f t="shared" si="172"/>
        <v>45.7</v>
      </c>
      <c r="AQ91" s="384">
        <f>CK91</f>
        <v>39.700000000000003</v>
      </c>
      <c r="AR91" s="384" t="str">
        <f>CI91</f>
        <v>-</v>
      </c>
      <c r="AS91" s="383">
        <f>CG91</f>
        <v>40</v>
      </c>
      <c r="AT91" s="384" t="s">
        <v>58</v>
      </c>
      <c r="AU91" s="384">
        <v>42.6</v>
      </c>
      <c r="AV91" s="384" t="s">
        <v>58</v>
      </c>
      <c r="AW91" s="382" t="s">
        <v>58</v>
      </c>
      <c r="AX91" s="382" t="s">
        <v>58</v>
      </c>
      <c r="AY91" s="382" t="s">
        <v>58</v>
      </c>
      <c r="AZ91" s="384" t="s">
        <v>58</v>
      </c>
      <c r="BA91" s="382">
        <v>45.4</v>
      </c>
      <c r="BB91" s="382">
        <v>41.2</v>
      </c>
      <c r="BC91" s="382">
        <v>40.700000000000003</v>
      </c>
      <c r="BD91" s="382">
        <v>40.1</v>
      </c>
      <c r="BE91" s="382" t="s">
        <v>58</v>
      </c>
      <c r="BF91" s="385">
        <v>47.7</v>
      </c>
      <c r="BG91" s="384" t="s">
        <v>58</v>
      </c>
      <c r="BH91" s="384" t="s">
        <v>58</v>
      </c>
      <c r="BI91" s="382">
        <v>42</v>
      </c>
      <c r="BJ91" s="382" t="s">
        <v>58</v>
      </c>
      <c r="BK91" s="382" t="s">
        <v>58</v>
      </c>
      <c r="BL91" s="382" t="s">
        <v>58</v>
      </c>
      <c r="BM91" s="384">
        <v>37.1</v>
      </c>
      <c r="BN91" s="384">
        <v>38.200000000000003</v>
      </c>
      <c r="BO91" s="384" t="s">
        <v>58</v>
      </c>
      <c r="BP91" s="382" t="s">
        <v>58</v>
      </c>
      <c r="BQ91" s="384">
        <v>45.2</v>
      </c>
      <c r="BR91" s="385">
        <v>42.6</v>
      </c>
      <c r="BS91" s="384" t="s">
        <v>58</v>
      </c>
      <c r="BT91" s="382" t="s">
        <v>58</v>
      </c>
      <c r="BU91" s="382" t="s">
        <v>58</v>
      </c>
      <c r="BV91" s="382" t="s">
        <v>58</v>
      </c>
      <c r="BW91" s="382">
        <v>37.6</v>
      </c>
      <c r="BX91" s="382" t="s">
        <v>58</v>
      </c>
      <c r="BY91" s="382" t="s">
        <v>58</v>
      </c>
      <c r="BZ91" s="382" t="s">
        <v>58</v>
      </c>
      <c r="CA91" s="382" t="s">
        <v>58</v>
      </c>
      <c r="CB91" s="385" t="s">
        <v>58</v>
      </c>
      <c r="CC91" s="382" t="s">
        <v>58</v>
      </c>
      <c r="CD91" s="382">
        <v>45.7</v>
      </c>
      <c r="CE91" s="382" t="s">
        <v>58</v>
      </c>
      <c r="CF91" s="384" t="s">
        <v>58</v>
      </c>
      <c r="CG91" s="382">
        <v>40</v>
      </c>
      <c r="CH91" s="382">
        <v>37.299999999999997</v>
      </c>
      <c r="CI91" s="384" t="s">
        <v>58</v>
      </c>
      <c r="CJ91" s="382" t="s">
        <v>58</v>
      </c>
      <c r="CK91" s="383">
        <v>39.700000000000003</v>
      </c>
      <c r="CL91" s="386">
        <v>40.799999999999997</v>
      </c>
    </row>
    <row r="92" spans="1:90">
      <c r="A92" s="477">
        <f>ROWS($A$3:A90)</f>
        <v>88</v>
      </c>
      <c r="B92" s="92" t="s">
        <v>195</v>
      </c>
      <c r="C92" s="203"/>
      <c r="D92" s="259" t="s">
        <v>192</v>
      </c>
      <c r="E92" s="447">
        <v>42181</v>
      </c>
      <c r="F92" s="381">
        <v>386.9</v>
      </c>
      <c r="G92" s="382">
        <v>401.7</v>
      </c>
      <c r="H92" s="382">
        <v>390.5</v>
      </c>
      <c r="I92" s="383">
        <v>397.4</v>
      </c>
      <c r="J92" s="382"/>
      <c r="K92" s="381">
        <f>BF92</f>
        <v>399.9</v>
      </c>
      <c r="L92" s="384">
        <f>AY92</f>
        <v>398.8</v>
      </c>
      <c r="M92" s="384">
        <f>BD92</f>
        <v>321.39999999999998</v>
      </c>
      <c r="N92" s="384">
        <f>AW92</f>
        <v>460.3</v>
      </c>
      <c r="O92" s="384" t="str">
        <f>BE92</f>
        <v>-</v>
      </c>
      <c r="P92" s="384">
        <f>'2015'!BA92</f>
        <v>410.6</v>
      </c>
      <c r="Q92" s="384" t="str">
        <f>'2015'!AU92</f>
        <v>-</v>
      </c>
      <c r="R92" s="384">
        <f>AX92</f>
        <v>417.7</v>
      </c>
      <c r="S92" s="384">
        <f>AV92</f>
        <v>368.7</v>
      </c>
      <c r="T92" s="384">
        <f t="shared" si="171"/>
        <v>394.4</v>
      </c>
      <c r="U92" s="385">
        <f t="shared" si="171"/>
        <v>390.2</v>
      </c>
      <c r="V92" s="384" t="str">
        <f>BJ92</f>
        <v>-</v>
      </c>
      <c r="W92" s="384">
        <f>BR92</f>
        <v>361.5</v>
      </c>
      <c r="X92" s="384" t="str">
        <f>BI92</f>
        <v>-</v>
      </c>
      <c r="Y92" s="384">
        <f>BN92</f>
        <v>432.1</v>
      </c>
      <c r="Z92" s="384">
        <f>BM92</f>
        <v>371.8</v>
      </c>
      <c r="AA92" s="384">
        <f>BQ92</f>
        <v>426.5</v>
      </c>
      <c r="AB92" s="385" t="str">
        <f>BP92</f>
        <v>-</v>
      </c>
      <c r="AC92" s="384" t="str">
        <f>BX92</f>
        <v>-</v>
      </c>
      <c r="AD92" s="384" t="str">
        <f>BU92</f>
        <v>-</v>
      </c>
      <c r="AE92" s="384" t="str">
        <f>BT92</f>
        <v>-</v>
      </c>
      <c r="AF92" s="384" t="str">
        <f>CA92</f>
        <v>-</v>
      </c>
      <c r="AG92" s="384" t="str">
        <f>BV92</f>
        <v>-</v>
      </c>
      <c r="AH92" s="384">
        <f>BZ92</f>
        <v>416.1</v>
      </c>
      <c r="AI92" s="384">
        <f>BW92</f>
        <v>349.4</v>
      </c>
      <c r="AJ92" s="384" t="str">
        <f>BY92</f>
        <v>-</v>
      </c>
      <c r="AK92" s="385">
        <f>CB92</f>
        <v>410.2</v>
      </c>
      <c r="AL92" s="384">
        <f>CE92</f>
        <v>334.6</v>
      </c>
      <c r="AM92" s="384">
        <f>CH92</f>
        <v>409.3</v>
      </c>
      <c r="AN92" s="384">
        <f>CJ92</f>
        <v>445.4</v>
      </c>
      <c r="AO92" s="384">
        <f t="shared" si="172"/>
        <v>314.8</v>
      </c>
      <c r="AP92" s="384" t="str">
        <f t="shared" si="172"/>
        <v>-</v>
      </c>
      <c r="AQ92" s="384">
        <f>CK92</f>
        <v>391.5</v>
      </c>
      <c r="AR92" s="384" t="str">
        <f>CI92</f>
        <v>-</v>
      </c>
      <c r="AS92" s="383">
        <f>CG92</f>
        <v>381.3</v>
      </c>
      <c r="AT92" s="384" t="s">
        <v>58</v>
      </c>
      <c r="AU92" s="384" t="s">
        <v>58</v>
      </c>
      <c r="AV92" s="382">
        <v>368.7</v>
      </c>
      <c r="AW92" s="382">
        <v>460.3</v>
      </c>
      <c r="AX92" s="382">
        <v>417.7</v>
      </c>
      <c r="AY92" s="382">
        <v>398.8</v>
      </c>
      <c r="AZ92" s="384" t="s">
        <v>58</v>
      </c>
      <c r="BA92" s="382">
        <v>410.6</v>
      </c>
      <c r="BB92" s="382">
        <v>394.4</v>
      </c>
      <c r="BC92" s="382">
        <v>390.2</v>
      </c>
      <c r="BD92" s="382">
        <v>321.39999999999998</v>
      </c>
      <c r="BE92" s="382" t="s">
        <v>58</v>
      </c>
      <c r="BF92" s="385">
        <v>399.9</v>
      </c>
      <c r="BG92" s="384" t="s">
        <v>58</v>
      </c>
      <c r="BH92" s="384" t="s">
        <v>58</v>
      </c>
      <c r="BI92" s="382" t="s">
        <v>58</v>
      </c>
      <c r="BJ92" s="382" t="s">
        <v>58</v>
      </c>
      <c r="BK92" s="382" t="s">
        <v>58</v>
      </c>
      <c r="BL92" s="382" t="s">
        <v>58</v>
      </c>
      <c r="BM92" s="382">
        <v>371.8</v>
      </c>
      <c r="BN92" s="382">
        <v>432.1</v>
      </c>
      <c r="BO92" s="384" t="s">
        <v>58</v>
      </c>
      <c r="BP92" s="382" t="s">
        <v>58</v>
      </c>
      <c r="BQ92" s="382">
        <v>426.5</v>
      </c>
      <c r="BR92" s="385">
        <v>361.5</v>
      </c>
      <c r="BS92" s="384" t="s">
        <v>58</v>
      </c>
      <c r="BT92" s="382" t="s">
        <v>58</v>
      </c>
      <c r="BU92" s="382" t="s">
        <v>58</v>
      </c>
      <c r="BV92" s="382" t="s">
        <v>58</v>
      </c>
      <c r="BW92" s="382">
        <v>349.4</v>
      </c>
      <c r="BX92" s="382" t="s">
        <v>58</v>
      </c>
      <c r="BY92" s="382" t="s">
        <v>58</v>
      </c>
      <c r="BZ92" s="382">
        <v>416.1</v>
      </c>
      <c r="CA92" s="382" t="s">
        <v>58</v>
      </c>
      <c r="CB92" s="385">
        <v>410.2</v>
      </c>
      <c r="CC92" s="382">
        <v>314.8</v>
      </c>
      <c r="CD92" s="382" t="s">
        <v>58</v>
      </c>
      <c r="CE92" s="382">
        <v>334.6</v>
      </c>
      <c r="CF92" s="384" t="s">
        <v>58</v>
      </c>
      <c r="CG92" s="382">
        <v>381.3</v>
      </c>
      <c r="CH92" s="382">
        <v>409.3</v>
      </c>
      <c r="CI92" s="384" t="s">
        <v>58</v>
      </c>
      <c r="CJ92" s="382">
        <v>445.4</v>
      </c>
      <c r="CK92" s="383">
        <v>391.5</v>
      </c>
      <c r="CL92" s="386">
        <v>393.2</v>
      </c>
    </row>
    <row r="93" spans="1:90">
      <c r="A93" s="477">
        <f>ROWS($A$3:A91)</f>
        <v>89</v>
      </c>
      <c r="B93" s="54" t="s">
        <v>94</v>
      </c>
      <c r="C93" s="252"/>
      <c r="D93" s="259" t="s">
        <v>3</v>
      </c>
      <c r="E93" s="447"/>
      <c r="F93" s="547">
        <v>0.37</v>
      </c>
      <c r="G93" s="548">
        <v>0.37</v>
      </c>
      <c r="H93" s="548">
        <v>0.69</v>
      </c>
      <c r="I93" s="549">
        <v>0.54</v>
      </c>
      <c r="J93" s="598"/>
      <c r="K93" s="547">
        <f>BF93</f>
        <v>0.99</v>
      </c>
      <c r="L93" s="548">
        <f>AY93</f>
        <v>0.69</v>
      </c>
      <c r="M93" s="548">
        <f>BD93</f>
        <v>0.7</v>
      </c>
      <c r="N93" s="548">
        <f>AW93</f>
        <v>0.74</v>
      </c>
      <c r="O93" s="548">
        <f>BE93</f>
        <v>0.6</v>
      </c>
      <c r="P93" s="573">
        <f>(AZ35*AZ93+BA35*BA93)/P35</f>
        <v>0.12064121769375141</v>
      </c>
      <c r="Q93" s="548">
        <f>'2015'!AU93</f>
        <v>0.48</v>
      </c>
      <c r="R93" s="573">
        <f>(AT35*AT93+AX35*AX93)/R35</f>
        <v>1.7214353708137422E-2</v>
      </c>
      <c r="S93" s="548">
        <f>AV93</f>
        <v>0.56999999999999995</v>
      </c>
      <c r="T93" s="548">
        <f t="shared" si="171"/>
        <v>0.56999999999999995</v>
      </c>
      <c r="U93" s="570">
        <f t="shared" si="171"/>
        <v>0.97</v>
      </c>
      <c r="V93" s="573">
        <f>(BG35*BG93+BJ35*BJ93)/V35</f>
        <v>0.32098958008360889</v>
      </c>
      <c r="W93" s="548">
        <f>BR93</f>
        <v>0.82</v>
      </c>
      <c r="X93" s="573">
        <f>(BH35*BH93+BI35*BI93)/X35</f>
        <v>6.5584005612065954E-2</v>
      </c>
      <c r="Y93" s="573">
        <f>(BK35*BK93+BL35*BL93+BN35*BN93)/Y35</f>
        <v>0.10728694310691411</v>
      </c>
      <c r="Z93" s="548">
        <f>BM93</f>
        <v>0.7</v>
      </c>
      <c r="AA93" s="573">
        <f>(BO35*BO93+BQ35*BQ93)/AA35</f>
        <v>0.46039442349672549</v>
      </c>
      <c r="AB93" s="570">
        <f>BP93</f>
        <v>0.78</v>
      </c>
      <c r="AC93" s="548">
        <f>BX93</f>
        <v>0.65</v>
      </c>
      <c r="AD93" s="548">
        <f>BU93</f>
        <v>0.36</v>
      </c>
      <c r="AE93" s="573">
        <f>(BS35*BS93+BT35*BT93)/AE35</f>
        <v>0.1160348266339368</v>
      </c>
      <c r="AF93" s="548">
        <f>CA93</f>
        <v>0.28999999999999998</v>
      </c>
      <c r="AG93" s="548">
        <f>BV93</f>
        <v>0.34</v>
      </c>
      <c r="AH93" s="548">
        <f>BZ93</f>
        <v>0.65</v>
      </c>
      <c r="AI93" s="548">
        <f>BW93</f>
        <v>0.96</v>
      </c>
      <c r="AJ93" s="548">
        <f>BY93</f>
        <v>0.63</v>
      </c>
      <c r="AK93" s="570">
        <f>CB93</f>
        <v>0.71</v>
      </c>
      <c r="AL93" s="548">
        <f>CE93</f>
        <v>0.61</v>
      </c>
      <c r="AM93" s="548">
        <f>CH93</f>
        <v>0.2</v>
      </c>
      <c r="AN93" s="548">
        <f>CJ93</f>
        <v>0.57999999999999996</v>
      </c>
      <c r="AO93" s="548">
        <f t="shared" si="172"/>
        <v>1</v>
      </c>
      <c r="AP93" s="548">
        <f t="shared" si="172"/>
        <v>0.61</v>
      </c>
      <c r="AQ93" s="548">
        <f>CK93</f>
        <v>0.72</v>
      </c>
      <c r="AR93" s="548">
        <f>CI93</f>
        <v>0.24</v>
      </c>
      <c r="AS93" s="574">
        <f>(CF35*CF93+CG35*CG93)/AS35</f>
        <v>0.45045947078924298</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c r="A94" s="477">
        <f>ROWS($A$3:A92)</f>
        <v>90</v>
      </c>
      <c r="B94" s="59" t="s">
        <v>247</v>
      </c>
      <c r="C94" s="203"/>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c r="A95" s="477">
        <f>ROWS($A$3:A93)</f>
        <v>91</v>
      </c>
      <c r="B95" s="236" t="s">
        <v>95</v>
      </c>
      <c r="C95" s="393">
        <v>2010</v>
      </c>
      <c r="D95" s="259" t="s">
        <v>10</v>
      </c>
      <c r="E95" s="447">
        <v>40441</v>
      </c>
      <c r="F95" s="154">
        <f>SUM(AT95:BF95)</f>
        <v>617300</v>
      </c>
      <c r="G95" s="155">
        <f>SUM(BG95:BR95)</f>
        <v>141500</v>
      </c>
      <c r="H95" s="155">
        <f>SUM(BS95:CB95)</f>
        <v>370400</v>
      </c>
      <c r="I95" s="156">
        <f>SUM(CC95:CK95)</f>
        <v>1004800</v>
      </c>
      <c r="J95" s="281"/>
      <c r="K95" s="154">
        <f>BF95</f>
        <v>165800</v>
      </c>
      <c r="L95" s="155">
        <f>AY95</f>
        <v>42000</v>
      </c>
      <c r="M95" s="155">
        <f>BD95</f>
        <v>41900</v>
      </c>
      <c r="N95" s="155">
        <f>AW95</f>
        <v>57600</v>
      </c>
      <c r="O95" s="155">
        <f>BE95</f>
        <v>44000</v>
      </c>
      <c r="P95" s="155">
        <f>'2015'!BA95</f>
        <v>27400</v>
      </c>
      <c r="Q95" s="155">
        <f>'2015'!AU95</f>
        <v>17100</v>
      </c>
      <c r="R95" s="155">
        <f>AX95</f>
        <v>28800</v>
      </c>
      <c r="S95" s="155">
        <f>AV95</f>
        <v>12300</v>
      </c>
      <c r="T95" s="155">
        <f t="shared" ref="T95:U98" si="173">BB95</f>
        <v>43200</v>
      </c>
      <c r="U95" s="552">
        <f t="shared" si="173"/>
        <v>135100</v>
      </c>
      <c r="V95" s="155">
        <f>BJ95</f>
        <v>1900</v>
      </c>
      <c r="W95" s="155">
        <f>BR95</f>
        <v>23000</v>
      </c>
      <c r="X95" s="155">
        <f>BI95</f>
        <v>6400</v>
      </c>
      <c r="Y95" s="155">
        <f>BN95</f>
        <v>22700</v>
      </c>
      <c r="Z95" s="155">
        <f>BM95</f>
        <v>47900</v>
      </c>
      <c r="AA95" s="155">
        <f>BQ95</f>
        <v>18600</v>
      </c>
      <c r="AB95" s="552">
        <f>BP95</f>
        <v>21000</v>
      </c>
      <c r="AC95" s="155">
        <f>BX95</f>
        <v>64900</v>
      </c>
      <c r="AD95" s="155">
        <f>BU95</f>
        <v>18300</v>
      </c>
      <c r="AE95" s="155">
        <f>BT95</f>
        <v>56300</v>
      </c>
      <c r="AF95" s="155">
        <f>CA95</f>
        <v>17900</v>
      </c>
      <c r="AG95" s="155">
        <f>BV95</f>
        <v>38800</v>
      </c>
      <c r="AH95" s="155">
        <f>BZ95</f>
        <v>56400</v>
      </c>
      <c r="AI95" s="155">
        <f>BW95</f>
        <v>26900</v>
      </c>
      <c r="AJ95" s="155">
        <f>BY95</f>
        <v>32900</v>
      </c>
      <c r="AK95" s="552">
        <f>CB95</f>
        <v>58000</v>
      </c>
      <c r="AL95" s="155">
        <f>CE95</f>
        <v>21200</v>
      </c>
      <c r="AM95" s="155">
        <f>CH95</f>
        <v>217100</v>
      </c>
      <c r="AN95" s="155">
        <f>CJ95</f>
        <v>443900</v>
      </c>
      <c r="AO95" s="155">
        <f t="shared" ref="AO95:AP98" si="174">CC95</f>
        <v>49800</v>
      </c>
      <c r="AP95" s="155">
        <f t="shared" si="174"/>
        <v>9200</v>
      </c>
      <c r="AQ95" s="155">
        <f>CK95</f>
        <v>78000</v>
      </c>
      <c r="AR95" s="155">
        <f>CI95</f>
        <v>62000</v>
      </c>
      <c r="AS95" s="156">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c r="A96" s="477">
        <f>ROWS($A$3:A94)</f>
        <v>92</v>
      </c>
      <c r="B96" s="92" t="s">
        <v>96</v>
      </c>
      <c r="C96" s="396">
        <v>2010</v>
      </c>
      <c r="D96" s="259" t="s">
        <v>10</v>
      </c>
      <c r="E96" s="447">
        <v>40441</v>
      </c>
      <c r="F96" s="154">
        <f>SUM(AT96:BF96)</f>
        <v>617399</v>
      </c>
      <c r="G96" s="155">
        <f>SUM(BG96:BR96)</f>
        <v>142781</v>
      </c>
      <c r="H96" s="155">
        <f>SUM(BS96:CB96)</f>
        <v>370424</v>
      </c>
      <c r="I96" s="156">
        <f>SUM(CC96:CK96)</f>
        <v>1004630</v>
      </c>
      <c r="J96" s="281"/>
      <c r="K96" s="154">
        <f>BF96</f>
        <v>165837</v>
      </c>
      <c r="L96" s="155">
        <f>AY96</f>
        <v>41990</v>
      </c>
      <c r="M96" s="155">
        <f>BD96</f>
        <v>41892</v>
      </c>
      <c r="N96" s="155">
        <f>AW96</f>
        <v>57563</v>
      </c>
      <c r="O96" s="155">
        <f>BE96</f>
        <v>44020</v>
      </c>
      <c r="P96" s="155">
        <f>'2015'!BA96</f>
        <v>26046</v>
      </c>
      <c r="Q96" s="155">
        <f>'2015'!AU96</f>
        <v>17142</v>
      </c>
      <c r="R96" s="155">
        <f>AX96</f>
        <v>28784</v>
      </c>
      <c r="S96" s="155">
        <f>AV96</f>
        <v>12315</v>
      </c>
      <c r="T96" s="155">
        <f>BB96</f>
        <v>43221</v>
      </c>
      <c r="U96" s="552">
        <f>BC96</f>
        <v>135140</v>
      </c>
      <c r="V96" s="155">
        <f>BJ96</f>
        <v>1905</v>
      </c>
      <c r="W96" s="155">
        <f>BR96</f>
        <v>23030</v>
      </c>
      <c r="X96" s="155">
        <f>BI96</f>
        <v>6427</v>
      </c>
      <c r="Y96" s="155">
        <f>BN96</f>
        <v>22732</v>
      </c>
      <c r="Z96" s="155">
        <f>BM96</f>
        <v>47945</v>
      </c>
      <c r="AA96" s="155">
        <f>BQ96</f>
        <v>18389</v>
      </c>
      <c r="AB96" s="552">
        <f>BP96</f>
        <v>21039</v>
      </c>
      <c r="AC96" s="155">
        <f>BX96</f>
        <v>64945</v>
      </c>
      <c r="AD96" s="155">
        <f>BU96</f>
        <v>18303</v>
      </c>
      <c r="AE96" s="155">
        <f>BT96</f>
        <v>56256</v>
      </c>
      <c r="AF96" s="155">
        <f>CA96</f>
        <v>17921</v>
      </c>
      <c r="AG96" s="155">
        <f>BV96</f>
        <v>38783</v>
      </c>
      <c r="AH96" s="155">
        <f>BZ96</f>
        <v>56430</v>
      </c>
      <c r="AI96" s="155">
        <f>BW96</f>
        <v>26870</v>
      </c>
      <c r="AJ96" s="155">
        <f>BY96</f>
        <v>32882</v>
      </c>
      <c r="AK96" s="552">
        <f>CB96</f>
        <v>58034</v>
      </c>
      <c r="AL96" s="155">
        <f>CE96</f>
        <v>21184</v>
      </c>
      <c r="AM96" s="155">
        <f>CH96</f>
        <v>217098</v>
      </c>
      <c r="AN96" s="155">
        <f>CJ96</f>
        <v>443864</v>
      </c>
      <c r="AO96" s="155">
        <f>CC96</f>
        <v>49804</v>
      </c>
      <c r="AP96" s="155">
        <f>CD96</f>
        <v>9156</v>
      </c>
      <c r="AQ96" s="155">
        <f>CK96</f>
        <v>78000</v>
      </c>
      <c r="AR96" s="155">
        <f>CI96</f>
        <v>61951</v>
      </c>
      <c r="AS96" s="156">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90">
      <c r="A97" s="477">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'2015'!AZ97+'2015'!BA97</f>
        <v>6750</v>
      </c>
      <c r="Q97" s="113">
        <f>'2015'!AU97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c r="A98" s="477">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'2015'!AZ98+'2015'!BA98</f>
        <v>34324</v>
      </c>
      <c r="Q98" s="113">
        <f>'2015'!AU98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c r="A99" s="477">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c r="A100" s="477">
        <f>ROWS($A$3:A98)</f>
        <v>96</v>
      </c>
      <c r="B100" s="55" t="s">
        <v>255</v>
      </c>
      <c r="C100" s="203">
        <v>2014</v>
      </c>
      <c r="D100" s="259" t="s">
        <v>13</v>
      </c>
      <c r="E100" s="447">
        <v>42549</v>
      </c>
      <c r="F100" s="154">
        <v>2374</v>
      </c>
      <c r="G100" s="155">
        <v>1160</v>
      </c>
      <c r="H100" s="155">
        <v>1213</v>
      </c>
      <c r="I100" s="156">
        <v>844</v>
      </c>
      <c r="J100" s="281"/>
      <c r="K100" s="157">
        <f>BF100</f>
        <v>124</v>
      </c>
      <c r="L100" s="113">
        <f>AY100</f>
        <v>289</v>
      </c>
      <c r="M100" s="113">
        <f>BD100</f>
        <v>103</v>
      </c>
      <c r="N100" s="113">
        <f>AW100</f>
        <v>120</v>
      </c>
      <c r="O100" s="113">
        <f>BE100</f>
        <v>48</v>
      </c>
      <c r="P100" s="113">
        <f>'2009'!AZ101+'2009'!BA101</f>
        <v>658</v>
      </c>
      <c r="Q100" s="113">
        <f>'2009'!AU101</f>
        <v>260</v>
      </c>
      <c r="R100" s="113">
        <f>AT100+AX100</f>
        <v>462</v>
      </c>
      <c r="S100" s="113">
        <f>AV100</f>
        <v>367</v>
      </c>
      <c r="T100" s="113">
        <f>BB100</f>
        <v>79</v>
      </c>
      <c r="U100" s="112">
        <f>BC100</f>
        <v>149</v>
      </c>
      <c r="V100" s="113">
        <f>BG100+BJ100</f>
        <v>67</v>
      </c>
      <c r="W100" s="113" t="str">
        <f>BR100</f>
        <v>.</v>
      </c>
      <c r="X100" s="113">
        <f>BH100+BI100</f>
        <v>351</v>
      </c>
      <c r="Y100" s="113">
        <f>BK100+BL100+BN100</f>
        <v>259</v>
      </c>
      <c r="Z100" s="113">
        <f>BM100</f>
        <v>129</v>
      </c>
      <c r="AA100" s="113">
        <f>IF(BO100=".",BQ100,BO100+BQ100)</f>
        <v>176</v>
      </c>
      <c r="AB100" s="112">
        <f>BP100</f>
        <v>98</v>
      </c>
      <c r="AC100" s="113">
        <f>BX100</f>
        <v>75</v>
      </c>
      <c r="AD100" s="113">
        <f>BU100</f>
        <v>181</v>
      </c>
      <c r="AE100" s="113">
        <f>BS100+BT100</f>
        <v>134</v>
      </c>
      <c r="AF100" s="113">
        <f>CA100</f>
        <v>182</v>
      </c>
      <c r="AG100" s="113">
        <f>BV100</f>
        <v>295</v>
      </c>
      <c r="AH100" s="113">
        <f>BZ100</f>
        <v>84</v>
      </c>
      <c r="AI100" s="113">
        <f>BW100</f>
        <v>84</v>
      </c>
      <c r="AJ100" s="113">
        <f>BY100</f>
        <v>96</v>
      </c>
      <c r="AK100" s="112">
        <f>CB100</f>
        <v>82</v>
      </c>
      <c r="AL100" s="113">
        <f>CE100</f>
        <v>151</v>
      </c>
      <c r="AM100" s="113">
        <f>CH100</f>
        <v>115</v>
      </c>
      <c r="AN100" s="113">
        <f>CJ100</f>
        <v>92</v>
      </c>
      <c r="AO100" s="113">
        <f>CC100</f>
        <v>104</v>
      </c>
      <c r="AP100" s="113">
        <f>CD100</f>
        <v>88</v>
      </c>
      <c r="AQ100" s="113">
        <f>CK100</f>
        <v>170</v>
      </c>
      <c r="AR100" s="113">
        <f>CI100</f>
        <v>33</v>
      </c>
      <c r="AS100" s="158">
        <f>CF100+CG100</f>
        <v>91</v>
      </c>
      <c r="AT100" s="113">
        <v>35</v>
      </c>
      <c r="AU100" s="113">
        <v>163</v>
      </c>
      <c r="AV100" s="113">
        <v>367</v>
      </c>
      <c r="AW100" s="113">
        <v>120</v>
      </c>
      <c r="AX100" s="113">
        <v>427</v>
      </c>
      <c r="AY100" s="113">
        <v>289</v>
      </c>
      <c r="AZ100" s="113">
        <v>37</v>
      </c>
      <c r="BA100" s="113">
        <v>433</v>
      </c>
      <c r="BB100" s="113">
        <v>79</v>
      </c>
      <c r="BC100" s="113">
        <v>149</v>
      </c>
      <c r="BD100" s="113">
        <v>103</v>
      </c>
      <c r="BE100" s="113">
        <v>48</v>
      </c>
      <c r="BF100" s="112">
        <v>124</v>
      </c>
      <c r="BG100" s="159">
        <v>21</v>
      </c>
      <c r="BH100" s="113">
        <v>9</v>
      </c>
      <c r="BI100" s="113">
        <v>342</v>
      </c>
      <c r="BJ100" s="113">
        <v>46</v>
      </c>
      <c r="BK100" s="113">
        <v>10</v>
      </c>
      <c r="BL100" s="113">
        <v>0</v>
      </c>
      <c r="BM100" s="113">
        <v>129</v>
      </c>
      <c r="BN100" s="113">
        <v>249</v>
      </c>
      <c r="BO100" s="159" t="s">
        <v>304</v>
      </c>
      <c r="BP100" s="113">
        <v>98</v>
      </c>
      <c r="BQ100" s="113">
        <v>176</v>
      </c>
      <c r="BR100" s="112" t="s">
        <v>304</v>
      </c>
      <c r="BS100" s="159">
        <v>18</v>
      </c>
      <c r="BT100" s="113">
        <v>116</v>
      </c>
      <c r="BU100" s="113">
        <v>181</v>
      </c>
      <c r="BV100" s="113">
        <v>295</v>
      </c>
      <c r="BW100" s="113">
        <v>84</v>
      </c>
      <c r="BX100" s="113">
        <v>75</v>
      </c>
      <c r="BY100" s="113">
        <v>96</v>
      </c>
      <c r="BZ100" s="113">
        <v>84</v>
      </c>
      <c r="CA100" s="113">
        <v>182</v>
      </c>
      <c r="CB100" s="112">
        <v>82</v>
      </c>
      <c r="CC100" s="113">
        <v>104</v>
      </c>
      <c r="CD100" s="113">
        <v>88</v>
      </c>
      <c r="CE100" s="113">
        <v>151</v>
      </c>
      <c r="CF100" s="113">
        <v>8</v>
      </c>
      <c r="CG100" s="113">
        <v>83</v>
      </c>
      <c r="CH100" s="113">
        <v>115</v>
      </c>
      <c r="CI100" s="113">
        <v>33</v>
      </c>
      <c r="CJ100" s="113">
        <v>92</v>
      </c>
      <c r="CK100" s="158">
        <v>170</v>
      </c>
      <c r="CL100" s="123">
        <v>5591</v>
      </c>
    </row>
    <row r="101" spans="1:90">
      <c r="A101" s="477">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c r="A102" s="477">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c r="A103" s="477">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'2015'!AZ103+'2015'!BA103</f>
        <v>0</v>
      </c>
      <c r="Q103" s="113">
        <f>'2015'!AU103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c r="A104" s="477">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'2015'!AZ104+'2015'!BA104</f>
        <v>0</v>
      </c>
      <c r="Q104" s="113">
        <f>'2015'!AU104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477">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'2015'!AZ105+'2015'!BA105</f>
        <v>0</v>
      </c>
      <c r="Q105" s="113">
        <f>'2015'!AU105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c r="A106" s="477">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'2015'!AZ106+'2015'!BA106</f>
        <v>0</v>
      </c>
      <c r="Q106" s="164">
        <f>'2015'!AU106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c r="A107" s="466"/>
      <c r="B107" s="57"/>
      <c r="C107" s="203"/>
      <c r="D107" s="48"/>
      <c r="E107" s="449"/>
      <c r="F107" s="155">
        <f t="shared" ref="F107:BQ107" si="177">SUM(F7:F92)</f>
        <v>16160248.529243957</v>
      </c>
      <c r="G107" s="155">
        <f t="shared" si="177"/>
        <v>9444059.5649803262</v>
      </c>
      <c r="H107" s="155">
        <f t="shared" si="177"/>
        <v>9778959.6442511063</v>
      </c>
      <c r="I107" s="155">
        <f t="shared" si="177"/>
        <v>9874914.1160150375</v>
      </c>
      <c r="J107" s="155">
        <f t="shared" si="177"/>
        <v>0</v>
      </c>
      <c r="K107" s="155">
        <f t="shared" si="177"/>
        <v>1636340.3610861469</v>
      </c>
      <c r="L107" s="155">
        <f t="shared" si="177"/>
        <v>1365763.6405059891</v>
      </c>
      <c r="M107" s="155">
        <f t="shared" si="177"/>
        <v>1230765.4663300719</v>
      </c>
      <c r="N107" s="155">
        <f t="shared" si="177"/>
        <v>961058.0467830688</v>
      </c>
      <c r="O107" s="155">
        <f t="shared" si="177"/>
        <v>719834.29932627711</v>
      </c>
      <c r="P107" s="155">
        <f t="shared" si="177"/>
        <v>1781566.0825991456</v>
      </c>
      <c r="Q107" s="155">
        <f t="shared" si="177"/>
        <v>1299049.3584324119</v>
      </c>
      <c r="R107" s="155">
        <f t="shared" si="177"/>
        <v>3268406.5527969995</v>
      </c>
      <c r="S107" s="155">
        <f t="shared" si="177"/>
        <v>1519806.5773289532</v>
      </c>
      <c r="T107" s="155">
        <f t="shared" si="177"/>
        <v>918908.45548225229</v>
      </c>
      <c r="U107" s="155">
        <f t="shared" si="177"/>
        <v>1794256.4049968682</v>
      </c>
      <c r="V107" s="155">
        <f t="shared" si="177"/>
        <v>1059228.5207641369</v>
      </c>
      <c r="W107" s="155">
        <f t="shared" si="177"/>
        <v>657689.85540269071</v>
      </c>
      <c r="X107" s="155">
        <f t="shared" si="177"/>
        <v>2348991.949990801</v>
      </c>
      <c r="Y107" s="155">
        <f t="shared" si="177"/>
        <v>2773232.8614179688</v>
      </c>
      <c r="Z107" s="155">
        <f t="shared" si="177"/>
        <v>931478.77139352425</v>
      </c>
      <c r="AA107" s="155">
        <f t="shared" si="177"/>
        <v>1085260.7946609179</v>
      </c>
      <c r="AB107" s="155">
        <f t="shared" si="177"/>
        <v>699176.58174966124</v>
      </c>
      <c r="AC107" s="155">
        <f t="shared" si="177"/>
        <v>1029931.445305227</v>
      </c>
      <c r="AD107" s="155">
        <f t="shared" si="177"/>
        <v>707374.77173547051</v>
      </c>
      <c r="AE107" s="155">
        <f t="shared" si="177"/>
        <v>1851166.4976104714</v>
      </c>
      <c r="AF107" s="155">
        <f t="shared" si="177"/>
        <v>906437.33846224693</v>
      </c>
      <c r="AG107" s="155">
        <f t="shared" si="177"/>
        <v>1860349.9601883858</v>
      </c>
      <c r="AH107" s="155">
        <f t="shared" si="177"/>
        <v>1058896.1672506791</v>
      </c>
      <c r="AI107" s="155">
        <f t="shared" si="177"/>
        <v>780891.32040184771</v>
      </c>
      <c r="AJ107" s="155">
        <f t="shared" si="177"/>
        <v>787844.67812754062</v>
      </c>
      <c r="AK107" s="155">
        <f t="shared" si="177"/>
        <v>967423.66385030793</v>
      </c>
      <c r="AL107" s="155">
        <f t="shared" si="177"/>
        <v>1008536.7800773497</v>
      </c>
      <c r="AM107" s="155">
        <f t="shared" si="177"/>
        <v>1408640.4782156493</v>
      </c>
      <c r="AN107" s="155">
        <f t="shared" si="177"/>
        <v>1589416.8323118358</v>
      </c>
      <c r="AO107" s="155">
        <f t="shared" si="177"/>
        <v>1307643.1097201582</v>
      </c>
      <c r="AP107" s="155">
        <f t="shared" si="177"/>
        <v>859414.0539023478</v>
      </c>
      <c r="AQ107" s="155">
        <f t="shared" si="177"/>
        <v>1072467.9701419501</v>
      </c>
      <c r="AR107" s="155">
        <f t="shared" si="177"/>
        <v>921553.94425373268</v>
      </c>
      <c r="AS107" s="155">
        <f t="shared" si="177"/>
        <v>1926637.4864988867</v>
      </c>
      <c r="AT107" s="155">
        <f t="shared" si="177"/>
        <v>1777062.1515103038</v>
      </c>
      <c r="AU107" s="155">
        <f t="shared" si="177"/>
        <v>1303139.6108730249</v>
      </c>
      <c r="AV107" s="155">
        <f t="shared" si="177"/>
        <v>1519806.5773289532</v>
      </c>
      <c r="AW107" s="155">
        <f t="shared" si="177"/>
        <v>961058.0467830688</v>
      </c>
      <c r="AX107" s="155">
        <f t="shared" si="177"/>
        <v>1631771.5552963817</v>
      </c>
      <c r="AY107" s="155">
        <f t="shared" si="177"/>
        <v>1365763.6405059891</v>
      </c>
      <c r="AZ107" s="155">
        <f t="shared" si="177"/>
        <v>435653.55107566091</v>
      </c>
      <c r="BA107" s="155">
        <f t="shared" si="177"/>
        <v>1414605.1456913089</v>
      </c>
      <c r="BB107" s="155">
        <f t="shared" si="177"/>
        <v>918908.45548225229</v>
      </c>
      <c r="BC107" s="155">
        <f t="shared" si="177"/>
        <v>1794256.4049968682</v>
      </c>
      <c r="BD107" s="155">
        <f t="shared" si="177"/>
        <v>1230765.4663300719</v>
      </c>
      <c r="BE107" s="155">
        <f t="shared" si="177"/>
        <v>719834.29932627711</v>
      </c>
      <c r="BF107" s="155">
        <f t="shared" si="177"/>
        <v>1636340.3610861469</v>
      </c>
      <c r="BG107" s="155">
        <f t="shared" si="177"/>
        <v>210389.92833250758</v>
      </c>
      <c r="BH107" s="155">
        <f t="shared" si="177"/>
        <v>843772.12238555413</v>
      </c>
      <c r="BI107" s="155">
        <f t="shared" si="177"/>
        <v>1543123.1579018969</v>
      </c>
      <c r="BJ107" s="155">
        <f t="shared" si="177"/>
        <v>867939.7198341327</v>
      </c>
      <c r="BK107" s="155">
        <f t="shared" si="177"/>
        <v>493735.63877912256</v>
      </c>
      <c r="BL107" s="155">
        <f t="shared" si="177"/>
        <v>793095.02411827852</v>
      </c>
      <c r="BM107" s="155">
        <f t="shared" si="177"/>
        <v>931478.77139352425</v>
      </c>
      <c r="BN107" s="155">
        <f t="shared" si="177"/>
        <v>1575245.1404879289</v>
      </c>
      <c r="BO107" s="155">
        <f t="shared" si="177"/>
        <v>295709.75337917538</v>
      </c>
      <c r="BP107" s="155">
        <f t="shared" si="177"/>
        <v>699176.58174966124</v>
      </c>
      <c r="BQ107" s="155">
        <f t="shared" si="177"/>
        <v>813219.15103335399</v>
      </c>
      <c r="BR107" s="155">
        <f t="shared" ref="BR107:CL107" si="178">SUM(BR7:BR92)</f>
        <v>657689.85540269071</v>
      </c>
      <c r="BS107" s="155">
        <f t="shared" si="178"/>
        <v>650311.41834891331</v>
      </c>
      <c r="BT107" s="155">
        <f t="shared" si="178"/>
        <v>1257343.4691447662</v>
      </c>
      <c r="BU107" s="155">
        <f t="shared" si="178"/>
        <v>707374.77173547051</v>
      </c>
      <c r="BV107" s="155">
        <f t="shared" si="178"/>
        <v>1860349.9601883858</v>
      </c>
      <c r="BW107" s="155">
        <f t="shared" si="178"/>
        <v>780891.32040184771</v>
      </c>
      <c r="BX107" s="155">
        <f t="shared" si="178"/>
        <v>1029931.445305227</v>
      </c>
      <c r="BY107" s="155">
        <f t="shared" si="178"/>
        <v>787844.67812754062</v>
      </c>
      <c r="BZ107" s="155">
        <f t="shared" si="178"/>
        <v>1058896.1672506791</v>
      </c>
      <c r="CA107" s="155">
        <f t="shared" si="178"/>
        <v>906437.33846224693</v>
      </c>
      <c r="CB107" s="155">
        <f t="shared" si="178"/>
        <v>967423.66385030793</v>
      </c>
      <c r="CC107" s="155">
        <f t="shared" si="178"/>
        <v>1307643.1097201582</v>
      </c>
      <c r="CD107" s="155">
        <f t="shared" si="178"/>
        <v>859414.0539023478</v>
      </c>
      <c r="CE107" s="155">
        <f t="shared" si="178"/>
        <v>1008536.7800773497</v>
      </c>
      <c r="CF107" s="155">
        <f t="shared" si="178"/>
        <v>469172.81053694512</v>
      </c>
      <c r="CG107" s="155">
        <f t="shared" si="178"/>
        <v>1514987.9642094674</v>
      </c>
      <c r="CH107" s="155">
        <f t="shared" si="178"/>
        <v>1408640.4782156493</v>
      </c>
      <c r="CI107" s="155">
        <f t="shared" si="178"/>
        <v>921553.94425373268</v>
      </c>
      <c r="CJ107" s="155">
        <f t="shared" si="178"/>
        <v>1589416.8323118358</v>
      </c>
      <c r="CK107" s="155">
        <f t="shared" si="178"/>
        <v>1072467.9701419501</v>
      </c>
      <c r="CL107" s="155">
        <f t="shared" si="178"/>
        <v>45209005.848806128</v>
      </c>
    </row>
    <row r="108" spans="1:90">
      <c r="A108" s="466"/>
      <c r="B108" s="71" t="s">
        <v>209</v>
      </c>
      <c r="C108" s="205"/>
      <c r="D108" s="466"/>
      <c r="F108" s="579"/>
      <c r="G108" s="579"/>
      <c r="H108" s="579"/>
      <c r="I108" s="579"/>
      <c r="J108" s="579"/>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90">
      <c r="A109" s="466"/>
      <c r="B109" s="73" t="s">
        <v>277</v>
      </c>
      <c r="C109" s="205"/>
      <c r="D109" s="466"/>
      <c r="F109" s="579"/>
      <c r="G109" s="579"/>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90">
      <c r="A110" s="466"/>
      <c r="B110" s="73" t="s">
        <v>205</v>
      </c>
      <c r="C110" s="205"/>
      <c r="D110" s="466"/>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579"/>
      <c r="AY110" s="579"/>
      <c r="AZ110" s="579"/>
      <c r="BA110" s="579"/>
      <c r="BB110" s="579"/>
      <c r="BC110" s="579"/>
      <c r="BD110" s="579"/>
      <c r="BE110" s="579"/>
      <c r="BF110" s="579"/>
      <c r="BG110" s="579"/>
      <c r="BH110" s="579"/>
      <c r="BI110" s="579"/>
      <c r="BJ110" s="579"/>
      <c r="BK110" s="579"/>
      <c r="BL110" s="579"/>
      <c r="BM110" s="579"/>
      <c r="BN110" s="579"/>
      <c r="BO110" s="579"/>
      <c r="BP110" s="579"/>
      <c r="BQ110" s="579"/>
      <c r="BR110" s="579"/>
      <c r="BS110" s="579"/>
      <c r="BT110" s="579"/>
      <c r="BU110" s="579"/>
      <c r="BV110" s="579"/>
      <c r="BW110" s="579"/>
      <c r="BX110" s="579"/>
      <c r="BY110" s="579"/>
      <c r="BZ110" s="579"/>
      <c r="CA110" s="579"/>
      <c r="CB110" s="579"/>
      <c r="CC110" s="579"/>
      <c r="CD110" s="579"/>
      <c r="CE110" s="579"/>
      <c r="CF110" s="579"/>
      <c r="CG110" s="579"/>
      <c r="CH110" s="579"/>
      <c r="CI110" s="579"/>
      <c r="CJ110" s="579"/>
      <c r="CK110" s="579"/>
      <c r="CL110" s="579"/>
    </row>
    <row r="111" spans="1:90">
      <c r="A111" s="466"/>
      <c r="B111" s="73" t="s">
        <v>206</v>
      </c>
      <c r="C111" s="205"/>
      <c r="D111" s="466"/>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579"/>
      <c r="AY111" s="579"/>
      <c r="AZ111" s="579"/>
      <c r="BA111" s="579"/>
      <c r="BB111" s="579"/>
      <c r="BC111" s="579"/>
      <c r="BD111" s="579"/>
      <c r="BE111" s="579"/>
      <c r="BF111" s="579"/>
      <c r="BG111" s="579"/>
      <c r="BH111" s="579"/>
      <c r="BI111" s="579"/>
      <c r="BJ111" s="579"/>
      <c r="BK111" s="579"/>
      <c r="BL111" s="579"/>
      <c r="BM111" s="579"/>
      <c r="BN111" s="579"/>
      <c r="BO111" s="579"/>
      <c r="BP111" s="579"/>
      <c r="BQ111" s="579"/>
      <c r="BR111" s="579"/>
      <c r="BS111" s="579"/>
      <c r="BT111" s="579"/>
      <c r="BU111" s="579"/>
      <c r="BV111" s="579"/>
      <c r="BW111" s="579"/>
      <c r="BX111" s="579"/>
      <c r="BY111" s="579"/>
      <c r="BZ111" s="579"/>
      <c r="CA111" s="579"/>
      <c r="CB111" s="579"/>
      <c r="CC111" s="579"/>
      <c r="CD111" s="579"/>
      <c r="CE111" s="579"/>
      <c r="CF111" s="579"/>
      <c r="CG111" s="579"/>
      <c r="CH111" s="579"/>
      <c r="CI111" s="579"/>
      <c r="CJ111" s="579"/>
      <c r="CK111" s="579"/>
      <c r="CL111" s="579"/>
    </row>
    <row r="112" spans="1:90">
      <c r="A112" s="466"/>
      <c r="B112" s="73" t="s">
        <v>286</v>
      </c>
      <c r="C112" s="205"/>
      <c r="D112" s="466"/>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c r="A113" s="466"/>
      <c r="B113" s="73" t="s">
        <v>78</v>
      </c>
      <c r="C113" s="205"/>
      <c r="D113" s="466"/>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c r="A114" s="466"/>
      <c r="B114" s="73" t="s">
        <v>207</v>
      </c>
      <c r="C114" s="205"/>
      <c r="D114" s="466"/>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c r="A115" s="466"/>
      <c r="B115" s="73" t="s">
        <v>211</v>
      </c>
      <c r="C115" s="205"/>
      <c r="D115" s="466"/>
      <c r="F115" s="579"/>
      <c r="G115" s="579"/>
      <c r="H115" s="579"/>
      <c r="I115" s="579"/>
      <c r="J115" s="579"/>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c r="A116" s="466"/>
      <c r="B116" s="528"/>
      <c r="C116" s="205"/>
      <c r="D116" s="466"/>
      <c r="F116" s="579"/>
      <c r="G116" s="579"/>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'2015'!AZ117+'2015'!BA117</f>
        <v>5400</v>
      </c>
      <c r="Q117" s="323">
        <f>'2015'!AU117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B118" s="331" t="s">
        <v>271</v>
      </c>
      <c r="C118" s="325">
        <v>2011</v>
      </c>
      <c r="D118" s="329" t="s">
        <v>285</v>
      </c>
      <c r="E118" s="459"/>
      <c r="F118" s="323">
        <v>699</v>
      </c>
      <c r="G118" s="324">
        <v>351</v>
      </c>
      <c r="H118" s="324">
        <v>548</v>
      </c>
      <c r="I118" s="323">
        <v>517</v>
      </c>
      <c r="J118" s="324"/>
      <c r="K118" s="323">
        <f>BF118</f>
        <v>83</v>
      </c>
      <c r="L118" s="324">
        <f>AY118</f>
        <v>52</v>
      </c>
      <c r="M118" s="324">
        <f>BD118</f>
        <v>62</v>
      </c>
      <c r="N118" s="324">
        <f>AW118</f>
        <v>32</v>
      </c>
      <c r="O118" s="324">
        <f>BE118</f>
        <v>31</v>
      </c>
      <c r="P118" s="423">
        <f>AZ118+BA118</f>
        <v>99</v>
      </c>
      <c r="Q118" s="323">
        <f>AU118</f>
        <v>25</v>
      </c>
      <c r="R118" s="423">
        <f>AT118+AX118</f>
        <v>85</v>
      </c>
      <c r="S118" s="324">
        <f>AV118</f>
        <v>32</v>
      </c>
      <c r="T118" s="324">
        <f>BB118</f>
        <v>75</v>
      </c>
      <c r="U118" s="323">
        <f>BC118</f>
        <v>123</v>
      </c>
      <c r="V118" s="423">
        <f>BG118+BJ118</f>
        <v>47</v>
      </c>
      <c r="W118" s="324">
        <f>BR118</f>
        <v>28</v>
      </c>
      <c r="X118" s="423">
        <f>BH118+BI118</f>
        <v>66</v>
      </c>
      <c r="Y118" s="423">
        <f>BK118+BL118+BN118</f>
        <v>85</v>
      </c>
      <c r="Z118" s="324">
        <f>BM118</f>
        <v>60</v>
      </c>
      <c r="AA118" s="423">
        <f>BO118+BQ118</f>
        <v>33</v>
      </c>
      <c r="AB118" s="323">
        <f>BP118</f>
        <v>31</v>
      </c>
      <c r="AC118" s="324">
        <f>BX118</f>
        <v>42</v>
      </c>
      <c r="AD118" s="324">
        <f>BU118</f>
        <v>46</v>
      </c>
      <c r="AE118" s="423">
        <f>BS118+BT118</f>
        <v>128</v>
      </c>
      <c r="AF118" s="324">
        <f>CA118</f>
        <v>44</v>
      </c>
      <c r="AG118" s="324">
        <f>BV118</f>
        <v>126</v>
      </c>
      <c r="AH118" s="324">
        <f>BZ118</f>
        <v>66</v>
      </c>
      <c r="AI118" s="324">
        <f>BW118</f>
        <v>34</v>
      </c>
      <c r="AJ118" s="324">
        <f>BY118</f>
        <v>23</v>
      </c>
      <c r="AK118" s="323">
        <f>CB118</f>
        <v>39</v>
      </c>
      <c r="AL118" s="324">
        <f>CE118</f>
        <v>29</v>
      </c>
      <c r="AM118" s="324">
        <f>CH118</f>
        <v>96</v>
      </c>
      <c r="AN118" s="324">
        <f>CJ118</f>
        <v>120</v>
      </c>
      <c r="AO118" s="324">
        <f>CC118</f>
        <v>38</v>
      </c>
      <c r="AP118" s="324">
        <f>CD118</f>
        <v>18</v>
      </c>
      <c r="AQ118" s="324">
        <f>CK118</f>
        <v>59</v>
      </c>
      <c r="AR118" s="324">
        <f>CI118</f>
        <v>69</v>
      </c>
      <c r="AS118" s="423">
        <f>CF118+CG118</f>
        <v>88</v>
      </c>
      <c r="AT118" s="324">
        <v>22</v>
      </c>
      <c r="AU118" s="324">
        <v>25</v>
      </c>
      <c r="AV118" s="324">
        <v>32</v>
      </c>
      <c r="AW118" s="324">
        <v>32</v>
      </c>
      <c r="AX118" s="324">
        <v>63</v>
      </c>
      <c r="AY118" s="324">
        <v>52</v>
      </c>
      <c r="AZ118" s="324">
        <v>13</v>
      </c>
      <c r="BA118" s="324">
        <v>86</v>
      </c>
      <c r="BB118" s="324">
        <v>75</v>
      </c>
      <c r="BC118" s="324">
        <v>123</v>
      </c>
      <c r="BD118" s="324">
        <v>62</v>
      </c>
      <c r="BE118" s="324">
        <v>31</v>
      </c>
      <c r="BF118" s="323">
        <v>83</v>
      </c>
      <c r="BG118" s="324">
        <v>12</v>
      </c>
      <c r="BH118" s="324">
        <v>12</v>
      </c>
      <c r="BI118" s="324">
        <v>54</v>
      </c>
      <c r="BJ118" s="324">
        <v>35</v>
      </c>
      <c r="BK118" s="324">
        <v>12</v>
      </c>
      <c r="BL118" s="324">
        <v>5</v>
      </c>
      <c r="BM118" s="324">
        <v>60</v>
      </c>
      <c r="BN118" s="324">
        <v>68</v>
      </c>
      <c r="BO118" s="324">
        <v>9</v>
      </c>
      <c r="BP118" s="324">
        <v>31</v>
      </c>
      <c r="BQ118" s="324">
        <v>24</v>
      </c>
      <c r="BR118" s="323">
        <v>28</v>
      </c>
      <c r="BS118" s="324">
        <v>19</v>
      </c>
      <c r="BT118" s="324">
        <v>109</v>
      </c>
      <c r="BU118" s="324">
        <v>46</v>
      </c>
      <c r="BV118" s="324">
        <v>126</v>
      </c>
      <c r="BW118" s="324">
        <v>34</v>
      </c>
      <c r="BX118" s="324">
        <v>42</v>
      </c>
      <c r="BY118" s="324">
        <v>23</v>
      </c>
      <c r="BZ118" s="324">
        <v>66</v>
      </c>
      <c r="CA118" s="324">
        <v>44</v>
      </c>
      <c r="CB118" s="323">
        <v>39</v>
      </c>
      <c r="CC118" s="324">
        <v>38</v>
      </c>
      <c r="CD118" s="324">
        <v>18</v>
      </c>
      <c r="CE118" s="324">
        <v>29</v>
      </c>
      <c r="CF118" s="324">
        <v>9</v>
      </c>
      <c r="CG118" s="324">
        <v>79</v>
      </c>
      <c r="CH118" s="324">
        <v>96</v>
      </c>
      <c r="CI118" s="324">
        <v>69</v>
      </c>
      <c r="CJ118" s="324">
        <v>120</v>
      </c>
      <c r="CK118" s="323">
        <v>59</v>
      </c>
      <c r="CL118" s="323">
        <v>2115</v>
      </c>
    </row>
    <row r="119" spans="1:90" s="69" customFormat="1" ht="11.25">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c r="B123" s="328" t="s">
        <v>235</v>
      </c>
      <c r="C123" s="322">
        <v>2013</v>
      </c>
      <c r="D123" s="69" t="s">
        <v>13</v>
      </c>
      <c r="E123" s="458">
        <v>42024</v>
      </c>
      <c r="F123" s="466">
        <v>3770</v>
      </c>
      <c r="G123" s="466">
        <v>1238</v>
      </c>
      <c r="H123" s="466">
        <v>4743</v>
      </c>
      <c r="I123" s="466">
        <v>4385</v>
      </c>
      <c r="J123" s="323"/>
      <c r="K123" s="323">
        <f>BF123</f>
        <v>867</v>
      </c>
      <c r="L123" s="323">
        <f>AY123</f>
        <v>354</v>
      </c>
      <c r="M123" s="323">
        <f>BD123</f>
        <v>273</v>
      </c>
      <c r="N123" s="323">
        <f>AW123</f>
        <v>340</v>
      </c>
      <c r="O123" s="323">
        <f>BE123</f>
        <v>204</v>
      </c>
      <c r="P123" s="323">
        <f>'2015'!BA123</f>
        <v>179</v>
      </c>
      <c r="Q123" s="323">
        <f>'2015'!AU123</f>
        <v>110</v>
      </c>
      <c r="R123" s="323">
        <f>AX123</f>
        <v>140</v>
      </c>
      <c r="S123" s="323">
        <f>AV123</f>
        <v>174</v>
      </c>
      <c r="T123" s="323">
        <f>BB123</f>
        <v>282</v>
      </c>
      <c r="U123" s="323">
        <f>BC123</f>
        <v>824</v>
      </c>
      <c r="V123" s="323">
        <f>BJ123</f>
        <v>93</v>
      </c>
      <c r="W123" s="323">
        <f>BR123</f>
        <v>198</v>
      </c>
      <c r="X123" s="323">
        <f>BI123</f>
        <v>110</v>
      </c>
      <c r="Y123" s="323">
        <f>BN123</f>
        <v>151</v>
      </c>
      <c r="Z123" s="323">
        <f>BM123</f>
        <v>283</v>
      </c>
      <c r="AA123" s="323">
        <f>BQ123</f>
        <v>148</v>
      </c>
      <c r="AB123" s="323">
        <f>BP123</f>
        <v>217</v>
      </c>
      <c r="AC123" s="323">
        <f>BX123</f>
        <v>602</v>
      </c>
      <c r="AD123" s="323">
        <f>BU123</f>
        <v>464</v>
      </c>
      <c r="AE123" s="323">
        <f>BT123</f>
        <v>799</v>
      </c>
      <c r="AF123" s="323">
        <f>CA123</f>
        <v>465</v>
      </c>
      <c r="AG123" s="323">
        <f>BV123</f>
        <v>920</v>
      </c>
      <c r="AH123" s="323">
        <f>BZ123</f>
        <v>284</v>
      </c>
      <c r="AI123" s="323">
        <f>BW123</f>
        <v>369</v>
      </c>
      <c r="AJ123" s="323">
        <f>BY123</f>
        <v>169</v>
      </c>
      <c r="AK123" s="323">
        <f>CB123</f>
        <v>652</v>
      </c>
      <c r="AL123" s="323">
        <f>CE123</f>
        <v>181</v>
      </c>
      <c r="AM123" s="323">
        <f>CH123</f>
        <v>871</v>
      </c>
      <c r="AN123" s="323">
        <f>CJ123</f>
        <v>1605</v>
      </c>
      <c r="AO123" s="323">
        <f>CC123</f>
        <v>285</v>
      </c>
      <c r="AP123" s="323">
        <f>CD123</f>
        <v>88</v>
      </c>
      <c r="AQ123" s="323">
        <f>CK123</f>
        <v>437</v>
      </c>
      <c r="AR123" s="323">
        <f>CI123</f>
        <v>341</v>
      </c>
      <c r="AS123" s="323">
        <f>CG123</f>
        <v>559</v>
      </c>
      <c r="AT123" s="466">
        <v>18</v>
      </c>
      <c r="AU123" s="466">
        <v>110</v>
      </c>
      <c r="AV123" s="466">
        <v>174</v>
      </c>
      <c r="AW123" s="466">
        <v>340</v>
      </c>
      <c r="AX123" s="466">
        <v>140</v>
      </c>
      <c r="AY123" s="466">
        <v>354</v>
      </c>
      <c r="AZ123" s="466">
        <v>5</v>
      </c>
      <c r="BA123" s="466">
        <v>179</v>
      </c>
      <c r="BB123" s="466">
        <v>282</v>
      </c>
      <c r="BC123" s="466">
        <v>824</v>
      </c>
      <c r="BD123" s="466">
        <v>273</v>
      </c>
      <c r="BE123" s="466">
        <v>204</v>
      </c>
      <c r="BF123" s="466">
        <v>867</v>
      </c>
      <c r="BG123" s="466">
        <v>7</v>
      </c>
      <c r="BH123" s="466">
        <v>11</v>
      </c>
      <c r="BI123" s="466">
        <v>110</v>
      </c>
      <c r="BJ123" s="466">
        <v>93</v>
      </c>
      <c r="BK123" s="466">
        <v>8</v>
      </c>
      <c r="BL123" s="466">
        <v>8</v>
      </c>
      <c r="BM123" s="466">
        <v>283</v>
      </c>
      <c r="BN123" s="466">
        <v>151</v>
      </c>
      <c r="BO123" s="466">
        <v>4</v>
      </c>
      <c r="BP123" s="466">
        <v>217</v>
      </c>
      <c r="BQ123" s="466">
        <v>148</v>
      </c>
      <c r="BR123" s="466">
        <v>198</v>
      </c>
      <c r="BS123" s="466">
        <v>19</v>
      </c>
      <c r="BT123" s="466">
        <v>799</v>
      </c>
      <c r="BU123" s="466">
        <v>464</v>
      </c>
      <c r="BV123" s="466">
        <v>920</v>
      </c>
      <c r="BW123" s="466">
        <v>369</v>
      </c>
      <c r="BX123" s="466">
        <v>602</v>
      </c>
      <c r="BY123" s="466">
        <v>169</v>
      </c>
      <c r="BZ123" s="466">
        <v>284</v>
      </c>
      <c r="CA123" s="466">
        <v>465</v>
      </c>
      <c r="CB123" s="466">
        <v>652</v>
      </c>
      <c r="CC123" s="466">
        <v>285</v>
      </c>
      <c r="CD123" s="466">
        <v>88</v>
      </c>
      <c r="CE123" s="466">
        <v>181</v>
      </c>
      <c r="CF123" s="466">
        <v>18</v>
      </c>
      <c r="CG123" s="466">
        <v>559</v>
      </c>
      <c r="CH123" s="466">
        <v>871</v>
      </c>
      <c r="CI123" s="466">
        <v>341</v>
      </c>
      <c r="CJ123" s="466">
        <v>1605</v>
      </c>
      <c r="CK123" s="466">
        <v>437</v>
      </c>
      <c r="CL123" s="466">
        <v>14136</v>
      </c>
    </row>
    <row r="124" spans="1:90" s="69" customFormat="1" ht="11.25">
      <c r="B124" s="328" t="s">
        <v>236</v>
      </c>
      <c r="C124" s="322">
        <v>2010</v>
      </c>
      <c r="D124" s="69" t="s">
        <v>13</v>
      </c>
      <c r="E124" s="460">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c r="B125" s="328" t="s">
        <v>237</v>
      </c>
      <c r="C125" s="322">
        <v>2010</v>
      </c>
      <c r="D125" s="69" t="s">
        <v>13</v>
      </c>
      <c r="E125" s="460">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'2015'!AZ126+'2015'!BA126</f>
        <v>6973</v>
      </c>
      <c r="Q126" s="323">
        <f>'2015'!AU126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c r="B127" s="328"/>
      <c r="C127" s="322"/>
      <c r="E127" s="460"/>
      <c r="F127" s="323">
        <f>F126/F35%</f>
        <v>62.946649616588516</v>
      </c>
      <c r="G127" s="323">
        <f>G126/G35%</f>
        <v>42.470501767907514</v>
      </c>
      <c r="H127" s="323">
        <f>H126/H35%</f>
        <v>49.633486139083601</v>
      </c>
      <c r="I127" s="323">
        <f>I126/I35%</f>
        <v>52.657707056925538</v>
      </c>
      <c r="J127" s="323"/>
      <c r="K127" s="323">
        <f t="shared" ref="K127:BV127" si="179">K126/K35%</f>
        <v>99.268413400563006</v>
      </c>
      <c r="L127" s="323">
        <f t="shared" si="179"/>
        <v>69.175556950109822</v>
      </c>
      <c r="M127" s="323">
        <f t="shared" si="179"/>
        <v>70.264233018840187</v>
      </c>
      <c r="N127" s="323">
        <f t="shared" si="179"/>
        <v>73.910260968498903</v>
      </c>
      <c r="O127" s="323">
        <f t="shared" si="179"/>
        <v>59.728904161893858</v>
      </c>
      <c r="P127" s="323">
        <f t="shared" si="179"/>
        <v>12.006474163610379</v>
      </c>
      <c r="Q127" s="323">
        <f t="shared" si="179"/>
        <v>48.340738054220687</v>
      </c>
      <c r="R127" s="323">
        <f t="shared" si="179"/>
        <v>1.4480629993942364</v>
      </c>
      <c r="S127" s="323">
        <f t="shared" si="179"/>
        <v>56.736107573982579</v>
      </c>
      <c r="T127" s="323">
        <f t="shared" si="179"/>
        <v>56.536082474226802</v>
      </c>
      <c r="U127" s="323">
        <f t="shared" si="179"/>
        <v>96.604796772461142</v>
      </c>
      <c r="V127" s="323">
        <f t="shared" si="179"/>
        <v>33.655705996131523</v>
      </c>
      <c r="W127" s="323">
        <f t="shared" si="179"/>
        <v>82.393993866976842</v>
      </c>
      <c r="X127" s="323">
        <f t="shared" si="179"/>
        <v>6.5866613218419605</v>
      </c>
      <c r="Y127" s="323">
        <f t="shared" si="179"/>
        <v>15.782338366602778</v>
      </c>
      <c r="Z127" s="323">
        <f t="shared" si="179"/>
        <v>70.176802020594522</v>
      </c>
      <c r="AA127" s="323">
        <f t="shared" si="179"/>
        <v>45.946616392141294</v>
      </c>
      <c r="AB127" s="323">
        <f t="shared" si="179"/>
        <v>77.637375376767906</v>
      </c>
      <c r="AC127" s="323">
        <f t="shared" si="179"/>
        <v>64.570295397769698</v>
      </c>
      <c r="AD127" s="323">
        <f t="shared" si="179"/>
        <v>35.691548980049312</v>
      </c>
      <c r="AE127" s="323">
        <f t="shared" si="179"/>
        <v>11.176741331696839</v>
      </c>
      <c r="AF127" s="323">
        <f t="shared" si="179"/>
        <v>28.987385519267324</v>
      </c>
      <c r="AG127" s="323">
        <f t="shared" si="179"/>
        <v>34.136936936936934</v>
      </c>
      <c r="AH127" s="323">
        <f t="shared" si="179"/>
        <v>65.443470509582525</v>
      </c>
      <c r="AI127" s="323">
        <f t="shared" si="179"/>
        <v>96.268235137739666</v>
      </c>
      <c r="AJ127" s="323">
        <f t="shared" si="179"/>
        <v>62.795876288659791</v>
      </c>
      <c r="AK127" s="323">
        <f t="shared" si="179"/>
        <v>71.009805967035263</v>
      </c>
      <c r="AL127" s="323">
        <f t="shared" si="179"/>
        <v>61.481306757872389</v>
      </c>
      <c r="AM127" s="323">
        <f t="shared" si="179"/>
        <v>19.664098936225958</v>
      </c>
      <c r="AN127" s="323">
        <f t="shared" si="179"/>
        <v>58.441588568247198</v>
      </c>
      <c r="AO127" s="323">
        <f t="shared" si="179"/>
        <v>101.09655802619555</v>
      </c>
      <c r="AP127" s="323">
        <f t="shared" si="179"/>
        <v>60.687801721992734</v>
      </c>
      <c r="AQ127" s="323">
        <f t="shared" si="179"/>
        <v>72.345774156849785</v>
      </c>
      <c r="AR127" s="323">
        <f t="shared" si="179"/>
        <v>23.502097064110245</v>
      </c>
      <c r="AS127" s="323">
        <f t="shared" si="179"/>
        <v>44.937183216676615</v>
      </c>
      <c r="AT127" s="323">
        <f t="shared" si="179"/>
        <v>11.155537784886045</v>
      </c>
      <c r="AU127" s="323">
        <f t="shared" si="179"/>
        <v>48.340738054220687</v>
      </c>
      <c r="AV127" s="323">
        <f t="shared" si="179"/>
        <v>56.736107573982579</v>
      </c>
      <c r="AW127" s="323">
        <f t="shared" si="179"/>
        <v>73.910260968498903</v>
      </c>
      <c r="AX127" s="323">
        <f t="shared" si="179"/>
        <v>0.69327861717341288</v>
      </c>
      <c r="AY127" s="323">
        <f t="shared" si="179"/>
        <v>69.175556950109822</v>
      </c>
      <c r="AZ127" s="323">
        <f t="shared" si="179"/>
        <v>0</v>
      </c>
      <c r="BA127" s="323">
        <f t="shared" si="179"/>
        <v>12.93788036217901</v>
      </c>
      <c r="BB127" s="323">
        <f t="shared" si="179"/>
        <v>56.536082474226802</v>
      </c>
      <c r="BC127" s="323">
        <f t="shared" si="179"/>
        <v>96.604796772461142</v>
      </c>
      <c r="BD127" s="323">
        <f t="shared" si="179"/>
        <v>70.264233018840187</v>
      </c>
      <c r="BE127" s="323">
        <f t="shared" si="179"/>
        <v>59.728904161893858</v>
      </c>
      <c r="BF127" s="323">
        <f t="shared" si="179"/>
        <v>99.268413400563006</v>
      </c>
      <c r="BG127" s="323">
        <f t="shared" si="179"/>
        <v>118.58932102834542</v>
      </c>
      <c r="BH127" s="323">
        <f t="shared" si="179"/>
        <v>0</v>
      </c>
      <c r="BI127" s="323">
        <f t="shared" si="179"/>
        <v>7.0301636538667243</v>
      </c>
      <c r="BJ127" s="323">
        <f t="shared" si="179"/>
        <v>24.776016540317023</v>
      </c>
      <c r="BK127" s="323">
        <f t="shared" si="179"/>
        <v>112.88913162206445</v>
      </c>
      <c r="BL127" s="323">
        <f t="shared" si="179"/>
        <v>0</v>
      </c>
      <c r="BM127" s="323">
        <f t="shared" si="179"/>
        <v>70.176802020594522</v>
      </c>
      <c r="BN127" s="323">
        <f t="shared" si="179"/>
        <v>12.29755623802399</v>
      </c>
      <c r="BO127" s="323">
        <f t="shared" si="179"/>
        <v>27.576054955839059</v>
      </c>
      <c r="BP127" s="323">
        <f t="shared" si="179"/>
        <v>77.637375376767906</v>
      </c>
      <c r="BQ127" s="323">
        <f t="shared" si="179"/>
        <v>46.924805350890942</v>
      </c>
      <c r="BR127" s="323">
        <f t="shared" si="179"/>
        <v>82.393993866976842</v>
      </c>
      <c r="BS127" s="323">
        <f t="shared" si="179"/>
        <v>6.0940220545560067</v>
      </c>
      <c r="BT127" s="323">
        <f t="shared" si="179"/>
        <v>11.536408066039673</v>
      </c>
      <c r="BU127" s="323">
        <f t="shared" si="179"/>
        <v>35.691548980049312</v>
      </c>
      <c r="BV127" s="323">
        <f t="shared" si="179"/>
        <v>34.136936936936934</v>
      </c>
      <c r="BW127" s="323">
        <f t="shared" ref="BW127:CL127" si="180">BW126/BW35%</f>
        <v>96.268235137739666</v>
      </c>
      <c r="BX127" s="323">
        <f t="shared" si="180"/>
        <v>64.570295397769698</v>
      </c>
      <c r="BY127" s="323">
        <f t="shared" si="180"/>
        <v>62.795876288659791</v>
      </c>
      <c r="BZ127" s="323">
        <f t="shared" si="180"/>
        <v>65.443470509582525</v>
      </c>
      <c r="CA127" s="323">
        <f t="shared" si="180"/>
        <v>28.987385519267324</v>
      </c>
      <c r="CB127" s="323">
        <f t="shared" si="180"/>
        <v>71.009805967035263</v>
      </c>
      <c r="CC127" s="323">
        <f t="shared" si="180"/>
        <v>101.09655802619555</v>
      </c>
      <c r="CD127" s="323">
        <f t="shared" si="180"/>
        <v>60.687801721992734</v>
      </c>
      <c r="CE127" s="323">
        <f t="shared" si="180"/>
        <v>61.481306757872389</v>
      </c>
      <c r="CF127" s="323">
        <f t="shared" si="180"/>
        <v>29.761397528760121</v>
      </c>
      <c r="CG127" s="323">
        <f t="shared" si="180"/>
        <v>45.89946911262107</v>
      </c>
      <c r="CH127" s="323">
        <f t="shared" si="180"/>
        <v>19.664098936225958</v>
      </c>
      <c r="CI127" s="323">
        <f t="shared" si="180"/>
        <v>23.502097064110245</v>
      </c>
      <c r="CJ127" s="323">
        <f t="shared" si="180"/>
        <v>58.441588568247198</v>
      </c>
      <c r="CK127" s="323">
        <f t="shared" si="180"/>
        <v>72.345774156849785</v>
      </c>
      <c r="CL127" s="323">
        <f t="shared" si="180"/>
        <v>53.909820509110716</v>
      </c>
    </row>
    <row r="128" spans="1:90"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1:90">
      <c r="A129" s="466"/>
      <c r="B129" s="528"/>
      <c r="C129" s="205"/>
      <c r="D129" s="466"/>
      <c r="F129" s="579"/>
      <c r="G129" s="579"/>
      <c r="H129" s="579"/>
      <c r="I129" s="579"/>
      <c r="J129" s="579"/>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1:90">
      <c r="A130" s="466"/>
      <c r="B130" s="528" t="s">
        <v>290</v>
      </c>
      <c r="C130" s="205"/>
      <c r="D130" s="466" t="s">
        <v>7</v>
      </c>
      <c r="E130" s="457">
        <v>42024</v>
      </c>
      <c r="F130" s="579">
        <v>16888</v>
      </c>
      <c r="G130" s="579">
        <v>7358</v>
      </c>
      <c r="H130" s="579">
        <v>22942</v>
      </c>
      <c r="I130" s="579">
        <v>14975</v>
      </c>
      <c r="J130" s="579"/>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M131"/>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457" bestFit="1" customWidth="1"/>
    <col min="6" max="89" width="11.42578125" style="126" customWidth="1"/>
    <col min="90" max="90" width="17.85546875" style="126" bestFit="1" customWidth="1"/>
  </cols>
  <sheetData>
    <row r="1" spans="1:91" ht="13.5" thickBot="1">
      <c r="B1" s="70" t="s">
        <v>187</v>
      </c>
      <c r="E1" s="449"/>
    </row>
    <row r="2" spans="1:91">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3"/>
      <c r="E5" s="446"/>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2014</v>
      </c>
      <c r="D7" s="259" t="s">
        <v>1</v>
      </c>
      <c r="E7" s="447">
        <v>42178</v>
      </c>
      <c r="F7" s="116">
        <v>1055764</v>
      </c>
      <c r="G7" s="137">
        <v>691898</v>
      </c>
      <c r="H7" s="137">
        <v>935700</v>
      </c>
      <c r="I7" s="138">
        <v>891769</v>
      </c>
      <c r="J7" s="137"/>
      <c r="K7" s="116">
        <f t="shared" ref="K7:K20" si="0">BF7</f>
        <v>151157</v>
      </c>
      <c r="L7" s="137">
        <f t="shared" ref="L7:L20" si="1">AY7</f>
        <v>85814</v>
      </c>
      <c r="M7" s="137">
        <f t="shared" ref="M7:M20" si="2">BD7</f>
        <v>130441</v>
      </c>
      <c r="N7" s="137">
        <f t="shared" ref="N7:N20" si="3">AW7</f>
        <v>64236</v>
      </c>
      <c r="O7" s="137">
        <f t="shared" ref="O7:O20" si="4">BE7</f>
        <v>62712</v>
      </c>
      <c r="P7" s="137">
        <f>'2014'!AZ7+'2014'!BA7</f>
        <v>119981</v>
      </c>
      <c r="Q7" s="137">
        <f>'2014'!AU7</f>
        <v>61782</v>
      </c>
      <c r="R7" s="137">
        <f>AT7+AX7</f>
        <v>89417</v>
      </c>
      <c r="S7" s="137">
        <f t="shared" ref="S7:S20" si="5">AV7</f>
        <v>64148</v>
      </c>
      <c r="T7" s="137">
        <f t="shared" ref="T7:U20" si="6">BB7</f>
        <v>77676</v>
      </c>
      <c r="U7" s="139">
        <f t="shared" si="6"/>
        <v>148400</v>
      </c>
      <c r="V7" s="137">
        <f t="shared" ref="V7:V13" si="7">BG7+BJ7</f>
        <v>87896</v>
      </c>
      <c r="W7" s="137">
        <f t="shared" ref="W7:W20" si="8">BR7</f>
        <v>87067</v>
      </c>
      <c r="X7" s="137">
        <f t="shared" ref="X7:X13" si="9">BH7+BI7</f>
        <v>125840</v>
      </c>
      <c r="Y7" s="137">
        <f t="shared" ref="Y7:Y13" si="10">BK7+BL7+BN7</f>
        <v>131550</v>
      </c>
      <c r="Z7" s="137">
        <f t="shared" ref="Z7:Z20" si="11">BM7</f>
        <v>112625</v>
      </c>
      <c r="AA7" s="137">
        <f t="shared" ref="AA7:AA13" si="12">BO7+BQ7</f>
        <v>67169</v>
      </c>
      <c r="AB7" s="139">
        <f t="shared" ref="AB7:AB20" si="13">BP7</f>
        <v>79751</v>
      </c>
      <c r="AC7" s="137">
        <f t="shared" ref="AC7:AC20" si="14">BX7</f>
        <v>102526</v>
      </c>
      <c r="AD7" s="137">
        <f t="shared" ref="AD7:AD20" si="15">BU7</f>
        <v>67988</v>
      </c>
      <c r="AE7" s="137">
        <f t="shared" ref="AE7:AE13" si="16">BS7+BT7</f>
        <v>153140</v>
      </c>
      <c r="AF7" s="137">
        <f t="shared" ref="AF7:AF20" si="17">CA7</f>
        <v>80677</v>
      </c>
      <c r="AG7" s="137">
        <f t="shared" ref="AG7:AG20" si="18">BV7</f>
        <v>186078</v>
      </c>
      <c r="AH7" s="137">
        <f t="shared" ref="AH7:AH20" si="19">BZ7</f>
        <v>81797</v>
      </c>
      <c r="AI7" s="137">
        <f t="shared" ref="AI7:AI20" si="20">BW7</f>
        <v>76943</v>
      </c>
      <c r="AJ7" s="137">
        <f t="shared" ref="AJ7:AJ20" si="21">BY7</f>
        <v>73435</v>
      </c>
      <c r="AK7" s="139">
        <f t="shared" ref="AK7:AK20" si="22">CB7</f>
        <v>113115</v>
      </c>
      <c r="AL7" s="137">
        <f t="shared" ref="AL7:AL20" si="23">CE7</f>
        <v>91771</v>
      </c>
      <c r="AM7" s="137">
        <f t="shared" ref="AM7:AM20" si="24">CH7</f>
        <v>140975</v>
      </c>
      <c r="AN7" s="137">
        <f t="shared" ref="AN7:AN20" si="25">CJ7</f>
        <v>163182</v>
      </c>
      <c r="AO7" s="137">
        <f t="shared" ref="AO7:AP20" si="26">CC7</f>
        <v>109272</v>
      </c>
      <c r="AP7" s="137">
        <f t="shared" si="26"/>
        <v>51919</v>
      </c>
      <c r="AQ7" s="137">
        <f t="shared" ref="AQ7:AQ20" si="27">CK7</f>
        <v>120434</v>
      </c>
      <c r="AR7" s="137">
        <f t="shared" ref="AR7:AR20" si="28">CI7</f>
        <v>66480</v>
      </c>
      <c r="AS7" s="138">
        <f t="shared" ref="AS7:AS13" si="29">CF7+CG7</f>
        <v>147736</v>
      </c>
      <c r="AT7" s="137">
        <v>20735</v>
      </c>
      <c r="AU7" s="137">
        <v>61782</v>
      </c>
      <c r="AV7" s="137">
        <v>64148</v>
      </c>
      <c r="AW7" s="137">
        <v>64236</v>
      </c>
      <c r="AX7" s="137">
        <v>68682</v>
      </c>
      <c r="AY7" s="137">
        <v>85814</v>
      </c>
      <c r="AZ7" s="137">
        <v>9988</v>
      </c>
      <c r="BA7" s="137">
        <v>109993</v>
      </c>
      <c r="BB7" s="137">
        <v>77676</v>
      </c>
      <c r="BC7" s="137">
        <v>148400</v>
      </c>
      <c r="BD7" s="137">
        <v>130441</v>
      </c>
      <c r="BE7" s="137">
        <v>62712</v>
      </c>
      <c r="BF7" s="139">
        <v>151157</v>
      </c>
      <c r="BG7" s="137">
        <v>14021</v>
      </c>
      <c r="BH7" s="137">
        <v>17346</v>
      </c>
      <c r="BI7" s="137">
        <v>108494</v>
      </c>
      <c r="BJ7" s="137">
        <v>73875</v>
      </c>
      <c r="BK7" s="137">
        <v>10883</v>
      </c>
      <c r="BL7" s="137">
        <v>14496</v>
      </c>
      <c r="BM7" s="137">
        <v>112625</v>
      </c>
      <c r="BN7" s="137">
        <v>106171</v>
      </c>
      <c r="BO7" s="137">
        <v>9800</v>
      </c>
      <c r="BP7" s="137">
        <v>79751</v>
      </c>
      <c r="BQ7" s="137">
        <v>57369</v>
      </c>
      <c r="BR7" s="139">
        <v>87067</v>
      </c>
      <c r="BS7" s="137">
        <v>15306</v>
      </c>
      <c r="BT7" s="137">
        <v>137834</v>
      </c>
      <c r="BU7" s="137">
        <v>67988</v>
      </c>
      <c r="BV7" s="137">
        <v>186078</v>
      </c>
      <c r="BW7" s="137">
        <v>76943</v>
      </c>
      <c r="BX7" s="137">
        <v>102526</v>
      </c>
      <c r="BY7" s="137">
        <v>73435</v>
      </c>
      <c r="BZ7" s="137">
        <v>81797</v>
      </c>
      <c r="CA7" s="137">
        <v>80677</v>
      </c>
      <c r="CB7" s="139">
        <v>113115</v>
      </c>
      <c r="CC7" s="137">
        <v>109272</v>
      </c>
      <c r="CD7" s="137">
        <v>51919</v>
      </c>
      <c r="CE7" s="137">
        <v>91771</v>
      </c>
      <c r="CF7" s="137">
        <v>11869</v>
      </c>
      <c r="CG7" s="141">
        <v>135867</v>
      </c>
      <c r="CH7" s="137">
        <v>140975</v>
      </c>
      <c r="CI7" s="137">
        <v>66480</v>
      </c>
      <c r="CJ7" s="137">
        <v>163182</v>
      </c>
      <c r="CK7" s="138">
        <v>120434</v>
      </c>
      <c r="CL7" s="433">
        <v>3575132</v>
      </c>
      <c r="CM7" s="422"/>
    </row>
    <row r="8" spans="1:91" ht="14.25">
      <c r="A8" s="80">
        <f>ROWS($A$3:A6)</f>
        <v>4</v>
      </c>
      <c r="B8" s="92" t="s">
        <v>242</v>
      </c>
      <c r="C8" s="203"/>
      <c r="D8" s="259" t="s">
        <v>1</v>
      </c>
      <c r="E8" s="451"/>
      <c r="F8" s="116">
        <v>174451</v>
      </c>
      <c r="G8" s="137">
        <v>114258</v>
      </c>
      <c r="H8" s="137">
        <v>113574</v>
      </c>
      <c r="I8" s="138">
        <v>110662</v>
      </c>
      <c r="J8" s="137"/>
      <c r="K8" s="116">
        <f t="shared" si="0"/>
        <v>19427</v>
      </c>
      <c r="L8" s="137">
        <f t="shared" si="1"/>
        <v>15089</v>
      </c>
      <c r="M8" s="137">
        <f t="shared" si="2"/>
        <v>14143</v>
      </c>
      <c r="N8" s="137">
        <f t="shared" si="3"/>
        <v>10599</v>
      </c>
      <c r="O8" s="137">
        <f t="shared" si="4"/>
        <v>7876</v>
      </c>
      <c r="P8" s="137">
        <f>'2014'!AZ8+'2014'!BA8</f>
        <v>22720</v>
      </c>
      <c r="Q8" s="137">
        <f>'2014'!AU8</f>
        <v>13948</v>
      </c>
      <c r="R8" s="137">
        <f>AT8+AX8</f>
        <v>27352</v>
      </c>
      <c r="S8" s="137">
        <f t="shared" si="5"/>
        <v>15827</v>
      </c>
      <c r="T8" s="137">
        <f t="shared" si="6"/>
        <v>10139</v>
      </c>
      <c r="U8" s="139">
        <f t="shared" si="6"/>
        <v>17332</v>
      </c>
      <c r="V8" s="137">
        <f t="shared" si="7"/>
        <v>12497</v>
      </c>
      <c r="W8" s="137">
        <f t="shared" si="8"/>
        <v>8403</v>
      </c>
      <c r="X8" s="137">
        <f t="shared" si="9"/>
        <v>27638</v>
      </c>
      <c r="Y8" s="137">
        <f t="shared" si="10"/>
        <v>32519</v>
      </c>
      <c r="Z8" s="137">
        <f t="shared" si="11"/>
        <v>12023</v>
      </c>
      <c r="AA8" s="137">
        <f t="shared" si="12"/>
        <v>12261</v>
      </c>
      <c r="AB8" s="139">
        <f t="shared" si="13"/>
        <v>8918</v>
      </c>
      <c r="AC8" s="137">
        <f t="shared" si="14"/>
        <v>11829</v>
      </c>
      <c r="AD8" s="137">
        <f t="shared" si="15"/>
        <v>7511</v>
      </c>
      <c r="AE8" s="137">
        <f t="shared" si="16"/>
        <v>19399</v>
      </c>
      <c r="AF8" s="137">
        <f t="shared" si="17"/>
        <v>10280</v>
      </c>
      <c r="AG8" s="137">
        <f t="shared" si="18"/>
        <v>21812</v>
      </c>
      <c r="AH8" s="137">
        <f t="shared" si="19"/>
        <v>12694</v>
      </c>
      <c r="AI8" s="137">
        <f t="shared" si="20"/>
        <v>9912</v>
      </c>
      <c r="AJ8" s="137">
        <f t="shared" si="21"/>
        <v>8585</v>
      </c>
      <c r="AK8" s="139">
        <f t="shared" si="22"/>
        <v>11552</v>
      </c>
      <c r="AL8" s="137">
        <f t="shared" si="23"/>
        <v>12353</v>
      </c>
      <c r="AM8" s="137">
        <f t="shared" si="24"/>
        <v>16350</v>
      </c>
      <c r="AN8" s="137">
        <f t="shared" si="25"/>
        <v>17202</v>
      </c>
      <c r="AO8" s="137">
        <f t="shared" si="26"/>
        <v>14354</v>
      </c>
      <c r="AP8" s="137">
        <f t="shared" si="26"/>
        <v>9315</v>
      </c>
      <c r="AQ8" s="137">
        <f t="shared" si="27"/>
        <v>11890</v>
      </c>
      <c r="AR8" s="137">
        <f t="shared" si="28"/>
        <v>9824</v>
      </c>
      <c r="AS8" s="138">
        <f t="shared" si="29"/>
        <v>19373</v>
      </c>
      <c r="AT8" s="137">
        <v>10678</v>
      </c>
      <c r="AU8" s="137">
        <v>13948</v>
      </c>
      <c r="AV8" s="137">
        <v>15827</v>
      </c>
      <c r="AW8" s="137">
        <v>10599</v>
      </c>
      <c r="AX8" s="137">
        <v>16674</v>
      </c>
      <c r="AY8" s="137">
        <v>15089</v>
      </c>
      <c r="AZ8" s="137">
        <v>3562</v>
      </c>
      <c r="BA8" s="137">
        <v>19158</v>
      </c>
      <c r="BB8" s="137">
        <v>10139</v>
      </c>
      <c r="BC8" s="137">
        <v>17332</v>
      </c>
      <c r="BD8" s="137">
        <v>14143</v>
      </c>
      <c r="BE8" s="137">
        <v>7876</v>
      </c>
      <c r="BF8" s="139">
        <v>19427</v>
      </c>
      <c r="BG8" s="137">
        <v>2062</v>
      </c>
      <c r="BH8" s="137">
        <v>8067</v>
      </c>
      <c r="BI8" s="137">
        <v>19571</v>
      </c>
      <c r="BJ8" s="137">
        <v>10435</v>
      </c>
      <c r="BK8" s="137">
        <v>3279</v>
      </c>
      <c r="BL8" s="137">
        <v>8430</v>
      </c>
      <c r="BM8" s="137">
        <v>12023</v>
      </c>
      <c r="BN8" s="137">
        <v>20810</v>
      </c>
      <c r="BO8" s="137">
        <v>3049</v>
      </c>
      <c r="BP8" s="137">
        <v>8918</v>
      </c>
      <c r="BQ8" s="137">
        <v>9212</v>
      </c>
      <c r="BR8" s="139">
        <v>8403</v>
      </c>
      <c r="BS8" s="137">
        <v>5038</v>
      </c>
      <c r="BT8" s="137">
        <v>14361</v>
      </c>
      <c r="BU8" s="137">
        <v>7511</v>
      </c>
      <c r="BV8" s="137">
        <v>21812</v>
      </c>
      <c r="BW8" s="137">
        <v>9912</v>
      </c>
      <c r="BX8" s="137">
        <v>11829</v>
      </c>
      <c r="BY8" s="137">
        <v>8585</v>
      </c>
      <c r="BZ8" s="137">
        <v>12694</v>
      </c>
      <c r="CA8" s="137">
        <v>10280</v>
      </c>
      <c r="CB8" s="139">
        <v>11552</v>
      </c>
      <c r="CC8" s="137">
        <v>14354</v>
      </c>
      <c r="CD8" s="137">
        <v>9315</v>
      </c>
      <c r="CE8" s="137">
        <v>12353</v>
      </c>
      <c r="CF8" s="137">
        <v>3830</v>
      </c>
      <c r="CG8" s="141">
        <v>15543</v>
      </c>
      <c r="CH8" s="137">
        <v>16350</v>
      </c>
      <c r="CI8" s="137">
        <v>9824</v>
      </c>
      <c r="CJ8" s="137">
        <v>17202</v>
      </c>
      <c r="CK8" s="138">
        <v>11890</v>
      </c>
      <c r="CL8" s="140">
        <v>512944</v>
      </c>
      <c r="CM8" s="422"/>
    </row>
    <row r="9" spans="1:91">
      <c r="A9" s="80">
        <f>ROWS($A$3:A7)</f>
        <v>5</v>
      </c>
      <c r="B9" s="92" t="s">
        <v>0</v>
      </c>
      <c r="C9" s="203"/>
      <c r="D9" s="259" t="s">
        <v>1</v>
      </c>
      <c r="E9" s="451"/>
      <c r="F9" s="116">
        <v>529847</v>
      </c>
      <c r="G9" s="137">
        <v>251514</v>
      </c>
      <c r="H9" s="137">
        <v>371200</v>
      </c>
      <c r="I9" s="138">
        <v>474642</v>
      </c>
      <c r="J9" s="137"/>
      <c r="K9" s="116">
        <f t="shared" si="0"/>
        <v>70745</v>
      </c>
      <c r="L9" s="137">
        <f t="shared" si="1"/>
        <v>36115</v>
      </c>
      <c r="M9" s="137">
        <f t="shared" si="2"/>
        <v>75336</v>
      </c>
      <c r="N9" s="137">
        <f t="shared" si="3"/>
        <v>32188</v>
      </c>
      <c r="O9" s="137">
        <f t="shared" si="4"/>
        <v>27163</v>
      </c>
      <c r="P9" s="137">
        <f>'2014'!AZ9+'2014'!BA9</f>
        <v>65583</v>
      </c>
      <c r="Q9" s="137">
        <f>'2014'!AU9</f>
        <v>25649</v>
      </c>
      <c r="R9" s="137">
        <f t="shared" ref="R9:R16" si="30">AT9+AX9</f>
        <v>42663</v>
      </c>
      <c r="S9" s="137">
        <f t="shared" si="5"/>
        <v>28485</v>
      </c>
      <c r="T9" s="137">
        <f t="shared" si="6"/>
        <v>44217</v>
      </c>
      <c r="U9" s="139">
        <f t="shared" si="6"/>
        <v>81702</v>
      </c>
      <c r="V9" s="137">
        <f t="shared" si="7"/>
        <v>25874</v>
      </c>
      <c r="W9" s="137">
        <f t="shared" si="8"/>
        <v>22924</v>
      </c>
      <c r="X9" s="137">
        <f t="shared" si="9"/>
        <v>52346</v>
      </c>
      <c r="Y9" s="137">
        <f t="shared" si="10"/>
        <v>50944</v>
      </c>
      <c r="Z9" s="137">
        <f t="shared" si="11"/>
        <v>51711</v>
      </c>
      <c r="AA9" s="137">
        <f t="shared" si="12"/>
        <v>27007</v>
      </c>
      <c r="AB9" s="139">
        <f t="shared" si="13"/>
        <v>20707</v>
      </c>
      <c r="AC9" s="137">
        <f t="shared" si="14"/>
        <v>42583</v>
      </c>
      <c r="AD9" s="137">
        <f t="shared" si="15"/>
        <v>27511</v>
      </c>
      <c r="AE9" s="137">
        <f t="shared" si="16"/>
        <v>58623</v>
      </c>
      <c r="AF9" s="137">
        <f t="shared" si="17"/>
        <v>27574</v>
      </c>
      <c r="AG9" s="137">
        <f t="shared" si="18"/>
        <v>70617</v>
      </c>
      <c r="AH9" s="137">
        <f t="shared" si="19"/>
        <v>40225</v>
      </c>
      <c r="AI9" s="137">
        <f t="shared" si="20"/>
        <v>32848</v>
      </c>
      <c r="AJ9" s="137">
        <f t="shared" si="21"/>
        <v>27265</v>
      </c>
      <c r="AK9" s="139">
        <f t="shared" si="22"/>
        <v>43955</v>
      </c>
      <c r="AL9" s="137">
        <f t="shared" si="23"/>
        <v>40851</v>
      </c>
      <c r="AM9" s="137">
        <f t="shared" si="24"/>
        <v>81946</v>
      </c>
      <c r="AN9" s="137">
        <f t="shared" si="25"/>
        <v>96117</v>
      </c>
      <c r="AO9" s="137">
        <f t="shared" si="26"/>
        <v>52478</v>
      </c>
      <c r="AP9" s="137">
        <f t="shared" si="26"/>
        <v>23790</v>
      </c>
      <c r="AQ9" s="137">
        <f t="shared" si="27"/>
        <v>59646</v>
      </c>
      <c r="AR9" s="137">
        <f t="shared" si="28"/>
        <v>36934</v>
      </c>
      <c r="AS9" s="138">
        <f t="shared" si="29"/>
        <v>82881</v>
      </c>
      <c r="AT9" s="137">
        <v>4757</v>
      </c>
      <c r="AU9" s="137">
        <v>25649</v>
      </c>
      <c r="AV9" s="137">
        <v>28485</v>
      </c>
      <c r="AW9" s="137">
        <v>32188</v>
      </c>
      <c r="AX9" s="137">
        <v>37906</v>
      </c>
      <c r="AY9" s="137">
        <v>36115</v>
      </c>
      <c r="AZ9" s="137">
        <v>4731</v>
      </c>
      <c r="BA9" s="137">
        <v>60852</v>
      </c>
      <c r="BB9" s="137">
        <v>44217</v>
      </c>
      <c r="BC9" s="137">
        <v>81702</v>
      </c>
      <c r="BD9" s="137">
        <v>75336</v>
      </c>
      <c r="BE9" s="137">
        <v>27163</v>
      </c>
      <c r="BF9" s="139">
        <v>70745</v>
      </c>
      <c r="BG9" s="137">
        <v>3119</v>
      </c>
      <c r="BH9" s="137">
        <v>3939</v>
      </c>
      <c r="BI9" s="137">
        <v>48407</v>
      </c>
      <c r="BJ9" s="137">
        <v>22755</v>
      </c>
      <c r="BK9" s="137">
        <v>2868</v>
      </c>
      <c r="BL9" s="137">
        <v>3454</v>
      </c>
      <c r="BM9" s="137">
        <v>51711</v>
      </c>
      <c r="BN9" s="137">
        <v>44622</v>
      </c>
      <c r="BO9" s="137">
        <v>1647</v>
      </c>
      <c r="BP9" s="137">
        <v>20707</v>
      </c>
      <c r="BQ9" s="137">
        <v>25360</v>
      </c>
      <c r="BR9" s="139">
        <v>22924</v>
      </c>
      <c r="BS9" s="137">
        <v>3905</v>
      </c>
      <c r="BT9" s="137">
        <v>54718</v>
      </c>
      <c r="BU9" s="137">
        <v>27511</v>
      </c>
      <c r="BV9" s="137">
        <v>70617</v>
      </c>
      <c r="BW9" s="137">
        <v>32848</v>
      </c>
      <c r="BX9" s="137">
        <v>42583</v>
      </c>
      <c r="BY9" s="137">
        <v>27265</v>
      </c>
      <c r="BZ9" s="137">
        <v>40225</v>
      </c>
      <c r="CA9" s="137">
        <v>27574</v>
      </c>
      <c r="CB9" s="139">
        <v>43955</v>
      </c>
      <c r="CC9" s="137">
        <v>52478</v>
      </c>
      <c r="CD9" s="137">
        <v>23790</v>
      </c>
      <c r="CE9" s="137">
        <v>40851</v>
      </c>
      <c r="CF9" s="137">
        <v>5201</v>
      </c>
      <c r="CG9" s="141">
        <v>77680</v>
      </c>
      <c r="CH9" s="137">
        <v>81946</v>
      </c>
      <c r="CI9" s="137">
        <v>36934</v>
      </c>
      <c r="CJ9" s="137">
        <v>96117</v>
      </c>
      <c r="CK9" s="138">
        <v>59646</v>
      </c>
      <c r="CL9" s="140">
        <v>1627203</v>
      </c>
      <c r="CM9" s="422"/>
    </row>
    <row r="10" spans="1:91">
      <c r="A10" s="80">
        <f>ROWS($A$3:A8)</f>
        <v>6</v>
      </c>
      <c r="B10" s="92" t="s">
        <v>202</v>
      </c>
      <c r="C10" s="203"/>
      <c r="D10" s="259" t="s">
        <v>1</v>
      </c>
      <c r="E10" s="451"/>
      <c r="F10" s="116">
        <v>335293</v>
      </c>
      <c r="G10" s="137">
        <v>310022</v>
      </c>
      <c r="H10" s="137">
        <v>432375</v>
      </c>
      <c r="I10" s="138">
        <v>291816</v>
      </c>
      <c r="J10" s="137"/>
      <c r="K10" s="116">
        <f t="shared" si="0"/>
        <v>59351</v>
      </c>
      <c r="L10" s="137">
        <f t="shared" si="1"/>
        <v>33683</v>
      </c>
      <c r="M10" s="137">
        <f t="shared" si="2"/>
        <v>38565</v>
      </c>
      <c r="N10" s="137">
        <f t="shared" si="3"/>
        <v>20657</v>
      </c>
      <c r="O10" s="137">
        <f t="shared" si="4"/>
        <v>26965</v>
      </c>
      <c r="P10" s="137">
        <f>'2014'!AZ10+'2014'!BA10</f>
        <v>29529</v>
      </c>
      <c r="Q10" s="137">
        <f>'2014'!AU10</f>
        <v>21397</v>
      </c>
      <c r="R10" s="137">
        <f t="shared" si="30"/>
        <v>17465</v>
      </c>
      <c r="S10" s="137">
        <f t="shared" si="5"/>
        <v>18752</v>
      </c>
      <c r="T10" s="137">
        <f t="shared" si="6"/>
        <v>21896</v>
      </c>
      <c r="U10" s="139">
        <f t="shared" si="6"/>
        <v>47033</v>
      </c>
      <c r="V10" s="137">
        <f t="shared" si="7"/>
        <v>46151</v>
      </c>
      <c r="W10" s="137">
        <f t="shared" si="8"/>
        <v>54657</v>
      </c>
      <c r="X10" s="137">
        <f t="shared" si="9"/>
        <v>41309</v>
      </c>
      <c r="Y10" s="137">
        <f t="shared" si="10"/>
        <v>44204</v>
      </c>
      <c r="Z10" s="137">
        <f t="shared" si="11"/>
        <v>47441</v>
      </c>
      <c r="AA10" s="137">
        <f t="shared" si="12"/>
        <v>26968</v>
      </c>
      <c r="AB10" s="139">
        <f t="shared" si="13"/>
        <v>49292</v>
      </c>
      <c r="AC10" s="137">
        <f t="shared" si="14"/>
        <v>46945</v>
      </c>
      <c r="AD10" s="137">
        <f t="shared" si="15"/>
        <v>31127</v>
      </c>
      <c r="AE10" s="137">
        <f t="shared" si="16"/>
        <v>71694</v>
      </c>
      <c r="AF10" s="137">
        <f t="shared" si="17"/>
        <v>41606</v>
      </c>
      <c r="AG10" s="137">
        <f t="shared" si="18"/>
        <v>88048</v>
      </c>
      <c r="AH10" s="137">
        <f t="shared" si="19"/>
        <v>27366</v>
      </c>
      <c r="AI10" s="137">
        <f t="shared" si="20"/>
        <v>33035</v>
      </c>
      <c r="AJ10" s="137">
        <f t="shared" si="21"/>
        <v>36730</v>
      </c>
      <c r="AK10" s="139">
        <f t="shared" si="22"/>
        <v>55823</v>
      </c>
      <c r="AL10" s="137">
        <f t="shared" si="23"/>
        <v>37396</v>
      </c>
      <c r="AM10" s="137">
        <f t="shared" si="24"/>
        <v>40190</v>
      </c>
      <c r="AN10" s="137">
        <f t="shared" si="25"/>
        <v>46931</v>
      </c>
      <c r="AO10" s="137">
        <f t="shared" si="26"/>
        <v>41361</v>
      </c>
      <c r="AP10" s="137">
        <f t="shared" si="26"/>
        <v>17965</v>
      </c>
      <c r="AQ10" s="137">
        <f t="shared" si="27"/>
        <v>46787</v>
      </c>
      <c r="AR10" s="137">
        <f t="shared" si="28"/>
        <v>18639</v>
      </c>
      <c r="AS10" s="138">
        <f t="shared" si="29"/>
        <v>42547</v>
      </c>
      <c r="AT10" s="141">
        <v>4970</v>
      </c>
      <c r="AU10" s="137">
        <v>21397</v>
      </c>
      <c r="AV10" s="137">
        <v>18752</v>
      </c>
      <c r="AW10" s="137">
        <v>20657</v>
      </c>
      <c r="AX10" s="137">
        <v>12495</v>
      </c>
      <c r="AY10" s="137">
        <v>33683</v>
      </c>
      <c r="AZ10" s="137">
        <v>1420</v>
      </c>
      <c r="BA10" s="137">
        <v>28109</v>
      </c>
      <c r="BB10" s="137">
        <v>21896</v>
      </c>
      <c r="BC10" s="137">
        <v>47033</v>
      </c>
      <c r="BD10" s="137">
        <v>38565</v>
      </c>
      <c r="BE10" s="137">
        <v>26965</v>
      </c>
      <c r="BF10" s="139">
        <v>59351</v>
      </c>
      <c r="BG10" s="137">
        <v>8632</v>
      </c>
      <c r="BH10" s="137">
        <v>4529</v>
      </c>
      <c r="BI10" s="137">
        <v>36780</v>
      </c>
      <c r="BJ10" s="137">
        <v>37519</v>
      </c>
      <c r="BK10" s="137">
        <v>4430</v>
      </c>
      <c r="BL10" s="137">
        <v>1812</v>
      </c>
      <c r="BM10" s="137">
        <v>47441</v>
      </c>
      <c r="BN10" s="137">
        <v>37962</v>
      </c>
      <c r="BO10" s="137">
        <v>5008</v>
      </c>
      <c r="BP10" s="137">
        <v>49292</v>
      </c>
      <c r="BQ10" s="137">
        <v>21960</v>
      </c>
      <c r="BR10" s="139">
        <v>54657</v>
      </c>
      <c r="BS10" s="137">
        <v>6095</v>
      </c>
      <c r="BT10" s="137">
        <v>65599</v>
      </c>
      <c r="BU10" s="137">
        <v>31127</v>
      </c>
      <c r="BV10" s="137">
        <v>88048</v>
      </c>
      <c r="BW10" s="137">
        <v>33035</v>
      </c>
      <c r="BX10" s="137">
        <v>46945</v>
      </c>
      <c r="BY10" s="137">
        <v>36730</v>
      </c>
      <c r="BZ10" s="137">
        <v>27366</v>
      </c>
      <c r="CA10" s="137">
        <v>41606</v>
      </c>
      <c r="CB10" s="139">
        <v>55823</v>
      </c>
      <c r="CC10" s="137">
        <v>41361</v>
      </c>
      <c r="CD10" s="137">
        <v>17965</v>
      </c>
      <c r="CE10" s="137">
        <v>37396</v>
      </c>
      <c r="CF10" s="137">
        <v>2291</v>
      </c>
      <c r="CG10" s="141">
        <v>40256</v>
      </c>
      <c r="CH10" s="137">
        <v>40190</v>
      </c>
      <c r="CI10" s="137">
        <v>18639</v>
      </c>
      <c r="CJ10" s="137">
        <v>46931</v>
      </c>
      <c r="CK10" s="138">
        <v>46787</v>
      </c>
      <c r="CL10" s="140">
        <v>1369506</v>
      </c>
      <c r="CM10" s="422"/>
    </row>
    <row r="11" spans="1:91">
      <c r="A11" s="80">
        <f>ROWS($A$3:A9)</f>
        <v>7</v>
      </c>
      <c r="B11" s="92" t="s">
        <v>2</v>
      </c>
      <c r="C11" s="203"/>
      <c r="D11" s="259" t="s">
        <v>1</v>
      </c>
      <c r="E11" s="451"/>
      <c r="F11" s="116">
        <v>9006</v>
      </c>
      <c r="G11" s="137">
        <v>10143</v>
      </c>
      <c r="H11" s="137">
        <v>11793</v>
      </c>
      <c r="I11" s="138">
        <v>8037</v>
      </c>
      <c r="J11" s="137"/>
      <c r="K11" s="116">
        <f t="shared" si="0"/>
        <v>1155</v>
      </c>
      <c r="L11" s="137">
        <f t="shared" si="1"/>
        <v>524</v>
      </c>
      <c r="M11" s="137">
        <f t="shared" si="2"/>
        <v>1065</v>
      </c>
      <c r="N11" s="137">
        <f t="shared" si="3"/>
        <v>310</v>
      </c>
      <c r="O11" s="137">
        <f t="shared" si="4"/>
        <v>255</v>
      </c>
      <c r="P11" s="137">
        <f>'2014'!AZ11+'2014'!BA11</f>
        <v>1454</v>
      </c>
      <c r="Q11" s="137">
        <f>'2014'!AU11</f>
        <v>255</v>
      </c>
      <c r="R11" s="137">
        <f t="shared" si="30"/>
        <v>1180</v>
      </c>
      <c r="S11" s="137">
        <f t="shared" si="5"/>
        <v>613</v>
      </c>
      <c r="T11" s="137">
        <f t="shared" si="6"/>
        <v>823</v>
      </c>
      <c r="U11" s="139">
        <f t="shared" si="6"/>
        <v>1372</v>
      </c>
      <c r="V11" s="137">
        <f t="shared" si="7"/>
        <v>2362</v>
      </c>
      <c r="W11" s="137">
        <f t="shared" si="8"/>
        <v>518</v>
      </c>
      <c r="X11" s="137">
        <f t="shared" si="9"/>
        <v>3106</v>
      </c>
      <c r="Y11" s="137">
        <f t="shared" si="10"/>
        <v>2676</v>
      </c>
      <c r="Z11" s="137">
        <f t="shared" si="11"/>
        <v>757</v>
      </c>
      <c r="AA11" s="137">
        <f t="shared" si="12"/>
        <v>402</v>
      </c>
      <c r="AB11" s="139">
        <f t="shared" si="13"/>
        <v>322</v>
      </c>
      <c r="AC11" s="137">
        <f t="shared" si="14"/>
        <v>669</v>
      </c>
      <c r="AD11" s="137">
        <f t="shared" si="15"/>
        <v>975</v>
      </c>
      <c r="AE11" s="137">
        <f t="shared" si="16"/>
        <v>2237</v>
      </c>
      <c r="AF11" s="137">
        <f t="shared" si="17"/>
        <v>927</v>
      </c>
      <c r="AG11" s="137">
        <f t="shared" si="18"/>
        <v>3760</v>
      </c>
      <c r="AH11" s="137">
        <f t="shared" si="19"/>
        <v>981</v>
      </c>
      <c r="AI11" s="137">
        <f t="shared" si="20"/>
        <v>453</v>
      </c>
      <c r="AJ11" s="137">
        <f t="shared" si="21"/>
        <v>350</v>
      </c>
      <c r="AK11" s="139">
        <f t="shared" si="22"/>
        <v>1440</v>
      </c>
      <c r="AL11" s="137">
        <f t="shared" si="23"/>
        <v>387</v>
      </c>
      <c r="AM11" s="137">
        <f t="shared" si="24"/>
        <v>1542</v>
      </c>
      <c r="AN11" s="137">
        <f t="shared" si="25"/>
        <v>2193</v>
      </c>
      <c r="AO11" s="137">
        <f t="shared" si="26"/>
        <v>269</v>
      </c>
      <c r="AP11" s="137">
        <f t="shared" si="26"/>
        <v>475</v>
      </c>
      <c r="AQ11" s="137">
        <f t="shared" si="27"/>
        <v>1141</v>
      </c>
      <c r="AR11" s="137">
        <f t="shared" si="28"/>
        <v>711</v>
      </c>
      <c r="AS11" s="138">
        <f t="shared" si="29"/>
        <v>1320</v>
      </c>
      <c r="AT11" s="141">
        <v>272</v>
      </c>
      <c r="AU11" s="137">
        <v>255</v>
      </c>
      <c r="AV11" s="137">
        <v>613</v>
      </c>
      <c r="AW11" s="137">
        <v>310</v>
      </c>
      <c r="AX11" s="137">
        <v>908</v>
      </c>
      <c r="AY11" s="137">
        <v>524</v>
      </c>
      <c r="AZ11" s="137">
        <v>216</v>
      </c>
      <c r="BA11" s="137">
        <v>1238</v>
      </c>
      <c r="BB11" s="137">
        <v>823</v>
      </c>
      <c r="BC11" s="137">
        <v>1372</v>
      </c>
      <c r="BD11" s="137">
        <v>1065</v>
      </c>
      <c r="BE11" s="137">
        <v>255</v>
      </c>
      <c r="BF11" s="139">
        <v>1155</v>
      </c>
      <c r="BG11" s="137">
        <v>137</v>
      </c>
      <c r="BH11" s="137">
        <v>705</v>
      </c>
      <c r="BI11" s="137">
        <v>2401</v>
      </c>
      <c r="BJ11" s="137">
        <v>2225</v>
      </c>
      <c r="BK11" s="137">
        <v>252</v>
      </c>
      <c r="BL11" s="137">
        <v>761</v>
      </c>
      <c r="BM11" s="137">
        <v>757</v>
      </c>
      <c r="BN11" s="137">
        <v>1663</v>
      </c>
      <c r="BO11" s="137">
        <v>73</v>
      </c>
      <c r="BP11" s="137">
        <v>322</v>
      </c>
      <c r="BQ11" s="137">
        <v>329</v>
      </c>
      <c r="BR11" s="139">
        <v>518</v>
      </c>
      <c r="BS11" s="137">
        <v>207</v>
      </c>
      <c r="BT11" s="137">
        <v>2030</v>
      </c>
      <c r="BU11" s="137">
        <v>975</v>
      </c>
      <c r="BV11" s="137">
        <v>3760</v>
      </c>
      <c r="BW11" s="137">
        <v>453</v>
      </c>
      <c r="BX11" s="137">
        <v>669</v>
      </c>
      <c r="BY11" s="137">
        <v>350</v>
      </c>
      <c r="BZ11" s="137">
        <v>981</v>
      </c>
      <c r="CA11" s="137">
        <v>927</v>
      </c>
      <c r="CB11" s="139">
        <v>1440</v>
      </c>
      <c r="CC11" s="137">
        <v>269</v>
      </c>
      <c r="CD11" s="137">
        <v>475</v>
      </c>
      <c r="CE11" s="137">
        <v>387</v>
      </c>
      <c r="CF11" s="137">
        <v>177</v>
      </c>
      <c r="CG11" s="141">
        <v>1143</v>
      </c>
      <c r="CH11" s="137">
        <v>1542</v>
      </c>
      <c r="CI11" s="137">
        <v>711</v>
      </c>
      <c r="CJ11" s="137">
        <v>2193</v>
      </c>
      <c r="CK11" s="138">
        <v>1141</v>
      </c>
      <c r="CL11" s="140">
        <v>38980</v>
      </c>
      <c r="CM11" s="422"/>
    </row>
    <row r="12" spans="1:91">
      <c r="A12" s="80">
        <f>ROWS($A$3:A10)</f>
        <v>8</v>
      </c>
      <c r="B12" s="92" t="s">
        <v>283</v>
      </c>
      <c r="C12" s="203"/>
      <c r="D12" s="259" t="s">
        <v>1</v>
      </c>
      <c r="E12" s="451"/>
      <c r="F12" s="116">
        <f>F7-SUM(F8:F11)</f>
        <v>7167</v>
      </c>
      <c r="G12" s="137">
        <f>G7-SUM(G8:G11)</f>
        <v>5961</v>
      </c>
      <c r="H12" s="137">
        <f>H7-SUM(H8:H11)</f>
        <v>6758</v>
      </c>
      <c r="I12" s="138">
        <f>I7-SUM(I8:I11)</f>
        <v>6612</v>
      </c>
      <c r="J12" s="137"/>
      <c r="K12" s="116">
        <f t="shared" si="0"/>
        <v>479</v>
      </c>
      <c r="L12" s="137">
        <f t="shared" si="1"/>
        <v>403</v>
      </c>
      <c r="M12" s="137">
        <f t="shared" si="2"/>
        <v>1332</v>
      </c>
      <c r="N12" s="137">
        <f t="shared" si="3"/>
        <v>482</v>
      </c>
      <c r="O12" s="137">
        <f t="shared" si="4"/>
        <v>453</v>
      </c>
      <c r="P12" s="137">
        <f>'2014'!AZ12+'2014'!BA12</f>
        <v>695</v>
      </c>
      <c r="Q12" s="137">
        <f>'2014'!AU12</f>
        <v>533</v>
      </c>
      <c r="R12" s="137">
        <f t="shared" si="30"/>
        <v>757</v>
      </c>
      <c r="S12" s="137">
        <f t="shared" si="5"/>
        <v>471</v>
      </c>
      <c r="T12" s="137">
        <f t="shared" si="6"/>
        <v>601</v>
      </c>
      <c r="U12" s="139">
        <f t="shared" si="6"/>
        <v>961</v>
      </c>
      <c r="V12" s="137">
        <f t="shared" si="7"/>
        <v>1012</v>
      </c>
      <c r="W12" s="137">
        <f t="shared" si="8"/>
        <v>565</v>
      </c>
      <c r="X12" s="137">
        <f t="shared" si="9"/>
        <v>1441</v>
      </c>
      <c r="Y12" s="137">
        <f t="shared" si="10"/>
        <v>1207</v>
      </c>
      <c r="Z12" s="137">
        <f t="shared" si="11"/>
        <v>693</v>
      </c>
      <c r="AA12" s="137">
        <f t="shared" si="12"/>
        <v>531</v>
      </c>
      <c r="AB12" s="139">
        <f t="shared" si="13"/>
        <v>512</v>
      </c>
      <c r="AC12" s="137">
        <f t="shared" si="14"/>
        <v>500</v>
      </c>
      <c r="AD12" s="137">
        <f t="shared" si="15"/>
        <v>864</v>
      </c>
      <c r="AE12" s="137">
        <f t="shared" si="16"/>
        <v>1187</v>
      </c>
      <c r="AF12" s="137">
        <f t="shared" si="17"/>
        <v>290</v>
      </c>
      <c r="AG12" s="137">
        <f t="shared" si="18"/>
        <v>1841</v>
      </c>
      <c r="AH12" s="137">
        <f t="shared" si="19"/>
        <v>531</v>
      </c>
      <c r="AI12" s="137">
        <f t="shared" si="20"/>
        <v>695</v>
      </c>
      <c r="AJ12" s="137">
        <f t="shared" si="21"/>
        <v>505</v>
      </c>
      <c r="AK12" s="139">
        <f t="shared" si="22"/>
        <v>345</v>
      </c>
      <c r="AL12" s="137">
        <f t="shared" si="23"/>
        <v>784</v>
      </c>
      <c r="AM12" s="137">
        <f t="shared" si="24"/>
        <v>947</v>
      </c>
      <c r="AN12" s="137">
        <f t="shared" si="25"/>
        <v>739</v>
      </c>
      <c r="AO12" s="137">
        <f t="shared" si="26"/>
        <v>810</v>
      </c>
      <c r="AP12" s="137">
        <f t="shared" si="26"/>
        <v>374</v>
      </c>
      <c r="AQ12" s="137">
        <f t="shared" si="27"/>
        <v>970</v>
      </c>
      <c r="AR12" s="137">
        <f t="shared" si="28"/>
        <v>372</v>
      </c>
      <c r="AS12" s="138">
        <f t="shared" si="29"/>
        <v>1615</v>
      </c>
      <c r="AT12" s="141">
        <f>AT7-SUM(AT8:AT11)</f>
        <v>58</v>
      </c>
      <c r="AU12" s="137">
        <f t="shared" ref="AU12:CL12" si="31">AU7-SUM(AU8:AU11)</f>
        <v>533</v>
      </c>
      <c r="AV12" s="137">
        <f t="shared" si="31"/>
        <v>471</v>
      </c>
      <c r="AW12" s="137">
        <f t="shared" si="31"/>
        <v>482</v>
      </c>
      <c r="AX12" s="137">
        <f t="shared" si="31"/>
        <v>699</v>
      </c>
      <c r="AY12" s="137">
        <f t="shared" si="31"/>
        <v>403</v>
      </c>
      <c r="AZ12" s="137">
        <f t="shared" si="31"/>
        <v>59</v>
      </c>
      <c r="BA12" s="137">
        <f t="shared" si="31"/>
        <v>636</v>
      </c>
      <c r="BB12" s="137">
        <f t="shared" si="31"/>
        <v>601</v>
      </c>
      <c r="BC12" s="137">
        <f t="shared" si="31"/>
        <v>961</v>
      </c>
      <c r="BD12" s="137">
        <f t="shared" si="31"/>
        <v>1332</v>
      </c>
      <c r="BE12" s="137">
        <f t="shared" si="31"/>
        <v>453</v>
      </c>
      <c r="BF12" s="139">
        <f t="shared" si="31"/>
        <v>479</v>
      </c>
      <c r="BG12" s="137">
        <f t="shared" si="31"/>
        <v>71</v>
      </c>
      <c r="BH12" s="137">
        <f t="shared" si="31"/>
        <v>106</v>
      </c>
      <c r="BI12" s="137">
        <f t="shared" si="31"/>
        <v>1335</v>
      </c>
      <c r="BJ12" s="137">
        <f t="shared" si="31"/>
        <v>941</v>
      </c>
      <c r="BK12" s="137">
        <f t="shared" si="31"/>
        <v>54</v>
      </c>
      <c r="BL12" s="137">
        <f t="shared" si="31"/>
        <v>39</v>
      </c>
      <c r="BM12" s="137">
        <f t="shared" si="31"/>
        <v>693</v>
      </c>
      <c r="BN12" s="137">
        <f t="shared" si="31"/>
        <v>1114</v>
      </c>
      <c r="BO12" s="137">
        <f t="shared" si="31"/>
        <v>23</v>
      </c>
      <c r="BP12" s="137">
        <f t="shared" si="31"/>
        <v>512</v>
      </c>
      <c r="BQ12" s="137">
        <f t="shared" si="31"/>
        <v>508</v>
      </c>
      <c r="BR12" s="139">
        <f t="shared" si="31"/>
        <v>565</v>
      </c>
      <c r="BS12" s="137">
        <f t="shared" si="31"/>
        <v>61</v>
      </c>
      <c r="BT12" s="137">
        <f t="shared" si="31"/>
        <v>1126</v>
      </c>
      <c r="BU12" s="137">
        <f t="shared" si="31"/>
        <v>864</v>
      </c>
      <c r="BV12" s="137">
        <f t="shared" si="31"/>
        <v>1841</v>
      </c>
      <c r="BW12" s="137">
        <f t="shared" si="31"/>
        <v>695</v>
      </c>
      <c r="BX12" s="137">
        <f t="shared" si="31"/>
        <v>500</v>
      </c>
      <c r="BY12" s="137">
        <f t="shared" si="31"/>
        <v>505</v>
      </c>
      <c r="BZ12" s="137">
        <f t="shared" si="31"/>
        <v>531</v>
      </c>
      <c r="CA12" s="137">
        <f t="shared" si="31"/>
        <v>290</v>
      </c>
      <c r="CB12" s="139">
        <f t="shared" si="31"/>
        <v>345</v>
      </c>
      <c r="CC12" s="137">
        <f t="shared" si="31"/>
        <v>810</v>
      </c>
      <c r="CD12" s="137">
        <f t="shared" si="31"/>
        <v>374</v>
      </c>
      <c r="CE12" s="137">
        <f t="shared" si="31"/>
        <v>784</v>
      </c>
      <c r="CF12" s="137">
        <f t="shared" si="31"/>
        <v>370</v>
      </c>
      <c r="CG12" s="141">
        <f t="shared" si="31"/>
        <v>1245</v>
      </c>
      <c r="CH12" s="137">
        <f t="shared" si="31"/>
        <v>947</v>
      </c>
      <c r="CI12" s="137">
        <f t="shared" si="31"/>
        <v>372</v>
      </c>
      <c r="CJ12" s="137">
        <f t="shared" si="31"/>
        <v>739</v>
      </c>
      <c r="CK12" s="138">
        <f t="shared" si="31"/>
        <v>970</v>
      </c>
      <c r="CL12" s="140">
        <f t="shared" si="31"/>
        <v>26499</v>
      </c>
      <c r="CM12" s="422"/>
    </row>
    <row r="13" spans="1:91">
      <c r="A13" s="80">
        <f>ROWS($A$3:A11)</f>
        <v>9</v>
      </c>
      <c r="B13" s="92" t="s">
        <v>65</v>
      </c>
      <c r="C13" s="202">
        <v>2013</v>
      </c>
      <c r="D13" s="259" t="s">
        <v>11</v>
      </c>
      <c r="E13" s="436">
        <v>42004</v>
      </c>
      <c r="F13" s="116">
        <v>3972881</v>
      </c>
      <c r="G13" s="137">
        <v>2702831</v>
      </c>
      <c r="H13" s="137">
        <v>2174500</v>
      </c>
      <c r="I13" s="138">
        <v>1781066</v>
      </c>
      <c r="J13" s="137"/>
      <c r="K13" s="116">
        <f t="shared" si="0"/>
        <v>306933</v>
      </c>
      <c r="L13" s="137">
        <f t="shared" si="1"/>
        <v>411025</v>
      </c>
      <c r="M13" s="137">
        <f t="shared" si="2"/>
        <v>129857</v>
      </c>
      <c r="N13" s="137">
        <f t="shared" si="3"/>
        <v>248813</v>
      </c>
      <c r="O13" s="137">
        <f t="shared" si="4"/>
        <v>127947</v>
      </c>
      <c r="P13" s="137">
        <f>'2014'!AZ13+'2014'!BA13</f>
        <v>444157</v>
      </c>
      <c r="Q13" s="137">
        <f>'2014'!AU13</f>
        <v>370392</v>
      </c>
      <c r="R13" s="137">
        <f t="shared" si="30"/>
        <v>1125930</v>
      </c>
      <c r="S13" s="137">
        <f t="shared" si="5"/>
        <v>512279</v>
      </c>
      <c r="T13" s="137">
        <f t="shared" si="6"/>
        <v>107866</v>
      </c>
      <c r="U13" s="139">
        <f t="shared" si="6"/>
        <v>187682</v>
      </c>
      <c r="V13" s="137">
        <f t="shared" si="7"/>
        <v>276323</v>
      </c>
      <c r="W13" s="137">
        <f t="shared" si="8"/>
        <v>114793</v>
      </c>
      <c r="X13" s="137">
        <f t="shared" si="9"/>
        <v>728289</v>
      </c>
      <c r="Y13" s="137">
        <f t="shared" si="10"/>
        <v>979816</v>
      </c>
      <c r="Z13" s="137">
        <f t="shared" si="11"/>
        <v>141584</v>
      </c>
      <c r="AA13" s="137">
        <f t="shared" si="12"/>
        <v>310565</v>
      </c>
      <c r="AB13" s="139">
        <f t="shared" si="13"/>
        <v>151461</v>
      </c>
      <c r="AC13" s="137">
        <f t="shared" si="14"/>
        <v>205090</v>
      </c>
      <c r="AD13" s="137">
        <f t="shared" si="15"/>
        <v>158177</v>
      </c>
      <c r="AE13" s="137">
        <f t="shared" si="16"/>
        <v>470423</v>
      </c>
      <c r="AF13" s="137">
        <f t="shared" si="17"/>
        <v>221943</v>
      </c>
      <c r="AG13" s="137">
        <f t="shared" si="18"/>
        <v>412678</v>
      </c>
      <c r="AH13" s="137">
        <f t="shared" si="19"/>
        <v>273407</v>
      </c>
      <c r="AI13" s="137">
        <f t="shared" si="20"/>
        <v>135319</v>
      </c>
      <c r="AJ13" s="137">
        <f t="shared" si="21"/>
        <v>133198</v>
      </c>
      <c r="AK13" s="139">
        <f t="shared" si="22"/>
        <v>164265</v>
      </c>
      <c r="AL13" s="137">
        <f t="shared" si="23"/>
        <v>184615</v>
      </c>
      <c r="AM13" s="137">
        <f t="shared" si="24"/>
        <v>188696</v>
      </c>
      <c r="AN13" s="137">
        <f t="shared" si="25"/>
        <v>273540</v>
      </c>
      <c r="AO13" s="137">
        <f t="shared" si="26"/>
        <v>276019</v>
      </c>
      <c r="AP13" s="137">
        <f t="shared" si="26"/>
        <v>216535</v>
      </c>
      <c r="AQ13" s="137">
        <f t="shared" si="27"/>
        <v>127101</v>
      </c>
      <c r="AR13" s="137">
        <f t="shared" si="28"/>
        <v>207450</v>
      </c>
      <c r="AS13" s="138">
        <f t="shared" si="29"/>
        <v>307110</v>
      </c>
      <c r="AT13" s="141">
        <v>604297</v>
      </c>
      <c r="AU13" s="141">
        <v>370392</v>
      </c>
      <c r="AV13" s="141">
        <v>512279</v>
      </c>
      <c r="AW13" s="141">
        <v>248813</v>
      </c>
      <c r="AX13" s="141">
        <v>521633</v>
      </c>
      <c r="AY13" s="137">
        <v>411025</v>
      </c>
      <c r="AZ13" s="137">
        <v>118122</v>
      </c>
      <c r="BA13" s="137">
        <v>326035</v>
      </c>
      <c r="BB13" s="137">
        <v>107866</v>
      </c>
      <c r="BC13" s="137">
        <v>187682</v>
      </c>
      <c r="BD13" s="137">
        <v>129857</v>
      </c>
      <c r="BE13" s="137">
        <v>127947</v>
      </c>
      <c r="BF13" s="139">
        <v>306933</v>
      </c>
      <c r="BG13" s="137">
        <v>53012</v>
      </c>
      <c r="BH13" s="137">
        <v>299103</v>
      </c>
      <c r="BI13" s="137">
        <v>429186</v>
      </c>
      <c r="BJ13" s="137">
        <v>223311</v>
      </c>
      <c r="BK13" s="137">
        <v>152113</v>
      </c>
      <c r="BL13" s="137">
        <v>296690</v>
      </c>
      <c r="BM13" s="137">
        <v>141584</v>
      </c>
      <c r="BN13" s="137">
        <v>531013</v>
      </c>
      <c r="BO13" s="137">
        <v>117754</v>
      </c>
      <c r="BP13" s="137">
        <v>151461</v>
      </c>
      <c r="BQ13" s="137">
        <v>192811</v>
      </c>
      <c r="BR13" s="139">
        <v>114793</v>
      </c>
      <c r="BS13" s="137">
        <v>220286</v>
      </c>
      <c r="BT13" s="137">
        <v>250137</v>
      </c>
      <c r="BU13" s="137">
        <v>158177</v>
      </c>
      <c r="BV13" s="137">
        <v>412678</v>
      </c>
      <c r="BW13" s="137">
        <v>135319</v>
      </c>
      <c r="BX13" s="137">
        <v>205090</v>
      </c>
      <c r="BY13" s="137">
        <v>133198</v>
      </c>
      <c r="BZ13" s="137">
        <v>273407</v>
      </c>
      <c r="CA13" s="137">
        <v>221943</v>
      </c>
      <c r="CB13" s="139">
        <v>164265</v>
      </c>
      <c r="CC13" s="137">
        <v>276019</v>
      </c>
      <c r="CD13" s="137">
        <v>216535</v>
      </c>
      <c r="CE13" s="137">
        <v>184615</v>
      </c>
      <c r="CF13" s="137">
        <v>119218</v>
      </c>
      <c r="CG13" s="137">
        <v>187892</v>
      </c>
      <c r="CH13" s="137">
        <v>188696</v>
      </c>
      <c r="CI13" s="137">
        <v>207450</v>
      </c>
      <c r="CJ13" s="137">
        <v>273540</v>
      </c>
      <c r="CK13" s="138">
        <v>127101</v>
      </c>
      <c r="CL13" s="140">
        <v>10631278</v>
      </c>
      <c r="CM13" s="49"/>
    </row>
    <row r="14" spans="1:91">
      <c r="A14" s="80">
        <f>ROWS($A$3:A12)</f>
        <v>10</v>
      </c>
      <c r="B14" s="54" t="s">
        <v>61</v>
      </c>
      <c r="C14" s="252"/>
      <c r="D14" s="259" t="s">
        <v>12</v>
      </c>
      <c r="E14" s="451"/>
      <c r="F14" s="142">
        <f>F13/F7*100</f>
        <v>376.30388988448175</v>
      </c>
      <c r="G14" s="143">
        <f>G13/G7*100</f>
        <v>390.64009434916704</v>
      </c>
      <c r="H14" s="143">
        <f>H13/H7*100</f>
        <v>232.39286095970931</v>
      </c>
      <c r="I14" s="144">
        <f>I13/I7*100</f>
        <v>199.72279816858403</v>
      </c>
      <c r="J14" s="141"/>
      <c r="K14" s="145">
        <f t="shared" si="0"/>
        <v>203.05576321308308</v>
      </c>
      <c r="L14" s="146">
        <f t="shared" si="1"/>
        <v>478.97196261682245</v>
      </c>
      <c r="M14" s="146">
        <f t="shared" si="2"/>
        <v>99.552288007604972</v>
      </c>
      <c r="N14" s="146">
        <f t="shared" si="3"/>
        <v>387.34198891587272</v>
      </c>
      <c r="O14" s="146">
        <f t="shared" si="4"/>
        <v>204.02315346345196</v>
      </c>
      <c r="P14" s="143">
        <f>P13/P7*100</f>
        <v>370.18944666238821</v>
      </c>
      <c r="Q14" s="146">
        <f>'2014'!AU14</f>
        <v>599.51442167621633</v>
      </c>
      <c r="R14" s="143">
        <f>R13/R7*100</f>
        <v>1259.1900868962277</v>
      </c>
      <c r="S14" s="146">
        <f t="shared" si="5"/>
        <v>798.58919997505768</v>
      </c>
      <c r="T14" s="146">
        <f t="shared" si="6"/>
        <v>138.86657397394305</v>
      </c>
      <c r="U14" s="147">
        <f t="shared" si="6"/>
        <v>126.47035040431267</v>
      </c>
      <c r="V14" s="143">
        <f>V13/V7*100</f>
        <v>314.37494311458994</v>
      </c>
      <c r="W14" s="146">
        <f t="shared" si="8"/>
        <v>131.84444163690031</v>
      </c>
      <c r="X14" s="143">
        <f>X13/X7*100</f>
        <v>578.74205340114429</v>
      </c>
      <c r="Y14" s="143">
        <f>Y13/Y7*100</f>
        <v>744.82402128468266</v>
      </c>
      <c r="Z14" s="146">
        <f t="shared" si="11"/>
        <v>125.71276359600444</v>
      </c>
      <c r="AA14" s="143">
        <f>AA13/AA7*100</f>
        <v>462.36359034673728</v>
      </c>
      <c r="AB14" s="147">
        <f t="shared" si="13"/>
        <v>189.91736780730022</v>
      </c>
      <c r="AC14" s="146">
        <f t="shared" si="14"/>
        <v>200.03706376919027</v>
      </c>
      <c r="AD14" s="146">
        <f t="shared" si="15"/>
        <v>232.6542919338707</v>
      </c>
      <c r="AE14" s="143">
        <f>AE13/AE7*100</f>
        <v>307.18492882329895</v>
      </c>
      <c r="AF14" s="146">
        <f t="shared" si="17"/>
        <v>275.10071023959739</v>
      </c>
      <c r="AG14" s="146">
        <f t="shared" si="18"/>
        <v>221.7768892614925</v>
      </c>
      <c r="AH14" s="146">
        <f t="shared" si="19"/>
        <v>334.2506448891769</v>
      </c>
      <c r="AI14" s="146">
        <f t="shared" si="20"/>
        <v>175.86914989017842</v>
      </c>
      <c r="AJ14" s="146">
        <f t="shared" si="21"/>
        <v>181.38217471233062</v>
      </c>
      <c r="AK14" s="147">
        <f t="shared" si="22"/>
        <v>145.21946691420234</v>
      </c>
      <c r="AL14" s="146">
        <f t="shared" si="23"/>
        <v>201.16921467566007</v>
      </c>
      <c r="AM14" s="146">
        <f t="shared" si="24"/>
        <v>133.85068274516757</v>
      </c>
      <c r="AN14" s="146">
        <f t="shared" si="25"/>
        <v>167.62878258631466</v>
      </c>
      <c r="AO14" s="146">
        <f t="shared" si="26"/>
        <v>252.59810381433488</v>
      </c>
      <c r="AP14" s="146">
        <f t="shared" si="26"/>
        <v>417.063117548489</v>
      </c>
      <c r="AQ14" s="146">
        <f t="shared" si="27"/>
        <v>105.53581214607171</v>
      </c>
      <c r="AR14" s="146">
        <f t="shared" si="28"/>
        <v>312.04873646209387</v>
      </c>
      <c r="AS14" s="144">
        <f>AS13/AS7*100</f>
        <v>207.87756538690635</v>
      </c>
      <c r="AT14" s="143">
        <f t="shared" ref="AT14:CK14" si="32">AT13/AT7*100</f>
        <v>2914.3814805883771</v>
      </c>
      <c r="AU14" s="143">
        <f t="shared" si="32"/>
        <v>599.51442167621633</v>
      </c>
      <c r="AV14" s="143">
        <f t="shared" si="32"/>
        <v>798.58919997505768</v>
      </c>
      <c r="AW14" s="143">
        <f t="shared" si="32"/>
        <v>387.34198891587272</v>
      </c>
      <c r="AX14" s="143">
        <f t="shared" si="32"/>
        <v>759.49011385807057</v>
      </c>
      <c r="AY14" s="143">
        <f t="shared" si="32"/>
        <v>478.97196261682245</v>
      </c>
      <c r="AZ14" s="143">
        <f t="shared" si="32"/>
        <v>1182.6391670004004</v>
      </c>
      <c r="BA14" s="143">
        <f t="shared" si="32"/>
        <v>296.41431727473571</v>
      </c>
      <c r="BB14" s="143">
        <f t="shared" si="32"/>
        <v>138.86657397394305</v>
      </c>
      <c r="BC14" s="143">
        <f t="shared" si="32"/>
        <v>126.47035040431267</v>
      </c>
      <c r="BD14" s="143">
        <f t="shared" si="32"/>
        <v>99.552288007604972</v>
      </c>
      <c r="BE14" s="143">
        <f t="shared" si="32"/>
        <v>204.02315346345196</v>
      </c>
      <c r="BF14" s="148">
        <f t="shared" si="32"/>
        <v>203.05576321308308</v>
      </c>
      <c r="BG14" s="143">
        <f t="shared" si="32"/>
        <v>378.09000784537477</v>
      </c>
      <c r="BH14" s="143">
        <f t="shared" si="32"/>
        <v>1724.3341404358355</v>
      </c>
      <c r="BI14" s="143">
        <f t="shared" si="32"/>
        <v>395.58500930927056</v>
      </c>
      <c r="BJ14" s="143">
        <f t="shared" si="32"/>
        <v>302.28223350253808</v>
      </c>
      <c r="BK14" s="143">
        <f t="shared" si="32"/>
        <v>1397.7120279334742</v>
      </c>
      <c r="BL14" s="143">
        <f t="shared" si="32"/>
        <v>2046.7025386313467</v>
      </c>
      <c r="BM14" s="143">
        <f t="shared" si="32"/>
        <v>125.71276359600444</v>
      </c>
      <c r="BN14" s="143">
        <f t="shared" si="32"/>
        <v>500.14881653182135</v>
      </c>
      <c r="BO14" s="143">
        <f t="shared" si="32"/>
        <v>1201.5714285714284</v>
      </c>
      <c r="BP14" s="143">
        <f t="shared" si="32"/>
        <v>189.91736780730022</v>
      </c>
      <c r="BQ14" s="143">
        <f t="shared" si="32"/>
        <v>336.08917708169918</v>
      </c>
      <c r="BR14" s="148">
        <f t="shared" si="32"/>
        <v>131.84444163690031</v>
      </c>
      <c r="BS14" s="143">
        <f t="shared" si="32"/>
        <v>1439.2133803737097</v>
      </c>
      <c r="BT14" s="143">
        <f t="shared" si="32"/>
        <v>181.47699406532496</v>
      </c>
      <c r="BU14" s="143">
        <f t="shared" si="32"/>
        <v>232.6542919338707</v>
      </c>
      <c r="BV14" s="143">
        <f t="shared" si="32"/>
        <v>221.7768892614925</v>
      </c>
      <c r="BW14" s="143">
        <f t="shared" si="32"/>
        <v>175.86914989017842</v>
      </c>
      <c r="BX14" s="143">
        <f t="shared" si="32"/>
        <v>200.03706376919027</v>
      </c>
      <c r="BY14" s="143">
        <f t="shared" si="32"/>
        <v>181.38217471233062</v>
      </c>
      <c r="BZ14" s="143">
        <f t="shared" si="32"/>
        <v>334.2506448891769</v>
      </c>
      <c r="CA14" s="143">
        <f t="shared" si="32"/>
        <v>275.10071023959739</v>
      </c>
      <c r="CB14" s="148">
        <f t="shared" si="32"/>
        <v>145.21946691420234</v>
      </c>
      <c r="CC14" s="143">
        <f t="shared" si="32"/>
        <v>252.59810381433488</v>
      </c>
      <c r="CD14" s="143">
        <f t="shared" si="32"/>
        <v>417.063117548489</v>
      </c>
      <c r="CE14" s="143">
        <f t="shared" si="32"/>
        <v>201.16921467566007</v>
      </c>
      <c r="CF14" s="143">
        <f t="shared" si="32"/>
        <v>1004.4485634847082</v>
      </c>
      <c r="CG14" s="143">
        <f>CG13/CG7*100</f>
        <v>138.29112293640105</v>
      </c>
      <c r="CH14" s="143">
        <f t="shared" si="32"/>
        <v>133.85068274516757</v>
      </c>
      <c r="CI14" s="143">
        <f t="shared" si="32"/>
        <v>312.04873646209387</v>
      </c>
      <c r="CJ14" s="143">
        <f t="shared" si="32"/>
        <v>167.62878258631466</v>
      </c>
      <c r="CK14" s="144">
        <f t="shared" si="32"/>
        <v>105.53581214607171</v>
      </c>
      <c r="CL14" s="149">
        <f>CL13/CL7*100</f>
        <v>297.36742587406565</v>
      </c>
    </row>
    <row r="15" spans="1:91">
      <c r="A15" s="80">
        <f>ROWS($A$3:A13)</f>
        <v>11</v>
      </c>
      <c r="B15" s="59" t="s">
        <v>269</v>
      </c>
      <c r="C15" s="252"/>
      <c r="D15" s="259"/>
      <c r="E15" s="451"/>
      <c r="F15" s="302"/>
      <c r="G15" s="141"/>
      <c r="H15" s="141"/>
      <c r="I15" s="298"/>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1">
      <c r="A16" s="80">
        <f>ROWS($A$3:A14)</f>
        <v>12</v>
      </c>
      <c r="B16" s="92" t="s">
        <v>200</v>
      </c>
      <c r="C16" s="202">
        <v>2013</v>
      </c>
      <c r="D16" s="259" t="s">
        <v>11</v>
      </c>
      <c r="E16" s="448">
        <v>42207</v>
      </c>
      <c r="F16" s="116">
        <v>2282500</v>
      </c>
      <c r="G16" s="137">
        <v>1503700</v>
      </c>
      <c r="H16" s="137">
        <v>1170700</v>
      </c>
      <c r="I16" s="138">
        <v>988300</v>
      </c>
      <c r="J16" s="141"/>
      <c r="K16" s="116">
        <f t="shared" si="0"/>
        <v>163400</v>
      </c>
      <c r="L16" s="137">
        <f t="shared" si="1"/>
        <v>193400</v>
      </c>
      <c r="M16" s="137">
        <f t="shared" si="2"/>
        <v>73000</v>
      </c>
      <c r="N16" s="137">
        <f t="shared" si="3"/>
        <v>119200</v>
      </c>
      <c r="O16" s="137">
        <f t="shared" si="4"/>
        <v>64200</v>
      </c>
      <c r="P16" s="137">
        <f>'2014'!AZ16+'2014'!BA16</f>
        <v>264200</v>
      </c>
      <c r="Q16" s="137">
        <f>'2014'!AU16</f>
        <v>220100</v>
      </c>
      <c r="R16" s="137">
        <f t="shared" si="30"/>
        <v>746500</v>
      </c>
      <c r="S16" s="137">
        <f t="shared" si="5"/>
        <v>263200</v>
      </c>
      <c r="T16" s="137">
        <f t="shared" si="6"/>
        <v>68500</v>
      </c>
      <c r="U16" s="139">
        <f t="shared" si="6"/>
        <v>106700</v>
      </c>
      <c r="V16" s="137">
        <f>BG16+BJ16</f>
        <v>152700</v>
      </c>
      <c r="W16" s="137">
        <f t="shared" si="8"/>
        <v>61900</v>
      </c>
      <c r="X16" s="137">
        <f>BH16+BI16</f>
        <v>428800</v>
      </c>
      <c r="Y16" s="137">
        <f>BK16+BL16+BN16</f>
        <v>574400</v>
      </c>
      <c r="Z16" s="137">
        <f t="shared" si="11"/>
        <v>66500</v>
      </c>
      <c r="AA16" s="137">
        <f>BO16+BQ16</f>
        <v>155300</v>
      </c>
      <c r="AB16" s="139">
        <f t="shared" si="13"/>
        <v>64000</v>
      </c>
      <c r="AC16" s="137">
        <f t="shared" si="14"/>
        <v>114300</v>
      </c>
      <c r="AD16" s="137">
        <f t="shared" si="15"/>
        <v>69900</v>
      </c>
      <c r="AE16" s="137">
        <f>BS16+BT16</f>
        <v>277900</v>
      </c>
      <c r="AF16" s="137">
        <f t="shared" si="17"/>
        <v>104200</v>
      </c>
      <c r="AG16" s="137">
        <f t="shared" si="18"/>
        <v>234900</v>
      </c>
      <c r="AH16" s="137">
        <f t="shared" si="19"/>
        <v>138300</v>
      </c>
      <c r="AI16" s="137">
        <f t="shared" si="20"/>
        <v>74100</v>
      </c>
      <c r="AJ16" s="137">
        <f t="shared" si="21"/>
        <v>80700</v>
      </c>
      <c r="AK16" s="139">
        <f t="shared" si="22"/>
        <v>76400</v>
      </c>
      <c r="AL16" s="137">
        <f t="shared" si="23"/>
        <v>91300</v>
      </c>
      <c r="AM16" s="137">
        <f t="shared" si="24"/>
        <v>106200</v>
      </c>
      <c r="AN16" s="137">
        <f t="shared" si="25"/>
        <v>155400</v>
      </c>
      <c r="AO16" s="137">
        <f t="shared" si="26"/>
        <v>146400</v>
      </c>
      <c r="AP16" s="137">
        <f t="shared" si="26"/>
        <v>107400</v>
      </c>
      <c r="AQ16" s="137">
        <f t="shared" si="27"/>
        <v>66300</v>
      </c>
      <c r="AR16" s="137">
        <f t="shared" si="28"/>
        <v>120100</v>
      </c>
      <c r="AS16" s="138">
        <f>CF16+CG16</f>
        <v>195300</v>
      </c>
      <c r="AT16" s="141">
        <v>496200</v>
      </c>
      <c r="AU16" s="141">
        <v>220100</v>
      </c>
      <c r="AV16" s="141">
        <v>263200</v>
      </c>
      <c r="AW16" s="141">
        <v>119200</v>
      </c>
      <c r="AX16" s="141">
        <v>250300</v>
      </c>
      <c r="AY16" s="137">
        <v>193400</v>
      </c>
      <c r="AZ16" s="137">
        <v>103100</v>
      </c>
      <c r="BA16" s="137">
        <v>161100</v>
      </c>
      <c r="BB16" s="137">
        <v>68500</v>
      </c>
      <c r="BC16" s="137">
        <v>106700</v>
      </c>
      <c r="BD16" s="137">
        <v>73000</v>
      </c>
      <c r="BE16" s="137">
        <v>64200</v>
      </c>
      <c r="BF16" s="139">
        <v>163400</v>
      </c>
      <c r="BG16" s="137">
        <v>39800</v>
      </c>
      <c r="BH16" s="137">
        <v>232300</v>
      </c>
      <c r="BI16" s="137">
        <v>196500</v>
      </c>
      <c r="BJ16" s="137">
        <v>112900</v>
      </c>
      <c r="BK16" s="137">
        <v>116100</v>
      </c>
      <c r="BL16" s="137">
        <v>235200</v>
      </c>
      <c r="BM16" s="137">
        <v>66500</v>
      </c>
      <c r="BN16" s="137">
        <v>223100</v>
      </c>
      <c r="BO16" s="137">
        <v>76300</v>
      </c>
      <c r="BP16" s="137">
        <v>64000</v>
      </c>
      <c r="BQ16" s="137">
        <v>79000</v>
      </c>
      <c r="BR16" s="139">
        <v>61900</v>
      </c>
      <c r="BS16" s="137">
        <v>164400</v>
      </c>
      <c r="BT16" s="137">
        <v>113500</v>
      </c>
      <c r="BU16" s="137">
        <v>69900</v>
      </c>
      <c r="BV16" s="137">
        <v>234900</v>
      </c>
      <c r="BW16" s="137">
        <v>74100</v>
      </c>
      <c r="BX16" s="137">
        <v>114300</v>
      </c>
      <c r="BY16" s="137">
        <v>80700</v>
      </c>
      <c r="BZ16" s="137">
        <v>138300</v>
      </c>
      <c r="CA16" s="137">
        <v>104200</v>
      </c>
      <c r="CB16" s="139">
        <v>76400</v>
      </c>
      <c r="CC16" s="137">
        <v>146400</v>
      </c>
      <c r="CD16" s="137">
        <v>107400</v>
      </c>
      <c r="CE16" s="137">
        <v>91300</v>
      </c>
      <c r="CF16" s="137">
        <v>119700</v>
      </c>
      <c r="CG16" s="137">
        <v>75600</v>
      </c>
      <c r="CH16" s="137">
        <v>106200</v>
      </c>
      <c r="CI16" s="137">
        <v>120100</v>
      </c>
      <c r="CJ16" s="137">
        <v>155400</v>
      </c>
      <c r="CK16" s="138">
        <v>66300</v>
      </c>
      <c r="CL16" s="140">
        <v>5945100</v>
      </c>
    </row>
    <row r="17" spans="1:90" ht="14.25">
      <c r="A17" s="80">
        <f>ROWS($A$3:A15)</f>
        <v>13</v>
      </c>
      <c r="B17" s="54" t="s">
        <v>243</v>
      </c>
      <c r="C17" s="204">
        <v>2014</v>
      </c>
      <c r="D17" s="259" t="s">
        <v>3</v>
      </c>
      <c r="E17" s="448">
        <v>42184</v>
      </c>
      <c r="F17" s="167">
        <f>(AT16*AT17+AU16*AU17+AV16*AV17+AW16*AW17+AX16*AX17+AY16*AY17+AZ16*AZ17+BA16*BA17+BB16*BB17+BC16*BC17+BD16*BD17+BE16*BE17+BF16*BF17)/F16</f>
        <v>4.2301818181818183</v>
      </c>
      <c r="G17" s="168">
        <f>(BG16*BG17+BH16*BH17+BI16*BI17+BJ16*BJ17+BK16*BK17+BL16*BL17+BM16*BM17+BN16*BN17+BO16*BO17+BP16*BP17+BQ16*BQ17+BR16*BR17)/G16</f>
        <v>4.7626521247589277</v>
      </c>
      <c r="H17" s="168">
        <f>(BS16*BS17+BT16*BT17+BU16*BU17+BV16*BV17+BW16*BW17+BX16*BX17+BY16*BY17+BZ16*BZ17+CA16*CA17+CB16*CB17)/H16</f>
        <v>3.8231656274024086</v>
      </c>
      <c r="I17" s="169">
        <f>(CC16*CC17+CD16*CD17+CE16*CE17+CF16*CF17+CG16*CG17+CH16*CH17+CI16*CI17+CJ16*CJ17+CK16*CK17)/I16</f>
        <v>3.407578670444197</v>
      </c>
      <c r="J17" s="173"/>
      <c r="K17" s="170">
        <f t="shared" si="0"/>
        <v>3.5</v>
      </c>
      <c r="L17" s="171">
        <f t="shared" si="1"/>
        <v>3.9</v>
      </c>
      <c r="M17" s="171">
        <f t="shared" si="2"/>
        <v>3.5</v>
      </c>
      <c r="N17" s="171">
        <f t="shared" si="3"/>
        <v>4.0999999999999996</v>
      </c>
      <c r="O17" s="171">
        <f t="shared" si="4"/>
        <v>5.4</v>
      </c>
      <c r="P17" s="168">
        <f>ROUND((AZ16*AZ17/100+BA16*BA17/100)/P16%,1)</f>
        <v>4.5999999999999996</v>
      </c>
      <c r="Q17" s="171">
        <f>'2014'!AU17</f>
        <v>3.5</v>
      </c>
      <c r="R17" s="168">
        <f>ROUND((AT16*AT17/100+AX16*AX17/100)/R16%,1)</f>
        <v>5</v>
      </c>
      <c r="S17" s="171">
        <f t="shared" si="5"/>
        <v>3.5</v>
      </c>
      <c r="T17" s="171">
        <f t="shared" si="6"/>
        <v>3</v>
      </c>
      <c r="U17" s="172">
        <f t="shared" si="6"/>
        <v>3.5</v>
      </c>
      <c r="V17" s="168">
        <f>ROUND((BG16*BG17/100+BJ16*BJ17/100)/V16%,1)</f>
        <v>4</v>
      </c>
      <c r="W17" s="171">
        <f t="shared" si="8"/>
        <v>3.7</v>
      </c>
      <c r="X17" s="168">
        <f>ROUND((BH16*BH17/100+BI16*BI17/100)/X16%,1)</f>
        <v>4.5</v>
      </c>
      <c r="Y17" s="168">
        <f>ROUND((BK16*BK17/100+BL16*BL17/100+BN16*BN17/100)/Y16%,1)</f>
        <v>5.3</v>
      </c>
      <c r="Z17" s="171">
        <f t="shared" si="11"/>
        <v>3.9</v>
      </c>
      <c r="AA17" s="168">
        <f>ROUND((BO16*BO17/100+BQ16*BQ17/100)/AA16%,1)</f>
        <v>5.2</v>
      </c>
      <c r="AB17" s="172">
        <f t="shared" si="13"/>
        <v>4.0999999999999996</v>
      </c>
      <c r="AC17" s="171">
        <f t="shared" si="14"/>
        <v>3.7</v>
      </c>
      <c r="AD17" s="171">
        <f t="shared" si="15"/>
        <v>3.3</v>
      </c>
      <c r="AE17" s="168">
        <f>ROUND((BS16*BS17/100+BT16*BT17/100)/AE16%,1)</f>
        <v>4.9000000000000004</v>
      </c>
      <c r="AF17" s="171">
        <f t="shared" si="17"/>
        <v>3.5</v>
      </c>
      <c r="AG17" s="171">
        <f t="shared" si="18"/>
        <v>3.6</v>
      </c>
      <c r="AH17" s="171">
        <f t="shared" si="19"/>
        <v>4.2</v>
      </c>
      <c r="AI17" s="171">
        <f t="shared" si="20"/>
        <v>2.9</v>
      </c>
      <c r="AJ17" s="171">
        <f t="shared" si="21"/>
        <v>2.8</v>
      </c>
      <c r="AK17" s="172">
        <f t="shared" si="22"/>
        <v>3</v>
      </c>
      <c r="AL17" s="171">
        <f t="shared" si="23"/>
        <v>4.0999999999999996</v>
      </c>
      <c r="AM17" s="171">
        <f t="shared" si="24"/>
        <v>2.6</v>
      </c>
      <c r="AN17" s="171">
        <f t="shared" si="25"/>
        <v>2.9</v>
      </c>
      <c r="AO17" s="171">
        <f t="shared" si="26"/>
        <v>3.8</v>
      </c>
      <c r="AP17" s="171">
        <f t="shared" si="26"/>
        <v>3.3</v>
      </c>
      <c r="AQ17" s="171">
        <f t="shared" si="27"/>
        <v>3.7</v>
      </c>
      <c r="AR17" s="171">
        <f t="shared" si="28"/>
        <v>2.8</v>
      </c>
      <c r="AS17" s="169">
        <f>ROUND((CF16*CF17/100+CG16*CG17/100)/AS16%,1)</f>
        <v>4</v>
      </c>
      <c r="AT17" s="173">
        <v>5.7</v>
      </c>
      <c r="AU17" s="171">
        <v>3.5</v>
      </c>
      <c r="AV17" s="171">
        <v>3.5</v>
      </c>
      <c r="AW17" s="171">
        <v>4.0999999999999996</v>
      </c>
      <c r="AX17" s="171">
        <v>3.7</v>
      </c>
      <c r="AY17" s="171">
        <v>3.9</v>
      </c>
      <c r="AZ17" s="171">
        <v>6.3</v>
      </c>
      <c r="BA17" s="171">
        <v>3.5</v>
      </c>
      <c r="BB17" s="171">
        <v>3</v>
      </c>
      <c r="BC17" s="171">
        <v>3.5</v>
      </c>
      <c r="BD17" s="171">
        <v>3.5</v>
      </c>
      <c r="BE17" s="171">
        <v>5.4</v>
      </c>
      <c r="BF17" s="172">
        <v>3.5</v>
      </c>
      <c r="BG17" s="171">
        <v>5.6</v>
      </c>
      <c r="BH17" s="171">
        <v>5.5</v>
      </c>
      <c r="BI17" s="171">
        <v>3.3</v>
      </c>
      <c r="BJ17" s="171">
        <v>3.5</v>
      </c>
      <c r="BK17" s="171">
        <v>5.4</v>
      </c>
      <c r="BL17" s="171">
        <v>6.1</v>
      </c>
      <c r="BM17" s="171">
        <v>3.9</v>
      </c>
      <c r="BN17" s="171">
        <v>4.5</v>
      </c>
      <c r="BO17" s="171">
        <v>7.6</v>
      </c>
      <c r="BP17" s="171">
        <v>4.0999999999999996</v>
      </c>
      <c r="BQ17" s="171">
        <v>2.8</v>
      </c>
      <c r="BR17" s="172">
        <v>3.7</v>
      </c>
      <c r="BS17" s="171">
        <v>6</v>
      </c>
      <c r="BT17" s="171">
        <v>3.3</v>
      </c>
      <c r="BU17" s="171">
        <v>3.3</v>
      </c>
      <c r="BV17" s="171">
        <v>3.6</v>
      </c>
      <c r="BW17" s="171">
        <v>2.9</v>
      </c>
      <c r="BX17" s="171">
        <v>3.7</v>
      </c>
      <c r="BY17" s="171">
        <v>2.8</v>
      </c>
      <c r="BZ17" s="171">
        <v>4.2</v>
      </c>
      <c r="CA17" s="171">
        <v>3.5</v>
      </c>
      <c r="CB17" s="172">
        <v>3</v>
      </c>
      <c r="CC17" s="171">
        <v>3.8</v>
      </c>
      <c r="CD17" s="171">
        <v>3.3</v>
      </c>
      <c r="CE17" s="171">
        <v>4.0999999999999996</v>
      </c>
      <c r="CF17" s="171">
        <v>4.7</v>
      </c>
      <c r="CG17" s="173">
        <v>2.8</v>
      </c>
      <c r="CH17" s="171">
        <v>2.6</v>
      </c>
      <c r="CI17" s="171">
        <v>2.8</v>
      </c>
      <c r="CJ17" s="171">
        <v>2.9</v>
      </c>
      <c r="CK17" s="174">
        <v>3.7</v>
      </c>
      <c r="CL17" s="319">
        <v>4</v>
      </c>
    </row>
    <row r="18" spans="1:90">
      <c r="A18" s="80">
        <f>ROWS($A$3:A16)</f>
        <v>14</v>
      </c>
      <c r="B18" s="238" t="s">
        <v>270</v>
      </c>
      <c r="C18" s="393">
        <v>2010</v>
      </c>
      <c r="D18" s="259" t="s">
        <v>11</v>
      </c>
      <c r="E18" s="447">
        <v>40897</v>
      </c>
      <c r="F18" s="302">
        <v>65993</v>
      </c>
      <c r="G18" s="141">
        <v>23507</v>
      </c>
      <c r="H18" s="141">
        <v>61838</v>
      </c>
      <c r="I18" s="298">
        <v>38779</v>
      </c>
      <c r="J18" s="173"/>
      <c r="K18" s="116">
        <f>BF18</f>
        <v>4934</v>
      </c>
      <c r="L18" s="137">
        <f>AY18</f>
        <v>7021</v>
      </c>
      <c r="M18" s="137">
        <f>BD18</f>
        <v>5124</v>
      </c>
      <c r="N18" s="137">
        <f>AW18</f>
        <v>2210</v>
      </c>
      <c r="O18" s="137">
        <f>BE18</f>
        <v>1489</v>
      </c>
      <c r="P18" s="143">
        <f>'2014'!AZ18+'2014'!BA18</f>
        <v>17120</v>
      </c>
      <c r="Q18" s="137">
        <f>'2014'!AU18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c r="A19" s="80">
        <f>ROWS($A$3:A17)</f>
        <v>15</v>
      </c>
      <c r="B19" s="238" t="s">
        <v>268</v>
      </c>
      <c r="C19" s="202">
        <v>2012</v>
      </c>
      <c r="D19" s="259" t="s">
        <v>11</v>
      </c>
      <c r="E19" s="448">
        <v>41487</v>
      </c>
      <c r="F19" s="302">
        <v>1597502</v>
      </c>
      <c r="G19" s="141">
        <v>1042894</v>
      </c>
      <c r="H19" s="141">
        <v>774307</v>
      </c>
      <c r="I19" s="298">
        <v>656965</v>
      </c>
      <c r="J19" s="173"/>
      <c r="K19" s="116">
        <f>BF19</f>
        <v>109150</v>
      </c>
      <c r="L19" s="137">
        <f>AY19</f>
        <v>129344</v>
      </c>
      <c r="M19" s="137">
        <f>BD19</f>
        <v>49701</v>
      </c>
      <c r="N19" s="137">
        <f>AW19</f>
        <v>79719</v>
      </c>
      <c r="O19" s="137">
        <f>BE19</f>
        <v>47293</v>
      </c>
      <c r="P19" s="143">
        <f>'2014'!AZ19+'2014'!BA19</f>
        <v>179832</v>
      </c>
      <c r="Q19" s="137">
        <f>'2014'!AU19</f>
        <v>158600</v>
      </c>
      <c r="R19" s="143">
        <f>AT19+AX19</f>
        <v>535665</v>
      </c>
      <c r="S19" s="137">
        <f>AV19</f>
        <v>187097</v>
      </c>
      <c r="T19" s="137">
        <f>BB19</f>
        <v>49782</v>
      </c>
      <c r="U19" s="139">
        <f>BC19</f>
        <v>71319</v>
      </c>
      <c r="V19" s="143">
        <f>BG19+BJ19</f>
        <v>111881</v>
      </c>
      <c r="W19" s="137">
        <f>BR19</f>
        <v>42442</v>
      </c>
      <c r="X19" s="143">
        <f>BH19+BI19</f>
        <v>297838</v>
      </c>
      <c r="Y19" s="143">
        <f>BK19+BL19+BN19</f>
        <v>401686</v>
      </c>
      <c r="Z19" s="137">
        <f>BM19</f>
        <v>42030</v>
      </c>
      <c r="AA19" s="143">
        <f>BO19+BQ19</f>
        <v>105030</v>
      </c>
      <c r="AB19" s="139">
        <f>BP19</f>
        <v>41987</v>
      </c>
      <c r="AC19" s="137">
        <f>BX19</f>
        <v>78457</v>
      </c>
      <c r="AD19" s="137">
        <f>BU19</f>
        <v>45332</v>
      </c>
      <c r="AE19" s="143">
        <f>BS19+BT19</f>
        <v>179273</v>
      </c>
      <c r="AF19" s="137">
        <f>CA19</f>
        <v>69688</v>
      </c>
      <c r="AG19" s="137">
        <f>BV19</f>
        <v>157944</v>
      </c>
      <c r="AH19" s="137">
        <f>BZ19</f>
        <v>88918</v>
      </c>
      <c r="AI19" s="137">
        <f>BW19</f>
        <v>50130</v>
      </c>
      <c r="AJ19" s="137">
        <f>BY19</f>
        <v>56433</v>
      </c>
      <c r="AK19" s="139">
        <f>CB19</f>
        <v>48132</v>
      </c>
      <c r="AL19" s="137">
        <f>CE19</f>
        <v>61505</v>
      </c>
      <c r="AM19" s="137">
        <f>CH19</f>
        <v>71226</v>
      </c>
      <c r="AN19" s="137">
        <f>CJ19</f>
        <v>101087</v>
      </c>
      <c r="AO19" s="137">
        <f>CC19</f>
        <v>98786</v>
      </c>
      <c r="AP19" s="137">
        <f>CD19</f>
        <v>67802</v>
      </c>
      <c r="AQ19" s="137">
        <f>CK19</f>
        <v>41732</v>
      </c>
      <c r="AR19" s="137">
        <f>CI19</f>
        <v>80778</v>
      </c>
      <c r="AS19" s="144">
        <f>CF19+CG19</f>
        <v>134049</v>
      </c>
      <c r="AT19" s="141">
        <v>359817</v>
      </c>
      <c r="AU19" s="137">
        <v>158600</v>
      </c>
      <c r="AV19" s="137">
        <v>187097</v>
      </c>
      <c r="AW19" s="137">
        <v>79719</v>
      </c>
      <c r="AX19" s="137">
        <v>175848</v>
      </c>
      <c r="AY19" s="137">
        <v>129344</v>
      </c>
      <c r="AZ19" s="137">
        <v>63321</v>
      </c>
      <c r="BA19" s="137">
        <v>116511</v>
      </c>
      <c r="BB19" s="137">
        <v>49782</v>
      </c>
      <c r="BC19" s="137">
        <v>71319</v>
      </c>
      <c r="BD19" s="137">
        <v>49701</v>
      </c>
      <c r="BE19" s="137">
        <v>47293</v>
      </c>
      <c r="BF19" s="139">
        <v>109150</v>
      </c>
      <c r="BG19" s="137">
        <v>31306</v>
      </c>
      <c r="BH19" s="137">
        <v>163521</v>
      </c>
      <c r="BI19" s="137">
        <v>134317</v>
      </c>
      <c r="BJ19" s="137">
        <v>80575</v>
      </c>
      <c r="BK19" s="137">
        <v>82246</v>
      </c>
      <c r="BL19" s="137">
        <v>170843</v>
      </c>
      <c r="BM19" s="137">
        <v>42030</v>
      </c>
      <c r="BN19" s="137">
        <v>148597</v>
      </c>
      <c r="BO19" s="137">
        <v>51124</v>
      </c>
      <c r="BP19" s="137">
        <v>41987</v>
      </c>
      <c r="BQ19" s="137">
        <v>53906</v>
      </c>
      <c r="BR19" s="139">
        <v>42442</v>
      </c>
      <c r="BS19" s="137">
        <v>107888</v>
      </c>
      <c r="BT19" s="137">
        <v>71385</v>
      </c>
      <c r="BU19" s="137">
        <v>45332</v>
      </c>
      <c r="BV19" s="137">
        <v>157944</v>
      </c>
      <c r="BW19" s="137">
        <v>50130</v>
      </c>
      <c r="BX19" s="137">
        <v>78457</v>
      </c>
      <c r="BY19" s="137">
        <v>56433</v>
      </c>
      <c r="BZ19" s="137">
        <v>88918</v>
      </c>
      <c r="CA19" s="137">
        <v>69688</v>
      </c>
      <c r="CB19" s="139">
        <v>48132</v>
      </c>
      <c r="CC19" s="137">
        <v>98786</v>
      </c>
      <c r="CD19" s="137">
        <v>67802</v>
      </c>
      <c r="CE19" s="137">
        <v>61505</v>
      </c>
      <c r="CF19" s="137">
        <v>84825</v>
      </c>
      <c r="CG19" s="141">
        <v>49224</v>
      </c>
      <c r="CH19" s="137">
        <v>71226</v>
      </c>
      <c r="CI19" s="137">
        <v>80778</v>
      </c>
      <c r="CJ19" s="137">
        <v>101087</v>
      </c>
      <c r="CK19" s="138">
        <v>41732</v>
      </c>
      <c r="CL19" s="320">
        <v>4071668</v>
      </c>
    </row>
    <row r="20" spans="1:90">
      <c r="A20" s="80">
        <f>ROWS($A$3:A18)</f>
        <v>16</v>
      </c>
      <c r="B20" s="92" t="s">
        <v>64</v>
      </c>
      <c r="C20" s="204">
        <v>2012</v>
      </c>
      <c r="D20" s="259" t="s">
        <v>285</v>
      </c>
      <c r="E20" s="448">
        <v>41954</v>
      </c>
      <c r="F20" s="116">
        <v>145907.92499999999</v>
      </c>
      <c r="G20" s="137">
        <v>88567.297000000006</v>
      </c>
      <c r="H20" s="137">
        <v>62688.027000000002</v>
      </c>
      <c r="I20" s="138">
        <v>56924.069000000003</v>
      </c>
      <c r="J20" s="141"/>
      <c r="K20" s="116">
        <f t="shared" si="0"/>
        <v>9903.6929999999993</v>
      </c>
      <c r="L20" s="137">
        <f t="shared" si="1"/>
        <v>10732.052</v>
      </c>
      <c r="M20" s="137">
        <f t="shared" si="2"/>
        <v>4072.4079999999999</v>
      </c>
      <c r="N20" s="137">
        <f t="shared" si="3"/>
        <v>6652.6009999999997</v>
      </c>
      <c r="O20" s="137">
        <f t="shared" si="4"/>
        <v>3620.6570000000002</v>
      </c>
      <c r="P20" s="137">
        <f>'2014'!AZ20+'2014'!BA20</f>
        <v>17747.184000000001</v>
      </c>
      <c r="Q20" s="137">
        <f>'2014'!AU20</f>
        <v>15376.76</v>
      </c>
      <c r="R20" s="137">
        <f>AT20+AX20</f>
        <v>52077.243999999992</v>
      </c>
      <c r="S20" s="137">
        <f t="shared" si="5"/>
        <v>15821.448</v>
      </c>
      <c r="T20" s="137">
        <f t="shared" si="6"/>
        <v>4030.433</v>
      </c>
      <c r="U20" s="139">
        <f t="shared" si="6"/>
        <v>5873.4459999999999</v>
      </c>
      <c r="V20" s="137">
        <f>BG20+BJ20</f>
        <v>9645.4680000000008</v>
      </c>
      <c r="W20" s="137">
        <f t="shared" si="8"/>
        <v>3419.2159999999999</v>
      </c>
      <c r="X20" s="137">
        <f>BH20+BI20</f>
        <v>26494.387999999999</v>
      </c>
      <c r="Y20" s="137">
        <f>BK20+BL20+BN20</f>
        <v>33103.358</v>
      </c>
      <c r="Z20" s="137">
        <f t="shared" si="11"/>
        <v>3651.9989999999998</v>
      </c>
      <c r="AA20" s="137">
        <f>BO20+BQ20</f>
        <v>8713.5080000000016</v>
      </c>
      <c r="AB20" s="139">
        <f t="shared" si="13"/>
        <v>3539.3609999999999</v>
      </c>
      <c r="AC20" s="137">
        <f t="shared" si="14"/>
        <v>6105.1859999999997</v>
      </c>
      <c r="AD20" s="137">
        <f t="shared" si="15"/>
        <v>3689.9070000000002</v>
      </c>
      <c r="AE20" s="137">
        <f>BS20+BT20</f>
        <v>13981.393</v>
      </c>
      <c r="AF20" s="137">
        <f t="shared" si="17"/>
        <v>5791.3190000000004</v>
      </c>
      <c r="AG20" s="137">
        <f t="shared" si="18"/>
        <v>12926.192999999999</v>
      </c>
      <c r="AH20" s="137">
        <f t="shared" si="19"/>
        <v>6946.7849999999999</v>
      </c>
      <c r="AI20" s="137">
        <f t="shared" si="20"/>
        <v>4387.607</v>
      </c>
      <c r="AJ20" s="137">
        <f t="shared" si="21"/>
        <v>4890.9179999999997</v>
      </c>
      <c r="AK20" s="139">
        <f t="shared" si="22"/>
        <v>3968.7190000000001</v>
      </c>
      <c r="AL20" s="137">
        <f t="shared" si="23"/>
        <v>5094.6040000000003</v>
      </c>
      <c r="AM20" s="137">
        <f t="shared" si="24"/>
        <v>6965.5519999999997</v>
      </c>
      <c r="AN20" s="137">
        <f t="shared" si="25"/>
        <v>8936.9789999999994</v>
      </c>
      <c r="AO20" s="137">
        <f t="shared" si="26"/>
        <v>8363.9320000000007</v>
      </c>
      <c r="AP20" s="137">
        <f t="shared" si="26"/>
        <v>5553.4030000000002</v>
      </c>
      <c r="AQ20" s="137">
        <f t="shared" si="27"/>
        <v>3518.0720000000001</v>
      </c>
      <c r="AR20" s="137">
        <f t="shared" si="28"/>
        <v>7461.9080000000004</v>
      </c>
      <c r="AS20" s="138">
        <f>CF20+CG20</f>
        <v>11029.618</v>
      </c>
      <c r="AT20" s="141">
        <v>35507.269999999997</v>
      </c>
      <c r="AU20" s="137">
        <v>15376.76</v>
      </c>
      <c r="AV20" s="137">
        <v>15821.448</v>
      </c>
      <c r="AW20" s="137">
        <v>6652.6009999999997</v>
      </c>
      <c r="AX20" s="137">
        <v>16569.973999999998</v>
      </c>
      <c r="AY20" s="137">
        <v>10732.052</v>
      </c>
      <c r="AZ20" s="137">
        <v>4831.0420000000004</v>
      </c>
      <c r="BA20" s="137">
        <v>12916.142</v>
      </c>
      <c r="BB20" s="137">
        <v>4030.433</v>
      </c>
      <c r="BC20" s="137">
        <v>5873.4459999999999</v>
      </c>
      <c r="BD20" s="137">
        <v>4072.4079999999999</v>
      </c>
      <c r="BE20" s="137">
        <v>3620.6570000000002</v>
      </c>
      <c r="BF20" s="139">
        <v>9903.6929999999993</v>
      </c>
      <c r="BG20" s="137">
        <v>2485.9270000000001</v>
      </c>
      <c r="BH20" s="137">
        <v>14060.191999999999</v>
      </c>
      <c r="BI20" s="137">
        <v>12434.196</v>
      </c>
      <c r="BJ20" s="137">
        <v>7159.5410000000002</v>
      </c>
      <c r="BK20" s="137">
        <v>6099.4319999999998</v>
      </c>
      <c r="BL20" s="137">
        <v>14015.786</v>
      </c>
      <c r="BM20" s="137">
        <v>3651.9989999999998</v>
      </c>
      <c r="BN20" s="137">
        <v>12988.14</v>
      </c>
      <c r="BO20" s="137">
        <v>4205.8630000000003</v>
      </c>
      <c r="BP20" s="137">
        <v>3539.3609999999999</v>
      </c>
      <c r="BQ20" s="137">
        <v>4507.6450000000004</v>
      </c>
      <c r="BR20" s="139">
        <v>3419.2159999999999</v>
      </c>
      <c r="BS20" s="137">
        <v>8206.7099999999991</v>
      </c>
      <c r="BT20" s="137">
        <v>5774.683</v>
      </c>
      <c r="BU20" s="137">
        <v>3689.9070000000002</v>
      </c>
      <c r="BV20" s="137">
        <v>12926.192999999999</v>
      </c>
      <c r="BW20" s="137">
        <v>4387.607</v>
      </c>
      <c r="BX20" s="137">
        <v>6105.1859999999997</v>
      </c>
      <c r="BY20" s="137">
        <v>4890.9179999999997</v>
      </c>
      <c r="BZ20" s="137">
        <v>6946.7849999999999</v>
      </c>
      <c r="CA20" s="137">
        <v>5791.3190000000004</v>
      </c>
      <c r="CB20" s="139">
        <v>3968.7190000000001</v>
      </c>
      <c r="CC20" s="137">
        <v>8363.9320000000007</v>
      </c>
      <c r="CD20" s="137">
        <v>5553.4030000000002</v>
      </c>
      <c r="CE20" s="137">
        <v>5094.6040000000003</v>
      </c>
      <c r="CF20" s="137">
        <v>6684.1840000000002</v>
      </c>
      <c r="CG20" s="141">
        <v>4345.4340000000002</v>
      </c>
      <c r="CH20" s="137">
        <v>6965.5519999999997</v>
      </c>
      <c r="CI20" s="137">
        <v>7461.9080000000004</v>
      </c>
      <c r="CJ20" s="137">
        <v>8936.9789999999994</v>
      </c>
      <c r="CK20" s="138">
        <v>3518.0720000000001</v>
      </c>
      <c r="CL20" s="140">
        <v>354087.31900000002</v>
      </c>
    </row>
    <row r="21" spans="1:90">
      <c r="A21" s="80">
        <f>ROWS($A$3:A19)</f>
        <v>17</v>
      </c>
      <c r="B21" s="53" t="s">
        <v>62</v>
      </c>
      <c r="C21" s="261"/>
      <c r="D21" s="260" t="s">
        <v>3</v>
      </c>
      <c r="E21" s="451"/>
      <c r="F21" s="167">
        <f>F118/F20%</f>
        <v>0.44068887964790132</v>
      </c>
      <c r="G21" s="168">
        <f>G118/G20%</f>
        <v>0.36582351609985342</v>
      </c>
      <c r="H21" s="168">
        <f>H118/H20%</f>
        <v>0.7976004732131704</v>
      </c>
      <c r="I21" s="169">
        <f>I118/I20%</f>
        <v>0.80106711978021095</v>
      </c>
      <c r="J21" s="173"/>
      <c r="K21" s="167">
        <f t="shared" ref="K21:BV21" si="33">K118/K20%</f>
        <v>0.76739050776311424</v>
      </c>
      <c r="L21" s="168">
        <f t="shared" si="33"/>
        <v>0.44725836214733211</v>
      </c>
      <c r="M21" s="168">
        <f t="shared" si="33"/>
        <v>1.4242187914374003</v>
      </c>
      <c r="N21" s="168">
        <f t="shared" si="33"/>
        <v>0.43591972523228134</v>
      </c>
      <c r="O21" s="168">
        <f t="shared" si="33"/>
        <v>0.80095960484519801</v>
      </c>
      <c r="P21" s="168">
        <f t="shared" si="33"/>
        <v>0.51275740421691685</v>
      </c>
      <c r="Q21" s="168">
        <f t="shared" si="33"/>
        <v>0.14307305310091331</v>
      </c>
      <c r="R21" s="168">
        <f t="shared" si="33"/>
        <v>0.14593706226082165</v>
      </c>
      <c r="S21" s="168">
        <f t="shared" si="33"/>
        <v>0.18961601997491001</v>
      </c>
      <c r="T21" s="168">
        <f t="shared" si="33"/>
        <v>1.761597327135819</v>
      </c>
      <c r="U21" s="176">
        <f t="shared" si="33"/>
        <v>1.9409389309104059</v>
      </c>
      <c r="V21" s="168">
        <f t="shared" si="33"/>
        <v>0.45617278498046954</v>
      </c>
      <c r="W21" s="168">
        <f t="shared" si="33"/>
        <v>0.73116176339839301</v>
      </c>
      <c r="X21" s="168">
        <f t="shared" si="33"/>
        <v>0.22268866901171677</v>
      </c>
      <c r="Y21" s="168">
        <f t="shared" si="33"/>
        <v>0.23260480099934269</v>
      </c>
      <c r="Z21" s="168">
        <f t="shared" si="33"/>
        <v>1.5334067725648337</v>
      </c>
      <c r="AA21" s="168">
        <f t="shared" si="33"/>
        <v>0.39019875806621163</v>
      </c>
      <c r="AB21" s="176">
        <f t="shared" si="33"/>
        <v>0.81935694041947127</v>
      </c>
      <c r="AC21" s="168">
        <f t="shared" si="33"/>
        <v>0.62242165922545201</v>
      </c>
      <c r="AD21" s="168">
        <f t="shared" si="33"/>
        <v>1.1382400694651653</v>
      </c>
      <c r="AE21" s="168">
        <f t="shared" si="33"/>
        <v>0.82967412474565305</v>
      </c>
      <c r="AF21" s="168">
        <f t="shared" si="33"/>
        <v>0.69068894322692287</v>
      </c>
      <c r="AG21" s="168">
        <f t="shared" si="33"/>
        <v>0.8896664315626418</v>
      </c>
      <c r="AH21" s="168">
        <f t="shared" si="33"/>
        <v>0.89249919207230399</v>
      </c>
      <c r="AI21" s="168">
        <f t="shared" si="33"/>
        <v>0.72932694290988231</v>
      </c>
      <c r="AJ21" s="168">
        <f t="shared" si="33"/>
        <v>0.42936724762099876</v>
      </c>
      <c r="AK21" s="176">
        <f t="shared" si="33"/>
        <v>0.88189665229511083</v>
      </c>
      <c r="AL21" s="168">
        <f t="shared" si="33"/>
        <v>0.49071527443546148</v>
      </c>
      <c r="AM21" s="168">
        <f t="shared" si="33"/>
        <v>1.2059345763264706</v>
      </c>
      <c r="AN21" s="168">
        <f t="shared" si="33"/>
        <v>1.1748936637313347</v>
      </c>
      <c r="AO21" s="168">
        <f t="shared" si="33"/>
        <v>0.3825951717445813</v>
      </c>
      <c r="AP21" s="168">
        <f t="shared" si="33"/>
        <v>0.27010465474952927</v>
      </c>
      <c r="AQ21" s="168">
        <f t="shared" si="33"/>
        <v>1.5065069731375593</v>
      </c>
      <c r="AR21" s="168">
        <f t="shared" si="33"/>
        <v>0.81748528660498099</v>
      </c>
      <c r="AS21" s="169">
        <f t="shared" si="33"/>
        <v>0.71625327368545311</v>
      </c>
      <c r="AT21" s="168">
        <f t="shared" si="33"/>
        <v>5.0693843824095752E-2</v>
      </c>
      <c r="AU21" s="168">
        <f t="shared" si="33"/>
        <v>0.14307305310091331</v>
      </c>
      <c r="AV21" s="168">
        <f t="shared" si="33"/>
        <v>0.18961601997491001</v>
      </c>
      <c r="AW21" s="168">
        <f t="shared" si="33"/>
        <v>0.43591972523228134</v>
      </c>
      <c r="AX21" s="168">
        <f t="shared" si="33"/>
        <v>0.35003072424857157</v>
      </c>
      <c r="AY21" s="168">
        <f t="shared" si="33"/>
        <v>0.44725836214733211</v>
      </c>
      <c r="AZ21" s="168">
        <f t="shared" si="33"/>
        <v>0.22769414962651949</v>
      </c>
      <c r="BA21" s="168">
        <f t="shared" si="33"/>
        <v>0.61937999752557693</v>
      </c>
      <c r="BB21" s="168">
        <f t="shared" si="33"/>
        <v>1.761597327135819</v>
      </c>
      <c r="BC21" s="168">
        <f t="shared" si="33"/>
        <v>1.9409389309104059</v>
      </c>
      <c r="BD21" s="168">
        <f t="shared" si="33"/>
        <v>1.4242187914374003</v>
      </c>
      <c r="BE21" s="168">
        <f t="shared" si="33"/>
        <v>0.80095960484519801</v>
      </c>
      <c r="BF21" s="176">
        <f t="shared" si="33"/>
        <v>0.76739050776311424</v>
      </c>
      <c r="BG21" s="168">
        <f t="shared" si="33"/>
        <v>0.48271731229436743</v>
      </c>
      <c r="BH21" s="168">
        <f t="shared" si="33"/>
        <v>7.112278409853863E-2</v>
      </c>
      <c r="BI21" s="168">
        <f t="shared" si="33"/>
        <v>0.39407453445321272</v>
      </c>
      <c r="BJ21" s="168">
        <f t="shared" si="33"/>
        <v>0.4469560269296593</v>
      </c>
      <c r="BK21" s="168">
        <f t="shared" si="33"/>
        <v>0.16394969236479726</v>
      </c>
      <c r="BL21" s="168">
        <f t="shared" si="33"/>
        <v>3.5674060662741286E-2</v>
      </c>
      <c r="BM21" s="168">
        <f t="shared" si="33"/>
        <v>1.5334067725648337</v>
      </c>
      <c r="BN21" s="168">
        <f t="shared" si="33"/>
        <v>0.47735857482287691</v>
      </c>
      <c r="BO21" s="168">
        <f t="shared" si="33"/>
        <v>0.19021066544488016</v>
      </c>
      <c r="BP21" s="168">
        <f t="shared" si="33"/>
        <v>0.81935694041947127</v>
      </c>
      <c r="BQ21" s="168">
        <f t="shared" si="33"/>
        <v>0.57679786229838415</v>
      </c>
      <c r="BR21" s="176">
        <f t="shared" si="33"/>
        <v>0.73116176339839301</v>
      </c>
      <c r="BS21" s="168">
        <f t="shared" si="33"/>
        <v>0.19496241490195218</v>
      </c>
      <c r="BT21" s="168">
        <f t="shared" si="33"/>
        <v>1.7316967875119724</v>
      </c>
      <c r="BU21" s="168">
        <f t="shared" si="33"/>
        <v>1.1382400694651653</v>
      </c>
      <c r="BV21" s="168">
        <f t="shared" si="33"/>
        <v>0.8896664315626418</v>
      </c>
      <c r="BW21" s="168">
        <f t="shared" ref="BW21:CL21" si="34">BW118/BW20%</f>
        <v>0.72932694290988231</v>
      </c>
      <c r="BX21" s="168">
        <f t="shared" si="34"/>
        <v>0.62242165922545201</v>
      </c>
      <c r="BY21" s="168">
        <f t="shared" si="34"/>
        <v>0.42936724762099876</v>
      </c>
      <c r="BZ21" s="168">
        <f t="shared" si="34"/>
        <v>0.89249919207230399</v>
      </c>
      <c r="CA21" s="168">
        <f t="shared" si="34"/>
        <v>0.69068894322692287</v>
      </c>
      <c r="CB21" s="176">
        <f t="shared" si="34"/>
        <v>0.88189665229511083</v>
      </c>
      <c r="CC21" s="168">
        <f t="shared" si="34"/>
        <v>0.3825951717445813</v>
      </c>
      <c r="CD21" s="168">
        <f t="shared" si="34"/>
        <v>0.27010465474952927</v>
      </c>
      <c r="CE21" s="168">
        <f t="shared" si="34"/>
        <v>0.49071527443546148</v>
      </c>
      <c r="CF21" s="168">
        <f t="shared" si="34"/>
        <v>0.1047248250496994</v>
      </c>
      <c r="CG21" s="168">
        <f t="shared" si="34"/>
        <v>1.656911599623881</v>
      </c>
      <c r="CH21" s="168">
        <f t="shared" si="34"/>
        <v>1.2059345763264706</v>
      </c>
      <c r="CI21" s="168">
        <f t="shared" si="34"/>
        <v>0.81748528660498099</v>
      </c>
      <c r="CJ21" s="168">
        <f t="shared" si="34"/>
        <v>1.1748936637313347</v>
      </c>
      <c r="CK21" s="169">
        <f t="shared" si="34"/>
        <v>1.5065069731375593</v>
      </c>
      <c r="CL21" s="177">
        <f t="shared" si="34"/>
        <v>0.54280396299648337</v>
      </c>
    </row>
    <row r="22" spans="1:90">
      <c r="A22" s="80">
        <f>ROWS($A$3:A20)</f>
        <v>18</v>
      </c>
      <c r="B22" s="59" t="s">
        <v>66</v>
      </c>
      <c r="C22" s="392">
        <v>2010</v>
      </c>
      <c r="D22" s="260"/>
      <c r="E22" s="451"/>
      <c r="F22" s="116"/>
      <c r="G22" s="137"/>
      <c r="H22" s="137"/>
      <c r="I22" s="138"/>
      <c r="J22" s="141"/>
      <c r="K22" s="116"/>
      <c r="L22" s="137"/>
      <c r="M22" s="137"/>
      <c r="N22" s="137"/>
      <c r="O22" s="137"/>
      <c r="P22" s="137"/>
      <c r="Q22" s="137">
        <f>'2014'!AU22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D23" s="260" t="s">
        <v>13</v>
      </c>
      <c r="E23" s="447">
        <v>40679</v>
      </c>
      <c r="F23" s="116">
        <v>14397</v>
      </c>
      <c r="G23" s="137">
        <v>4930</v>
      </c>
      <c r="H23" s="137">
        <v>13611</v>
      </c>
      <c r="I23" s="138">
        <v>11574</v>
      </c>
      <c r="J23" s="141"/>
      <c r="K23" s="116">
        <f t="shared" ref="K23:K33" si="35">BF23</f>
        <v>1827</v>
      </c>
      <c r="L23" s="137">
        <f t="shared" ref="L23:L33" si="36">AY23</f>
        <v>1288</v>
      </c>
      <c r="M23" s="137">
        <f t="shared" ref="M23:M33" si="37">BD23</f>
        <v>1552</v>
      </c>
      <c r="N23" s="137">
        <f t="shared" ref="N23:N33" si="38">AW23</f>
        <v>782</v>
      </c>
      <c r="O23" s="137">
        <f t="shared" ref="O23:O33" si="39">BE23</f>
        <v>581</v>
      </c>
      <c r="P23" s="137">
        <f>'2014'!AZ23+'2014'!BA23</f>
        <v>2309</v>
      </c>
      <c r="Q23" s="137">
        <f>'2014'!AU23</f>
        <v>604</v>
      </c>
      <c r="R23" s="137">
        <f t="shared" ref="R23:R29" si="40">AT23+AX23</f>
        <v>1535</v>
      </c>
      <c r="S23" s="137">
        <f t="shared" ref="S23:S33" si="41">AV23</f>
        <v>659</v>
      </c>
      <c r="T23" s="137">
        <f t="shared" ref="T23:U33" si="42">BB23</f>
        <v>1229</v>
      </c>
      <c r="U23" s="139">
        <f t="shared" si="42"/>
        <v>2031</v>
      </c>
      <c r="V23" s="137">
        <f t="shared" ref="V23:V29" si="43">BG23+BJ23</f>
        <v>661</v>
      </c>
      <c r="W23" s="137">
        <f t="shared" ref="W23:W33" si="44">BR23</f>
        <v>517</v>
      </c>
      <c r="X23" s="137">
        <f t="shared" ref="X23:X29" si="45">BH23+BI23</f>
        <v>828</v>
      </c>
      <c r="Y23" s="137">
        <f t="shared" ref="Y23:Y29" si="46">BK23+BL23+BN23</f>
        <v>1125</v>
      </c>
      <c r="Z23" s="137">
        <f t="shared" ref="Z23:Z33" si="47">BM23</f>
        <v>878</v>
      </c>
      <c r="AA23" s="137">
        <f t="shared" ref="AA23:AA29" si="48">BO23+BQ23</f>
        <v>457</v>
      </c>
      <c r="AB23" s="139">
        <f t="shared" ref="AB23:AB33" si="49">BP23</f>
        <v>464</v>
      </c>
      <c r="AC23" s="137">
        <f t="shared" ref="AC23:AC33" si="50">BX23</f>
        <v>1037</v>
      </c>
      <c r="AD23" s="137">
        <f t="shared" ref="AD23:AD33" si="51">BU23</f>
        <v>1422</v>
      </c>
      <c r="AE23" s="137">
        <f t="shared" ref="AE23:AE29" si="52">BS23+BT23</f>
        <v>3099</v>
      </c>
      <c r="AF23" s="137">
        <f t="shared" ref="AF23:AF33" si="53">CA23</f>
        <v>1074</v>
      </c>
      <c r="AG23" s="137">
        <f t="shared" ref="AG23:AG33" si="54">BV23</f>
        <v>3572</v>
      </c>
      <c r="AH23" s="137">
        <f t="shared" ref="AH23:AH33" si="55">BZ23</f>
        <v>900</v>
      </c>
      <c r="AI23" s="137">
        <f t="shared" ref="AI23:AI33" si="56">BW23</f>
        <v>800</v>
      </c>
      <c r="AJ23" s="137">
        <f t="shared" ref="AJ23:AJ33" si="57">BY23</f>
        <v>465</v>
      </c>
      <c r="AK23" s="139">
        <f t="shared" ref="AK23:AK33" si="58">CB23</f>
        <v>1242</v>
      </c>
      <c r="AL23" s="137">
        <f t="shared" ref="AL23:AL33" si="59">CE23</f>
        <v>755</v>
      </c>
      <c r="AM23" s="137">
        <f t="shared" ref="AM23:AM33" si="60">CH23</f>
        <v>1848</v>
      </c>
      <c r="AN23" s="137">
        <f t="shared" ref="AN23:AN33" si="61">CJ23</f>
        <v>2560</v>
      </c>
      <c r="AO23" s="137">
        <f t="shared" ref="AO23:AP33" si="62">CC23</f>
        <v>1058</v>
      </c>
      <c r="AP23" s="137">
        <f t="shared" si="62"/>
        <v>419</v>
      </c>
      <c r="AQ23" s="137">
        <f t="shared" ref="AQ23:AQ33" si="63">CK23</f>
        <v>1248</v>
      </c>
      <c r="AR23" s="137">
        <f t="shared" ref="AR23:AR33" si="64">CI23</f>
        <v>1677</v>
      </c>
      <c r="AS23" s="138">
        <f t="shared" ref="AS23:AS29" si="65">CF23+CG23</f>
        <v>2009</v>
      </c>
      <c r="AT23" s="137">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c r="A24" s="80">
        <f>ROWS($A$3:A22)</f>
        <v>20</v>
      </c>
      <c r="B24" s="52" t="s">
        <v>249</v>
      </c>
      <c r="C24" s="201"/>
      <c r="D24" s="260" t="s">
        <v>13</v>
      </c>
      <c r="E24" s="447">
        <v>40679</v>
      </c>
      <c r="F24" s="116">
        <v>2777</v>
      </c>
      <c r="G24" s="137">
        <v>850</v>
      </c>
      <c r="H24" s="137">
        <v>3557</v>
      </c>
      <c r="I24" s="138">
        <v>913</v>
      </c>
      <c r="J24" s="141"/>
      <c r="K24" s="116">
        <f t="shared" si="35"/>
        <v>84</v>
      </c>
      <c r="L24" s="137">
        <f t="shared" si="36"/>
        <v>428</v>
      </c>
      <c r="M24" s="137">
        <f t="shared" si="37"/>
        <v>173</v>
      </c>
      <c r="N24" s="137">
        <f t="shared" si="38"/>
        <v>84</v>
      </c>
      <c r="O24" s="137">
        <f t="shared" si="39"/>
        <v>22</v>
      </c>
      <c r="P24" s="137">
        <f>'2014'!AZ24+'2014'!BA24</f>
        <v>881</v>
      </c>
      <c r="Q24" s="137">
        <f>'2014'!AU24</f>
        <v>52</v>
      </c>
      <c r="R24" s="137">
        <f t="shared" si="40"/>
        <v>598</v>
      </c>
      <c r="S24" s="137">
        <f t="shared" si="41"/>
        <v>131</v>
      </c>
      <c r="T24" s="137">
        <f t="shared" si="42"/>
        <v>261</v>
      </c>
      <c r="U24" s="139">
        <f t="shared" si="42"/>
        <v>63</v>
      </c>
      <c r="V24" s="137">
        <f t="shared" si="43"/>
        <v>304</v>
      </c>
      <c r="W24" s="137">
        <f t="shared" si="44"/>
        <v>24</v>
      </c>
      <c r="X24" s="137">
        <f t="shared" si="45"/>
        <v>160</v>
      </c>
      <c r="Y24" s="137">
        <f t="shared" si="46"/>
        <v>225</v>
      </c>
      <c r="Z24" s="137">
        <f t="shared" si="47"/>
        <v>34</v>
      </c>
      <c r="AA24" s="137">
        <f t="shared" si="48"/>
        <v>78</v>
      </c>
      <c r="AB24" s="139">
        <f t="shared" si="49"/>
        <v>25</v>
      </c>
      <c r="AC24" s="137">
        <f t="shared" si="50"/>
        <v>16</v>
      </c>
      <c r="AD24" s="137">
        <f t="shared" si="51"/>
        <v>514</v>
      </c>
      <c r="AE24" s="137">
        <f t="shared" si="52"/>
        <v>1264</v>
      </c>
      <c r="AF24" s="137">
        <f t="shared" si="53"/>
        <v>215</v>
      </c>
      <c r="AG24" s="137">
        <f t="shared" si="54"/>
        <v>1291</v>
      </c>
      <c r="AH24" s="137">
        <f t="shared" si="55"/>
        <v>174</v>
      </c>
      <c r="AI24" s="137">
        <f t="shared" si="56"/>
        <v>21</v>
      </c>
      <c r="AJ24" s="137">
        <f t="shared" si="57"/>
        <v>11</v>
      </c>
      <c r="AK24" s="139">
        <f t="shared" si="58"/>
        <v>51</v>
      </c>
      <c r="AL24" s="137">
        <f t="shared" si="59"/>
        <v>23</v>
      </c>
      <c r="AM24" s="137">
        <f t="shared" si="60"/>
        <v>56</v>
      </c>
      <c r="AN24" s="137">
        <f t="shared" si="61"/>
        <v>152</v>
      </c>
      <c r="AO24" s="137">
        <f t="shared" si="62"/>
        <v>53</v>
      </c>
      <c r="AP24" s="137">
        <f t="shared" si="62"/>
        <v>41</v>
      </c>
      <c r="AQ24" s="137">
        <f t="shared" si="63"/>
        <v>40</v>
      </c>
      <c r="AR24" s="137">
        <f t="shared" si="64"/>
        <v>467</v>
      </c>
      <c r="AS24" s="138">
        <f t="shared" si="65"/>
        <v>81</v>
      </c>
      <c r="AT24" s="137">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c r="A25" s="80">
        <f>ROWS($A$3:A23)</f>
        <v>21</v>
      </c>
      <c r="B25" s="52" t="s">
        <v>250</v>
      </c>
      <c r="C25" s="201"/>
      <c r="D25" s="260" t="s">
        <v>13</v>
      </c>
      <c r="E25" s="447">
        <v>40679</v>
      </c>
      <c r="F25" s="116">
        <v>2154</v>
      </c>
      <c r="G25" s="137">
        <v>818</v>
      </c>
      <c r="H25" s="137">
        <v>2929</v>
      </c>
      <c r="I25" s="138">
        <v>1792</v>
      </c>
      <c r="J25" s="141"/>
      <c r="K25" s="116">
        <f t="shared" si="35"/>
        <v>347</v>
      </c>
      <c r="L25" s="137">
        <f t="shared" si="36"/>
        <v>246</v>
      </c>
      <c r="M25" s="137">
        <f t="shared" si="37"/>
        <v>183</v>
      </c>
      <c r="N25" s="137">
        <f t="shared" si="38"/>
        <v>115</v>
      </c>
      <c r="O25" s="137">
        <f t="shared" si="39"/>
        <v>78</v>
      </c>
      <c r="P25" s="137">
        <f>'2014'!AZ25+'2014'!BA25</f>
        <v>334</v>
      </c>
      <c r="Q25" s="137">
        <f>'2014'!AU25</f>
        <v>101</v>
      </c>
      <c r="R25" s="137">
        <f t="shared" si="40"/>
        <v>157</v>
      </c>
      <c r="S25" s="137">
        <f t="shared" si="41"/>
        <v>117</v>
      </c>
      <c r="T25" s="137">
        <f t="shared" si="42"/>
        <v>176</v>
      </c>
      <c r="U25" s="139">
        <f t="shared" si="42"/>
        <v>300</v>
      </c>
      <c r="V25" s="137">
        <f t="shared" si="43"/>
        <v>105</v>
      </c>
      <c r="W25" s="137">
        <f t="shared" si="44"/>
        <v>135</v>
      </c>
      <c r="X25" s="137">
        <f t="shared" si="45"/>
        <v>121</v>
      </c>
      <c r="Y25" s="137">
        <f t="shared" si="46"/>
        <v>133</v>
      </c>
      <c r="Z25" s="137">
        <f t="shared" si="47"/>
        <v>128</v>
      </c>
      <c r="AA25" s="137">
        <f t="shared" si="48"/>
        <v>64</v>
      </c>
      <c r="AB25" s="139">
        <f t="shared" si="49"/>
        <v>132</v>
      </c>
      <c r="AC25" s="137">
        <f t="shared" si="50"/>
        <v>215</v>
      </c>
      <c r="AD25" s="137">
        <f t="shared" si="51"/>
        <v>289</v>
      </c>
      <c r="AE25" s="137">
        <f t="shared" si="52"/>
        <v>516</v>
      </c>
      <c r="AF25" s="137">
        <f t="shared" si="53"/>
        <v>229</v>
      </c>
      <c r="AG25" s="137">
        <f t="shared" si="54"/>
        <v>928</v>
      </c>
      <c r="AH25" s="137">
        <f t="shared" si="55"/>
        <v>120</v>
      </c>
      <c r="AI25" s="137">
        <f t="shared" si="56"/>
        <v>198</v>
      </c>
      <c r="AJ25" s="137">
        <f t="shared" si="57"/>
        <v>86</v>
      </c>
      <c r="AK25" s="139">
        <f t="shared" si="58"/>
        <v>348</v>
      </c>
      <c r="AL25" s="137">
        <f t="shared" si="59"/>
        <v>173</v>
      </c>
      <c r="AM25" s="137">
        <f t="shared" si="60"/>
        <v>239</v>
      </c>
      <c r="AN25" s="137">
        <f t="shared" si="61"/>
        <v>311</v>
      </c>
      <c r="AO25" s="137">
        <f t="shared" si="62"/>
        <v>211</v>
      </c>
      <c r="AP25" s="137">
        <f t="shared" si="62"/>
        <v>71</v>
      </c>
      <c r="AQ25" s="137">
        <f t="shared" si="63"/>
        <v>218</v>
      </c>
      <c r="AR25" s="137">
        <f t="shared" si="64"/>
        <v>318</v>
      </c>
      <c r="AS25" s="138">
        <f t="shared" si="65"/>
        <v>251</v>
      </c>
      <c r="AT25" s="137">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c r="A26" s="80">
        <f>ROWS($A$3:A24)</f>
        <v>22</v>
      </c>
      <c r="B26" s="52" t="s">
        <v>251</v>
      </c>
      <c r="C26" s="201"/>
      <c r="D26" s="260" t="s">
        <v>13</v>
      </c>
      <c r="E26" s="447">
        <v>40679</v>
      </c>
      <c r="F26" s="116">
        <v>2758</v>
      </c>
      <c r="G26" s="137">
        <v>898</v>
      </c>
      <c r="H26" s="137">
        <v>2870</v>
      </c>
      <c r="I26" s="138">
        <v>2733</v>
      </c>
      <c r="J26" s="141"/>
      <c r="K26" s="116">
        <f t="shared" si="35"/>
        <v>495</v>
      </c>
      <c r="L26" s="137">
        <f t="shared" si="36"/>
        <v>245</v>
      </c>
      <c r="M26" s="137">
        <f t="shared" si="37"/>
        <v>303</v>
      </c>
      <c r="N26" s="137">
        <f t="shared" si="38"/>
        <v>160</v>
      </c>
      <c r="O26" s="137">
        <f t="shared" si="39"/>
        <v>123</v>
      </c>
      <c r="P26" s="137">
        <f>'2014'!AZ26+'2014'!BA26</f>
        <v>309</v>
      </c>
      <c r="Q26" s="137">
        <f>'2014'!AU26</f>
        <v>140</v>
      </c>
      <c r="R26" s="137">
        <f t="shared" si="40"/>
        <v>197</v>
      </c>
      <c r="S26" s="137">
        <f t="shared" si="41"/>
        <v>123</v>
      </c>
      <c r="T26" s="137">
        <f t="shared" si="42"/>
        <v>213</v>
      </c>
      <c r="U26" s="139">
        <f t="shared" si="42"/>
        <v>450</v>
      </c>
      <c r="V26" s="137">
        <f t="shared" si="43"/>
        <v>104</v>
      </c>
      <c r="W26" s="137">
        <f t="shared" si="44"/>
        <v>114</v>
      </c>
      <c r="X26" s="137">
        <f t="shared" si="45"/>
        <v>122</v>
      </c>
      <c r="Y26" s="137">
        <f t="shared" si="46"/>
        <v>175</v>
      </c>
      <c r="Z26" s="137">
        <f t="shared" si="47"/>
        <v>191</v>
      </c>
      <c r="AA26" s="137">
        <f t="shared" si="48"/>
        <v>85</v>
      </c>
      <c r="AB26" s="139">
        <f t="shared" si="49"/>
        <v>107</v>
      </c>
      <c r="AC26" s="137">
        <f t="shared" si="50"/>
        <v>228</v>
      </c>
      <c r="AD26" s="137">
        <f t="shared" si="51"/>
        <v>318</v>
      </c>
      <c r="AE26" s="137">
        <f t="shared" si="52"/>
        <v>534</v>
      </c>
      <c r="AF26" s="137">
        <f t="shared" si="53"/>
        <v>259</v>
      </c>
      <c r="AG26" s="137">
        <f t="shared" si="54"/>
        <v>707</v>
      </c>
      <c r="AH26" s="137">
        <f t="shared" si="55"/>
        <v>177</v>
      </c>
      <c r="AI26" s="137">
        <f t="shared" si="56"/>
        <v>207</v>
      </c>
      <c r="AJ26" s="137">
        <f t="shared" si="57"/>
        <v>113</v>
      </c>
      <c r="AK26" s="139">
        <f t="shared" si="58"/>
        <v>327</v>
      </c>
      <c r="AL26" s="137">
        <f t="shared" si="59"/>
        <v>183</v>
      </c>
      <c r="AM26" s="137">
        <f t="shared" si="60"/>
        <v>386</v>
      </c>
      <c r="AN26" s="137">
        <f t="shared" si="61"/>
        <v>617</v>
      </c>
      <c r="AO26" s="137">
        <f t="shared" si="62"/>
        <v>272</v>
      </c>
      <c r="AP26" s="137">
        <f t="shared" si="62"/>
        <v>91</v>
      </c>
      <c r="AQ26" s="137">
        <f t="shared" si="63"/>
        <v>306</v>
      </c>
      <c r="AR26" s="137">
        <f t="shared" si="64"/>
        <v>387</v>
      </c>
      <c r="AS26" s="138">
        <f t="shared" si="65"/>
        <v>491</v>
      </c>
      <c r="AT26" s="137">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c r="A27" s="80">
        <f>ROWS($A$3:A25)</f>
        <v>23</v>
      </c>
      <c r="B27" s="52" t="s">
        <v>252</v>
      </c>
      <c r="C27" s="201"/>
      <c r="D27" s="260" t="s">
        <v>13</v>
      </c>
      <c r="E27" s="447">
        <v>40679</v>
      </c>
      <c r="F27" s="116">
        <v>3588</v>
      </c>
      <c r="G27" s="137">
        <v>1000</v>
      </c>
      <c r="H27" s="137">
        <v>2416</v>
      </c>
      <c r="I27" s="138">
        <v>3349</v>
      </c>
      <c r="J27" s="141"/>
      <c r="K27" s="116">
        <f t="shared" si="35"/>
        <v>462</v>
      </c>
      <c r="L27" s="137">
        <f t="shared" si="36"/>
        <v>235</v>
      </c>
      <c r="M27" s="137">
        <f t="shared" si="37"/>
        <v>465</v>
      </c>
      <c r="N27" s="137">
        <f t="shared" si="38"/>
        <v>216</v>
      </c>
      <c r="O27" s="137">
        <f t="shared" si="39"/>
        <v>159</v>
      </c>
      <c r="P27" s="137">
        <f>'2014'!AZ27+'2014'!BA27</f>
        <v>418</v>
      </c>
      <c r="Q27" s="137">
        <f>'2014'!AU27</f>
        <v>153</v>
      </c>
      <c r="R27" s="137">
        <f t="shared" si="40"/>
        <v>371</v>
      </c>
      <c r="S27" s="137">
        <f t="shared" si="41"/>
        <v>155</v>
      </c>
      <c r="T27" s="137">
        <f t="shared" si="42"/>
        <v>298</v>
      </c>
      <c r="U27" s="139">
        <f t="shared" si="42"/>
        <v>656</v>
      </c>
      <c r="V27" s="137">
        <f t="shared" si="43"/>
        <v>58</v>
      </c>
      <c r="W27" s="137">
        <f t="shared" si="44"/>
        <v>129</v>
      </c>
      <c r="X27" s="137">
        <f t="shared" si="45"/>
        <v>147</v>
      </c>
      <c r="Y27" s="137">
        <f t="shared" si="46"/>
        <v>286</v>
      </c>
      <c r="Z27" s="137">
        <f t="shared" si="47"/>
        <v>210</v>
      </c>
      <c r="AA27" s="137">
        <f t="shared" si="48"/>
        <v>84</v>
      </c>
      <c r="AB27" s="139">
        <f t="shared" si="49"/>
        <v>86</v>
      </c>
      <c r="AC27" s="137">
        <f t="shared" si="50"/>
        <v>326</v>
      </c>
      <c r="AD27" s="137">
        <f t="shared" si="51"/>
        <v>210</v>
      </c>
      <c r="AE27" s="137">
        <f t="shared" si="52"/>
        <v>543</v>
      </c>
      <c r="AF27" s="137">
        <f t="shared" si="53"/>
        <v>255</v>
      </c>
      <c r="AG27" s="137">
        <f t="shared" si="54"/>
        <v>382</v>
      </c>
      <c r="AH27" s="137">
        <f t="shared" si="55"/>
        <v>190</v>
      </c>
      <c r="AI27" s="137">
        <f t="shared" si="56"/>
        <v>156</v>
      </c>
      <c r="AJ27" s="137">
        <f t="shared" si="57"/>
        <v>88</v>
      </c>
      <c r="AK27" s="139">
        <f t="shared" si="58"/>
        <v>266</v>
      </c>
      <c r="AL27" s="137">
        <f t="shared" si="59"/>
        <v>171</v>
      </c>
      <c r="AM27" s="137">
        <f t="shared" si="60"/>
        <v>605</v>
      </c>
      <c r="AN27" s="137">
        <f t="shared" si="61"/>
        <v>934</v>
      </c>
      <c r="AO27" s="137">
        <f t="shared" si="62"/>
        <v>256</v>
      </c>
      <c r="AP27" s="137">
        <f t="shared" si="62"/>
        <v>104</v>
      </c>
      <c r="AQ27" s="137">
        <f t="shared" si="63"/>
        <v>322</v>
      </c>
      <c r="AR27" s="137">
        <f t="shared" si="64"/>
        <v>351</v>
      </c>
      <c r="AS27" s="138">
        <f t="shared" si="65"/>
        <v>606</v>
      </c>
      <c r="AT27" s="137">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c r="A28" s="80">
        <f>ROWS($A$3:A26)</f>
        <v>24</v>
      </c>
      <c r="B28" s="52" t="s">
        <v>4</v>
      </c>
      <c r="C28" s="201"/>
      <c r="D28" s="260" t="s">
        <v>13</v>
      </c>
      <c r="E28" s="447">
        <v>40679</v>
      </c>
      <c r="F28" s="116">
        <v>2265</v>
      </c>
      <c r="G28" s="137">
        <v>809</v>
      </c>
      <c r="H28" s="137">
        <v>1258</v>
      </c>
      <c r="I28" s="138">
        <v>1995</v>
      </c>
      <c r="J28" s="141"/>
      <c r="K28" s="116">
        <f t="shared" si="35"/>
        <v>306</v>
      </c>
      <c r="L28" s="137">
        <f t="shared" si="36"/>
        <v>100</v>
      </c>
      <c r="M28" s="137">
        <f>BD28</f>
        <v>255</v>
      </c>
      <c r="N28" s="137">
        <f>AW28</f>
        <v>161</v>
      </c>
      <c r="O28" s="137">
        <f>BE28</f>
        <v>144</v>
      </c>
      <c r="P28" s="137">
        <f>'2014'!AZ28+'2014'!BA28</f>
        <v>252</v>
      </c>
      <c r="Q28" s="137">
        <f>'2014'!AU28</f>
        <v>110</v>
      </c>
      <c r="R28" s="137">
        <f>AT28+AX28</f>
        <v>179</v>
      </c>
      <c r="S28" s="137">
        <f>AV28</f>
        <v>103</v>
      </c>
      <c r="T28" s="137">
        <f>BB28</f>
        <v>198</v>
      </c>
      <c r="U28" s="139">
        <f>BC28</f>
        <v>457</v>
      </c>
      <c r="V28" s="137">
        <f>BG28+BJ28</f>
        <v>45</v>
      </c>
      <c r="W28" s="137">
        <f>BR28</f>
        <v>72</v>
      </c>
      <c r="X28" s="137">
        <f>BH28+BI28</f>
        <v>137</v>
      </c>
      <c r="Y28" s="137">
        <f>BK28+BL28+BN28</f>
        <v>218</v>
      </c>
      <c r="Z28" s="137">
        <f>BM28</f>
        <v>176</v>
      </c>
      <c r="AA28" s="137">
        <f>BO28+BQ28</f>
        <v>88</v>
      </c>
      <c r="AB28" s="139">
        <f>BP28</f>
        <v>73</v>
      </c>
      <c r="AC28" s="137">
        <f>BX28</f>
        <v>177</v>
      </c>
      <c r="AD28" s="137">
        <f>BU28</f>
        <v>65</v>
      </c>
      <c r="AE28" s="137">
        <f>BS28+BT28</f>
        <v>191</v>
      </c>
      <c r="AF28" s="137">
        <f>CA28</f>
        <v>97</v>
      </c>
      <c r="AG28" s="137">
        <f>BV28</f>
        <v>181</v>
      </c>
      <c r="AH28" s="137">
        <f>BZ28</f>
        <v>153</v>
      </c>
      <c r="AI28" s="137">
        <f>BW28</f>
        <v>140</v>
      </c>
      <c r="AJ28" s="137">
        <f>BY28</f>
        <v>80</v>
      </c>
      <c r="AK28" s="139">
        <f>CB28</f>
        <v>174</v>
      </c>
      <c r="AL28" s="137">
        <f>CE28</f>
        <v>100</v>
      </c>
      <c r="AM28" s="137">
        <f>CH28</f>
        <v>425</v>
      </c>
      <c r="AN28" s="137">
        <f>CJ28</f>
        <v>483</v>
      </c>
      <c r="AO28" s="137">
        <f>CC28</f>
        <v>163</v>
      </c>
      <c r="AP28" s="137">
        <f>CD28</f>
        <v>50</v>
      </c>
      <c r="AQ28" s="137">
        <f>CK28</f>
        <v>210</v>
      </c>
      <c r="AR28" s="137">
        <f>CI28</f>
        <v>125</v>
      </c>
      <c r="AS28" s="138">
        <f t="shared" si="65"/>
        <v>439</v>
      </c>
      <c r="AT28" s="137">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c r="A29" s="80">
        <f>ROWS($A$3:A27)</f>
        <v>25</v>
      </c>
      <c r="B29" s="52" t="s">
        <v>5</v>
      </c>
      <c r="C29" s="201"/>
      <c r="D29" s="260" t="s">
        <v>13</v>
      </c>
      <c r="E29" s="447">
        <v>40679</v>
      </c>
      <c r="F29" s="116">
        <v>855</v>
      </c>
      <c r="G29" s="137">
        <v>555</v>
      </c>
      <c r="H29" s="137">
        <v>581</v>
      </c>
      <c r="I29" s="138">
        <v>792</v>
      </c>
      <c r="J29" s="141"/>
      <c r="K29" s="116">
        <f t="shared" si="35"/>
        <v>133</v>
      </c>
      <c r="L29" s="137">
        <f t="shared" si="36"/>
        <v>34</v>
      </c>
      <c r="M29" s="137">
        <f t="shared" si="37"/>
        <v>173</v>
      </c>
      <c r="N29" s="137">
        <f t="shared" si="38"/>
        <v>46</v>
      </c>
      <c r="O29" s="137">
        <f t="shared" si="39"/>
        <v>55</v>
      </c>
      <c r="P29" s="137">
        <f>'2014'!AZ29+'2014'!BA29</f>
        <v>115</v>
      </c>
      <c r="Q29" s="137">
        <f>'2014'!AU29</f>
        <v>48</v>
      </c>
      <c r="R29" s="137">
        <f t="shared" si="40"/>
        <v>33</v>
      </c>
      <c r="S29" s="137">
        <f t="shared" si="41"/>
        <v>30</v>
      </c>
      <c r="T29" s="137">
        <f t="shared" si="42"/>
        <v>83</v>
      </c>
      <c r="U29" s="139">
        <f t="shared" si="42"/>
        <v>105</v>
      </c>
      <c r="V29" s="137">
        <f t="shared" si="43"/>
        <v>45</v>
      </c>
      <c r="W29" s="137">
        <f t="shared" si="44"/>
        <v>43</v>
      </c>
      <c r="X29" s="137">
        <f t="shared" si="45"/>
        <v>141</v>
      </c>
      <c r="Y29" s="137">
        <f t="shared" si="46"/>
        <v>88</v>
      </c>
      <c r="Z29" s="137">
        <f t="shared" si="47"/>
        <v>139</v>
      </c>
      <c r="AA29" s="137">
        <f t="shared" si="48"/>
        <v>58</v>
      </c>
      <c r="AB29" s="139">
        <f t="shared" si="49"/>
        <v>41</v>
      </c>
      <c r="AC29" s="137">
        <f t="shared" si="50"/>
        <v>75</v>
      </c>
      <c r="AD29" s="137">
        <f t="shared" si="51"/>
        <v>26</v>
      </c>
      <c r="AE29" s="137">
        <f t="shared" si="52"/>
        <v>51</v>
      </c>
      <c r="AF29" s="137">
        <f t="shared" si="53"/>
        <v>19</v>
      </c>
      <c r="AG29" s="137">
        <f t="shared" si="54"/>
        <v>83</v>
      </c>
      <c r="AH29" s="137">
        <f t="shared" si="55"/>
        <v>86</v>
      </c>
      <c r="AI29" s="137">
        <f t="shared" si="56"/>
        <v>78</v>
      </c>
      <c r="AJ29" s="137">
        <f t="shared" si="57"/>
        <v>87</v>
      </c>
      <c r="AK29" s="139">
        <f t="shared" si="58"/>
        <v>76</v>
      </c>
      <c r="AL29" s="137">
        <f t="shared" si="59"/>
        <v>105</v>
      </c>
      <c r="AM29" s="137">
        <f t="shared" si="60"/>
        <v>137</v>
      </c>
      <c r="AN29" s="137">
        <f t="shared" si="61"/>
        <v>63</v>
      </c>
      <c r="AO29" s="137">
        <f t="shared" si="62"/>
        <v>103</v>
      </c>
      <c r="AP29" s="137">
        <f t="shared" si="62"/>
        <v>62</v>
      </c>
      <c r="AQ29" s="137">
        <f t="shared" si="63"/>
        <v>152</v>
      </c>
      <c r="AR29" s="137">
        <f t="shared" si="64"/>
        <v>29</v>
      </c>
      <c r="AS29" s="138">
        <f t="shared" si="65"/>
        <v>141</v>
      </c>
      <c r="AT29" s="137">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c r="A30" s="80">
        <f>ROWS($A$3:A28)</f>
        <v>26</v>
      </c>
      <c r="B30" s="53" t="s">
        <v>256</v>
      </c>
      <c r="C30" s="261"/>
      <c r="D30" s="260" t="s">
        <v>1</v>
      </c>
      <c r="E30" s="451"/>
      <c r="F30" s="167">
        <f>F35/F23</f>
        <v>32.264638466347158</v>
      </c>
      <c r="G30" s="168">
        <f>G35/G23</f>
        <v>40.845436105476672</v>
      </c>
      <c r="H30" s="168">
        <f>H35/H23</f>
        <v>23.383219454852693</v>
      </c>
      <c r="I30" s="169">
        <f>I35/I23</f>
        <v>36.79255227233454</v>
      </c>
      <c r="J30" s="173"/>
      <c r="K30" s="178">
        <f t="shared" si="35"/>
        <v>35.38806787082649</v>
      </c>
      <c r="L30" s="179">
        <f t="shared" si="36"/>
        <v>19.795031055900623</v>
      </c>
      <c r="M30" s="179">
        <f t="shared" si="37"/>
        <v>43.84407216494845</v>
      </c>
      <c r="N30" s="179">
        <f t="shared" si="38"/>
        <v>35.966751918158565</v>
      </c>
      <c r="O30" s="179">
        <f t="shared" si="39"/>
        <v>45.077452667814114</v>
      </c>
      <c r="P30" s="168">
        <f>P35/P23</f>
        <v>25.152446946730187</v>
      </c>
      <c r="Q30" s="179">
        <f>'2014'!AU30</f>
        <v>36.519867549668874</v>
      </c>
      <c r="R30" s="168">
        <f>R35/R23</f>
        <v>22.584364820846904</v>
      </c>
      <c r="S30" s="179">
        <f t="shared" si="41"/>
        <v>29.792109256449166</v>
      </c>
      <c r="T30" s="179">
        <f t="shared" si="42"/>
        <v>33.543531326281531</v>
      </c>
      <c r="U30" s="180">
        <f t="shared" si="42"/>
        <v>37.588872476612508</v>
      </c>
      <c r="V30" s="168">
        <f>V35/V23</f>
        <v>24.246596066565811</v>
      </c>
      <c r="W30" s="179">
        <f t="shared" si="44"/>
        <v>36.584139264990327</v>
      </c>
      <c r="X30" s="168">
        <f>X35/X23</f>
        <v>48.205314009661834</v>
      </c>
      <c r="Y30" s="168">
        <f>Y35/Y23</f>
        <v>38.028444444444446</v>
      </c>
      <c r="Z30" s="179">
        <f t="shared" si="47"/>
        <v>52.759681093394079</v>
      </c>
      <c r="AA30" s="168">
        <f>AA35/AA23</f>
        <v>44.10503282275711</v>
      </c>
      <c r="AB30" s="180">
        <f t="shared" si="49"/>
        <v>37.181034482758619</v>
      </c>
      <c r="AC30" s="179">
        <f t="shared" si="50"/>
        <v>37.443587270973964</v>
      </c>
      <c r="AD30" s="179">
        <f t="shared" si="51"/>
        <v>15.685654008438819</v>
      </c>
      <c r="AE30" s="168">
        <f>AE35/AE23</f>
        <v>16.826072926750566</v>
      </c>
      <c r="AF30" s="179">
        <f t="shared" si="53"/>
        <v>21.553072625698324</v>
      </c>
      <c r="AG30" s="179">
        <f t="shared" si="54"/>
        <v>15.537513997760358</v>
      </c>
      <c r="AH30" s="179">
        <f t="shared" si="55"/>
        <v>37.394444444444446</v>
      </c>
      <c r="AI30" s="179">
        <f t="shared" si="56"/>
        <v>37.616250000000001</v>
      </c>
      <c r="AJ30" s="179">
        <f t="shared" si="57"/>
        <v>52.1505376344086</v>
      </c>
      <c r="AK30" s="180">
        <f t="shared" si="58"/>
        <v>30.872785829307567</v>
      </c>
      <c r="AL30" s="179">
        <f t="shared" si="59"/>
        <v>44.921854304635758</v>
      </c>
      <c r="AM30" s="179">
        <f t="shared" si="60"/>
        <v>41.305194805194802</v>
      </c>
      <c r="AN30" s="179">
        <f t="shared" si="61"/>
        <v>33.678125000000001</v>
      </c>
      <c r="AO30" s="179">
        <f t="shared" si="62"/>
        <v>40.339319470699429</v>
      </c>
      <c r="AP30" s="179">
        <f t="shared" si="62"/>
        <v>47.954653937947491</v>
      </c>
      <c r="AQ30" s="179">
        <f t="shared" si="63"/>
        <v>43.668269230769234</v>
      </c>
      <c r="AR30" s="179">
        <f t="shared" si="64"/>
        <v>19.904591532498511</v>
      </c>
      <c r="AS30" s="169">
        <f>AS35/AS23</f>
        <v>39.184171229467395</v>
      </c>
      <c r="AT30" s="168">
        <f>AT35/AT23</f>
        <v>12.631313131313131</v>
      </c>
      <c r="AU30" s="168">
        <f>AU35/AU23</f>
        <v>36.519867549668874</v>
      </c>
      <c r="AV30" s="168">
        <f t="shared" ref="AV30:CL30" si="66">AV35/AV23</f>
        <v>29.792109256449166</v>
      </c>
      <c r="AW30" s="168">
        <f t="shared" si="66"/>
        <v>35.966751918158565</v>
      </c>
      <c r="AX30" s="168">
        <f>AX35/AX23</f>
        <v>24.05833956619297</v>
      </c>
      <c r="AY30" s="168">
        <f t="shared" si="66"/>
        <v>19.795031055900623</v>
      </c>
      <c r="AZ30" s="168">
        <f t="shared" si="66"/>
        <v>22.846994535519126</v>
      </c>
      <c r="BA30" s="168">
        <f t="shared" si="66"/>
        <v>25.350893697083727</v>
      </c>
      <c r="BB30" s="168">
        <f t="shared" si="66"/>
        <v>33.543531326281531</v>
      </c>
      <c r="BC30" s="168">
        <f t="shared" si="66"/>
        <v>37.588872476612508</v>
      </c>
      <c r="BD30" s="168">
        <f t="shared" si="66"/>
        <v>43.84407216494845</v>
      </c>
      <c r="BE30" s="168">
        <f t="shared" si="66"/>
        <v>45.077452667814114</v>
      </c>
      <c r="BF30" s="176">
        <f t="shared" si="66"/>
        <v>35.38806787082649</v>
      </c>
      <c r="BG30" s="168">
        <f t="shared" si="66"/>
        <v>13.307017543859649</v>
      </c>
      <c r="BH30" s="168">
        <f>BH35/BH23</f>
        <v>38.738461538461536</v>
      </c>
      <c r="BI30" s="168">
        <f>BI35/BI23</f>
        <v>49.011795543905635</v>
      </c>
      <c r="BJ30" s="168">
        <f>BJ35/BJ23</f>
        <v>26.526508226691043</v>
      </c>
      <c r="BK30" s="168">
        <f t="shared" si="66"/>
        <v>20.573033707865168</v>
      </c>
      <c r="BL30" s="168">
        <f t="shared" si="66"/>
        <v>41.362318840579711</v>
      </c>
      <c r="BM30" s="168">
        <f>BM35/BM23</f>
        <v>52.759681093394079</v>
      </c>
      <c r="BN30" s="168">
        <f t="shared" si="66"/>
        <v>39.397104446742503</v>
      </c>
      <c r="BO30" s="168">
        <f t="shared" si="66"/>
        <v>42.458333333333336</v>
      </c>
      <c r="BP30" s="168">
        <f t="shared" si="66"/>
        <v>37.181034482758619</v>
      </c>
      <c r="BQ30" s="168">
        <f>BQ35/BQ23</f>
        <v>44.196304849884527</v>
      </c>
      <c r="BR30" s="176">
        <f t="shared" si="66"/>
        <v>36.584139264990327</v>
      </c>
      <c r="BS30" s="168">
        <f t="shared" si="66"/>
        <v>16.102803738317757</v>
      </c>
      <c r="BT30" s="168">
        <f t="shared" si="66"/>
        <v>16.879722703639516</v>
      </c>
      <c r="BU30" s="168">
        <f t="shared" si="66"/>
        <v>15.685654008438819</v>
      </c>
      <c r="BV30" s="168">
        <f t="shared" si="66"/>
        <v>15.537513997760358</v>
      </c>
      <c r="BW30" s="168">
        <f t="shared" si="66"/>
        <v>37.616250000000001</v>
      </c>
      <c r="BX30" s="168">
        <f t="shared" si="66"/>
        <v>37.443587270973964</v>
      </c>
      <c r="BY30" s="168">
        <f t="shared" si="66"/>
        <v>52.1505376344086</v>
      </c>
      <c r="BZ30" s="168">
        <f t="shared" si="66"/>
        <v>37.394444444444446</v>
      </c>
      <c r="CA30" s="168">
        <f t="shared" si="66"/>
        <v>21.553072625698324</v>
      </c>
      <c r="CB30" s="176">
        <f t="shared" si="66"/>
        <v>30.872785829307567</v>
      </c>
      <c r="CC30" s="168">
        <f t="shared" si="66"/>
        <v>40.339319470699429</v>
      </c>
      <c r="CD30" s="168">
        <f t="shared" si="66"/>
        <v>47.954653937947491</v>
      </c>
      <c r="CE30" s="168">
        <f t="shared" si="66"/>
        <v>44.921854304635758</v>
      </c>
      <c r="CF30" s="168">
        <f t="shared" si="66"/>
        <v>39.779661016949156</v>
      </c>
      <c r="CG30" s="168">
        <f t="shared" si="66"/>
        <v>39.147012162876784</v>
      </c>
      <c r="CH30" s="168">
        <f t="shared" si="66"/>
        <v>41.305194805194802</v>
      </c>
      <c r="CI30" s="168">
        <f t="shared" si="66"/>
        <v>19.904591532498511</v>
      </c>
      <c r="CJ30" s="168">
        <f t="shared" si="66"/>
        <v>33.678125000000001</v>
      </c>
      <c r="CK30" s="169">
        <f t="shared" si="66"/>
        <v>43.668269230769234</v>
      </c>
      <c r="CL30" s="177">
        <f t="shared" si="66"/>
        <v>31.67658159597412</v>
      </c>
    </row>
    <row r="31" spans="1:90">
      <c r="A31" s="80">
        <f>ROWS($A$3:A29)</f>
        <v>27</v>
      </c>
      <c r="B31" s="53" t="str">
        <f>"Entwicklung Betriebe ab 5 ha LF von 2001 / "&amp;C22</f>
        <v>Entwicklung Betriebe ab 5 ha LF von 2001 / 2010</v>
      </c>
      <c r="C31" s="261"/>
      <c r="D31" s="260" t="s">
        <v>3</v>
      </c>
      <c r="E31" s="451"/>
      <c r="F31" s="142">
        <f>(F23-F24)/('2001'!F23-'2001'!F24)%-100</f>
        <v>-21.145494028230189</v>
      </c>
      <c r="G31" s="143">
        <f>(G23-G24)/('2001'!G23-'2001'!G24)%-100</f>
        <v>-19.779787652379085</v>
      </c>
      <c r="H31" s="143">
        <f>(H23-H24)/('2001'!H23-'2001'!H24)%-100</f>
        <v>-18.794927711816499</v>
      </c>
      <c r="I31" s="144">
        <f>(I23-I24)/('2001'!I23-'2001'!I24)%-100</f>
        <v>-22.273257509477986</v>
      </c>
      <c r="J31" s="141"/>
      <c r="K31" s="116">
        <f t="shared" si="35"/>
        <v>-23.485513608428448</v>
      </c>
      <c r="L31" s="137">
        <f t="shared" si="36"/>
        <v>-17.068466730954668</v>
      </c>
      <c r="M31" s="137">
        <f t="shared" si="37"/>
        <v>-25.499729875742844</v>
      </c>
      <c r="N31" s="137">
        <f t="shared" si="38"/>
        <v>-18.266978922716618</v>
      </c>
      <c r="O31" s="137">
        <f t="shared" si="39"/>
        <v>-16.442451420029897</v>
      </c>
      <c r="P31" s="143">
        <f>100-(P23%/((AZ23%)/(100-AZ31)+(BA23%)/(100-BA31)))</f>
        <v>-18.548595714788078</v>
      </c>
      <c r="Q31" s="146">
        <f>'2014'!AU31</f>
        <v>-23.54570637119113</v>
      </c>
      <c r="R31" s="143">
        <f>100-(R23%/((AT23%)/(100-AT31)+(AX23%)/(100-AX31)))</f>
        <v>-14.41252553892528</v>
      </c>
      <c r="S31" s="146">
        <f t="shared" si="41"/>
        <v>-19.878603945371779</v>
      </c>
      <c r="T31" s="146">
        <f t="shared" si="42"/>
        <v>-25.193199381761971</v>
      </c>
      <c r="U31" s="147">
        <f t="shared" si="42"/>
        <v>-21.78060413354531</v>
      </c>
      <c r="V31" s="143">
        <f>100-(V23%/((BG23%)/(100-BG31)+(BJ23%)/(100-BJ31)))</f>
        <v>-10.70248002776637</v>
      </c>
      <c r="W31" s="146">
        <f t="shared" si="44"/>
        <v>-21.993670886075947</v>
      </c>
      <c r="X31" s="143">
        <f>100-(X23%/((BH23%)/(100-BH31)+(BI23%)/(100-BI31)))</f>
        <v>-16.486772896849217</v>
      </c>
      <c r="Y31" s="143">
        <f>100-(Y23%/((BK23%)/(100-BK31)+(BL23%)/(100-BL31)+(BN23%)/(100-BN31)))</f>
        <v>-19.588690181733554</v>
      </c>
      <c r="Z31" s="146">
        <f t="shared" si="47"/>
        <v>-23.272727272727266</v>
      </c>
      <c r="AA31" s="143">
        <f>100-(AA23%/((BO23%)/(100-BO31)+(BQ23%)/(100-BQ31)))</f>
        <v>-17.259985971940282</v>
      </c>
      <c r="AB31" s="147">
        <f t="shared" si="49"/>
        <v>-23.519163763066203</v>
      </c>
      <c r="AC31" s="146">
        <f t="shared" si="50"/>
        <v>-19.984326018808773</v>
      </c>
      <c r="AD31" s="146">
        <f t="shared" si="51"/>
        <v>-14.015151515151516</v>
      </c>
      <c r="AE31" s="143">
        <f>100-(AE23%/((BS23%)/(100-BS31)+(BT23%)/(100-BT31)))</f>
        <v>-15.770382419758363</v>
      </c>
      <c r="AF31" s="146">
        <f t="shared" si="53"/>
        <v>-19.944082013047534</v>
      </c>
      <c r="AG31" s="146">
        <f t="shared" si="54"/>
        <v>-16.385630498533729</v>
      </c>
      <c r="AH31" s="146">
        <f t="shared" si="55"/>
        <v>-21.001088139281819</v>
      </c>
      <c r="AI31" s="146">
        <f t="shared" si="56"/>
        <v>-21.233569261880689</v>
      </c>
      <c r="AJ31" s="146">
        <f t="shared" si="57"/>
        <v>-24.333333333333329</v>
      </c>
      <c r="AK31" s="147">
        <f t="shared" si="58"/>
        <v>-23.653846153846146</v>
      </c>
      <c r="AL31" s="146">
        <f t="shared" si="59"/>
        <v>-20.950323974082067</v>
      </c>
      <c r="AM31" s="146">
        <f t="shared" si="60"/>
        <v>-22.357019064124771</v>
      </c>
      <c r="AN31" s="146">
        <f t="shared" si="61"/>
        <v>-20.78947368421052</v>
      </c>
      <c r="AO31" s="146">
        <f t="shared" si="62"/>
        <v>-22.453703703703709</v>
      </c>
      <c r="AP31" s="146">
        <f t="shared" si="62"/>
        <v>-23.943661971830977</v>
      </c>
      <c r="AQ31" s="146">
        <f t="shared" si="63"/>
        <v>-25.56993222427603</v>
      </c>
      <c r="AR31" s="146">
        <f t="shared" si="64"/>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c r="A32" s="80">
        <f>ROWS($A$3:A30)</f>
        <v>28</v>
      </c>
      <c r="B32" s="53" t="s">
        <v>170</v>
      </c>
      <c r="C32" s="261"/>
      <c r="D32" s="260" t="s">
        <v>3</v>
      </c>
      <c r="E32" s="451"/>
      <c r="F32" s="116">
        <v>37</v>
      </c>
      <c r="G32" s="137">
        <v>31</v>
      </c>
      <c r="H32" s="137">
        <v>28</v>
      </c>
      <c r="I32" s="138">
        <v>42</v>
      </c>
      <c r="J32" s="141"/>
      <c r="K32" s="116">
        <f t="shared" si="35"/>
        <v>35</v>
      </c>
      <c r="L32" s="137">
        <f t="shared" si="36"/>
        <v>35</v>
      </c>
      <c r="M32" s="137">
        <f t="shared" si="37"/>
        <v>34</v>
      </c>
      <c r="N32" s="137">
        <f t="shared" si="38"/>
        <v>42</v>
      </c>
      <c r="O32" s="137">
        <f t="shared" si="39"/>
        <v>41</v>
      </c>
      <c r="P32" s="143">
        <f>(AZ23*AZ32+BA23*BA32)/P23</f>
        <v>40.664356864443484</v>
      </c>
      <c r="Q32" s="146">
        <f>'2014'!AU32</f>
        <v>30</v>
      </c>
      <c r="R32" s="143">
        <f>(AT23*AT32+AX23*AX32)/R23</f>
        <v>41.095765472312706</v>
      </c>
      <c r="S32" s="146">
        <f t="shared" si="41"/>
        <v>35</v>
      </c>
      <c r="T32" s="146">
        <f t="shared" si="42"/>
        <v>38</v>
      </c>
      <c r="U32" s="147">
        <f t="shared" si="42"/>
        <v>47</v>
      </c>
      <c r="V32" s="143">
        <f>(BG23*BG32+BJ23*BJ32)/V23</f>
        <v>16.827534039334342</v>
      </c>
      <c r="W32" s="146">
        <f t="shared" si="44"/>
        <v>25</v>
      </c>
      <c r="X32" s="143">
        <f>(BH23*BH32+BI23*BI32)/X23</f>
        <v>33.706521739130437</v>
      </c>
      <c r="Y32" s="143">
        <f>(BK23*BK32+BL23*BL32+BN23*BN32)/Y23</f>
        <v>43.694222222222223</v>
      </c>
      <c r="Z32" s="146">
        <f t="shared" si="47"/>
        <v>33</v>
      </c>
      <c r="AA32" s="143">
        <f>(BO23*BO32+BQ23*BQ32)/AA23</f>
        <v>31.997811816192559</v>
      </c>
      <c r="AB32" s="147">
        <f t="shared" si="49"/>
        <v>26</v>
      </c>
      <c r="AC32" s="146">
        <f t="shared" si="50"/>
        <v>36</v>
      </c>
      <c r="AD32" s="146">
        <f t="shared" si="51"/>
        <v>28</v>
      </c>
      <c r="AE32" s="143">
        <f>(BS23*BS32+BT23*BT32)/AE23</f>
        <v>32.138109067441107</v>
      </c>
      <c r="AF32" s="146">
        <f t="shared" si="53"/>
        <v>29</v>
      </c>
      <c r="AG32" s="146">
        <f t="shared" si="54"/>
        <v>30</v>
      </c>
      <c r="AH32" s="146">
        <f t="shared" si="55"/>
        <v>45</v>
      </c>
      <c r="AI32" s="146">
        <f t="shared" si="56"/>
        <v>26</v>
      </c>
      <c r="AJ32" s="146">
        <f t="shared" si="57"/>
        <v>26</v>
      </c>
      <c r="AK32" s="147">
        <f t="shared" si="58"/>
        <v>27</v>
      </c>
      <c r="AL32" s="146">
        <f t="shared" si="59"/>
        <v>23</v>
      </c>
      <c r="AM32" s="146">
        <f t="shared" si="60"/>
        <v>49</v>
      </c>
      <c r="AN32" s="146">
        <f t="shared" si="61"/>
        <v>59</v>
      </c>
      <c r="AO32" s="146">
        <f t="shared" si="62"/>
        <v>28</v>
      </c>
      <c r="AP32" s="146">
        <f t="shared" si="62"/>
        <v>24</v>
      </c>
      <c r="AQ32" s="146">
        <f t="shared" si="63"/>
        <v>34</v>
      </c>
      <c r="AR32" s="146">
        <f t="shared" si="64"/>
        <v>48</v>
      </c>
      <c r="AS32" s="144">
        <f>(CF23*CF32+CG23*CG32)/AS23</f>
        <v>41.411149825783973</v>
      </c>
      <c r="AT32" s="146">
        <v>62</v>
      </c>
      <c r="AU32" s="137">
        <v>30</v>
      </c>
      <c r="AV32" s="137">
        <v>35</v>
      </c>
      <c r="AW32" s="137">
        <v>42</v>
      </c>
      <c r="AX32" s="137">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c r="A33" s="80">
        <f>ROWS($A$3:A31)</f>
        <v>29</v>
      </c>
      <c r="B33" s="53" t="s">
        <v>68</v>
      </c>
      <c r="C33" s="261"/>
      <c r="D33" s="260" t="s">
        <v>3</v>
      </c>
      <c r="E33" s="451"/>
      <c r="F33" s="142">
        <f>100-F32</f>
        <v>63</v>
      </c>
      <c r="G33" s="143">
        <f>100-G32</f>
        <v>69</v>
      </c>
      <c r="H33" s="143">
        <f>100-H32</f>
        <v>72</v>
      </c>
      <c r="I33" s="144">
        <f>100-I32</f>
        <v>58</v>
      </c>
      <c r="J33" s="141"/>
      <c r="K33" s="145">
        <f t="shared" si="35"/>
        <v>65</v>
      </c>
      <c r="L33" s="146">
        <f t="shared" si="36"/>
        <v>65</v>
      </c>
      <c r="M33" s="146">
        <f t="shared" si="37"/>
        <v>66</v>
      </c>
      <c r="N33" s="146">
        <f t="shared" si="38"/>
        <v>58</v>
      </c>
      <c r="O33" s="146">
        <f t="shared" si="39"/>
        <v>59</v>
      </c>
      <c r="P33" s="143">
        <f>100-P32</f>
        <v>59.335643135556516</v>
      </c>
      <c r="Q33" s="146">
        <f>'2014'!AU33</f>
        <v>70</v>
      </c>
      <c r="R33" s="143">
        <f>100-R32</f>
        <v>58.904234527687294</v>
      </c>
      <c r="S33" s="146">
        <f t="shared" si="41"/>
        <v>65</v>
      </c>
      <c r="T33" s="146">
        <f t="shared" si="42"/>
        <v>62</v>
      </c>
      <c r="U33" s="147">
        <f t="shared" si="42"/>
        <v>53</v>
      </c>
      <c r="V33" s="143">
        <f>100-V32</f>
        <v>83.172465960665662</v>
      </c>
      <c r="W33" s="146">
        <f t="shared" si="44"/>
        <v>75</v>
      </c>
      <c r="X33" s="143">
        <f>100-X32</f>
        <v>66.293478260869563</v>
      </c>
      <c r="Y33" s="143">
        <f>100-Y32</f>
        <v>56.305777777777777</v>
      </c>
      <c r="Z33" s="146">
        <f t="shared" si="47"/>
        <v>67</v>
      </c>
      <c r="AA33" s="143">
        <f>100-AA32</f>
        <v>68.002188183807448</v>
      </c>
      <c r="AB33" s="147">
        <f t="shared" si="49"/>
        <v>74</v>
      </c>
      <c r="AC33" s="146">
        <f t="shared" si="50"/>
        <v>64</v>
      </c>
      <c r="AD33" s="146">
        <f t="shared" si="51"/>
        <v>72</v>
      </c>
      <c r="AE33" s="143">
        <f>100-AE32</f>
        <v>67.861890932558893</v>
      </c>
      <c r="AF33" s="146">
        <f t="shared" si="53"/>
        <v>71</v>
      </c>
      <c r="AG33" s="146">
        <f t="shared" si="54"/>
        <v>70</v>
      </c>
      <c r="AH33" s="146">
        <f t="shared" si="55"/>
        <v>55</v>
      </c>
      <c r="AI33" s="146">
        <f t="shared" si="56"/>
        <v>74</v>
      </c>
      <c r="AJ33" s="146">
        <f t="shared" si="57"/>
        <v>74</v>
      </c>
      <c r="AK33" s="147">
        <f t="shared" si="58"/>
        <v>73</v>
      </c>
      <c r="AL33" s="146">
        <f t="shared" si="59"/>
        <v>77</v>
      </c>
      <c r="AM33" s="146">
        <f t="shared" si="60"/>
        <v>51</v>
      </c>
      <c r="AN33" s="146">
        <f t="shared" si="61"/>
        <v>41</v>
      </c>
      <c r="AO33" s="146">
        <f t="shared" si="62"/>
        <v>72</v>
      </c>
      <c r="AP33" s="146">
        <f t="shared" si="62"/>
        <v>76</v>
      </c>
      <c r="AQ33" s="146">
        <f t="shared" si="63"/>
        <v>66</v>
      </c>
      <c r="AR33" s="146">
        <f t="shared" si="64"/>
        <v>52</v>
      </c>
      <c r="AS33" s="144">
        <f>100-AS32</f>
        <v>58.588850174216027</v>
      </c>
      <c r="AT33" s="143">
        <f>100-AT32</f>
        <v>38</v>
      </c>
      <c r="AU33" s="143">
        <f>100-AU32</f>
        <v>70</v>
      </c>
      <c r="AV33" s="143">
        <f t="shared" ref="AV33:CL33" si="67">100-AV32</f>
        <v>65</v>
      </c>
      <c r="AW33" s="143">
        <f t="shared" si="67"/>
        <v>58</v>
      </c>
      <c r="AX33" s="143">
        <f>100-AX32</f>
        <v>62</v>
      </c>
      <c r="AY33" s="143">
        <f t="shared" si="67"/>
        <v>65</v>
      </c>
      <c r="AZ33" s="143">
        <f t="shared" si="67"/>
        <v>40</v>
      </c>
      <c r="BA33" s="143">
        <f t="shared" si="67"/>
        <v>61</v>
      </c>
      <c r="BB33" s="143">
        <f t="shared" si="67"/>
        <v>62</v>
      </c>
      <c r="BC33" s="143">
        <f t="shared" si="67"/>
        <v>53</v>
      </c>
      <c r="BD33" s="143">
        <f t="shared" si="67"/>
        <v>66</v>
      </c>
      <c r="BE33" s="143">
        <f t="shared" si="67"/>
        <v>59</v>
      </c>
      <c r="BF33" s="148">
        <f t="shared" si="67"/>
        <v>65</v>
      </c>
      <c r="BG33" s="143">
        <f t="shared" si="67"/>
        <v>84</v>
      </c>
      <c r="BH33" s="143">
        <f>100-BH32</f>
        <v>58</v>
      </c>
      <c r="BI33" s="143">
        <f>100-BI32</f>
        <v>67</v>
      </c>
      <c r="BJ33" s="143">
        <f>100-BJ32</f>
        <v>83</v>
      </c>
      <c r="BK33" s="143">
        <f t="shared" si="67"/>
        <v>42</v>
      </c>
      <c r="BL33" s="143">
        <f t="shared" si="67"/>
        <v>37</v>
      </c>
      <c r="BM33" s="143">
        <f>100-BM32</f>
        <v>67</v>
      </c>
      <c r="BN33" s="143">
        <f t="shared" si="67"/>
        <v>59</v>
      </c>
      <c r="BO33" s="143">
        <f t="shared" si="67"/>
        <v>50</v>
      </c>
      <c r="BP33" s="143">
        <f t="shared" si="67"/>
        <v>74</v>
      </c>
      <c r="BQ33" s="143">
        <f>100-BQ32</f>
        <v>69</v>
      </c>
      <c r="BR33" s="148">
        <f t="shared" si="67"/>
        <v>75</v>
      </c>
      <c r="BS33" s="143">
        <f t="shared" si="67"/>
        <v>66</v>
      </c>
      <c r="BT33" s="143">
        <f t="shared" si="67"/>
        <v>68</v>
      </c>
      <c r="BU33" s="143">
        <f t="shared" si="67"/>
        <v>72</v>
      </c>
      <c r="BV33" s="143">
        <f t="shared" si="67"/>
        <v>70</v>
      </c>
      <c r="BW33" s="143">
        <f t="shared" si="67"/>
        <v>74</v>
      </c>
      <c r="BX33" s="143">
        <f t="shared" si="67"/>
        <v>64</v>
      </c>
      <c r="BY33" s="143">
        <f t="shared" si="67"/>
        <v>74</v>
      </c>
      <c r="BZ33" s="143">
        <f t="shared" si="67"/>
        <v>55</v>
      </c>
      <c r="CA33" s="143">
        <f t="shared" si="67"/>
        <v>71</v>
      </c>
      <c r="CB33" s="148">
        <f t="shared" si="67"/>
        <v>73</v>
      </c>
      <c r="CC33" s="143">
        <f t="shared" si="67"/>
        <v>72</v>
      </c>
      <c r="CD33" s="143">
        <f t="shared" si="67"/>
        <v>76</v>
      </c>
      <c r="CE33" s="143">
        <f t="shared" si="67"/>
        <v>77</v>
      </c>
      <c r="CF33" s="143">
        <f t="shared" si="67"/>
        <v>52</v>
      </c>
      <c r="CG33" s="143">
        <f t="shared" si="67"/>
        <v>59</v>
      </c>
      <c r="CH33" s="143">
        <f t="shared" si="67"/>
        <v>51</v>
      </c>
      <c r="CI33" s="143">
        <f t="shared" si="67"/>
        <v>52</v>
      </c>
      <c r="CJ33" s="143">
        <f t="shared" si="67"/>
        <v>41</v>
      </c>
      <c r="CK33" s="144">
        <f t="shared" si="67"/>
        <v>66</v>
      </c>
      <c r="CL33" s="149">
        <f t="shared" si="67"/>
        <v>64</v>
      </c>
    </row>
    <row r="34" spans="1:90">
      <c r="A34" s="80">
        <f>ROWS($A$3:A32)</f>
        <v>30</v>
      </c>
      <c r="B34" s="59" t="s">
        <v>69</v>
      </c>
      <c r="C34" s="395">
        <v>2010</v>
      </c>
      <c r="D34" s="260"/>
      <c r="E34" s="451"/>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92" t="s">
        <v>71</v>
      </c>
      <c r="C35" s="205"/>
      <c r="D35" s="259" t="s">
        <v>1</v>
      </c>
      <c r="E35" s="447">
        <v>40652</v>
      </c>
      <c r="F35" s="116">
        <v>464514</v>
      </c>
      <c r="G35" s="137">
        <v>201368</v>
      </c>
      <c r="H35" s="137">
        <v>318269</v>
      </c>
      <c r="I35" s="138">
        <v>425837</v>
      </c>
      <c r="J35" s="141"/>
      <c r="K35" s="116">
        <f>BF35</f>
        <v>64654</v>
      </c>
      <c r="L35" s="137">
        <f>AY35</f>
        <v>25496</v>
      </c>
      <c r="M35" s="137">
        <f>BD35</f>
        <v>68046</v>
      </c>
      <c r="N35" s="137">
        <f>AW35</f>
        <v>28126</v>
      </c>
      <c r="O35" s="137">
        <f>BE35</f>
        <v>26190</v>
      </c>
      <c r="P35" s="137">
        <f>'2014'!AZ35+'2014'!BA35</f>
        <v>58077</v>
      </c>
      <c r="Q35" s="137">
        <f>'2014'!AU35</f>
        <v>22058</v>
      </c>
      <c r="R35" s="137">
        <f t="shared" ref="R35:R41" si="68">AT35+AX35</f>
        <v>34667</v>
      </c>
      <c r="S35" s="137">
        <f>AV35</f>
        <v>19633</v>
      </c>
      <c r="T35" s="137">
        <f t="shared" ref="T35:U39" si="69">BB35</f>
        <v>41225</v>
      </c>
      <c r="U35" s="139">
        <f t="shared" si="69"/>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0">CC35</f>
        <v>42679</v>
      </c>
      <c r="AP35" s="137">
        <f t="shared" si="70"/>
        <v>20093</v>
      </c>
      <c r="AQ35" s="137">
        <f>CK35</f>
        <v>54498</v>
      </c>
      <c r="AR35" s="137">
        <f>CI35</f>
        <v>33380</v>
      </c>
      <c r="AS35" s="138">
        <f>CF35+CG35</f>
        <v>78721</v>
      </c>
      <c r="AT35" s="137">
        <v>2501</v>
      </c>
      <c r="AU35" s="137">
        <v>22058</v>
      </c>
      <c r="AV35" s="137">
        <v>19633</v>
      </c>
      <c r="AW35" s="137">
        <v>28126</v>
      </c>
      <c r="AX35" s="137">
        <v>32166</v>
      </c>
      <c r="AY35" s="137">
        <v>25496</v>
      </c>
      <c r="AZ35" s="137">
        <v>4181</v>
      </c>
      <c r="BA35" s="137">
        <v>53896</v>
      </c>
      <c r="BB35" s="137">
        <v>41225</v>
      </c>
      <c r="BC35" s="137">
        <v>76343</v>
      </c>
      <c r="BD35" s="137">
        <v>68046</v>
      </c>
      <c r="BE35" s="137">
        <v>26190</v>
      </c>
      <c r="BF35" s="139">
        <v>64654</v>
      </c>
      <c r="BG35" s="137">
        <v>1517</v>
      </c>
      <c r="BH35" s="137">
        <v>2518</v>
      </c>
      <c r="BI35" s="137">
        <v>37396</v>
      </c>
      <c r="BJ35" s="137">
        <v>14510</v>
      </c>
      <c r="BK35" s="137">
        <v>1831</v>
      </c>
      <c r="BL35" s="137">
        <v>2854</v>
      </c>
      <c r="BM35" s="137">
        <v>46323</v>
      </c>
      <c r="BN35" s="137">
        <v>38097</v>
      </c>
      <c r="BO35" s="137">
        <v>1019</v>
      </c>
      <c r="BP35" s="137">
        <v>17252</v>
      </c>
      <c r="BQ35" s="137">
        <v>19137</v>
      </c>
      <c r="BR35" s="139">
        <v>18914</v>
      </c>
      <c r="BS35" s="137">
        <v>3446</v>
      </c>
      <c r="BT35" s="137">
        <v>48698</v>
      </c>
      <c r="BU35" s="137">
        <v>22305</v>
      </c>
      <c r="BV35" s="137">
        <v>55500</v>
      </c>
      <c r="BW35" s="137">
        <v>30093</v>
      </c>
      <c r="BX35" s="137">
        <v>38829</v>
      </c>
      <c r="BY35" s="137">
        <v>24250</v>
      </c>
      <c r="BZ35" s="137">
        <v>33655</v>
      </c>
      <c r="CA35" s="137">
        <v>23148</v>
      </c>
      <c r="CB35" s="139">
        <v>38344</v>
      </c>
      <c r="CC35" s="137">
        <v>42679</v>
      </c>
      <c r="CD35" s="137">
        <v>20093</v>
      </c>
      <c r="CE35" s="137">
        <v>33916</v>
      </c>
      <c r="CF35" s="137">
        <v>4694</v>
      </c>
      <c r="CG35" s="137">
        <v>74027</v>
      </c>
      <c r="CH35" s="137">
        <v>76332</v>
      </c>
      <c r="CI35" s="137">
        <v>33380</v>
      </c>
      <c r="CJ35" s="137">
        <v>86216</v>
      </c>
      <c r="CK35" s="138">
        <v>54498</v>
      </c>
      <c r="CL35" s="140">
        <v>1409988</v>
      </c>
    </row>
    <row r="36" spans="1:90">
      <c r="A36" s="80">
        <f>ROWS($A$3:A34)</f>
        <v>32</v>
      </c>
      <c r="B36" s="92" t="s">
        <v>72</v>
      </c>
      <c r="C36" s="203"/>
      <c r="D36" s="259" t="s">
        <v>1</v>
      </c>
      <c r="E36" s="447">
        <v>40652</v>
      </c>
      <c r="F36" s="116">
        <v>311698</v>
      </c>
      <c r="G36" s="137">
        <v>141235</v>
      </c>
      <c r="H36" s="137">
        <v>142389</v>
      </c>
      <c r="I36" s="138">
        <v>233949</v>
      </c>
      <c r="J36" s="141"/>
      <c r="K36" s="116">
        <f>BF36</f>
        <v>34721</v>
      </c>
      <c r="L36" s="137">
        <f>AY36</f>
        <v>11730</v>
      </c>
      <c r="M36" s="137">
        <f>BD36</f>
        <v>59094</v>
      </c>
      <c r="N36" s="137">
        <f>AW36</f>
        <v>12509</v>
      </c>
      <c r="O36" s="137">
        <f>BE36</f>
        <v>16900</v>
      </c>
      <c r="P36" s="137">
        <f>'2014'!AZ36+'2014'!BA36</f>
        <v>44169</v>
      </c>
      <c r="Q36" s="137">
        <f>'2014'!AU36</f>
        <v>15243</v>
      </c>
      <c r="R36" s="137">
        <f t="shared" si="68"/>
        <v>25995</v>
      </c>
      <c r="S36" s="137">
        <f>AV36</f>
        <v>10169</v>
      </c>
      <c r="T36" s="137">
        <f t="shared" si="69"/>
        <v>30557</v>
      </c>
      <c r="U36" s="139">
        <f t="shared" si="69"/>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0"/>
        <v>20144</v>
      </c>
      <c r="AP36" s="137">
        <f t="shared" si="70"/>
        <v>13604</v>
      </c>
      <c r="AQ36" s="137">
        <f>CK36</f>
        <v>35032</v>
      </c>
      <c r="AR36" s="137">
        <f>CI36</f>
        <v>13924</v>
      </c>
      <c r="AS36" s="138">
        <f>CF36+CG36</f>
        <v>59389</v>
      </c>
      <c r="AT36" s="137">
        <v>1505</v>
      </c>
      <c r="AU36" s="137">
        <v>15243</v>
      </c>
      <c r="AV36" s="137">
        <v>10169</v>
      </c>
      <c r="AW36" s="137">
        <v>12509</v>
      </c>
      <c r="AX36" s="137">
        <v>24490</v>
      </c>
      <c r="AY36" s="137">
        <v>11730</v>
      </c>
      <c r="AZ36" s="137">
        <v>3228</v>
      </c>
      <c r="BA36" s="137">
        <v>40941</v>
      </c>
      <c r="BB36" s="137">
        <v>30557</v>
      </c>
      <c r="BC36" s="137">
        <v>50614</v>
      </c>
      <c r="BD36" s="137">
        <v>59094</v>
      </c>
      <c r="BE36" s="137">
        <v>16900</v>
      </c>
      <c r="BF36" s="139">
        <v>34721</v>
      </c>
      <c r="BG36" s="137">
        <v>574</v>
      </c>
      <c r="BH36" s="137">
        <v>1983</v>
      </c>
      <c r="BI36" s="137">
        <v>29516</v>
      </c>
      <c r="BJ36" s="137">
        <v>9747</v>
      </c>
      <c r="BK36" s="137">
        <v>1534</v>
      </c>
      <c r="BL36" s="137">
        <v>2446</v>
      </c>
      <c r="BM36" s="137">
        <v>35036</v>
      </c>
      <c r="BN36" s="137">
        <v>30039</v>
      </c>
      <c r="BO36" s="137">
        <v>530</v>
      </c>
      <c r="BP36" s="137">
        <v>8451</v>
      </c>
      <c r="BQ36" s="137">
        <v>11890</v>
      </c>
      <c r="BR36" s="139">
        <v>9490</v>
      </c>
      <c r="BS36" s="137">
        <v>1619</v>
      </c>
      <c r="BT36" s="137">
        <v>19255</v>
      </c>
      <c r="BU36" s="137">
        <v>10287</v>
      </c>
      <c r="BV36" s="137">
        <v>27684</v>
      </c>
      <c r="BW36" s="137">
        <v>16868</v>
      </c>
      <c r="BX36" s="137">
        <v>15862</v>
      </c>
      <c r="BY36" s="137">
        <v>9020</v>
      </c>
      <c r="BZ36" s="137">
        <v>19192</v>
      </c>
      <c r="CA36" s="137">
        <v>7269</v>
      </c>
      <c r="CB36" s="139">
        <v>15333</v>
      </c>
      <c r="CC36" s="137">
        <v>20144</v>
      </c>
      <c r="CD36" s="137">
        <v>13604</v>
      </c>
      <c r="CE36" s="137">
        <v>13101</v>
      </c>
      <c r="CF36" s="137">
        <v>4046</v>
      </c>
      <c r="CG36" s="137">
        <v>55343</v>
      </c>
      <c r="CH36" s="137">
        <v>51921</v>
      </c>
      <c r="CI36" s="137">
        <v>13924</v>
      </c>
      <c r="CJ36" s="137">
        <v>26833</v>
      </c>
      <c r="CK36" s="138">
        <v>35032</v>
      </c>
      <c r="CL36" s="140">
        <v>829272</v>
      </c>
    </row>
    <row r="37" spans="1:90">
      <c r="A37" s="80">
        <f>ROWS($A$3:A35)</f>
        <v>33</v>
      </c>
      <c r="B37" s="92" t="s">
        <v>6</v>
      </c>
      <c r="C37" s="203"/>
      <c r="D37" s="259" t="s">
        <v>1</v>
      </c>
      <c r="E37" s="447">
        <v>40652</v>
      </c>
      <c r="F37" s="116">
        <v>137597</v>
      </c>
      <c r="G37" s="137">
        <v>55922</v>
      </c>
      <c r="H37" s="137">
        <v>156404</v>
      </c>
      <c r="I37" s="138">
        <v>181770</v>
      </c>
      <c r="J37" s="141"/>
      <c r="K37" s="116">
        <f>BF37</f>
        <v>29497</v>
      </c>
      <c r="L37" s="137">
        <f>AY37</f>
        <v>12099</v>
      </c>
      <c r="M37" s="137">
        <f>BD37</f>
        <v>8022</v>
      </c>
      <c r="N37" s="137">
        <f>AW37</f>
        <v>15467</v>
      </c>
      <c r="O37" s="137">
        <f>BE37</f>
        <v>9260</v>
      </c>
      <c r="P37" s="137">
        <f>'2014'!AZ37+'2014'!BA37</f>
        <v>6934</v>
      </c>
      <c r="Q37" s="137">
        <f>'2014'!AU37</f>
        <v>6681</v>
      </c>
      <c r="R37" s="137">
        <f t="shared" si="68"/>
        <v>5997</v>
      </c>
      <c r="S37" s="137">
        <f>AV37</f>
        <v>9094</v>
      </c>
      <c r="T37" s="137">
        <f t="shared" si="69"/>
        <v>9049</v>
      </c>
      <c r="U37" s="139">
        <f t="shared" si="69"/>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0"/>
        <v>22343</v>
      </c>
      <c r="AP37" s="137">
        <f t="shared" si="70"/>
        <v>6418</v>
      </c>
      <c r="AQ37" s="137">
        <f>CK37</f>
        <v>19369</v>
      </c>
      <c r="AR37" s="137">
        <f>CI37</f>
        <v>11723</v>
      </c>
      <c r="AS37" s="138">
        <f>CF37+CG37</f>
        <v>19170</v>
      </c>
      <c r="AT37" s="137">
        <v>535</v>
      </c>
      <c r="AU37" s="137">
        <v>6681</v>
      </c>
      <c r="AV37" s="137">
        <v>9094</v>
      </c>
      <c r="AW37" s="137">
        <v>15467</v>
      </c>
      <c r="AX37" s="137">
        <v>5462</v>
      </c>
      <c r="AY37" s="137">
        <v>12099</v>
      </c>
      <c r="AZ37" s="137">
        <v>211</v>
      </c>
      <c r="BA37" s="137">
        <v>6723</v>
      </c>
      <c r="BB37" s="137">
        <v>9049</v>
      </c>
      <c r="BC37" s="137">
        <v>25496</v>
      </c>
      <c r="BD37" s="137">
        <v>8022</v>
      </c>
      <c r="BE37" s="137">
        <v>9260</v>
      </c>
      <c r="BF37" s="139">
        <v>29497</v>
      </c>
      <c r="BG37" s="137">
        <v>682</v>
      </c>
      <c r="BH37" s="137">
        <v>453</v>
      </c>
      <c r="BI37" s="137">
        <v>6930</v>
      </c>
      <c r="BJ37" s="137">
        <v>4004</v>
      </c>
      <c r="BK37" s="137">
        <v>220</v>
      </c>
      <c r="BL37" s="137">
        <v>400</v>
      </c>
      <c r="BM37" s="137">
        <v>10649</v>
      </c>
      <c r="BN37" s="137">
        <v>6932</v>
      </c>
      <c r="BO37" s="137">
        <v>489</v>
      </c>
      <c r="BP37" s="137">
        <v>8752</v>
      </c>
      <c r="BQ37" s="137">
        <v>7002</v>
      </c>
      <c r="BR37" s="139">
        <v>9409</v>
      </c>
      <c r="BS37" s="137">
        <v>1036</v>
      </c>
      <c r="BT37" s="137">
        <v>23403</v>
      </c>
      <c r="BU37" s="137">
        <v>9545</v>
      </c>
      <c r="BV37" s="137">
        <v>20564</v>
      </c>
      <c r="BW37" s="137">
        <v>13189</v>
      </c>
      <c r="BX37" s="137">
        <v>22942</v>
      </c>
      <c r="BY37" s="137">
        <v>15208</v>
      </c>
      <c r="BZ37" s="137">
        <v>13349</v>
      </c>
      <c r="CA37" s="137">
        <v>14435</v>
      </c>
      <c r="CB37" s="139">
        <v>22734</v>
      </c>
      <c r="CC37" s="137">
        <v>22343</v>
      </c>
      <c r="CD37" s="137">
        <v>6418</v>
      </c>
      <c r="CE37" s="137">
        <v>20667</v>
      </c>
      <c r="CF37" s="137">
        <v>628</v>
      </c>
      <c r="CG37" s="137">
        <v>18542</v>
      </c>
      <c r="CH37" s="137">
        <v>24245</v>
      </c>
      <c r="CI37" s="137">
        <v>11723</v>
      </c>
      <c r="CJ37" s="137">
        <v>57833</v>
      </c>
      <c r="CK37" s="138">
        <v>19369</v>
      </c>
      <c r="CL37" s="140">
        <v>531692</v>
      </c>
    </row>
    <row r="38" spans="1:90">
      <c r="A38" s="80">
        <f>ROWS($A$3:A36)</f>
        <v>34</v>
      </c>
      <c r="B38" s="92" t="s">
        <v>244</v>
      </c>
      <c r="C38" s="203"/>
      <c r="D38" s="259" t="s">
        <v>1</v>
      </c>
      <c r="E38" s="447">
        <v>40652</v>
      </c>
      <c r="F38" s="116">
        <v>3429</v>
      </c>
      <c r="G38" s="137">
        <v>1255</v>
      </c>
      <c r="H38" s="137">
        <v>7541</v>
      </c>
      <c r="I38" s="138">
        <v>8842</v>
      </c>
      <c r="J38" s="141"/>
      <c r="K38" s="116">
        <f>BF38</f>
        <v>10</v>
      </c>
      <c r="L38" s="137">
        <f>AY38</f>
        <v>505</v>
      </c>
      <c r="M38" s="137">
        <f>BD38</f>
        <v>77</v>
      </c>
      <c r="N38" s="137">
        <f>AW38</f>
        <v>100</v>
      </c>
      <c r="O38" s="137">
        <f>BE38</f>
        <v>2</v>
      </c>
      <c r="P38" s="137">
        <f>'2014'!AZ38+'2014'!BA38</f>
        <v>1038</v>
      </c>
      <c r="Q38" s="137">
        <f>'2014'!AU38</f>
        <v>83</v>
      </c>
      <c r="R38" s="137">
        <f t="shared" si="68"/>
        <v>530</v>
      </c>
      <c r="S38" s="137">
        <f>AV38</f>
        <v>163</v>
      </c>
      <c r="T38" s="137">
        <f t="shared" si="69"/>
        <v>761</v>
      </c>
      <c r="U38" s="139">
        <f t="shared" si="69"/>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0"/>
        <v>101</v>
      </c>
      <c r="AP38" s="137">
        <f t="shared" si="70"/>
        <v>52</v>
      </c>
      <c r="AQ38" s="137">
        <f>CK38</f>
        <v>29</v>
      </c>
      <c r="AR38" s="137">
        <f>CI38</f>
        <v>7179</v>
      </c>
      <c r="AS38" s="138">
        <f>CF38+CG38</f>
        <v>67</v>
      </c>
      <c r="AT38" s="137">
        <v>76</v>
      </c>
      <c r="AU38" s="137">
        <v>83</v>
      </c>
      <c r="AV38" s="137">
        <v>163</v>
      </c>
      <c r="AW38" s="137">
        <v>100</v>
      </c>
      <c r="AX38" s="137">
        <v>454</v>
      </c>
      <c r="AY38" s="137">
        <v>505</v>
      </c>
      <c r="AZ38" s="137">
        <v>59</v>
      </c>
      <c r="BA38" s="137">
        <v>979</v>
      </c>
      <c r="BB38" s="137">
        <v>761</v>
      </c>
      <c r="BC38" s="137">
        <v>159</v>
      </c>
      <c r="BD38" s="137">
        <v>77</v>
      </c>
      <c r="BE38" s="137">
        <v>2</v>
      </c>
      <c r="BF38" s="139">
        <v>10</v>
      </c>
      <c r="BG38" s="137">
        <v>40</v>
      </c>
      <c r="BH38" s="137">
        <v>54</v>
      </c>
      <c r="BI38" s="137">
        <v>177</v>
      </c>
      <c r="BJ38" s="137">
        <v>408</v>
      </c>
      <c r="BK38" s="137" t="s">
        <v>233</v>
      </c>
      <c r="BL38" s="137" t="s">
        <v>233</v>
      </c>
      <c r="BM38" s="137">
        <v>133</v>
      </c>
      <c r="BN38" s="137">
        <v>380</v>
      </c>
      <c r="BO38" s="137" t="s">
        <v>233</v>
      </c>
      <c r="BP38" s="137" t="s">
        <v>233</v>
      </c>
      <c r="BQ38" s="137">
        <v>31</v>
      </c>
      <c r="BR38" s="139">
        <v>2</v>
      </c>
      <c r="BS38" s="137">
        <v>76</v>
      </c>
      <c r="BT38" s="137">
        <v>813</v>
      </c>
      <c r="BU38" s="137">
        <v>629</v>
      </c>
      <c r="BV38" s="137">
        <v>4231</v>
      </c>
      <c r="BW38" s="137" t="s">
        <v>233</v>
      </c>
      <c r="BX38" s="137" t="s">
        <v>233</v>
      </c>
      <c r="BY38" s="137" t="s">
        <v>233</v>
      </c>
      <c r="BZ38" s="137">
        <v>971</v>
      </c>
      <c r="CA38" s="137">
        <v>646</v>
      </c>
      <c r="CB38" s="139">
        <v>155</v>
      </c>
      <c r="CC38" s="137">
        <v>101</v>
      </c>
      <c r="CD38" s="137">
        <v>52</v>
      </c>
      <c r="CE38" s="137">
        <v>10</v>
      </c>
      <c r="CF38" s="137">
        <v>7</v>
      </c>
      <c r="CG38" s="137">
        <v>60</v>
      </c>
      <c r="CH38" s="137">
        <v>40</v>
      </c>
      <c r="CI38" s="137">
        <v>7179</v>
      </c>
      <c r="CJ38" s="137">
        <v>1365</v>
      </c>
      <c r="CK38" s="138">
        <v>29</v>
      </c>
      <c r="CL38" s="140">
        <v>21067</v>
      </c>
    </row>
    <row r="39" spans="1:90">
      <c r="A39" s="80">
        <f>ROWS($A$3:A37)</f>
        <v>35</v>
      </c>
      <c r="B39" s="92" t="s">
        <v>245</v>
      </c>
      <c r="C39" s="203"/>
      <c r="D39" s="259" t="s">
        <v>1</v>
      </c>
      <c r="E39" s="447">
        <v>40652</v>
      </c>
      <c r="F39" s="116">
        <v>10197</v>
      </c>
      <c r="G39" s="137">
        <v>2082</v>
      </c>
      <c r="H39" s="137">
        <v>10885</v>
      </c>
      <c r="I39" s="138">
        <v>519</v>
      </c>
      <c r="J39" s="141"/>
      <c r="K39" s="116" t="str">
        <f>BF39</f>
        <v>-</v>
      </c>
      <c r="L39" s="137">
        <f>AY39</f>
        <v>1046</v>
      </c>
      <c r="M39" s="137">
        <f>BD39</f>
        <v>714</v>
      </c>
      <c r="N39" s="137" t="str">
        <f>AW39</f>
        <v>*</v>
      </c>
      <c r="O39" s="137" t="str">
        <f>BE39</f>
        <v>–</v>
      </c>
      <c r="P39" s="137">
        <f>'2014'!AZ39+'2014'!BA39</f>
        <v>5606</v>
      </c>
      <c r="Q39" s="137" t="str">
        <f>'2014'!AU39</f>
        <v>*</v>
      </c>
      <c r="R39" s="137">
        <f t="shared" si="68"/>
        <v>1963</v>
      </c>
      <c r="S39" s="137">
        <f>AV39</f>
        <v>115</v>
      </c>
      <c r="T39" s="137">
        <f t="shared" si="69"/>
        <v>751</v>
      </c>
      <c r="U39" s="139" t="str">
        <f t="shared" si="69"/>
        <v>*</v>
      </c>
      <c r="V39" s="137">
        <f>BG39+BJ39</f>
        <v>506</v>
      </c>
      <c r="W39" s="137" t="str">
        <f>BR39</f>
        <v>*</v>
      </c>
      <c r="X39" s="137">
        <f>BI39</f>
        <v>714</v>
      </c>
      <c r="Y39" s="137">
        <f>BN39</f>
        <v>611</v>
      </c>
      <c r="Z39" s="137" t="str">
        <f>BM39</f>
        <v>*</v>
      </c>
      <c r="AA39" s="137">
        <f>BQ39</f>
        <v>188</v>
      </c>
      <c r="AB39" s="139" t="str">
        <f>BP39</f>
        <v>-</v>
      </c>
      <c r="AC39" s="137" t="str">
        <f>BX39</f>
        <v xml:space="preserve"> -</v>
      </c>
      <c r="AD39" s="137">
        <f>BU39</f>
        <v>1705</v>
      </c>
      <c r="AE39" s="137">
        <f>BT39</f>
        <v>5142</v>
      </c>
      <c r="AF39" s="137">
        <f>CA39</f>
        <v>739</v>
      </c>
      <c r="AG39" s="137">
        <f>BV39</f>
        <v>2479</v>
      </c>
      <c r="AH39" s="137" t="str">
        <f>BZ39</f>
        <v>*</v>
      </c>
      <c r="AI39" s="137" t="str">
        <f>BW39</f>
        <v xml:space="preserve">      -</v>
      </c>
      <c r="AJ39" s="137" t="str">
        <f>BY39</f>
        <v>*</v>
      </c>
      <c r="AK39" s="139">
        <f>CB39</f>
        <v>56</v>
      </c>
      <c r="AL39" s="137" t="str">
        <f>CE39</f>
        <v>*</v>
      </c>
      <c r="AM39" s="137" t="str">
        <f>CH39</f>
        <v>*</v>
      </c>
      <c r="AN39" s="137" t="str">
        <f>CJ39</f>
        <v>*</v>
      </c>
      <c r="AO39" s="137">
        <f t="shared" si="70"/>
        <v>16</v>
      </c>
      <c r="AP39" s="137">
        <f t="shared" si="70"/>
        <v>9</v>
      </c>
      <c r="AQ39" s="137" t="str">
        <f>CK39</f>
        <v>*</v>
      </c>
      <c r="AR39" s="137">
        <f>CI39</f>
        <v>492</v>
      </c>
      <c r="AS39" s="138" t="str">
        <f>CG39</f>
        <v>*</v>
      </c>
      <c r="AT39" s="137">
        <v>354</v>
      </c>
      <c r="AU39" s="137" t="s">
        <v>233</v>
      </c>
      <c r="AV39" s="137">
        <v>115</v>
      </c>
      <c r="AW39" s="137" t="s">
        <v>233</v>
      </c>
      <c r="AX39" s="137">
        <v>1609</v>
      </c>
      <c r="AY39" s="137">
        <v>1046</v>
      </c>
      <c r="AZ39" s="137">
        <v>634</v>
      </c>
      <c r="BA39" s="137">
        <v>4972</v>
      </c>
      <c r="BB39" s="137">
        <v>751</v>
      </c>
      <c r="BC39" s="137" t="s">
        <v>233</v>
      </c>
      <c r="BD39" s="137">
        <v>714</v>
      </c>
      <c r="BE39" s="137" t="s">
        <v>41</v>
      </c>
      <c r="BF39" s="139" t="s">
        <v>58</v>
      </c>
      <c r="BG39" s="137">
        <v>187</v>
      </c>
      <c r="BH39" s="137" t="s">
        <v>233</v>
      </c>
      <c r="BI39" s="137">
        <v>714</v>
      </c>
      <c r="BJ39" s="137">
        <v>319</v>
      </c>
      <c r="BK39" s="137">
        <v>50</v>
      </c>
      <c r="BL39" s="137" t="s">
        <v>58</v>
      </c>
      <c r="BM39" s="137" t="s">
        <v>233</v>
      </c>
      <c r="BN39" s="137">
        <v>611</v>
      </c>
      <c r="BO39" s="137" t="s">
        <v>58</v>
      </c>
      <c r="BP39" s="137" t="s">
        <v>58</v>
      </c>
      <c r="BQ39" s="137">
        <v>188</v>
      </c>
      <c r="BR39" s="139" t="s">
        <v>233</v>
      </c>
      <c r="BS39" s="137">
        <v>703</v>
      </c>
      <c r="BT39" s="137">
        <v>5142</v>
      </c>
      <c r="BU39" s="137">
        <v>1705</v>
      </c>
      <c r="BV39" s="137">
        <v>2479</v>
      </c>
      <c r="BW39" s="137" t="s">
        <v>274</v>
      </c>
      <c r="BX39" s="137" t="s">
        <v>267</v>
      </c>
      <c r="BY39" s="137" t="s">
        <v>233</v>
      </c>
      <c r="BZ39" s="137" t="s">
        <v>233</v>
      </c>
      <c r="CA39" s="137">
        <v>739</v>
      </c>
      <c r="CB39" s="139">
        <v>56</v>
      </c>
      <c r="CC39" s="137">
        <v>16</v>
      </c>
      <c r="CD39" s="137">
        <v>9</v>
      </c>
      <c r="CE39" s="137" t="s">
        <v>233</v>
      </c>
      <c r="CF39" s="137" t="s">
        <v>267</v>
      </c>
      <c r="CG39" s="137" t="s">
        <v>233</v>
      </c>
      <c r="CH39" s="137" t="s">
        <v>233</v>
      </c>
      <c r="CI39" s="137">
        <v>492</v>
      </c>
      <c r="CJ39" s="137" t="s">
        <v>233</v>
      </c>
      <c r="CK39" s="138" t="s">
        <v>233</v>
      </c>
      <c r="CL39" s="140">
        <v>23682</v>
      </c>
    </row>
    <row r="40" spans="1:90">
      <c r="A40" s="80">
        <f>ROWS($A$3:A38)</f>
        <v>36</v>
      </c>
      <c r="B40" s="59" t="s">
        <v>98</v>
      </c>
      <c r="C40" s="201"/>
      <c r="D40" s="260"/>
      <c r="E40" s="451"/>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204">
        <v>2014</v>
      </c>
      <c r="D41" s="259" t="s">
        <v>7</v>
      </c>
      <c r="E41" s="448">
        <v>42024</v>
      </c>
      <c r="F41" s="116">
        <v>303363</v>
      </c>
      <c r="G41" s="137">
        <v>82220</v>
      </c>
      <c r="H41" s="137">
        <v>222063</v>
      </c>
      <c r="I41" s="138">
        <v>408135</v>
      </c>
      <c r="J41" s="141"/>
      <c r="K41" s="116">
        <f t="shared" ref="K41:K54" si="71">BF41</f>
        <v>74662</v>
      </c>
      <c r="L41" s="137">
        <f t="shared" ref="L41:L54" si="72">AY41</f>
        <v>21604</v>
      </c>
      <c r="M41" s="137">
        <f t="shared" ref="M41:M54" si="73">BD41</f>
        <v>20249</v>
      </c>
      <c r="N41" s="137">
        <f t="shared" ref="N41:N54" si="74">AW41</f>
        <v>30884</v>
      </c>
      <c r="O41" s="137">
        <f t="shared" ref="O41:O54" si="75">BE41</f>
        <v>21307</v>
      </c>
      <c r="P41" s="137">
        <f>'2014'!AZ41+'2014'!BA41</f>
        <v>13142</v>
      </c>
      <c r="Q41" s="137">
        <f>'2014'!AU41</f>
        <v>8772</v>
      </c>
      <c r="R41" s="137">
        <f t="shared" si="68"/>
        <v>14160</v>
      </c>
      <c r="S41" s="137">
        <f t="shared" ref="S41:S54" si="76">AV41</f>
        <v>9149</v>
      </c>
      <c r="T41" s="137">
        <f t="shared" ref="T41:U54" si="77">BB41</f>
        <v>22777</v>
      </c>
      <c r="U41" s="139">
        <f t="shared" si="77"/>
        <v>66657</v>
      </c>
      <c r="V41" s="137">
        <f>BG41+BJ41</f>
        <v>2887</v>
      </c>
      <c r="W41" s="137">
        <f t="shared" ref="W41:W54" si="78">BR41</f>
        <v>12497</v>
      </c>
      <c r="X41" s="137">
        <f>BH41+BI41</f>
        <v>5896</v>
      </c>
      <c r="Y41" s="137">
        <f>BK41+BL41+BN41</f>
        <v>12803</v>
      </c>
      <c r="Z41" s="137">
        <f t="shared" ref="Z41:Z54" si="79">BM41</f>
        <v>24551</v>
      </c>
      <c r="AA41" s="137">
        <f>BO41+BQ41</f>
        <v>10811</v>
      </c>
      <c r="AB41" s="139">
        <f t="shared" ref="AB41:AB54" si="80">BP41</f>
        <v>12775</v>
      </c>
      <c r="AC41" s="137">
        <f t="shared" ref="AC41:AC54" si="81">BX41</f>
        <v>32572</v>
      </c>
      <c r="AD41" s="137">
        <f t="shared" ref="AD41:AD54" si="82">BU41</f>
        <v>15415</v>
      </c>
      <c r="AE41" s="137">
        <f>BS41+BT41</f>
        <v>29956</v>
      </c>
      <c r="AF41" s="137">
        <f t="shared" ref="AF41:AF54" si="83">CA41</f>
        <v>15403</v>
      </c>
      <c r="AG41" s="137">
        <f t="shared" ref="AG41:AG54" si="84">BV41</f>
        <v>30106</v>
      </c>
      <c r="AH41" s="137">
        <f t="shared" ref="AH41:AH54" si="85">BZ41</f>
        <v>26929</v>
      </c>
      <c r="AI41" s="137">
        <f t="shared" ref="AI41:AI54" si="86">BW41</f>
        <v>18291</v>
      </c>
      <c r="AJ41" s="137">
        <f t="shared" ref="AJ41:AJ54" si="87">BY41</f>
        <v>17228</v>
      </c>
      <c r="AK41" s="139">
        <f t="shared" ref="AK41:AK54" si="88">CB41</f>
        <v>36163</v>
      </c>
      <c r="AL41" s="137">
        <f t="shared" ref="AL41:AL54" si="89">CE41</f>
        <v>15100</v>
      </c>
      <c r="AM41" s="137">
        <f t="shared" ref="AM41:AM54" si="90">CH41</f>
        <v>91671</v>
      </c>
      <c r="AN41" s="137">
        <f t="shared" ref="AN41:AN54" si="91">CJ41</f>
        <v>148516</v>
      </c>
      <c r="AO41" s="137">
        <f t="shared" ref="AO41:AP54" si="92">CC41</f>
        <v>30160</v>
      </c>
      <c r="AP41" s="137">
        <f t="shared" si="92"/>
        <v>5857</v>
      </c>
      <c r="AQ41" s="137">
        <f t="shared" ref="AQ41:AQ54" si="93">CK41</f>
        <v>38789</v>
      </c>
      <c r="AR41" s="137">
        <f t="shared" ref="AR41:AR54" si="94">CI41</f>
        <v>23675</v>
      </c>
      <c r="AS41" s="138">
        <f>CF41+CG41</f>
        <v>54367</v>
      </c>
      <c r="AT41" s="137">
        <v>939</v>
      </c>
      <c r="AU41" s="137">
        <v>8772</v>
      </c>
      <c r="AV41" s="137">
        <v>9149</v>
      </c>
      <c r="AW41" s="137">
        <v>30884</v>
      </c>
      <c r="AX41" s="137">
        <v>13221</v>
      </c>
      <c r="AY41" s="137">
        <v>21604</v>
      </c>
      <c r="AZ41" s="137">
        <v>110</v>
      </c>
      <c r="BA41" s="137">
        <v>13032</v>
      </c>
      <c r="BB41" s="137">
        <v>22777</v>
      </c>
      <c r="BC41" s="137">
        <v>66657</v>
      </c>
      <c r="BD41" s="137">
        <v>20249</v>
      </c>
      <c r="BE41" s="137">
        <v>21307</v>
      </c>
      <c r="BF41" s="139">
        <v>74662</v>
      </c>
      <c r="BG41" s="137">
        <v>248</v>
      </c>
      <c r="BH41" s="137">
        <v>370</v>
      </c>
      <c r="BI41" s="137">
        <v>5526</v>
      </c>
      <c r="BJ41" s="137">
        <v>2639</v>
      </c>
      <c r="BK41" s="137">
        <v>473</v>
      </c>
      <c r="BL41" s="137">
        <v>93</v>
      </c>
      <c r="BM41" s="137">
        <v>24551</v>
      </c>
      <c r="BN41" s="137">
        <v>12237</v>
      </c>
      <c r="BO41" s="137">
        <v>203</v>
      </c>
      <c r="BP41" s="137">
        <v>12775</v>
      </c>
      <c r="BQ41" s="137">
        <v>10608</v>
      </c>
      <c r="BR41" s="139">
        <v>12497</v>
      </c>
      <c r="BS41" s="137">
        <v>582</v>
      </c>
      <c r="BT41" s="137">
        <v>29374</v>
      </c>
      <c r="BU41" s="137">
        <v>15415</v>
      </c>
      <c r="BV41" s="137">
        <v>30106</v>
      </c>
      <c r="BW41" s="137">
        <v>18291</v>
      </c>
      <c r="BX41" s="137">
        <v>32572</v>
      </c>
      <c r="BY41" s="137">
        <v>17228</v>
      </c>
      <c r="BZ41" s="137">
        <v>26929</v>
      </c>
      <c r="CA41" s="137">
        <v>15403</v>
      </c>
      <c r="CB41" s="139">
        <v>36163</v>
      </c>
      <c r="CC41" s="137">
        <v>30160</v>
      </c>
      <c r="CD41" s="137">
        <v>5857</v>
      </c>
      <c r="CE41" s="137">
        <v>15100</v>
      </c>
      <c r="CF41" s="137">
        <v>2369</v>
      </c>
      <c r="CG41" s="137">
        <v>51998</v>
      </c>
      <c r="CH41" s="137">
        <v>91671</v>
      </c>
      <c r="CI41" s="137">
        <v>23675</v>
      </c>
      <c r="CJ41" s="137">
        <v>148516</v>
      </c>
      <c r="CK41" s="138">
        <v>38789</v>
      </c>
      <c r="CL41" s="140">
        <v>1015781</v>
      </c>
    </row>
    <row r="42" spans="1:90">
      <c r="A42" s="80">
        <f>ROWS($A$3:A40)</f>
        <v>38</v>
      </c>
      <c r="B42" s="92" t="s">
        <v>305</v>
      </c>
      <c r="C42" s="203"/>
      <c r="D42" s="259" t="s">
        <v>7</v>
      </c>
      <c r="E42" s="448">
        <v>42024</v>
      </c>
      <c r="F42" s="116">
        <v>115559</v>
      </c>
      <c r="G42" s="137">
        <v>31054</v>
      </c>
      <c r="H42" s="137">
        <v>90210</v>
      </c>
      <c r="I42" s="138">
        <v>174484</v>
      </c>
      <c r="J42" s="141"/>
      <c r="K42" s="116">
        <f t="shared" si="71"/>
        <v>29306</v>
      </c>
      <c r="L42" s="137">
        <f t="shared" si="72"/>
        <v>8583</v>
      </c>
      <c r="M42" s="137">
        <f t="shared" si="73"/>
        <v>7365</v>
      </c>
      <c r="N42" s="137">
        <f t="shared" si="74"/>
        <v>12370</v>
      </c>
      <c r="O42" s="137">
        <f t="shared" si="75"/>
        <v>7581</v>
      </c>
      <c r="P42" s="137">
        <f>'2014'!BA42</f>
        <v>4665</v>
      </c>
      <c r="Q42" s="137">
        <f>'2014'!AU42</f>
        <v>3436</v>
      </c>
      <c r="R42" s="137">
        <f>AX42</f>
        <v>4752</v>
      </c>
      <c r="S42" s="137">
        <f t="shared" si="76"/>
        <v>3284</v>
      </c>
      <c r="T42" s="137">
        <f t="shared" si="77"/>
        <v>8679</v>
      </c>
      <c r="U42" s="139">
        <f t="shared" si="77"/>
        <v>25035</v>
      </c>
      <c r="V42" s="137">
        <f>BJ42</f>
        <v>1070</v>
      </c>
      <c r="W42" s="137">
        <f t="shared" si="78"/>
        <v>4974</v>
      </c>
      <c r="X42" s="137">
        <f>BI42</f>
        <v>1975</v>
      </c>
      <c r="Y42" s="137">
        <f>BN42</f>
        <v>4285</v>
      </c>
      <c r="Z42" s="137">
        <f t="shared" si="79"/>
        <v>9087</v>
      </c>
      <c r="AA42" s="137">
        <f>BQ42</f>
        <v>4143</v>
      </c>
      <c r="AB42" s="139">
        <f t="shared" si="80"/>
        <v>5022</v>
      </c>
      <c r="AC42" s="137">
        <f t="shared" si="81"/>
        <v>14556</v>
      </c>
      <c r="AD42" s="137">
        <f t="shared" si="82"/>
        <v>5487</v>
      </c>
      <c r="AE42" s="137">
        <f>BS42+BT42</f>
        <v>13608</v>
      </c>
      <c r="AF42" s="137">
        <f t="shared" si="83"/>
        <v>6061</v>
      </c>
      <c r="AG42" s="137">
        <f t="shared" si="84"/>
        <v>11405</v>
      </c>
      <c r="AH42" s="137">
        <f t="shared" si="85"/>
        <v>10787</v>
      </c>
      <c r="AI42" s="137">
        <f t="shared" si="86"/>
        <v>6505</v>
      </c>
      <c r="AJ42" s="137">
        <f t="shared" si="87"/>
        <v>7265</v>
      </c>
      <c r="AK42" s="139">
        <f t="shared" si="88"/>
        <v>14536</v>
      </c>
      <c r="AL42" s="137">
        <f t="shared" si="89"/>
        <v>5732</v>
      </c>
      <c r="AM42" s="137">
        <f t="shared" si="90"/>
        <v>36108</v>
      </c>
      <c r="AN42" s="137">
        <f t="shared" si="91"/>
        <v>73381</v>
      </c>
      <c r="AO42" s="137">
        <f t="shared" si="92"/>
        <v>9827</v>
      </c>
      <c r="AP42" s="137">
        <f t="shared" si="92"/>
        <v>2136</v>
      </c>
      <c r="AQ42" s="137">
        <f t="shared" si="93"/>
        <v>15649</v>
      </c>
      <c r="AR42" s="137">
        <f t="shared" si="94"/>
        <v>10430</v>
      </c>
      <c r="AS42" s="138">
        <f>CF42+CG42</f>
        <v>21221</v>
      </c>
      <c r="AT42" s="155">
        <v>463</v>
      </c>
      <c r="AU42" s="137">
        <v>3436</v>
      </c>
      <c r="AV42" s="137">
        <v>3284</v>
      </c>
      <c r="AW42" s="137">
        <v>12370</v>
      </c>
      <c r="AX42" s="137">
        <v>4752</v>
      </c>
      <c r="AY42" s="137">
        <v>8583</v>
      </c>
      <c r="AZ42" s="155">
        <v>40</v>
      </c>
      <c r="BA42" s="137">
        <v>4665</v>
      </c>
      <c r="BB42" s="137">
        <v>8679</v>
      </c>
      <c r="BC42" s="137">
        <v>25035</v>
      </c>
      <c r="BD42" s="137">
        <v>7365</v>
      </c>
      <c r="BE42" s="137">
        <v>7581</v>
      </c>
      <c r="BF42" s="139">
        <v>29306</v>
      </c>
      <c r="BG42" s="137">
        <v>78</v>
      </c>
      <c r="BH42" s="137">
        <v>81</v>
      </c>
      <c r="BI42" s="137">
        <v>1975</v>
      </c>
      <c r="BJ42" s="137">
        <v>1070</v>
      </c>
      <c r="BK42" s="137">
        <v>211</v>
      </c>
      <c r="BL42" s="137">
        <v>40</v>
      </c>
      <c r="BM42" s="137">
        <v>9087</v>
      </c>
      <c r="BN42" s="137">
        <v>4285</v>
      </c>
      <c r="BO42" s="137">
        <v>88</v>
      </c>
      <c r="BP42" s="137">
        <v>5022</v>
      </c>
      <c r="BQ42" s="137">
        <v>4143</v>
      </c>
      <c r="BR42" s="139">
        <v>4974</v>
      </c>
      <c r="BS42" s="137">
        <v>227</v>
      </c>
      <c r="BT42" s="137">
        <v>13381</v>
      </c>
      <c r="BU42" s="137">
        <v>5487</v>
      </c>
      <c r="BV42" s="137">
        <v>11405</v>
      </c>
      <c r="BW42" s="137">
        <v>6505</v>
      </c>
      <c r="BX42" s="137">
        <v>14556</v>
      </c>
      <c r="BY42" s="137">
        <v>7265</v>
      </c>
      <c r="BZ42" s="137">
        <v>10787</v>
      </c>
      <c r="CA42" s="137">
        <v>6061</v>
      </c>
      <c r="CB42" s="139">
        <v>14536</v>
      </c>
      <c r="CC42" s="137">
        <v>9827</v>
      </c>
      <c r="CD42" s="137">
        <v>2136</v>
      </c>
      <c r="CE42" s="137">
        <v>5732</v>
      </c>
      <c r="CF42" s="137">
        <v>989</v>
      </c>
      <c r="CG42" s="137">
        <v>20232</v>
      </c>
      <c r="CH42" s="137">
        <v>36108</v>
      </c>
      <c r="CI42" s="137">
        <v>10430</v>
      </c>
      <c r="CJ42" s="137">
        <v>73381</v>
      </c>
      <c r="CK42" s="138">
        <v>15649</v>
      </c>
      <c r="CL42" s="140">
        <v>411307</v>
      </c>
    </row>
    <row r="43" spans="1:90">
      <c r="A43" s="80">
        <f>ROWS($A$3:A41)</f>
        <v>39</v>
      </c>
      <c r="B43" s="92" t="s">
        <v>14</v>
      </c>
      <c r="C43" s="203"/>
      <c r="D43" s="259" t="s">
        <v>7</v>
      </c>
      <c r="E43" s="448">
        <v>42024</v>
      </c>
      <c r="F43" s="116">
        <v>98671</v>
      </c>
      <c r="G43" s="137">
        <v>23696</v>
      </c>
      <c r="H43" s="137">
        <v>67268</v>
      </c>
      <c r="I43" s="138">
        <v>159509</v>
      </c>
      <c r="J43" s="141"/>
      <c r="K43" s="116">
        <f>BF43</f>
        <v>25115</v>
      </c>
      <c r="L43" s="137">
        <f>AY43</f>
        <v>6895</v>
      </c>
      <c r="M43" s="137">
        <f>BD43</f>
        <v>6444</v>
      </c>
      <c r="N43" s="137">
        <f>AW43</f>
        <v>10385</v>
      </c>
      <c r="O43" s="137">
        <f>BE43</f>
        <v>6988</v>
      </c>
      <c r="P43" s="137">
        <f>'2014'!BA43</f>
        <v>3783</v>
      </c>
      <c r="Q43" s="137">
        <f>'2014'!AU43</f>
        <v>2787</v>
      </c>
      <c r="R43" s="137">
        <f>AX43</f>
        <v>4355</v>
      </c>
      <c r="S43" s="137">
        <f>AV43</f>
        <v>2409</v>
      </c>
      <c r="T43" s="137">
        <f>BB43</f>
        <v>7358</v>
      </c>
      <c r="U43" s="139">
        <f>BC43</f>
        <v>21699</v>
      </c>
      <c r="V43" s="137">
        <f>BJ43</f>
        <v>379</v>
      </c>
      <c r="W43" s="137">
        <f>BR43</f>
        <v>4051</v>
      </c>
      <c r="X43" s="137">
        <f>BI43</f>
        <v>1349</v>
      </c>
      <c r="Y43" s="137">
        <f>BN43</f>
        <v>3204</v>
      </c>
      <c r="Z43" s="137">
        <f>BM43</f>
        <v>7844</v>
      </c>
      <c r="AA43" s="137">
        <f>BQ43</f>
        <v>2953</v>
      </c>
      <c r="AB43" s="139">
        <f>BP43</f>
        <v>3673</v>
      </c>
      <c r="AC43" s="137">
        <f>BX43</f>
        <v>12463</v>
      </c>
      <c r="AD43" s="137">
        <f>BU43</f>
        <v>3390</v>
      </c>
      <c r="AE43" s="137">
        <f>BS43+BT43</f>
        <v>9778</v>
      </c>
      <c r="AF43" s="137">
        <f>CA43</f>
        <v>3241</v>
      </c>
      <c r="AG43" s="137">
        <f>BV43</f>
        <v>7351</v>
      </c>
      <c r="AH43" s="137">
        <f>BZ43</f>
        <v>9621</v>
      </c>
      <c r="AI43" s="137">
        <f>BW43</f>
        <v>4813</v>
      </c>
      <c r="AJ43" s="137">
        <f>BY43</f>
        <v>5925</v>
      </c>
      <c r="AK43" s="139">
        <f>CB43</f>
        <v>10686</v>
      </c>
      <c r="AL43" s="137">
        <f>CE43</f>
        <v>3563</v>
      </c>
      <c r="AM43" s="137">
        <f>CH43</f>
        <v>33834</v>
      </c>
      <c r="AN43" s="137">
        <f>CJ43</f>
        <v>70648</v>
      </c>
      <c r="AO43" s="137">
        <f>CC43</f>
        <v>8208</v>
      </c>
      <c r="AP43" s="137" t="str">
        <f>CD43</f>
        <v>*</v>
      </c>
      <c r="AQ43" s="137">
        <f>CK43</f>
        <v>13422</v>
      </c>
      <c r="AR43" s="137">
        <f>CI43</f>
        <v>9304</v>
      </c>
      <c r="AS43" s="138" t="e">
        <f>CF43+CG43</f>
        <v>#VALUE!</v>
      </c>
      <c r="AT43" s="155" t="s">
        <v>233</v>
      </c>
      <c r="AU43" s="137">
        <v>2787</v>
      </c>
      <c r="AV43" s="137">
        <v>2409</v>
      </c>
      <c r="AW43" s="137">
        <v>10385</v>
      </c>
      <c r="AX43" s="137">
        <v>4355</v>
      </c>
      <c r="AY43" s="137">
        <v>6895</v>
      </c>
      <c r="AZ43" s="155" t="s">
        <v>233</v>
      </c>
      <c r="BA43" s="137">
        <v>3783</v>
      </c>
      <c r="BB43" s="137">
        <v>7358</v>
      </c>
      <c r="BC43" s="137">
        <v>21699</v>
      </c>
      <c r="BD43" s="137">
        <v>6444</v>
      </c>
      <c r="BE43" s="137">
        <v>6988</v>
      </c>
      <c r="BF43" s="139">
        <v>25115</v>
      </c>
      <c r="BG43" s="137" t="s">
        <v>58</v>
      </c>
      <c r="BH43" s="137" t="s">
        <v>233</v>
      </c>
      <c r="BI43" s="137">
        <v>1349</v>
      </c>
      <c r="BJ43" s="137">
        <v>379</v>
      </c>
      <c r="BK43" s="137" t="s">
        <v>233</v>
      </c>
      <c r="BL43" s="137" t="s">
        <v>233</v>
      </c>
      <c r="BM43" s="137">
        <v>7844</v>
      </c>
      <c r="BN43" s="137">
        <v>3204</v>
      </c>
      <c r="BO43" s="137" t="s">
        <v>233</v>
      </c>
      <c r="BP43" s="137">
        <v>3673</v>
      </c>
      <c r="BQ43" s="137">
        <v>2953</v>
      </c>
      <c r="BR43" s="139">
        <v>4051</v>
      </c>
      <c r="BS43" s="137">
        <v>92</v>
      </c>
      <c r="BT43" s="137">
        <v>9686</v>
      </c>
      <c r="BU43" s="137">
        <v>3390</v>
      </c>
      <c r="BV43" s="137">
        <v>7351</v>
      </c>
      <c r="BW43" s="137">
        <v>4813</v>
      </c>
      <c r="BX43" s="137">
        <v>12463</v>
      </c>
      <c r="BY43" s="137">
        <v>5925</v>
      </c>
      <c r="BZ43" s="137">
        <v>9621</v>
      </c>
      <c r="CA43" s="137">
        <v>3241</v>
      </c>
      <c r="CB43" s="139">
        <v>10686</v>
      </c>
      <c r="CC43" s="137">
        <v>8208</v>
      </c>
      <c r="CD43" s="137" t="s">
        <v>233</v>
      </c>
      <c r="CE43" s="137">
        <v>3563</v>
      </c>
      <c r="CF43" s="137" t="s">
        <v>233</v>
      </c>
      <c r="CG43" s="137">
        <v>18071</v>
      </c>
      <c r="CH43" s="137">
        <v>33834</v>
      </c>
      <c r="CI43" s="137">
        <v>9304</v>
      </c>
      <c r="CJ43" s="137">
        <v>70648</v>
      </c>
      <c r="CK43" s="138">
        <v>13422</v>
      </c>
      <c r="CL43" s="140">
        <v>349144</v>
      </c>
    </row>
    <row r="44" spans="1:90">
      <c r="A44" s="80">
        <f>ROWS($A$3:A42)</f>
        <v>40</v>
      </c>
      <c r="B44" s="54" t="s">
        <v>20</v>
      </c>
      <c r="C44" s="252"/>
      <c r="D44" s="259" t="s">
        <v>241</v>
      </c>
      <c r="E44" s="448">
        <v>42024</v>
      </c>
      <c r="F44" s="142">
        <f>IF(ISERROR(F43/F123)=TRUE,"*",F43/F123)</f>
        <v>40.455514555145548</v>
      </c>
      <c r="G44" s="143">
        <f t="shared" ref="G44:BR44" si="95">IF(ISERROR(G43/G123)=TRUE,"*",G43/G123)</f>
        <v>44.70943396226415</v>
      </c>
      <c r="H44" s="143">
        <f t="shared" si="95"/>
        <v>29.503508771929823</v>
      </c>
      <c r="I44" s="144">
        <f t="shared" si="95"/>
        <v>46.571970802919708</v>
      </c>
      <c r="J44" s="141" t="str">
        <f t="shared" si="95"/>
        <v>*</v>
      </c>
      <c r="K44" s="116">
        <f t="shared" si="95"/>
        <v>42.423986486486484</v>
      </c>
      <c r="L44" s="137">
        <f t="shared" si="95"/>
        <v>35</v>
      </c>
      <c r="M44" s="137">
        <f t="shared" si="95"/>
        <v>35.021739130434781</v>
      </c>
      <c r="N44" s="137">
        <f t="shared" si="95"/>
        <v>43.81856540084388</v>
      </c>
      <c r="O44" s="137">
        <f t="shared" si="95"/>
        <v>41.595238095238095</v>
      </c>
      <c r="P44" s="143">
        <f t="shared" si="95"/>
        <v>43.988372093023258</v>
      </c>
      <c r="Q44" s="137">
        <f t="shared" si="95"/>
        <v>44.951612903225808</v>
      </c>
      <c r="R44" s="143">
        <f t="shared" si="95"/>
        <v>41.875</v>
      </c>
      <c r="S44" s="137">
        <f t="shared" si="95"/>
        <v>31.69736842105263</v>
      </c>
      <c r="T44" s="137">
        <f t="shared" si="95"/>
        <v>42.287356321839077</v>
      </c>
      <c r="U44" s="139">
        <f t="shared" si="95"/>
        <v>39.961325966850829</v>
      </c>
      <c r="V44" s="143">
        <f t="shared" si="95"/>
        <v>22.294117647058822</v>
      </c>
      <c r="W44" s="137">
        <f t="shared" si="95"/>
        <v>42.197916666666664</v>
      </c>
      <c r="X44" s="143">
        <f t="shared" si="95"/>
        <v>64.238095238095241</v>
      </c>
      <c r="Y44" s="143">
        <f t="shared" si="95"/>
        <v>51.677419354838712</v>
      </c>
      <c r="Z44" s="137">
        <f t="shared" si="95"/>
        <v>46.69047619047619</v>
      </c>
      <c r="AA44" s="143">
        <f t="shared" si="95"/>
        <v>50.050847457627121</v>
      </c>
      <c r="AB44" s="139">
        <f t="shared" si="95"/>
        <v>37.865979381443296</v>
      </c>
      <c r="AC44" s="137">
        <f t="shared" si="95"/>
        <v>30.849009900990097</v>
      </c>
      <c r="AD44" s="137">
        <f t="shared" si="95"/>
        <v>20.925925925925927</v>
      </c>
      <c r="AE44" s="143">
        <f t="shared" si="95"/>
        <v>25.071794871794872</v>
      </c>
      <c r="AF44" s="137">
        <f t="shared" si="95"/>
        <v>23.656934306569344</v>
      </c>
      <c r="AG44" s="137">
        <f t="shared" si="95"/>
        <v>17.628297362110313</v>
      </c>
      <c r="AH44" s="137">
        <f t="shared" si="95"/>
        <v>49.84974093264249</v>
      </c>
      <c r="AI44" s="137">
        <f t="shared" si="95"/>
        <v>26.591160220994475</v>
      </c>
      <c r="AJ44" s="137">
        <f t="shared" si="95"/>
        <v>58.663366336633665</v>
      </c>
      <c r="AK44" s="139">
        <f t="shared" si="95"/>
        <v>36.848275862068967</v>
      </c>
      <c r="AL44" s="137">
        <f t="shared" si="95"/>
        <v>50.9</v>
      </c>
      <c r="AM44" s="137">
        <f t="shared" si="95"/>
        <v>47.653521126760566</v>
      </c>
      <c r="AN44" s="137">
        <f t="shared" si="95"/>
        <v>48.925207756232687</v>
      </c>
      <c r="AO44" s="137">
        <f t="shared" si="95"/>
        <v>45.854748603351958</v>
      </c>
      <c r="AP44" s="137" t="str">
        <f t="shared" si="95"/>
        <v>*</v>
      </c>
      <c r="AQ44" s="137">
        <f t="shared" si="95"/>
        <v>45.808873720136518</v>
      </c>
      <c r="AR44" s="137">
        <f t="shared" si="95"/>
        <v>37.821138211382113</v>
      </c>
      <c r="AS44" s="144" t="str">
        <f t="shared" si="95"/>
        <v>*</v>
      </c>
      <c r="AT44" s="137" t="str">
        <f t="shared" si="95"/>
        <v>*</v>
      </c>
      <c r="AU44" s="137">
        <f t="shared" si="95"/>
        <v>44.951612903225808</v>
      </c>
      <c r="AV44" s="137">
        <f t="shared" si="95"/>
        <v>31.69736842105263</v>
      </c>
      <c r="AW44" s="137">
        <f t="shared" si="95"/>
        <v>43.81856540084388</v>
      </c>
      <c r="AX44" s="137">
        <f t="shared" si="95"/>
        <v>41.875</v>
      </c>
      <c r="AY44" s="137">
        <f t="shared" si="95"/>
        <v>35</v>
      </c>
      <c r="AZ44" s="137" t="str">
        <f t="shared" si="95"/>
        <v>*</v>
      </c>
      <c r="BA44" s="137">
        <f t="shared" si="95"/>
        <v>43.988372093023258</v>
      </c>
      <c r="BB44" s="137">
        <f t="shared" si="95"/>
        <v>42.287356321839077</v>
      </c>
      <c r="BC44" s="137">
        <f t="shared" si="95"/>
        <v>39.961325966850829</v>
      </c>
      <c r="BD44" s="137">
        <f t="shared" si="95"/>
        <v>35.021739130434781</v>
      </c>
      <c r="BE44" s="137">
        <f t="shared" si="95"/>
        <v>41.595238095238095</v>
      </c>
      <c r="BF44" s="139">
        <f t="shared" si="95"/>
        <v>42.423986486486484</v>
      </c>
      <c r="BG44" s="137" t="str">
        <f t="shared" si="95"/>
        <v>*</v>
      </c>
      <c r="BH44" s="137" t="str">
        <f t="shared" si="95"/>
        <v>*</v>
      </c>
      <c r="BI44" s="137">
        <f t="shared" si="95"/>
        <v>64.238095238095241</v>
      </c>
      <c r="BJ44" s="137">
        <f t="shared" si="95"/>
        <v>22.294117647058822</v>
      </c>
      <c r="BK44" s="137" t="str">
        <f t="shared" si="95"/>
        <v>*</v>
      </c>
      <c r="BL44" s="137" t="str">
        <f t="shared" si="95"/>
        <v>*</v>
      </c>
      <c r="BM44" s="137">
        <f t="shared" si="95"/>
        <v>46.69047619047619</v>
      </c>
      <c r="BN44" s="137">
        <f t="shared" si="95"/>
        <v>51.677419354838712</v>
      </c>
      <c r="BO44" s="137" t="str">
        <f t="shared" si="95"/>
        <v>*</v>
      </c>
      <c r="BP44" s="137">
        <f t="shared" si="95"/>
        <v>37.865979381443296</v>
      </c>
      <c r="BQ44" s="137">
        <f t="shared" si="95"/>
        <v>50.050847457627121</v>
      </c>
      <c r="BR44" s="139">
        <f t="shared" si="95"/>
        <v>42.197916666666664</v>
      </c>
      <c r="BS44" s="137">
        <f t="shared" ref="BS44:CL44" si="96">IF(ISERROR(BS43/BS123)=TRUE,"*",BS43/BS123)</f>
        <v>18.399999999999999</v>
      </c>
      <c r="BT44" s="137">
        <f t="shared" si="96"/>
        <v>24.835897435897436</v>
      </c>
      <c r="BU44" s="137">
        <f t="shared" si="96"/>
        <v>20.925925925925927</v>
      </c>
      <c r="BV44" s="137">
        <f t="shared" si="96"/>
        <v>17.628297362110313</v>
      </c>
      <c r="BW44" s="137">
        <f t="shared" si="96"/>
        <v>26.591160220994475</v>
      </c>
      <c r="BX44" s="137">
        <f t="shared" si="96"/>
        <v>30.849009900990097</v>
      </c>
      <c r="BY44" s="137">
        <f t="shared" si="96"/>
        <v>58.663366336633665</v>
      </c>
      <c r="BZ44" s="137">
        <f t="shared" si="96"/>
        <v>49.84974093264249</v>
      </c>
      <c r="CA44" s="137">
        <f t="shared" si="96"/>
        <v>23.656934306569344</v>
      </c>
      <c r="CB44" s="139">
        <f t="shared" si="96"/>
        <v>36.848275862068967</v>
      </c>
      <c r="CC44" s="137">
        <f t="shared" si="96"/>
        <v>45.854748603351958</v>
      </c>
      <c r="CD44" s="137" t="str">
        <f t="shared" si="96"/>
        <v>*</v>
      </c>
      <c r="CE44" s="137">
        <f t="shared" si="96"/>
        <v>50.9</v>
      </c>
      <c r="CF44" s="137" t="str">
        <f t="shared" si="96"/>
        <v>*</v>
      </c>
      <c r="CG44" s="137">
        <f t="shared" si="96"/>
        <v>41.447247706422019</v>
      </c>
      <c r="CH44" s="137">
        <f t="shared" si="96"/>
        <v>47.653521126760566</v>
      </c>
      <c r="CI44" s="137">
        <f t="shared" si="96"/>
        <v>37.821138211382113</v>
      </c>
      <c r="CJ44" s="137">
        <f t="shared" si="96"/>
        <v>48.925207756232687</v>
      </c>
      <c r="CK44" s="138">
        <f t="shared" si="96"/>
        <v>45.808873720136518</v>
      </c>
      <c r="CL44" s="140">
        <f t="shared" si="96"/>
        <v>40.251786949504265</v>
      </c>
    </row>
    <row r="45" spans="1:90">
      <c r="A45" s="80">
        <f>ROWS($A$3:A43)</f>
        <v>41</v>
      </c>
      <c r="B45" s="92" t="s">
        <v>74</v>
      </c>
      <c r="C45" s="393">
        <v>2010</v>
      </c>
      <c r="D45" s="259" t="s">
        <v>7</v>
      </c>
      <c r="E45" s="447">
        <v>40652</v>
      </c>
      <c r="F45" s="116">
        <v>1148077</v>
      </c>
      <c r="G45" s="137">
        <v>109564</v>
      </c>
      <c r="H45" s="137">
        <v>151726</v>
      </c>
      <c r="I45" s="138">
        <v>723432</v>
      </c>
      <c r="J45" s="141"/>
      <c r="K45" s="116">
        <f t="shared" si="71"/>
        <v>143135</v>
      </c>
      <c r="L45" s="137">
        <f t="shared" si="72"/>
        <v>16426</v>
      </c>
      <c r="M45" s="137">
        <f t="shared" si="73"/>
        <v>150540</v>
      </c>
      <c r="N45" s="137">
        <f t="shared" si="74"/>
        <v>25725</v>
      </c>
      <c r="O45" s="137">
        <f t="shared" si="75"/>
        <v>49736</v>
      </c>
      <c r="P45" s="808">
        <f>IF(ISERROR(AZ45+BA45),BA45,AZ45+BA45)</f>
        <v>35071</v>
      </c>
      <c r="Q45" s="137">
        <f>'2014'!AU45</f>
        <v>21372</v>
      </c>
      <c r="R45" s="808">
        <f>IF(ISERROR(AT45+AX45),AX45,AT45+AX45)</f>
        <v>42652</v>
      </c>
      <c r="S45" s="137">
        <f t="shared" si="76"/>
        <v>7266</v>
      </c>
      <c r="T45" s="137">
        <f t="shared" si="77"/>
        <v>180470</v>
      </c>
      <c r="U45" s="139">
        <f t="shared" si="77"/>
        <v>475187</v>
      </c>
      <c r="V45" s="808">
        <f>IF(ISERROR(BG45+BJ45),BJ45,(BG45+BJ45))</f>
        <v>7039</v>
      </c>
      <c r="W45" s="137">
        <f t="shared" si="78"/>
        <v>14067</v>
      </c>
      <c r="X45" s="808">
        <f>IF(ISERROR(BH45+BI45),BI45,(BH45+BI45))</f>
        <v>7841</v>
      </c>
      <c r="Y45" s="808">
        <f>IF(ISERROR(BK45+BL45+BN45),BK45+BN45,(BK45+BL45+BN45))</f>
        <v>28028</v>
      </c>
      <c r="Z45" s="137">
        <f t="shared" si="79"/>
        <v>37706</v>
      </c>
      <c r="AA45" s="808">
        <f>IF(ISERROR(BO45+BQ45),BQ45,(BO45+BQ45))</f>
        <v>7823</v>
      </c>
      <c r="AB45" s="139">
        <f t="shared" si="80"/>
        <v>6980</v>
      </c>
      <c r="AC45" s="137">
        <f t="shared" si="81"/>
        <v>22148</v>
      </c>
      <c r="AD45" s="137">
        <f t="shared" si="82"/>
        <v>5024</v>
      </c>
      <c r="AE45" s="808">
        <f>BS45+BT45</f>
        <v>8955</v>
      </c>
      <c r="AF45" s="137">
        <f t="shared" si="83"/>
        <v>3562</v>
      </c>
      <c r="AG45" s="137">
        <f t="shared" si="84"/>
        <v>30888</v>
      </c>
      <c r="AH45" s="137">
        <f t="shared" si="85"/>
        <v>18417</v>
      </c>
      <c r="AI45" s="137">
        <f t="shared" si="86"/>
        <v>38725</v>
      </c>
      <c r="AJ45" s="137">
        <f t="shared" si="87"/>
        <v>10936</v>
      </c>
      <c r="AK45" s="139">
        <f t="shared" si="88"/>
        <v>13071</v>
      </c>
      <c r="AL45" s="137">
        <f t="shared" si="89"/>
        <v>9721</v>
      </c>
      <c r="AM45" s="137">
        <f t="shared" si="90"/>
        <v>173896</v>
      </c>
      <c r="AN45" s="137">
        <f t="shared" si="91"/>
        <v>56880</v>
      </c>
      <c r="AO45" s="137">
        <f t="shared" si="92"/>
        <v>30040</v>
      </c>
      <c r="AP45" s="137">
        <f t="shared" si="92"/>
        <v>17102</v>
      </c>
      <c r="AQ45" s="137">
        <f t="shared" si="93"/>
        <v>107463</v>
      </c>
      <c r="AR45" s="137">
        <f t="shared" si="94"/>
        <v>20295</v>
      </c>
      <c r="AS45" s="138">
        <f>CF45+CG45</f>
        <v>308035</v>
      </c>
      <c r="AT45" s="137">
        <v>0</v>
      </c>
      <c r="AU45" s="137">
        <v>21372</v>
      </c>
      <c r="AV45" s="137">
        <v>7266</v>
      </c>
      <c r="AW45" s="137">
        <v>25725</v>
      </c>
      <c r="AX45" s="137">
        <v>42652</v>
      </c>
      <c r="AY45" s="137">
        <v>16426</v>
      </c>
      <c r="AZ45" s="137">
        <v>0</v>
      </c>
      <c r="BA45" s="137">
        <v>35071</v>
      </c>
      <c r="BB45" s="137">
        <v>180470</v>
      </c>
      <c r="BC45" s="137">
        <v>475187</v>
      </c>
      <c r="BD45" s="137">
        <v>150540</v>
      </c>
      <c r="BE45" s="137">
        <v>49736</v>
      </c>
      <c r="BF45" s="139">
        <v>143135</v>
      </c>
      <c r="BG45" s="137">
        <v>0</v>
      </c>
      <c r="BH45" s="137">
        <v>1211</v>
      </c>
      <c r="BI45" s="137">
        <v>6630</v>
      </c>
      <c r="BJ45" s="137">
        <v>7039</v>
      </c>
      <c r="BK45" s="137">
        <v>765</v>
      </c>
      <c r="BL45" s="137" t="s">
        <v>233</v>
      </c>
      <c r="BM45" s="137">
        <v>37706</v>
      </c>
      <c r="BN45" s="137">
        <v>27263</v>
      </c>
      <c r="BO45" s="137">
        <v>95</v>
      </c>
      <c r="BP45" s="137">
        <v>6980</v>
      </c>
      <c r="BQ45" s="137">
        <v>7728</v>
      </c>
      <c r="BR45" s="139">
        <v>14067</v>
      </c>
      <c r="BS45" s="137">
        <v>400</v>
      </c>
      <c r="BT45" s="137">
        <v>8555</v>
      </c>
      <c r="BU45" s="137">
        <v>5024</v>
      </c>
      <c r="BV45" s="137">
        <v>30888</v>
      </c>
      <c r="BW45" s="137">
        <v>38725</v>
      </c>
      <c r="BX45" s="137">
        <v>22148</v>
      </c>
      <c r="BY45" s="137">
        <v>10936</v>
      </c>
      <c r="BZ45" s="137">
        <v>18417</v>
      </c>
      <c r="CA45" s="137">
        <v>3562</v>
      </c>
      <c r="CB45" s="139">
        <v>13071</v>
      </c>
      <c r="CC45" s="137">
        <v>30040</v>
      </c>
      <c r="CD45" s="137">
        <v>17102</v>
      </c>
      <c r="CE45" s="137">
        <v>9721</v>
      </c>
      <c r="CF45" s="137">
        <v>19867</v>
      </c>
      <c r="CG45" s="137">
        <v>288168</v>
      </c>
      <c r="CH45" s="137">
        <v>173896</v>
      </c>
      <c r="CI45" s="137">
        <v>20295</v>
      </c>
      <c r="CJ45" s="137">
        <v>56880</v>
      </c>
      <c r="CK45" s="138">
        <v>107463</v>
      </c>
      <c r="CL45" s="140">
        <v>2132799</v>
      </c>
    </row>
    <row r="46" spans="1:90">
      <c r="A46" s="80">
        <f>ROWS($A$3:A44)</f>
        <v>42</v>
      </c>
      <c r="B46" s="92" t="s">
        <v>8</v>
      </c>
      <c r="C46" s="203"/>
      <c r="D46" s="259" t="s">
        <v>7</v>
      </c>
      <c r="E46" s="447">
        <v>40652</v>
      </c>
      <c r="F46" s="116">
        <v>138422</v>
      </c>
      <c r="G46" s="137">
        <v>8774</v>
      </c>
      <c r="H46" s="137">
        <v>13335</v>
      </c>
      <c r="I46" s="138">
        <v>71363</v>
      </c>
      <c r="J46" s="141"/>
      <c r="K46" s="116">
        <f t="shared" si="71"/>
        <v>19542</v>
      </c>
      <c r="L46" s="137" t="str">
        <f t="shared" si="72"/>
        <v>*</v>
      </c>
      <c r="M46" s="137">
        <f t="shared" si="73"/>
        <v>19664</v>
      </c>
      <c r="N46" s="137">
        <f t="shared" si="74"/>
        <v>1477</v>
      </c>
      <c r="O46" s="137">
        <f t="shared" si="75"/>
        <v>4383</v>
      </c>
      <c r="P46" s="808">
        <f>IF(ISERROR(AZ46+BA46),BA46,AZ46+BA46)</f>
        <v>3335</v>
      </c>
      <c r="Q46" s="137">
        <f>'2014'!AU46</f>
        <v>2233</v>
      </c>
      <c r="R46" s="808">
        <f>IF(ISERROR(AT46+AX46),AX46,AT46+AX46)</f>
        <v>2945</v>
      </c>
      <c r="S46" s="137" t="str">
        <f t="shared" si="76"/>
        <v>*</v>
      </c>
      <c r="T46" s="137">
        <f t="shared" si="77"/>
        <v>24236</v>
      </c>
      <c r="U46" s="139">
        <f t="shared" si="77"/>
        <v>58271</v>
      </c>
      <c r="V46" s="808">
        <f>IF(ISERROR(BG46+BJ46),BJ46,(BG46+BJ46))</f>
        <v>532</v>
      </c>
      <c r="W46" s="137">
        <f t="shared" si="78"/>
        <v>1444</v>
      </c>
      <c r="X46" s="808">
        <f>IF(ISERROR(BH46+BI46),BI46,(BH46+BI46))</f>
        <v>180</v>
      </c>
      <c r="Y46" s="808">
        <f>IF(ISERROR(BK46+BL46+BN46),BN46,(BK46+BL46+BN46))</f>
        <v>1863</v>
      </c>
      <c r="Z46" s="137">
        <f t="shared" si="79"/>
        <v>2878</v>
      </c>
      <c r="AA46" s="808" t="str">
        <f>IF(ISERROR(BO46+BQ46),BQ46,(BO46+BQ46))</f>
        <v>*</v>
      </c>
      <c r="AB46" s="139">
        <f t="shared" si="80"/>
        <v>466</v>
      </c>
      <c r="AC46" s="137">
        <f t="shared" si="81"/>
        <v>1634</v>
      </c>
      <c r="AD46" s="137">
        <f t="shared" si="82"/>
        <v>471</v>
      </c>
      <c r="AE46" s="808">
        <f>BS46+BT46</f>
        <v>692</v>
      </c>
      <c r="AF46" s="137">
        <f t="shared" si="83"/>
        <v>190</v>
      </c>
      <c r="AG46" s="137">
        <f t="shared" si="84"/>
        <v>3655</v>
      </c>
      <c r="AH46" s="137">
        <f t="shared" si="85"/>
        <v>1386</v>
      </c>
      <c r="AI46" s="137">
        <f t="shared" si="86"/>
        <v>2660</v>
      </c>
      <c r="AJ46" s="137">
        <f t="shared" si="87"/>
        <v>1032</v>
      </c>
      <c r="AK46" s="139">
        <f t="shared" si="88"/>
        <v>1615</v>
      </c>
      <c r="AL46" s="137">
        <f t="shared" si="89"/>
        <v>778</v>
      </c>
      <c r="AM46" s="137">
        <f t="shared" si="90"/>
        <v>17329</v>
      </c>
      <c r="AN46" s="137">
        <f t="shared" si="91"/>
        <v>6991</v>
      </c>
      <c r="AO46" s="137">
        <f t="shared" si="92"/>
        <v>3831</v>
      </c>
      <c r="AP46" s="137">
        <f t="shared" si="92"/>
        <v>941</v>
      </c>
      <c r="AQ46" s="137">
        <f t="shared" si="93"/>
        <v>10639</v>
      </c>
      <c r="AR46" s="137">
        <f t="shared" si="94"/>
        <v>1591</v>
      </c>
      <c r="AS46" s="138">
        <f>CF46+CG46</f>
        <v>29263</v>
      </c>
      <c r="AT46" s="137">
        <v>0</v>
      </c>
      <c r="AU46" s="137">
        <v>2233</v>
      </c>
      <c r="AV46" s="137" t="s">
        <v>233</v>
      </c>
      <c r="AW46" s="137">
        <v>1477</v>
      </c>
      <c r="AX46" s="137">
        <v>2945</v>
      </c>
      <c r="AY46" s="137" t="s">
        <v>233</v>
      </c>
      <c r="AZ46" s="137">
        <v>0</v>
      </c>
      <c r="BA46" s="137">
        <v>3335</v>
      </c>
      <c r="BB46" s="137">
        <v>24236</v>
      </c>
      <c r="BC46" s="137">
        <v>58271</v>
      </c>
      <c r="BD46" s="137">
        <v>19664</v>
      </c>
      <c r="BE46" s="137">
        <v>4383</v>
      </c>
      <c r="BF46" s="139">
        <v>19542</v>
      </c>
      <c r="BG46" s="137" t="s">
        <v>233</v>
      </c>
      <c r="BH46" s="137" t="s">
        <v>233</v>
      </c>
      <c r="BI46" s="137">
        <v>180</v>
      </c>
      <c r="BJ46" s="137">
        <v>532</v>
      </c>
      <c r="BK46" s="137" t="s">
        <v>233</v>
      </c>
      <c r="BL46" s="137">
        <v>0</v>
      </c>
      <c r="BM46" s="137">
        <v>2878</v>
      </c>
      <c r="BN46" s="137">
        <v>1863</v>
      </c>
      <c r="BO46" s="137" t="s">
        <v>233</v>
      </c>
      <c r="BP46" s="137">
        <v>466</v>
      </c>
      <c r="BQ46" s="137" t="s">
        <v>233</v>
      </c>
      <c r="BR46" s="139">
        <v>1444</v>
      </c>
      <c r="BS46" s="137">
        <v>83</v>
      </c>
      <c r="BT46" s="137">
        <v>609</v>
      </c>
      <c r="BU46" s="137">
        <v>471</v>
      </c>
      <c r="BV46" s="137">
        <v>3655</v>
      </c>
      <c r="BW46" s="137">
        <v>2660</v>
      </c>
      <c r="BX46" s="137">
        <v>1634</v>
      </c>
      <c r="BY46" s="137">
        <v>1032</v>
      </c>
      <c r="BZ46" s="137">
        <v>1386</v>
      </c>
      <c r="CA46" s="137">
        <v>190</v>
      </c>
      <c r="CB46" s="139">
        <v>1615</v>
      </c>
      <c r="CC46" s="137">
        <v>3831</v>
      </c>
      <c r="CD46" s="137">
        <v>941</v>
      </c>
      <c r="CE46" s="137">
        <v>778</v>
      </c>
      <c r="CF46" s="137">
        <v>1439</v>
      </c>
      <c r="CG46" s="137">
        <v>27824</v>
      </c>
      <c r="CH46" s="137">
        <v>17329</v>
      </c>
      <c r="CI46" s="137">
        <v>1591</v>
      </c>
      <c r="CJ46" s="137">
        <v>6991</v>
      </c>
      <c r="CK46" s="138">
        <v>10639</v>
      </c>
      <c r="CL46" s="140">
        <v>231894</v>
      </c>
    </row>
    <row r="47" spans="1:90">
      <c r="A47" s="80">
        <f>ROWS($A$3:A45)</f>
        <v>43</v>
      </c>
      <c r="B47" s="54" t="s">
        <v>19</v>
      </c>
      <c r="C47" s="252"/>
      <c r="D47" s="259" t="s">
        <v>241</v>
      </c>
      <c r="E47" s="447">
        <v>40652</v>
      </c>
      <c r="F47" s="116">
        <f>F125/F124</f>
        <v>174.11972065181243</v>
      </c>
      <c r="G47" s="137">
        <f>G125/G124</f>
        <v>101.33630952380952</v>
      </c>
      <c r="H47" s="137">
        <f>H125/H124</f>
        <v>48.009674134419555</v>
      </c>
      <c r="I47" s="138">
        <f>I125/I124</f>
        <v>168.79459002535927</v>
      </c>
      <c r="J47" s="141"/>
      <c r="K47" s="116">
        <f t="shared" si="71"/>
        <v>112.86274509803921</v>
      </c>
      <c r="L47" s="137">
        <f t="shared" si="72"/>
        <v>73.268656716417908</v>
      </c>
      <c r="M47" s="137">
        <f t="shared" si="73"/>
        <v>139.1906976744186</v>
      </c>
      <c r="N47" s="137">
        <f t="shared" si="74"/>
        <v>127.40163934426229</v>
      </c>
      <c r="O47" s="137">
        <f t="shared" si="75"/>
        <v>186.52071005917159</v>
      </c>
      <c r="P47" s="808">
        <f>IF(ISERROR((BA45*BA47+AZ45*AZ47)/P45),BA47,(BA45*BA47+AZ45*AZ47)/P45)</f>
        <v>177.03007518796991</v>
      </c>
      <c r="Q47" s="137">
        <f>'2014'!AU47</f>
        <v>143.6</v>
      </c>
      <c r="R47" s="808">
        <f>IF(ISERROR((AT47*AT45+AX45*AX47)/R45),AX47,(AT47*AT45+AX45*AX47)/R45)</f>
        <v>215.48872180451127</v>
      </c>
      <c r="S47" s="137">
        <f t="shared" si="76"/>
        <v>65.145161290322577</v>
      </c>
      <c r="T47" s="137">
        <f t="shared" si="77"/>
        <v>216.87465181058496</v>
      </c>
      <c r="U47" s="139">
        <f t="shared" si="77"/>
        <v>227.08178844056707</v>
      </c>
      <c r="V47" s="808">
        <f>IF(ISERROR((BG47*BG45+BJ45*BJ47)/V45),BJ47,(BG47*BG45+BJ45*BJ47)/V45)</f>
        <v>90.093023255813947</v>
      </c>
      <c r="W47" s="137">
        <f t="shared" si="78"/>
        <v>69.509433962264154</v>
      </c>
      <c r="X47" s="808">
        <f>IF(ISERROR((BH45*BH47+BI45*BI47)/X45),BI47,(BH45*BH47+BI45*BI47)/X45)</f>
        <v>92.466251115929097</v>
      </c>
      <c r="Y47" s="808">
        <f>(BK47*BK45+BN47*BN45)/Y45</f>
        <v>129.75415071941046</v>
      </c>
      <c r="Z47" s="137">
        <f t="shared" si="79"/>
        <v>147.13186813186815</v>
      </c>
      <c r="AA47" s="808">
        <f>IF(ISERROR((BO47*BO45+BQ47*BQ45)/AA45),BQ47,(BO47*BO45+BQ47*BQ45)/AA45)</f>
        <v>85.91379310344827</v>
      </c>
      <c r="AB47" s="139">
        <f t="shared" si="80"/>
        <v>44.670329670329672</v>
      </c>
      <c r="AC47" s="137">
        <f t="shared" si="81"/>
        <v>55.530364372469634</v>
      </c>
      <c r="AD47" s="137">
        <f t="shared" si="82"/>
        <v>22.611111111111111</v>
      </c>
      <c r="AE47" s="808">
        <f>(BS45*BS47+BT45*BT47)/AE45</f>
        <v>21.937068584681651</v>
      </c>
      <c r="AF47" s="137">
        <f t="shared" si="83"/>
        <v>28.010416666666668</v>
      </c>
      <c r="AG47" s="137">
        <f t="shared" si="84"/>
        <v>31.215291750503017</v>
      </c>
      <c r="AH47" s="137">
        <f t="shared" si="85"/>
        <v>101.36134453781513</v>
      </c>
      <c r="AI47" s="137">
        <f t="shared" si="86"/>
        <v>116.59641255605381</v>
      </c>
      <c r="AJ47" s="137">
        <f t="shared" si="87"/>
        <v>69.136842105263156</v>
      </c>
      <c r="AK47" s="139">
        <f t="shared" si="88"/>
        <v>33.845794392523366</v>
      </c>
      <c r="AL47" s="137">
        <f t="shared" si="89"/>
        <v>74.096385542168676</v>
      </c>
      <c r="AM47" s="137">
        <f t="shared" si="90"/>
        <v>197.72</v>
      </c>
      <c r="AN47" s="137">
        <f t="shared" si="91"/>
        <v>117.89873417721519</v>
      </c>
      <c r="AO47" s="137">
        <f t="shared" si="92"/>
        <v>68.572727272727278</v>
      </c>
      <c r="AP47" s="137">
        <f t="shared" si="92"/>
        <v>154.06153846153848</v>
      </c>
      <c r="AQ47" s="137">
        <f t="shared" si="93"/>
        <v>150.2755905511811</v>
      </c>
      <c r="AR47" s="137">
        <f t="shared" si="94"/>
        <v>113.36974789915966</v>
      </c>
      <c r="AS47" s="144">
        <f>(CF45*CF47+CG45*CG47)/AS45</f>
        <v>229.46243470402328</v>
      </c>
      <c r="AT47" s="137" t="s">
        <v>58</v>
      </c>
      <c r="AU47" s="137">
        <f t="shared" ref="AU47:CJ47" si="97">AU125/AU124</f>
        <v>143.6</v>
      </c>
      <c r="AV47" s="137">
        <f t="shared" si="97"/>
        <v>65.145161290322577</v>
      </c>
      <c r="AW47" s="137">
        <f t="shared" si="97"/>
        <v>127.40163934426229</v>
      </c>
      <c r="AX47" s="137">
        <f t="shared" si="97"/>
        <v>215.48872180451127</v>
      </c>
      <c r="AY47" s="137">
        <f t="shared" si="97"/>
        <v>73.268656716417908</v>
      </c>
      <c r="AZ47" s="137" t="s">
        <v>58</v>
      </c>
      <c r="BA47" s="137">
        <f t="shared" si="97"/>
        <v>177.03007518796991</v>
      </c>
      <c r="BB47" s="137">
        <f t="shared" si="97"/>
        <v>216.87465181058496</v>
      </c>
      <c r="BC47" s="137">
        <f t="shared" si="97"/>
        <v>227.08178844056707</v>
      </c>
      <c r="BD47" s="137">
        <f t="shared" si="97"/>
        <v>139.1906976744186</v>
      </c>
      <c r="BE47" s="137">
        <f t="shared" si="97"/>
        <v>186.52071005917159</v>
      </c>
      <c r="BF47" s="139">
        <f t="shared" si="97"/>
        <v>112.86274509803921</v>
      </c>
      <c r="BG47" s="137" t="s">
        <v>58</v>
      </c>
      <c r="BH47" s="137">
        <f t="shared" si="97"/>
        <v>99.125</v>
      </c>
      <c r="BI47" s="137">
        <f t="shared" si="97"/>
        <v>91.25</v>
      </c>
      <c r="BJ47" s="137">
        <f t="shared" si="97"/>
        <v>90.093023255813947</v>
      </c>
      <c r="BK47" s="137">
        <f t="shared" si="97"/>
        <v>63</v>
      </c>
      <c r="BL47" s="137" t="s">
        <v>58</v>
      </c>
      <c r="BM47" s="137">
        <f t="shared" si="97"/>
        <v>147.13186813186815</v>
      </c>
      <c r="BN47" s="137">
        <f t="shared" si="97"/>
        <v>131.62727272727273</v>
      </c>
      <c r="BO47" s="137" t="s">
        <v>58</v>
      </c>
      <c r="BP47" s="137">
        <f t="shared" si="97"/>
        <v>44.670329670329672</v>
      </c>
      <c r="BQ47" s="137">
        <f t="shared" si="97"/>
        <v>85.91379310344827</v>
      </c>
      <c r="BR47" s="139">
        <f t="shared" si="97"/>
        <v>69.509433962264154</v>
      </c>
      <c r="BS47" s="137">
        <f t="shared" si="97"/>
        <v>17.153846153846153</v>
      </c>
      <c r="BT47" s="137">
        <f t="shared" si="97"/>
        <v>22.160714285714285</v>
      </c>
      <c r="BU47" s="137">
        <f t="shared" si="97"/>
        <v>22.611111111111111</v>
      </c>
      <c r="BV47" s="137">
        <f t="shared" si="97"/>
        <v>31.215291750503017</v>
      </c>
      <c r="BW47" s="137">
        <f t="shared" si="97"/>
        <v>116.59641255605381</v>
      </c>
      <c r="BX47" s="137">
        <f t="shared" si="97"/>
        <v>55.530364372469634</v>
      </c>
      <c r="BY47" s="137">
        <f t="shared" si="97"/>
        <v>69.136842105263156</v>
      </c>
      <c r="BZ47" s="137">
        <f t="shared" si="97"/>
        <v>101.36134453781513</v>
      </c>
      <c r="CA47" s="137">
        <f t="shared" si="97"/>
        <v>28.010416666666668</v>
      </c>
      <c r="CB47" s="139">
        <f t="shared" si="97"/>
        <v>33.845794392523366</v>
      </c>
      <c r="CC47" s="137">
        <f t="shared" si="97"/>
        <v>68.572727272727278</v>
      </c>
      <c r="CD47" s="137">
        <f t="shared" si="97"/>
        <v>154.06153846153848</v>
      </c>
      <c r="CE47" s="137">
        <f t="shared" si="97"/>
        <v>74.096385542168676</v>
      </c>
      <c r="CF47" s="137">
        <f t="shared" si="97"/>
        <v>428.06666666666666</v>
      </c>
      <c r="CG47" s="137">
        <f t="shared" si="97"/>
        <v>215.7701778385773</v>
      </c>
      <c r="CH47" s="137">
        <f t="shared" si="97"/>
        <v>197.72</v>
      </c>
      <c r="CI47" s="137">
        <f t="shared" si="97"/>
        <v>113.36974789915966</v>
      </c>
      <c r="CJ47" s="137">
        <f t="shared" si="97"/>
        <v>117.89873417721519</v>
      </c>
      <c r="CK47" s="138">
        <f>CK125/CK124</f>
        <v>150.2755905511811</v>
      </c>
      <c r="CL47" s="140">
        <f>CL125/CL124</f>
        <v>135.51442127606444</v>
      </c>
    </row>
    <row r="48" spans="1:90">
      <c r="A48" s="80">
        <f>ROWS($A$3:A46)</f>
        <v>44</v>
      </c>
      <c r="B48" s="196" t="s">
        <v>239</v>
      </c>
      <c r="C48" s="393">
        <v>2010</v>
      </c>
      <c r="D48" s="259" t="s">
        <v>7</v>
      </c>
      <c r="E48" s="447">
        <v>40652</v>
      </c>
      <c r="F48" s="116">
        <v>18657</v>
      </c>
      <c r="G48" s="137">
        <v>11690</v>
      </c>
      <c r="H48" s="137">
        <v>13322</v>
      </c>
      <c r="I48" s="138">
        <v>16072</v>
      </c>
      <c r="J48" s="141"/>
      <c r="K48" s="116">
        <f t="shared" si="71"/>
        <v>3102</v>
      </c>
      <c r="L48" s="137">
        <f t="shared" si="72"/>
        <v>1882</v>
      </c>
      <c r="M48" s="137">
        <f t="shared" si="73"/>
        <v>817</v>
      </c>
      <c r="N48" s="137">
        <f t="shared" si="74"/>
        <v>1667</v>
      </c>
      <c r="O48" s="137">
        <f t="shared" si="75"/>
        <v>739</v>
      </c>
      <c r="P48" s="137">
        <f>'2014'!AZ48+'2014'!BA48</f>
        <v>1429</v>
      </c>
      <c r="Q48" s="137">
        <f>'2014'!AU48</f>
        <v>2195</v>
      </c>
      <c r="R48" s="137">
        <f>AT48+AX48</f>
        <v>2352</v>
      </c>
      <c r="S48" s="137">
        <f t="shared" si="76"/>
        <v>2310</v>
      </c>
      <c r="T48" s="137">
        <f t="shared" si="77"/>
        <v>715</v>
      </c>
      <c r="U48" s="139">
        <f t="shared" si="77"/>
        <v>1449</v>
      </c>
      <c r="V48" s="137">
        <f>BG48+BJ48</f>
        <v>823</v>
      </c>
      <c r="W48" s="137">
        <f t="shared" si="78"/>
        <v>919</v>
      </c>
      <c r="X48" s="137">
        <f>BH48+BI48</f>
        <v>2585</v>
      </c>
      <c r="Y48" s="137">
        <f>BK48+BL48+BN48</f>
        <v>2816</v>
      </c>
      <c r="Z48" s="137">
        <f t="shared" si="79"/>
        <v>1619</v>
      </c>
      <c r="AA48" s="137">
        <f>BO48+BQ48</f>
        <v>1517</v>
      </c>
      <c r="AB48" s="139">
        <f t="shared" si="80"/>
        <v>1411</v>
      </c>
      <c r="AC48" s="137">
        <f t="shared" si="81"/>
        <v>1145</v>
      </c>
      <c r="AD48" s="137">
        <f t="shared" si="82"/>
        <v>998</v>
      </c>
      <c r="AE48" s="137">
        <f>BS48+BT48</f>
        <v>2422</v>
      </c>
      <c r="AF48" s="137">
        <f t="shared" si="83"/>
        <v>1691</v>
      </c>
      <c r="AG48" s="137">
        <f t="shared" si="84"/>
        <v>1682</v>
      </c>
      <c r="AH48" s="137">
        <f t="shared" si="85"/>
        <v>1607</v>
      </c>
      <c r="AI48" s="137">
        <f t="shared" si="86"/>
        <v>906</v>
      </c>
      <c r="AJ48" s="137">
        <f t="shared" si="87"/>
        <v>688</v>
      </c>
      <c r="AK48" s="139">
        <f t="shared" si="88"/>
        <v>2183</v>
      </c>
      <c r="AL48" s="137">
        <f t="shared" si="89"/>
        <v>1639</v>
      </c>
      <c r="AM48" s="137">
        <f t="shared" si="90"/>
        <v>2054</v>
      </c>
      <c r="AN48" s="137">
        <f t="shared" si="91"/>
        <v>3481</v>
      </c>
      <c r="AO48" s="137">
        <f t="shared" si="92"/>
        <v>2729</v>
      </c>
      <c r="AP48" s="137">
        <f t="shared" si="92"/>
        <v>920</v>
      </c>
      <c r="AQ48" s="137">
        <f t="shared" si="93"/>
        <v>1506</v>
      </c>
      <c r="AR48" s="137">
        <f t="shared" si="94"/>
        <v>1586</v>
      </c>
      <c r="AS48" s="138">
        <f>CF48+CG48</f>
        <v>2157</v>
      </c>
      <c r="AT48" s="137">
        <v>176</v>
      </c>
      <c r="AU48" s="137">
        <v>2195</v>
      </c>
      <c r="AV48" s="137">
        <v>2310</v>
      </c>
      <c r="AW48" s="137">
        <v>1667</v>
      </c>
      <c r="AX48" s="137">
        <v>2176</v>
      </c>
      <c r="AY48" s="137">
        <v>1882</v>
      </c>
      <c r="AZ48" s="137">
        <v>55</v>
      </c>
      <c r="BA48" s="137">
        <v>1374</v>
      </c>
      <c r="BB48" s="137">
        <v>715</v>
      </c>
      <c r="BC48" s="137">
        <v>1449</v>
      </c>
      <c r="BD48" s="137">
        <v>817</v>
      </c>
      <c r="BE48" s="137">
        <v>739</v>
      </c>
      <c r="BF48" s="139">
        <v>3102</v>
      </c>
      <c r="BG48" s="137">
        <v>50</v>
      </c>
      <c r="BH48" s="137">
        <v>168</v>
      </c>
      <c r="BI48" s="137">
        <v>2417</v>
      </c>
      <c r="BJ48" s="137">
        <v>773</v>
      </c>
      <c r="BK48" s="137">
        <v>116</v>
      </c>
      <c r="BL48" s="137">
        <v>469</v>
      </c>
      <c r="BM48" s="137">
        <v>1619</v>
      </c>
      <c r="BN48" s="137">
        <v>2231</v>
      </c>
      <c r="BO48" s="137">
        <v>95</v>
      </c>
      <c r="BP48" s="137">
        <v>1411</v>
      </c>
      <c r="BQ48" s="137">
        <v>1422</v>
      </c>
      <c r="BR48" s="139">
        <v>919</v>
      </c>
      <c r="BS48" s="137">
        <v>249</v>
      </c>
      <c r="BT48" s="137">
        <v>2173</v>
      </c>
      <c r="BU48" s="137">
        <v>998</v>
      </c>
      <c r="BV48" s="137">
        <v>1682</v>
      </c>
      <c r="BW48" s="137">
        <v>906</v>
      </c>
      <c r="BX48" s="137">
        <v>1145</v>
      </c>
      <c r="BY48" s="137">
        <v>688</v>
      </c>
      <c r="BZ48" s="137">
        <v>1607</v>
      </c>
      <c r="CA48" s="137">
        <v>1691</v>
      </c>
      <c r="CB48" s="139">
        <v>2183</v>
      </c>
      <c r="CC48" s="137">
        <v>2729</v>
      </c>
      <c r="CD48" s="137">
        <v>920</v>
      </c>
      <c r="CE48" s="137">
        <v>1639</v>
      </c>
      <c r="CF48" s="137">
        <v>220</v>
      </c>
      <c r="CG48" s="137">
        <v>1937</v>
      </c>
      <c r="CH48" s="137">
        <v>2054</v>
      </c>
      <c r="CI48" s="137">
        <v>1586</v>
      </c>
      <c r="CJ48" s="137">
        <v>3481</v>
      </c>
      <c r="CK48" s="138">
        <v>1506</v>
      </c>
      <c r="CL48" s="140">
        <v>59741</v>
      </c>
    </row>
    <row r="49" spans="1:90">
      <c r="A49" s="80">
        <f>ROWS($A$3:A47)</f>
        <v>45</v>
      </c>
      <c r="B49" s="92" t="s">
        <v>75</v>
      </c>
      <c r="C49" s="393">
        <v>2010</v>
      </c>
      <c r="D49" s="259" t="s">
        <v>7</v>
      </c>
      <c r="E49" s="447">
        <v>40652</v>
      </c>
      <c r="F49" s="116">
        <v>89942</v>
      </c>
      <c r="G49" s="137">
        <v>37333</v>
      </c>
      <c r="H49" s="137">
        <v>58301</v>
      </c>
      <c r="I49" s="138">
        <v>80552</v>
      </c>
      <c r="J49" s="141"/>
      <c r="K49" s="116">
        <f t="shared" si="71"/>
        <v>11026</v>
      </c>
      <c r="L49" s="137">
        <f t="shared" si="72"/>
        <v>7998</v>
      </c>
      <c r="M49" s="137">
        <f t="shared" si="73"/>
        <v>3629</v>
      </c>
      <c r="N49" s="137">
        <f t="shared" si="74"/>
        <v>11011</v>
      </c>
      <c r="O49" s="137">
        <f t="shared" si="75"/>
        <v>9759</v>
      </c>
      <c r="P49" s="137">
        <f>'2014'!AZ49+'2014'!BA49</f>
        <v>8316</v>
      </c>
      <c r="Q49" s="137">
        <f>'2014'!AU49</f>
        <v>5002</v>
      </c>
      <c r="R49" s="137">
        <f>AT49+AX49</f>
        <v>3480</v>
      </c>
      <c r="S49" s="137">
        <f t="shared" si="76"/>
        <v>12878</v>
      </c>
      <c r="T49" s="137">
        <f t="shared" si="77"/>
        <v>6146</v>
      </c>
      <c r="U49" s="139">
        <f t="shared" si="77"/>
        <v>11329</v>
      </c>
      <c r="V49" s="137">
        <f>BG49+BJ49</f>
        <v>4079</v>
      </c>
      <c r="W49" s="137">
        <f t="shared" si="78"/>
        <v>8075</v>
      </c>
      <c r="X49" s="137">
        <f>BH49+BI49</f>
        <v>5162</v>
      </c>
      <c r="Y49" s="137">
        <f>BN49</f>
        <v>4778</v>
      </c>
      <c r="Z49" s="137">
        <f t="shared" si="79"/>
        <v>2872</v>
      </c>
      <c r="AA49" s="137">
        <f>BQ49</f>
        <v>1648</v>
      </c>
      <c r="AB49" s="139">
        <f t="shared" si="80"/>
        <v>9701</v>
      </c>
      <c r="AC49" s="137">
        <f t="shared" si="81"/>
        <v>3492</v>
      </c>
      <c r="AD49" s="137">
        <f t="shared" si="82"/>
        <v>2712</v>
      </c>
      <c r="AE49" s="137">
        <f>BS49+BT49</f>
        <v>9536</v>
      </c>
      <c r="AF49" s="137">
        <f t="shared" si="83"/>
        <v>4480</v>
      </c>
      <c r="AG49" s="137">
        <f t="shared" si="84"/>
        <v>5909</v>
      </c>
      <c r="AH49" s="137">
        <f t="shared" si="85"/>
        <v>4775</v>
      </c>
      <c r="AI49" s="137">
        <f t="shared" si="86"/>
        <v>7827</v>
      </c>
      <c r="AJ49" s="137">
        <f t="shared" si="87"/>
        <v>4733</v>
      </c>
      <c r="AK49" s="139">
        <f t="shared" si="88"/>
        <v>5174</v>
      </c>
      <c r="AL49" s="137">
        <f t="shared" si="89"/>
        <v>16486</v>
      </c>
      <c r="AM49" s="137">
        <f t="shared" si="90"/>
        <v>4167</v>
      </c>
      <c r="AN49" s="137">
        <f t="shared" si="91"/>
        <v>5606</v>
      </c>
      <c r="AO49" s="137">
        <f t="shared" si="92"/>
        <v>20120</v>
      </c>
      <c r="AP49" s="137" t="str">
        <f t="shared" si="92"/>
        <v>*</v>
      </c>
      <c r="AQ49" s="137">
        <f t="shared" si="93"/>
        <v>4076</v>
      </c>
      <c r="AR49" s="137">
        <f t="shared" si="94"/>
        <v>4623</v>
      </c>
      <c r="AS49" s="138">
        <f>CG49</f>
        <v>10366</v>
      </c>
      <c r="AT49" s="137">
        <v>387</v>
      </c>
      <c r="AU49" s="137">
        <v>5002</v>
      </c>
      <c r="AV49" s="137">
        <v>12878</v>
      </c>
      <c r="AW49" s="137">
        <v>11011</v>
      </c>
      <c r="AX49" s="137">
        <v>3093</v>
      </c>
      <c r="AY49" s="137">
        <v>7998</v>
      </c>
      <c r="AZ49" s="137">
        <v>0</v>
      </c>
      <c r="BA49" s="137">
        <v>8316</v>
      </c>
      <c r="BB49" s="137">
        <v>6146</v>
      </c>
      <c r="BC49" s="137">
        <v>11329</v>
      </c>
      <c r="BD49" s="137">
        <v>3629</v>
      </c>
      <c r="BE49" s="137">
        <v>9759</v>
      </c>
      <c r="BF49" s="139">
        <v>11026</v>
      </c>
      <c r="BG49" s="137">
        <v>1526</v>
      </c>
      <c r="BH49" s="137">
        <v>881</v>
      </c>
      <c r="BI49" s="137">
        <v>4281</v>
      </c>
      <c r="BJ49" s="137">
        <v>2553</v>
      </c>
      <c r="BK49" s="137" t="s">
        <v>233</v>
      </c>
      <c r="BL49" s="137" t="s">
        <v>233</v>
      </c>
      <c r="BM49" s="137">
        <v>2872</v>
      </c>
      <c r="BN49" s="137">
        <v>4778</v>
      </c>
      <c r="BO49" s="137" t="s">
        <v>233</v>
      </c>
      <c r="BP49" s="137">
        <v>9701</v>
      </c>
      <c r="BQ49" s="137">
        <v>1648</v>
      </c>
      <c r="BR49" s="139">
        <v>8075</v>
      </c>
      <c r="BS49" s="137">
        <v>3491</v>
      </c>
      <c r="BT49" s="137">
        <v>6045</v>
      </c>
      <c r="BU49" s="137">
        <v>2712</v>
      </c>
      <c r="BV49" s="137">
        <v>5909</v>
      </c>
      <c r="BW49" s="137">
        <v>7827</v>
      </c>
      <c r="BX49" s="137">
        <v>3492</v>
      </c>
      <c r="BY49" s="137">
        <v>4733</v>
      </c>
      <c r="BZ49" s="137">
        <v>4775</v>
      </c>
      <c r="CA49" s="137">
        <v>4480</v>
      </c>
      <c r="CB49" s="139">
        <v>5174</v>
      </c>
      <c r="CC49" s="137">
        <v>20120</v>
      </c>
      <c r="CD49" s="137" t="s">
        <v>233</v>
      </c>
      <c r="CE49" s="137">
        <v>16486</v>
      </c>
      <c r="CF49" s="137" t="s">
        <v>233</v>
      </c>
      <c r="CG49" s="137">
        <v>10366</v>
      </c>
      <c r="CH49" s="137">
        <v>4167</v>
      </c>
      <c r="CI49" s="137">
        <v>4623</v>
      </c>
      <c r="CJ49" s="137">
        <v>5606</v>
      </c>
      <c r="CK49" s="138">
        <v>4076</v>
      </c>
      <c r="CL49" s="140">
        <v>274311</v>
      </c>
    </row>
    <row r="50" spans="1:90">
      <c r="A50" s="80">
        <f>ROWS($A$3:A48)</f>
        <v>46</v>
      </c>
      <c r="B50" s="52" t="s">
        <v>76</v>
      </c>
      <c r="C50" s="392">
        <v>2010</v>
      </c>
      <c r="D50" s="260" t="s">
        <v>21</v>
      </c>
      <c r="E50" s="451"/>
      <c r="F50" s="116">
        <v>81</v>
      </c>
      <c r="G50" s="137">
        <v>45</v>
      </c>
      <c r="H50" s="137">
        <v>63</v>
      </c>
      <c r="I50" s="138">
        <v>95</v>
      </c>
      <c r="J50" s="141"/>
      <c r="K50" s="116">
        <f t="shared" si="71"/>
        <v>111</v>
      </c>
      <c r="L50" s="137">
        <f t="shared" si="72"/>
        <v>81</v>
      </c>
      <c r="M50" s="137">
        <f t="shared" si="73"/>
        <v>48</v>
      </c>
      <c r="N50" s="137">
        <f t="shared" si="74"/>
        <v>98</v>
      </c>
      <c r="O50" s="137">
        <f t="shared" si="75"/>
        <v>91</v>
      </c>
      <c r="P50" s="143">
        <f>(AZ50*AZ35+BA50*BA35)/P35</f>
        <v>30.632177970625204</v>
      </c>
      <c r="Q50" s="137">
        <f>'2014'!AU50</f>
        <v>53</v>
      </c>
      <c r="R50" s="143">
        <f>(AT50*AT35+AX50*AX35)/R35</f>
        <v>53.917846943779388</v>
      </c>
      <c r="S50" s="137">
        <f t="shared" si="76"/>
        <v>58</v>
      </c>
      <c r="T50" s="137">
        <f t="shared" si="77"/>
        <v>94</v>
      </c>
      <c r="U50" s="139">
        <f t="shared" si="77"/>
        <v>130</v>
      </c>
      <c r="V50" s="143">
        <f>(BG50*BG35+BJ50*BJ35)/V35</f>
        <v>23.90534722655519</v>
      </c>
      <c r="W50" s="137">
        <f t="shared" si="78"/>
        <v>66</v>
      </c>
      <c r="X50" s="143">
        <f>(BH50*BH35+BI50*BI35)/X35</f>
        <v>23</v>
      </c>
      <c r="Y50" s="143">
        <f>(BK50*BK35+BL50*BL35+BN50*BN35)/Y35</f>
        <v>41.732504324248517</v>
      </c>
      <c r="Z50" s="137">
        <f t="shared" si="79"/>
        <v>55</v>
      </c>
      <c r="AA50" s="143">
        <f>(BO50*BO35+BQ50*BQ35)/AA35</f>
        <v>51.696666005159756</v>
      </c>
      <c r="AB50" s="139">
        <f t="shared" si="80"/>
        <v>67</v>
      </c>
      <c r="AC50" s="137">
        <f t="shared" si="81"/>
        <v>73</v>
      </c>
      <c r="AD50" s="137">
        <f t="shared" si="82"/>
        <v>61</v>
      </c>
      <c r="AE50" s="143">
        <f>(BS50*BS35+BT50*BT35)/AE35</f>
        <v>54.149585762503833</v>
      </c>
      <c r="AF50" s="137">
        <f t="shared" si="83"/>
        <v>64</v>
      </c>
      <c r="AG50" s="137">
        <f t="shared" si="84"/>
        <v>52</v>
      </c>
      <c r="AH50" s="137">
        <f t="shared" si="85"/>
        <v>69</v>
      </c>
      <c r="AI50" s="137">
        <f t="shared" si="86"/>
        <v>65</v>
      </c>
      <c r="AJ50" s="137">
        <f t="shared" si="87"/>
        <v>60</v>
      </c>
      <c r="AK50" s="139">
        <f t="shared" si="88"/>
        <v>80</v>
      </c>
      <c r="AL50" s="137">
        <f t="shared" si="89"/>
        <v>42</v>
      </c>
      <c r="AM50" s="137">
        <f t="shared" si="90"/>
        <v>115</v>
      </c>
      <c r="AN50" s="137">
        <f t="shared" si="91"/>
        <v>142</v>
      </c>
      <c r="AO50" s="137">
        <f t="shared" si="92"/>
        <v>67</v>
      </c>
      <c r="AP50" s="137">
        <f t="shared" si="92"/>
        <v>39</v>
      </c>
      <c r="AQ50" s="137">
        <f t="shared" si="93"/>
        <v>79</v>
      </c>
      <c r="AR50" s="137">
        <f t="shared" si="94"/>
        <v>72</v>
      </c>
      <c r="AS50" s="144">
        <f>(CF50*CF35+CG50*CG35)/AS35</f>
        <v>98.344088616760459</v>
      </c>
      <c r="AT50" s="137">
        <v>40</v>
      </c>
      <c r="AU50" s="137">
        <v>53</v>
      </c>
      <c r="AV50" s="137">
        <v>58</v>
      </c>
      <c r="AW50" s="137">
        <v>98</v>
      </c>
      <c r="AX50" s="137">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c r="A51" s="80">
        <f>ROWS($A$3:A49)</f>
        <v>47</v>
      </c>
      <c r="B51" s="54" t="s">
        <v>92</v>
      </c>
      <c r="C51" s="252">
        <v>2010</v>
      </c>
      <c r="D51" s="259" t="s">
        <v>9</v>
      </c>
      <c r="E51" s="447">
        <v>40441</v>
      </c>
      <c r="F51" s="142">
        <f>IF(ISERROR(F95/F42)=TRUE,0,ROUND(F95/F42*1000,0))</f>
        <v>5342</v>
      </c>
      <c r="G51" s="143">
        <f>IF(ISERROR(G95/G42)=TRUE,0,ROUND(G95/G42*1000,0))</f>
        <v>4557</v>
      </c>
      <c r="H51" s="143">
        <f>IF(ISERROR(H95/H42)=TRUE,0,ROUND(H95/H42*1000,0))</f>
        <v>4106</v>
      </c>
      <c r="I51" s="144">
        <f>IF(ISERROR(I95/I42)=TRUE,0,ROUND(I95/I42*1000,0))</f>
        <v>5759</v>
      </c>
      <c r="J51" s="141"/>
      <c r="K51" s="145">
        <f t="shared" si="71"/>
        <v>5658</v>
      </c>
      <c r="L51" s="146">
        <f t="shared" si="72"/>
        <v>4893</v>
      </c>
      <c r="M51" s="146">
        <f t="shared" si="73"/>
        <v>5689</v>
      </c>
      <c r="N51" s="146">
        <f t="shared" si="74"/>
        <v>4656</v>
      </c>
      <c r="O51" s="146">
        <f t="shared" si="75"/>
        <v>5804</v>
      </c>
      <c r="P51" s="143">
        <f>IF(ISERROR(P95/P42)=TRUE,0,ROUND(P95/P42*1000,0))</f>
        <v>5874</v>
      </c>
      <c r="Q51" s="146">
        <f>'2010'!AU51</f>
        <v>4651</v>
      </c>
      <c r="R51" s="143">
        <f>IF(ISERROR(R95/R42)=TRUE,0,ROUND(R95/R42*1000,0))</f>
        <v>6061</v>
      </c>
      <c r="S51" s="146">
        <f t="shared" si="76"/>
        <v>3745</v>
      </c>
      <c r="T51" s="146">
        <f t="shared" si="77"/>
        <v>4978</v>
      </c>
      <c r="U51" s="147">
        <f t="shared" si="77"/>
        <v>5396</v>
      </c>
      <c r="V51" s="143">
        <f>IF(ISERROR(V95/V42)=TRUE,0,ROUND(V95/V42*1000,0))</f>
        <v>1776</v>
      </c>
      <c r="W51" s="146">
        <f t="shared" si="78"/>
        <v>4624</v>
      </c>
      <c r="X51" s="143">
        <f>IF(ISERROR(X95/X42)=TRUE,0,ROUND(X95/X42*1000,0))</f>
        <v>3241</v>
      </c>
      <c r="Y51" s="143">
        <f>IF(ISERROR(Y95/Y42)=TRUE,0,ROUND(Y95/Y42*1000,0))</f>
        <v>5298</v>
      </c>
      <c r="Z51" s="146">
        <f t="shared" si="79"/>
        <v>5271</v>
      </c>
      <c r="AA51" s="143">
        <f>IF(ISERROR(AA95/AA42)=TRUE,0,ROUND(AA95/AA42*1000,0))</f>
        <v>4490</v>
      </c>
      <c r="AB51" s="147">
        <f t="shared" si="80"/>
        <v>4182</v>
      </c>
      <c r="AC51" s="146">
        <f t="shared" si="81"/>
        <v>4459</v>
      </c>
      <c r="AD51" s="146">
        <f t="shared" si="82"/>
        <v>3335</v>
      </c>
      <c r="AE51" s="143">
        <f>IF(ISERROR(AE95/AE42)=TRUE,0,ROUND(AE95/AE42*1000,0))</f>
        <v>4137</v>
      </c>
      <c r="AF51" s="146">
        <f t="shared" si="83"/>
        <v>2953</v>
      </c>
      <c r="AG51" s="146">
        <f t="shared" si="84"/>
        <v>3402</v>
      </c>
      <c r="AH51" s="146">
        <f t="shared" si="85"/>
        <v>5229</v>
      </c>
      <c r="AI51" s="146">
        <f t="shared" si="86"/>
        <v>4135</v>
      </c>
      <c r="AJ51" s="146">
        <f t="shared" si="87"/>
        <v>4529</v>
      </c>
      <c r="AK51" s="147">
        <f t="shared" si="88"/>
        <v>3990</v>
      </c>
      <c r="AL51" s="146">
        <f t="shared" si="89"/>
        <v>3699</v>
      </c>
      <c r="AM51" s="146">
        <f t="shared" si="90"/>
        <v>6013</v>
      </c>
      <c r="AN51" s="146">
        <f t="shared" si="91"/>
        <v>6049</v>
      </c>
      <c r="AO51" s="146">
        <f t="shared" si="92"/>
        <v>5068</v>
      </c>
      <c r="AP51" s="146">
        <f t="shared" si="92"/>
        <v>4307</v>
      </c>
      <c r="AQ51" s="146">
        <f t="shared" si="93"/>
        <v>4984</v>
      </c>
      <c r="AR51" s="146">
        <f t="shared" si="94"/>
        <v>5944</v>
      </c>
      <c r="AS51" s="144">
        <f t="shared" ref="AS51:CL51" si="98">IF(ISERROR(AS95/AS42)=TRUE,0,ROUND(AS95/AS42*1000,0))</f>
        <v>5824</v>
      </c>
      <c r="AT51" s="143">
        <f t="shared" si="98"/>
        <v>4536</v>
      </c>
      <c r="AU51" s="143">
        <f t="shared" si="98"/>
        <v>4977</v>
      </c>
      <c r="AV51" s="143">
        <f t="shared" si="98"/>
        <v>3745</v>
      </c>
      <c r="AW51" s="143">
        <f t="shared" si="98"/>
        <v>4656</v>
      </c>
      <c r="AX51" s="143">
        <f t="shared" si="98"/>
        <v>6061</v>
      </c>
      <c r="AY51" s="143">
        <f t="shared" si="98"/>
        <v>4893</v>
      </c>
      <c r="AZ51" s="143">
        <f t="shared" si="98"/>
        <v>0</v>
      </c>
      <c r="BA51" s="143">
        <f t="shared" si="98"/>
        <v>5874</v>
      </c>
      <c r="BB51" s="143">
        <f t="shared" si="98"/>
        <v>4978</v>
      </c>
      <c r="BC51" s="143">
        <f t="shared" si="98"/>
        <v>5396</v>
      </c>
      <c r="BD51" s="143">
        <f t="shared" si="98"/>
        <v>5689</v>
      </c>
      <c r="BE51" s="143">
        <f t="shared" si="98"/>
        <v>5804</v>
      </c>
      <c r="BF51" s="148">
        <f t="shared" si="98"/>
        <v>5658</v>
      </c>
      <c r="BG51" s="143">
        <f t="shared" si="98"/>
        <v>0</v>
      </c>
      <c r="BH51" s="143">
        <f t="shared" si="98"/>
        <v>0</v>
      </c>
      <c r="BI51" s="143">
        <f t="shared" si="98"/>
        <v>3241</v>
      </c>
      <c r="BJ51" s="143">
        <f t="shared" si="98"/>
        <v>1776</v>
      </c>
      <c r="BK51" s="143">
        <f t="shared" si="98"/>
        <v>0</v>
      </c>
      <c r="BL51" s="143">
        <f t="shared" si="98"/>
        <v>0</v>
      </c>
      <c r="BM51" s="143">
        <f t="shared" si="98"/>
        <v>5271</v>
      </c>
      <c r="BN51" s="143">
        <f t="shared" si="98"/>
        <v>5298</v>
      </c>
      <c r="BO51" s="143">
        <f t="shared" si="98"/>
        <v>0</v>
      </c>
      <c r="BP51" s="143">
        <f t="shared" si="98"/>
        <v>4182</v>
      </c>
      <c r="BQ51" s="143">
        <f t="shared" si="98"/>
        <v>4490</v>
      </c>
      <c r="BR51" s="148">
        <f t="shared" si="98"/>
        <v>4624</v>
      </c>
      <c r="BS51" s="143">
        <f t="shared" si="98"/>
        <v>0</v>
      </c>
      <c r="BT51" s="143">
        <f t="shared" si="98"/>
        <v>4207</v>
      </c>
      <c r="BU51" s="143">
        <f t="shared" si="98"/>
        <v>3335</v>
      </c>
      <c r="BV51" s="143">
        <f t="shared" si="98"/>
        <v>3402</v>
      </c>
      <c r="BW51" s="143">
        <f t="shared" si="98"/>
        <v>4135</v>
      </c>
      <c r="BX51" s="143">
        <f t="shared" si="98"/>
        <v>4459</v>
      </c>
      <c r="BY51" s="143">
        <f t="shared" si="98"/>
        <v>4529</v>
      </c>
      <c r="BZ51" s="143">
        <f t="shared" si="98"/>
        <v>5229</v>
      </c>
      <c r="CA51" s="143">
        <f t="shared" si="98"/>
        <v>2953</v>
      </c>
      <c r="CB51" s="148">
        <f t="shared" si="98"/>
        <v>3990</v>
      </c>
      <c r="CC51" s="143">
        <f t="shared" si="98"/>
        <v>5068</v>
      </c>
      <c r="CD51" s="143">
        <f t="shared" si="98"/>
        <v>4307</v>
      </c>
      <c r="CE51" s="143">
        <f t="shared" si="98"/>
        <v>3699</v>
      </c>
      <c r="CF51" s="143">
        <f t="shared" si="98"/>
        <v>0</v>
      </c>
      <c r="CG51" s="143">
        <f t="shared" si="98"/>
        <v>6109</v>
      </c>
      <c r="CH51" s="143">
        <f t="shared" si="98"/>
        <v>6013</v>
      </c>
      <c r="CI51" s="143">
        <f t="shared" si="98"/>
        <v>5944</v>
      </c>
      <c r="CJ51" s="143">
        <f t="shared" si="98"/>
        <v>6049</v>
      </c>
      <c r="CK51" s="144">
        <f t="shared" si="98"/>
        <v>4984</v>
      </c>
      <c r="CL51" s="149">
        <f t="shared" si="98"/>
        <v>5427</v>
      </c>
    </row>
    <row r="52" spans="1:90">
      <c r="A52" s="80">
        <f>ROWS($A$3:A50)</f>
        <v>48</v>
      </c>
      <c r="B52" s="388" t="s">
        <v>357</v>
      </c>
      <c r="C52" s="387">
        <v>2014</v>
      </c>
      <c r="D52" s="259" t="s">
        <v>358</v>
      </c>
      <c r="E52" s="483">
        <v>42909</v>
      </c>
      <c r="F52" s="490">
        <v>676.4</v>
      </c>
      <c r="G52" s="491">
        <v>162.30000000000001</v>
      </c>
      <c r="H52" s="491">
        <v>415.8</v>
      </c>
      <c r="I52" s="492">
        <v>1102.0999999999999</v>
      </c>
      <c r="J52" s="141"/>
      <c r="K52" s="145">
        <f t="shared" si="71"/>
        <v>185</v>
      </c>
      <c r="L52" s="146">
        <f t="shared" si="72"/>
        <v>46.2</v>
      </c>
      <c r="M52" s="146">
        <f t="shared" si="73"/>
        <v>44.8</v>
      </c>
      <c r="N52" s="146">
        <f t="shared" si="74"/>
        <v>65.099999999999994</v>
      </c>
      <c r="O52" s="146">
        <f t="shared" si="75"/>
        <v>43.8</v>
      </c>
      <c r="P52" s="146">
        <f>BA52</f>
        <v>28.3</v>
      </c>
      <c r="Q52" s="146">
        <f>'2009'!AU52</f>
        <v>18.2</v>
      </c>
      <c r="R52" s="146">
        <f>AT52+AX52</f>
        <v>33.9</v>
      </c>
      <c r="S52" s="146">
        <f t="shared" si="76"/>
        <v>13.4</v>
      </c>
      <c r="T52" s="146">
        <f t="shared" si="77"/>
        <v>47.7</v>
      </c>
      <c r="U52" s="147">
        <f t="shared" si="77"/>
        <v>150.19999999999999</v>
      </c>
      <c r="V52" s="146">
        <f>BJ52</f>
        <v>2.1</v>
      </c>
      <c r="W52" s="146">
        <f t="shared" si="78"/>
        <v>27</v>
      </c>
      <c r="X52" s="146">
        <f>BI52</f>
        <v>8.4</v>
      </c>
      <c r="Y52" s="146">
        <f>BN52</f>
        <v>25</v>
      </c>
      <c r="Z52" s="146">
        <f t="shared" si="79"/>
        <v>53.8</v>
      </c>
      <c r="AA52" s="146">
        <f>BQ52</f>
        <v>21.4</v>
      </c>
      <c r="AB52" s="147">
        <f t="shared" si="80"/>
        <v>24.6</v>
      </c>
      <c r="AC52" s="146">
        <f t="shared" si="81"/>
        <v>76.5</v>
      </c>
      <c r="AD52" s="146">
        <f t="shared" si="82"/>
        <v>18.600000000000001</v>
      </c>
      <c r="AE52" s="146">
        <f>BT52</f>
        <v>58.4</v>
      </c>
      <c r="AF52" s="146">
        <f t="shared" si="83"/>
        <v>17.2</v>
      </c>
      <c r="AG52" s="146">
        <f t="shared" si="84"/>
        <v>39.299999999999997</v>
      </c>
      <c r="AH52" s="146">
        <f t="shared" si="85"/>
        <v>64.900000000000006</v>
      </c>
      <c r="AI52" s="146">
        <f t="shared" si="86"/>
        <v>28.1</v>
      </c>
      <c r="AJ52" s="146">
        <f t="shared" si="87"/>
        <v>41.7</v>
      </c>
      <c r="AK52" s="147">
        <f t="shared" si="88"/>
        <v>70.400000000000006</v>
      </c>
      <c r="AL52" s="146">
        <f t="shared" si="89"/>
        <v>24.9</v>
      </c>
      <c r="AM52" s="146">
        <f t="shared" si="90"/>
        <v>229.4</v>
      </c>
      <c r="AN52" s="146">
        <f t="shared" si="91"/>
        <v>489.5</v>
      </c>
      <c r="AO52" s="146">
        <f t="shared" si="92"/>
        <v>54.9</v>
      </c>
      <c r="AP52" s="146">
        <f t="shared" si="92"/>
        <v>10.6</v>
      </c>
      <c r="AQ52" s="146">
        <f t="shared" si="93"/>
        <v>95.7</v>
      </c>
      <c r="AR52" s="146">
        <f t="shared" si="94"/>
        <v>62.7</v>
      </c>
      <c r="AS52" s="150">
        <f>CG52</f>
        <v>134.19999999999999</v>
      </c>
      <c r="AT52" s="491">
        <v>2.2000000000000002</v>
      </c>
      <c r="AU52" s="491">
        <v>18.7</v>
      </c>
      <c r="AV52" s="491">
        <v>13.4</v>
      </c>
      <c r="AW52" s="491">
        <v>65.099999999999994</v>
      </c>
      <c r="AX52" s="491">
        <v>31.7</v>
      </c>
      <c r="AY52" s="491">
        <v>46.2</v>
      </c>
      <c r="AZ52" s="491" t="s">
        <v>233</v>
      </c>
      <c r="BA52" s="491">
        <v>28.3</v>
      </c>
      <c r="BB52" s="491">
        <v>47.7</v>
      </c>
      <c r="BC52" s="491">
        <v>150.19999999999999</v>
      </c>
      <c r="BD52" s="491">
        <v>44.8</v>
      </c>
      <c r="BE52" s="491">
        <v>43.8</v>
      </c>
      <c r="BF52" s="512">
        <v>185</v>
      </c>
      <c r="BG52" s="491" t="s">
        <v>233</v>
      </c>
      <c r="BH52" s="491" t="s">
        <v>233</v>
      </c>
      <c r="BI52" s="491">
        <v>8.4</v>
      </c>
      <c r="BJ52" s="491">
        <v>2.1</v>
      </c>
      <c r="BK52" s="491" t="s">
        <v>233</v>
      </c>
      <c r="BL52" s="491" t="s">
        <v>233</v>
      </c>
      <c r="BM52" s="491">
        <v>53.8</v>
      </c>
      <c r="BN52" s="491">
        <v>25</v>
      </c>
      <c r="BO52" s="491" t="s">
        <v>233</v>
      </c>
      <c r="BP52" s="491">
        <v>24.6</v>
      </c>
      <c r="BQ52" s="491">
        <v>21.4</v>
      </c>
      <c r="BR52" s="512">
        <v>27</v>
      </c>
      <c r="BS52" s="491" t="s">
        <v>233</v>
      </c>
      <c r="BT52" s="491">
        <v>58.4</v>
      </c>
      <c r="BU52" s="491">
        <v>18.600000000000001</v>
      </c>
      <c r="BV52" s="491">
        <v>39.299999999999997</v>
      </c>
      <c r="BW52" s="491">
        <v>28.1</v>
      </c>
      <c r="BX52" s="491">
        <v>76.5</v>
      </c>
      <c r="BY52" s="491">
        <v>41.7</v>
      </c>
      <c r="BZ52" s="491">
        <v>64.900000000000006</v>
      </c>
      <c r="CA52" s="491">
        <v>17.2</v>
      </c>
      <c r="CB52" s="512">
        <v>70.400000000000006</v>
      </c>
      <c r="CC52" s="491">
        <v>54.9</v>
      </c>
      <c r="CD52" s="491">
        <v>10.6</v>
      </c>
      <c r="CE52" s="491">
        <v>24.9</v>
      </c>
      <c r="CF52" s="491" t="s">
        <v>233</v>
      </c>
      <c r="CG52" s="491">
        <v>134.19999999999999</v>
      </c>
      <c r="CH52" s="491">
        <v>229.4</v>
      </c>
      <c r="CI52" s="491">
        <v>62.7</v>
      </c>
      <c r="CJ52" s="491">
        <v>489.5</v>
      </c>
      <c r="CK52" s="492">
        <v>95.7</v>
      </c>
      <c r="CL52" s="513">
        <v>2356.6</v>
      </c>
    </row>
    <row r="53" spans="1:90">
      <c r="A53" s="80">
        <f>ROWS($A$3:A51)</f>
        <v>49</v>
      </c>
      <c r="B53" s="54" t="str">
        <f>"Änderung der Milcherzeugung "&amp;C52&amp;"/"&amp;"2010"</f>
        <v>Änderung der Milcherzeugung 2014/2010</v>
      </c>
      <c r="C53" s="252"/>
      <c r="D53" s="259" t="s">
        <v>3</v>
      </c>
      <c r="E53" s="483">
        <v>42919</v>
      </c>
      <c r="F53" s="167">
        <f>F52/'2010'!F52%-100</f>
        <v>4.5117428924598215</v>
      </c>
      <c r="G53" s="168">
        <f>G52/'2010'!G52%-100</f>
        <v>8.4168336673346857</v>
      </c>
      <c r="H53" s="168">
        <f>H52/'2010'!H52%-100</f>
        <v>7.082152974504254</v>
      </c>
      <c r="I53" s="169">
        <f>I52/'2010'!I52%-100</f>
        <v>4.6529294463963566</v>
      </c>
      <c r="J53" s="173"/>
      <c r="K53" s="178">
        <f>K52/'2010'!K52%-100</f>
        <v>6.4441887226697219</v>
      </c>
      <c r="L53" s="179">
        <f>L52/'2010'!L52%-100</f>
        <v>5</v>
      </c>
      <c r="M53" s="179">
        <f>M52/'2010'!M52%-100</f>
        <v>2.0501138952163984</v>
      </c>
      <c r="N53" s="179">
        <f>N52/'2010'!N52%-100</f>
        <v>7.9601990049751237</v>
      </c>
      <c r="O53" s="179">
        <f>O52/'2010'!O52%-100</f>
        <v>-4.9891540130151952</v>
      </c>
      <c r="P53" s="168">
        <f>P52/'2010'!P52%-100</f>
        <v>-1.3937282229965007</v>
      </c>
      <c r="Q53" s="179">
        <f>Q52/'2010'!Q52%-100</f>
        <v>0</v>
      </c>
      <c r="R53" s="168">
        <f>R52/'2010'!R52%-100</f>
        <v>4.6296296296296191</v>
      </c>
      <c r="S53" s="179">
        <f>S52/'2010'!S52%-100</f>
        <v>3.8759689922480618</v>
      </c>
      <c r="T53" s="179">
        <f>T52/'2010'!T52%-100</f>
        <v>5.2980132450331325</v>
      </c>
      <c r="U53" s="180">
        <f>U52/'2010'!U52%-100</f>
        <v>5.9985885673959132</v>
      </c>
      <c r="V53" s="168">
        <f>V52/'2010'!V52%-100</f>
        <v>5</v>
      </c>
      <c r="W53" s="179">
        <f>W52/'2010'!W52%-100</f>
        <v>12.033195020746874</v>
      </c>
      <c r="X53" s="168">
        <f>X52/'2010'!X52%-100</f>
        <v>25.373134328358205</v>
      </c>
      <c r="Y53" s="168">
        <f>Y52/'2010'!Y52%-100</f>
        <v>0</v>
      </c>
      <c r="Z53" s="179">
        <f>Z52/'2010'!Z52%-100</f>
        <v>6.958250497017886</v>
      </c>
      <c r="AA53" s="168">
        <f>AA52/'2010'!AA52%-100</f>
        <v>-45.128205128205131</v>
      </c>
      <c r="AB53" s="180">
        <f>AB52/'2010'!AB52%-100</f>
        <v>11.312217194570138</v>
      </c>
      <c r="AC53" s="179">
        <f>AC52/'2010'!AC52%-100</f>
        <v>12.334801762114552</v>
      </c>
      <c r="AD53" s="179">
        <f>AD52/'2010'!AD52%-100</f>
        <v>-3.125</v>
      </c>
      <c r="AE53" s="168">
        <f>AE52/'2010'!AE52%-100</f>
        <v>-1.0169491525423666</v>
      </c>
      <c r="AF53" s="179">
        <f>AF52/'2010'!AF52%-100</f>
        <v>-8.5106382978723474</v>
      </c>
      <c r="AG53" s="179">
        <f>AG52/'2010'!AG52%-100</f>
        <v>-3.4398034398034554</v>
      </c>
      <c r="AH53" s="179">
        <f>AH52/'2010'!AH52%-100</f>
        <v>9.6283783783783718</v>
      </c>
      <c r="AI53" s="179">
        <f>AI52/'2010'!AI52%-100</f>
        <v>-0.35460992907799493</v>
      </c>
      <c r="AJ53" s="179">
        <f>AJ52/'2010'!AJ52%-100</f>
        <v>20.869565217391326</v>
      </c>
      <c r="AK53" s="180">
        <f>AK52/'2010'!AK52%-100</f>
        <v>15.789473684210535</v>
      </c>
      <c r="AL53" s="179">
        <f>AL52/'2010'!AL52%-100</f>
        <v>12.162162162162161</v>
      </c>
      <c r="AM53" s="179">
        <f>AM52/'2010'!AM52%-100</f>
        <v>0.79086115992971884</v>
      </c>
      <c r="AN53" s="179">
        <f>AN52/'2010'!AN52%-100</f>
        <v>5.2009456264775338</v>
      </c>
      <c r="AO53" s="179">
        <f>AO52/'2010'!AO52%-100</f>
        <v>5.1724137931034448</v>
      </c>
      <c r="AP53" s="179">
        <f>AP52/'2010'!AP52%-100</f>
        <v>10.416666666666657</v>
      </c>
      <c r="AQ53" s="179">
        <f>AQ52/'2010'!AQ52%-100</f>
        <v>16.992665036674822</v>
      </c>
      <c r="AR53" s="179">
        <f>AR52/'2010'!AR52%-100</f>
        <v>-3.3898305084745743</v>
      </c>
      <c r="AS53" s="169">
        <f>AS52/'2010'!AS52%-100</f>
        <v>3.629343629343623</v>
      </c>
      <c r="AT53" s="168">
        <f>AT52/'2010'!AT52%-100</f>
        <v>0</v>
      </c>
      <c r="AU53" s="168">
        <f>AU52/'2010'!AU52%-100</f>
        <v>3.8888888888888857</v>
      </c>
      <c r="AV53" s="168">
        <f>AV52/'2010'!AV52%-100</f>
        <v>3.8759689922480618</v>
      </c>
      <c r="AW53" s="168">
        <f>AW52/'2010'!AW52%-100</f>
        <v>7.9601990049751237</v>
      </c>
      <c r="AX53" s="168">
        <f>AX52/'2010'!AX52%-100</f>
        <v>4.966887417218544</v>
      </c>
      <c r="AY53" s="168">
        <f>AY52/'2010'!AY52%-100</f>
        <v>5</v>
      </c>
      <c r="AZ53" s="521" t="s">
        <v>233</v>
      </c>
      <c r="BA53" s="168">
        <f>BA52/'2010'!BA52%-100</f>
        <v>-1.3937282229965007</v>
      </c>
      <c r="BB53" s="168">
        <f>BB52/'2010'!BB52%-100</f>
        <v>5.2980132450331325</v>
      </c>
      <c r="BC53" s="168">
        <f>BC52/'2010'!BC52%-100</f>
        <v>5.9985885673959132</v>
      </c>
      <c r="BD53" s="168">
        <f>BD52/'2010'!BD52%-100</f>
        <v>2.0501138952163984</v>
      </c>
      <c r="BE53" s="168">
        <f>BE52/'2010'!BE52%-100</f>
        <v>-4.9891540130151952</v>
      </c>
      <c r="BF53" s="176">
        <f>BF52/'2010'!BF52%-100</f>
        <v>6.4441887226697219</v>
      </c>
      <c r="BG53" s="521" t="s">
        <v>233</v>
      </c>
      <c r="BH53" s="521" t="s">
        <v>233</v>
      </c>
      <c r="BI53" s="168">
        <f>BI52/'2010'!BI52%-100</f>
        <v>25.373134328358205</v>
      </c>
      <c r="BJ53" s="168">
        <f>BJ52/'2010'!BJ52%-100</f>
        <v>5</v>
      </c>
      <c r="BK53" s="521" t="s">
        <v>233</v>
      </c>
      <c r="BL53" s="521" t="s">
        <v>233</v>
      </c>
      <c r="BM53" s="168">
        <f>BM52/'2010'!BM52%-100</f>
        <v>6.958250497017886</v>
      </c>
      <c r="BN53" s="168">
        <f>BN52/'2010'!BN52%-100</f>
        <v>0</v>
      </c>
      <c r="BO53" s="521" t="s">
        <v>233</v>
      </c>
      <c r="BP53" s="168">
        <f>BP52/'2010'!BP52%-100</f>
        <v>11.312217194570138</v>
      </c>
      <c r="BQ53" s="168">
        <f>BQ52/'2010'!BQ52%-100</f>
        <v>9.7435897435897374</v>
      </c>
      <c r="BR53" s="176">
        <f>BR52/'2010'!BR52%-100</f>
        <v>12.033195020746874</v>
      </c>
      <c r="BS53" s="521" t="s">
        <v>233</v>
      </c>
      <c r="BT53" s="168">
        <f>BT52/'2010'!BT52%-100</f>
        <v>-1.0169491525423666</v>
      </c>
      <c r="BU53" s="168">
        <f>BU52/'2010'!BU52%-100</f>
        <v>-3.125</v>
      </c>
      <c r="BV53" s="168">
        <f>BV52/'2010'!BV52%-100</f>
        <v>-3.4398034398034554</v>
      </c>
      <c r="BW53" s="168">
        <f>BW52/'2010'!BW52%-100</f>
        <v>-0.35460992907799493</v>
      </c>
      <c r="BX53" s="168">
        <f>BX52/'2010'!BX52%-100</f>
        <v>12.334801762114552</v>
      </c>
      <c r="BY53" s="168">
        <f>BY52/'2010'!BY52%-100</f>
        <v>20.869565217391326</v>
      </c>
      <c r="BZ53" s="168">
        <f>BZ52/'2010'!BZ52%-100</f>
        <v>9.6283783783783718</v>
      </c>
      <c r="CA53" s="168">
        <f>CA52/'2010'!CA52%-100</f>
        <v>-8.5106382978723474</v>
      </c>
      <c r="CB53" s="176">
        <f>CB52/'2010'!CB52%-100</f>
        <v>15.789473684210535</v>
      </c>
      <c r="CC53" s="168">
        <f>CC52/'2010'!CC52%-100</f>
        <v>5.1724137931034448</v>
      </c>
      <c r="CD53" s="168">
        <f>CD52/'2010'!CD52%-100</f>
        <v>10.416666666666657</v>
      </c>
      <c r="CE53" s="168">
        <f>CE52/'2010'!CE52%-100</f>
        <v>12.162162162162161</v>
      </c>
      <c r="CF53" s="521" t="s">
        <v>233</v>
      </c>
      <c r="CG53" s="168">
        <f>CG52/'2010'!CG52%-100</f>
        <v>3.629343629343623</v>
      </c>
      <c r="CH53" s="168">
        <f>CH52/'2010'!CH52%-100</f>
        <v>0.79086115992971884</v>
      </c>
      <c r="CI53" s="168">
        <f>CI52/'2010'!CI52%-100</f>
        <v>-3.3898305084745743</v>
      </c>
      <c r="CJ53" s="168">
        <f>CJ52/'2010'!CJ52%-100</f>
        <v>5.2009456264775338</v>
      </c>
      <c r="CK53" s="169">
        <f>CK52/'2010'!CK52%-100</f>
        <v>16.992665036674822</v>
      </c>
      <c r="CL53" s="177">
        <f>CL52/'2010'!CL52%-100</f>
        <v>5.6060945552318913</v>
      </c>
    </row>
    <row r="54" spans="1:90">
      <c r="A54" s="80">
        <f>ROWS($A$3:A52)</f>
        <v>50</v>
      </c>
      <c r="B54" s="93" t="str">
        <f>"Änderung der Milchkühe "&amp;C51&amp;"/"&amp;C97</f>
        <v>Änderung der Milchkühe 2010/2001</v>
      </c>
      <c r="C54" s="253"/>
      <c r="D54" s="262" t="s">
        <v>3</v>
      </c>
      <c r="E54" s="452">
        <v>40441</v>
      </c>
      <c r="F54" s="181">
        <f>IF(ISERROR(F42/F97)=FALSE,ROUND((F42-F97)/F97%,3)," -")</f>
        <v>-5.8479999999999999</v>
      </c>
      <c r="G54" s="182">
        <f>IF(ISERROR(G42/G97)=FALSE,ROUND((G42-G97)/G97%,3)," -")</f>
        <v>2.6949999999999998</v>
      </c>
      <c r="H54" s="182">
        <f>IF(ISERROR(H42/H97)=FALSE,ROUND((H42-H97)/H97%,3)," -")</f>
        <v>9.8930000000000007</v>
      </c>
      <c r="I54" s="183">
        <f>IF(ISERROR(I42/I97)=FALSE,ROUND((I42-I97)/I97%,3)," -")</f>
        <v>-6.609</v>
      </c>
      <c r="J54" s="279"/>
      <c r="K54" s="184">
        <f t="shared" si="71"/>
        <v>0.90900000000000003</v>
      </c>
      <c r="L54" s="185">
        <f t="shared" si="72"/>
        <v>-1.0149999999999999</v>
      </c>
      <c r="M54" s="185">
        <f t="shared" si="73"/>
        <v>-23.655000000000001</v>
      </c>
      <c r="N54" s="185">
        <f t="shared" si="74"/>
        <v>1.7689999999999999</v>
      </c>
      <c r="O54" s="185">
        <f t="shared" si="75"/>
        <v>-14.648</v>
      </c>
      <c r="P54" s="182">
        <f>IF(ISERROR(P42/P97)=FALSE,ROUND((P42-P97)/P97%,3)," -")</f>
        <v>-30.888999999999999</v>
      </c>
      <c r="Q54" s="185">
        <f>'2010'!AU54</f>
        <v>2.2530000000000001</v>
      </c>
      <c r="R54" s="182">
        <f>IF(ISERROR(R42/R97)=FALSE,ROUND((R42-R97)/R97%,3)," -")</f>
        <v>-25.271000000000001</v>
      </c>
      <c r="S54" s="185">
        <f t="shared" si="76"/>
        <v>-8.702</v>
      </c>
      <c r="T54" s="185">
        <f t="shared" si="77"/>
        <v>-4.0780000000000003</v>
      </c>
      <c r="U54" s="186">
        <f t="shared" si="77"/>
        <v>0.1</v>
      </c>
      <c r="V54" s="182">
        <f>IF(ISERROR(V42/V97)=FALSE,ROUND((V42-V97)/V97%,3)," -")</f>
        <v>45.975000000000001</v>
      </c>
      <c r="W54" s="185">
        <f t="shared" si="78"/>
        <v>4.8479999999999999</v>
      </c>
      <c r="X54" s="182">
        <f>IF(ISERROR(X42/X97)=FALSE,ROUND((X42-X97)/X97%,3)," -")</f>
        <v>-6.0419999999999998</v>
      </c>
      <c r="Y54" s="182">
        <f>IF(ISERROR(Y42/Y97)=FALSE,ROUND((Y42-Y97)/Y97%,3)," -")</f>
        <v>-17.198</v>
      </c>
      <c r="Z54" s="185">
        <f t="shared" si="79"/>
        <v>-6.4450000000000003</v>
      </c>
      <c r="AA54" s="182">
        <f>IF(ISERROR(AA42/AA97)=FALSE,ROUND((AA42-AA97)/AA97%,3)," -")</f>
        <v>25.469000000000001</v>
      </c>
      <c r="AB54" s="186">
        <f t="shared" si="80"/>
        <v>12.349</v>
      </c>
      <c r="AC54" s="185">
        <f t="shared" si="81"/>
        <v>6.14</v>
      </c>
      <c r="AD54" s="185">
        <f t="shared" si="82"/>
        <v>19.882000000000001</v>
      </c>
      <c r="AE54" s="182">
        <f>IF(ISERROR(AE42/AE97)=FALSE,ROUND((AE42-AE97)/AE97%,3)," -")</f>
        <v>8.2149999999999999</v>
      </c>
      <c r="AF54" s="185">
        <f t="shared" si="83"/>
        <v>19.335000000000001</v>
      </c>
      <c r="AG54" s="185">
        <f t="shared" si="84"/>
        <v>0.255</v>
      </c>
      <c r="AH54" s="185">
        <f t="shared" si="85"/>
        <v>4.8499999999999996</v>
      </c>
      <c r="AI54" s="185">
        <f t="shared" si="86"/>
        <v>-6.6180000000000003</v>
      </c>
      <c r="AJ54" s="185">
        <f t="shared" si="87"/>
        <v>28.152999999999999</v>
      </c>
      <c r="AK54" s="186">
        <f t="shared" si="88"/>
        <v>22.707999999999998</v>
      </c>
      <c r="AL54" s="185">
        <f t="shared" si="89"/>
        <v>55.676000000000002</v>
      </c>
      <c r="AM54" s="185">
        <f t="shared" si="90"/>
        <v>-9.8360000000000003</v>
      </c>
      <c r="AN54" s="185">
        <f t="shared" si="91"/>
        <v>-5.7610000000000001</v>
      </c>
      <c r="AO54" s="185">
        <f t="shared" si="92"/>
        <v>-6.0789999999999997</v>
      </c>
      <c r="AP54" s="185">
        <f t="shared" si="92"/>
        <v>-2.3769999999999998</v>
      </c>
      <c r="AQ54" s="185">
        <f t="shared" si="93"/>
        <v>-2.4980000000000002</v>
      </c>
      <c r="AR54" s="185">
        <f t="shared" si="94"/>
        <v>-21.212</v>
      </c>
      <c r="AS54" s="183">
        <f>IF(ISERROR(AS42/AS97)=FALSE,ROUND((AS42-AS97)/AS97%,3)," -")</f>
        <v>-8.9109999999999996</v>
      </c>
      <c r="AT54" s="182">
        <f>IF(ISERROR(AT42/AT97)=FALSE,ROUND((AT42-AT97)/AT97%,3)," -")</f>
        <v>-5.1230000000000002</v>
      </c>
      <c r="AU54" s="182">
        <f t="shared" ref="AU54:CL54" si="99">IF(ISERROR(AU42/AU97)=FALSE,ROUND((AU42-AU97)/AU97%,3)," -")</f>
        <v>-4.4489999999999998</v>
      </c>
      <c r="AV54" s="182">
        <f t="shared" si="99"/>
        <v>-8.702</v>
      </c>
      <c r="AW54" s="182">
        <f t="shared" si="99"/>
        <v>1.7689999999999999</v>
      </c>
      <c r="AX54" s="182">
        <f t="shared" si="99"/>
        <v>-19.059999999999999</v>
      </c>
      <c r="AY54" s="182">
        <f t="shared" si="99"/>
        <v>-1.0149999999999999</v>
      </c>
      <c r="AZ54" s="182">
        <f t="shared" si="99"/>
        <v>-84.962000000000003</v>
      </c>
      <c r="BA54" s="182">
        <f t="shared" si="99"/>
        <v>-28.053999999999998</v>
      </c>
      <c r="BB54" s="182">
        <f t="shared" si="99"/>
        <v>-4.0780000000000003</v>
      </c>
      <c r="BC54" s="182">
        <f t="shared" si="99"/>
        <v>0.1</v>
      </c>
      <c r="BD54" s="182">
        <f t="shared" si="99"/>
        <v>-23.655000000000001</v>
      </c>
      <c r="BE54" s="182">
        <f t="shared" si="99"/>
        <v>-14.648</v>
      </c>
      <c r="BF54" s="187">
        <f t="shared" si="99"/>
        <v>0.90900000000000003</v>
      </c>
      <c r="BG54" s="182" t="str">
        <f t="shared" si="99"/>
        <v xml:space="preserve"> -</v>
      </c>
      <c r="BH54" s="182">
        <f t="shared" si="99"/>
        <v>-28.318999999999999</v>
      </c>
      <c r="BI54" s="182">
        <f t="shared" si="99"/>
        <v>-0.70399999999999996</v>
      </c>
      <c r="BJ54" s="182">
        <f t="shared" si="99"/>
        <v>45.975000000000001</v>
      </c>
      <c r="BK54" s="182">
        <f t="shared" si="99"/>
        <v>-17.577999999999999</v>
      </c>
      <c r="BL54" s="182">
        <f t="shared" si="99"/>
        <v>2.5640000000000001</v>
      </c>
      <c r="BM54" s="182">
        <f t="shared" si="99"/>
        <v>-6.4450000000000003</v>
      </c>
      <c r="BN54" s="182">
        <f t="shared" si="99"/>
        <v>-12.193</v>
      </c>
      <c r="BO54" s="182">
        <f t="shared" si="99"/>
        <v>-22.123999999999999</v>
      </c>
      <c r="BP54" s="182">
        <f t="shared" si="99"/>
        <v>12.349</v>
      </c>
      <c r="BQ54" s="182">
        <f t="shared" si="99"/>
        <v>29.914999999999999</v>
      </c>
      <c r="BR54" s="187">
        <f t="shared" si="99"/>
        <v>4.8479999999999999</v>
      </c>
      <c r="BS54" s="182" t="str">
        <f t="shared" si="99"/>
        <v xml:space="preserve"> -</v>
      </c>
      <c r="BT54" s="182">
        <f t="shared" si="99"/>
        <v>6.41</v>
      </c>
      <c r="BU54" s="182">
        <f t="shared" si="99"/>
        <v>19.882000000000001</v>
      </c>
      <c r="BV54" s="182">
        <f t="shared" si="99"/>
        <v>0.255</v>
      </c>
      <c r="BW54" s="182">
        <f t="shared" si="99"/>
        <v>-6.6180000000000003</v>
      </c>
      <c r="BX54" s="182">
        <f t="shared" si="99"/>
        <v>6.14</v>
      </c>
      <c r="BY54" s="182">
        <f t="shared" si="99"/>
        <v>28.152999999999999</v>
      </c>
      <c r="BZ54" s="182">
        <f t="shared" si="99"/>
        <v>4.8499999999999996</v>
      </c>
      <c r="CA54" s="182">
        <f t="shared" si="99"/>
        <v>19.335000000000001</v>
      </c>
      <c r="CB54" s="187">
        <f t="shared" si="99"/>
        <v>22.707999999999998</v>
      </c>
      <c r="CC54" s="182">
        <f t="shared" si="99"/>
        <v>-6.0789999999999997</v>
      </c>
      <c r="CD54" s="182">
        <f t="shared" si="99"/>
        <v>-2.3769999999999998</v>
      </c>
      <c r="CE54" s="182">
        <f t="shared" si="99"/>
        <v>55.676000000000002</v>
      </c>
      <c r="CF54" s="182">
        <f t="shared" si="99"/>
        <v>-1.2969999999999999</v>
      </c>
      <c r="CG54" s="182">
        <f t="shared" si="99"/>
        <v>-9.2530000000000001</v>
      </c>
      <c r="CH54" s="182">
        <f t="shared" si="99"/>
        <v>-9.8360000000000003</v>
      </c>
      <c r="CI54" s="182">
        <f t="shared" si="99"/>
        <v>-21.212</v>
      </c>
      <c r="CJ54" s="182">
        <f t="shared" si="99"/>
        <v>-5.7610000000000001</v>
      </c>
      <c r="CK54" s="183">
        <f t="shared" si="99"/>
        <v>-2.4980000000000002</v>
      </c>
      <c r="CL54" s="188">
        <f t="shared" si="99"/>
        <v>-2.5099999999999998</v>
      </c>
    </row>
    <row r="55" spans="1:90" ht="14.25">
      <c r="A55" s="80">
        <f>ROWS($A$3:A53)</f>
        <v>51</v>
      </c>
      <c r="B55" s="59" t="s">
        <v>208</v>
      </c>
      <c r="C55" s="201"/>
      <c r="D55" s="260"/>
      <c r="E55" s="451"/>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4">
        <v>2014</v>
      </c>
      <c r="D56" s="259" t="s">
        <v>13</v>
      </c>
      <c r="E56" s="453">
        <v>42184</v>
      </c>
      <c r="F56" s="116">
        <v>275</v>
      </c>
      <c r="G56" s="137">
        <v>252</v>
      </c>
      <c r="H56" s="137">
        <v>284</v>
      </c>
      <c r="I56" s="138">
        <v>316</v>
      </c>
      <c r="J56" s="141"/>
      <c r="K56" s="116">
        <f t="shared" ref="K56:K63" si="100">BF56</f>
        <v>42</v>
      </c>
      <c r="L56" s="137">
        <f t="shared" ref="L56:L63" si="101">AY56</f>
        <v>26</v>
      </c>
      <c r="M56" s="137">
        <f t="shared" ref="M56:M63" si="102">BD56</f>
        <v>35</v>
      </c>
      <c r="N56" s="137">
        <f t="shared" ref="N56:N63" si="103">AW56</f>
        <v>19</v>
      </c>
      <c r="O56" s="137">
        <f t="shared" ref="O56:O63" si="104">BE56</f>
        <v>13</v>
      </c>
      <c r="P56" s="137">
        <f>'2014'!AZ56+'2014'!BA56</f>
        <v>25</v>
      </c>
      <c r="Q56" s="137">
        <f>'2014'!AU56</f>
        <v>20</v>
      </c>
      <c r="R56" s="137">
        <f t="shared" ref="R56:R63" si="105">AT56+AX56</f>
        <v>27</v>
      </c>
      <c r="S56" s="137">
        <f t="shared" ref="S56:S63" si="106">AV56</f>
        <v>29</v>
      </c>
      <c r="T56" s="137">
        <f t="shared" ref="T56:U63" si="107">BB56</f>
        <v>21</v>
      </c>
      <c r="U56" s="139">
        <f t="shared" si="107"/>
        <v>18</v>
      </c>
      <c r="V56" s="137">
        <f t="shared" ref="V56:V63" si="108">BG56+BJ56</f>
        <v>38</v>
      </c>
      <c r="W56" s="137">
        <f t="shared" ref="W56:W63" si="109">BR56</f>
        <v>18</v>
      </c>
      <c r="X56" s="137">
        <f t="shared" ref="X56:X63" si="110">BH56+BI56</f>
        <v>50</v>
      </c>
      <c r="Y56" s="137">
        <f t="shared" ref="Y56:Y63" si="111">BK56+BL56+BN56</f>
        <v>62</v>
      </c>
      <c r="Z56" s="137">
        <f t="shared" ref="Z56:Z63" si="112">BM56</f>
        <v>26</v>
      </c>
      <c r="AA56" s="137">
        <f t="shared" ref="AA56:AA63" si="113">BO56+BQ56</f>
        <v>32</v>
      </c>
      <c r="AB56" s="139">
        <f t="shared" ref="AB56:AB63" si="114">BP56</f>
        <v>26</v>
      </c>
      <c r="AC56" s="137">
        <f t="shared" ref="AC56:AC63" si="115">BX56</f>
        <v>26</v>
      </c>
      <c r="AD56" s="137">
        <f t="shared" ref="AD56:AD63" si="116">BU56</f>
        <v>19</v>
      </c>
      <c r="AE56" s="137">
        <f t="shared" ref="AE56:AE63" si="117">BS56+BT56</f>
        <v>54</v>
      </c>
      <c r="AF56" s="137">
        <f t="shared" ref="AF56:AF63" si="118">CA56</f>
        <v>26</v>
      </c>
      <c r="AG56" s="137">
        <f t="shared" ref="AG56:AG63" si="119">BV56</f>
        <v>23</v>
      </c>
      <c r="AH56" s="137">
        <f t="shared" ref="AH56:AH63" si="120">BZ56</f>
        <v>65</v>
      </c>
      <c r="AI56" s="137">
        <f t="shared" ref="AI56:AI63" si="121">BW56</f>
        <v>10</v>
      </c>
      <c r="AJ56" s="137">
        <f t="shared" ref="AJ56:AJ63" si="122">BY56</f>
        <v>24</v>
      </c>
      <c r="AK56" s="139">
        <f t="shared" ref="AK56:AK63" si="123">CB56</f>
        <v>37</v>
      </c>
      <c r="AL56" s="137">
        <f t="shared" ref="AL56:AL63" si="124">CE56</f>
        <v>53</v>
      </c>
      <c r="AM56" s="137">
        <f t="shared" ref="AM56:AM63" si="125">CH56</f>
        <v>31</v>
      </c>
      <c r="AN56" s="137">
        <f t="shared" ref="AN56:AN63" si="126">CJ56</f>
        <v>76</v>
      </c>
      <c r="AO56" s="137">
        <f t="shared" ref="AO56:AP63" si="127">CC56</f>
        <v>42</v>
      </c>
      <c r="AP56" s="137">
        <f t="shared" si="127"/>
        <v>22</v>
      </c>
      <c r="AQ56" s="137">
        <f t="shared" ref="AQ56:AQ63" si="128">CK56</f>
        <v>25</v>
      </c>
      <c r="AR56" s="137">
        <f t="shared" ref="AR56:AR63" si="129">CI56</f>
        <v>33</v>
      </c>
      <c r="AS56" s="138">
        <f t="shared" ref="AS56:AS63" si="130">CF56+CG56</f>
        <v>34</v>
      </c>
      <c r="AT56" s="137">
        <v>7</v>
      </c>
      <c r="AU56" s="137">
        <v>20</v>
      </c>
      <c r="AV56" s="137">
        <v>29</v>
      </c>
      <c r="AW56" s="137">
        <v>19</v>
      </c>
      <c r="AX56" s="137">
        <v>20</v>
      </c>
      <c r="AY56" s="137">
        <v>26</v>
      </c>
      <c r="AZ56" s="137">
        <v>5</v>
      </c>
      <c r="BA56" s="137">
        <v>20</v>
      </c>
      <c r="BB56" s="137">
        <v>21</v>
      </c>
      <c r="BC56" s="137">
        <v>18</v>
      </c>
      <c r="BD56" s="137">
        <v>35</v>
      </c>
      <c r="BE56" s="137">
        <v>13</v>
      </c>
      <c r="BF56" s="139">
        <v>42</v>
      </c>
      <c r="BG56" s="137">
        <v>7</v>
      </c>
      <c r="BH56" s="137">
        <v>9</v>
      </c>
      <c r="BI56" s="137">
        <v>41</v>
      </c>
      <c r="BJ56" s="137">
        <v>31</v>
      </c>
      <c r="BK56" s="137">
        <v>5</v>
      </c>
      <c r="BL56" s="137">
        <v>9</v>
      </c>
      <c r="BM56" s="137">
        <v>26</v>
      </c>
      <c r="BN56" s="137">
        <v>48</v>
      </c>
      <c r="BO56" s="137">
        <v>3</v>
      </c>
      <c r="BP56" s="137">
        <v>26</v>
      </c>
      <c r="BQ56" s="137">
        <v>29</v>
      </c>
      <c r="BR56" s="139">
        <v>18</v>
      </c>
      <c r="BS56" s="137">
        <v>7</v>
      </c>
      <c r="BT56" s="137">
        <v>47</v>
      </c>
      <c r="BU56" s="137">
        <v>19</v>
      </c>
      <c r="BV56" s="137">
        <v>23</v>
      </c>
      <c r="BW56" s="137">
        <v>10</v>
      </c>
      <c r="BX56" s="137">
        <v>26</v>
      </c>
      <c r="BY56" s="137">
        <v>24</v>
      </c>
      <c r="BZ56" s="137">
        <v>65</v>
      </c>
      <c r="CA56" s="137">
        <v>26</v>
      </c>
      <c r="CB56" s="139">
        <v>37</v>
      </c>
      <c r="CC56" s="137">
        <v>42</v>
      </c>
      <c r="CD56" s="137">
        <v>22</v>
      </c>
      <c r="CE56" s="137">
        <v>53</v>
      </c>
      <c r="CF56" s="137">
        <v>1</v>
      </c>
      <c r="CG56" s="137">
        <v>33</v>
      </c>
      <c r="CH56" s="137">
        <v>31</v>
      </c>
      <c r="CI56" s="137">
        <v>33</v>
      </c>
      <c r="CJ56" s="137">
        <v>76</v>
      </c>
      <c r="CK56" s="138">
        <v>25</v>
      </c>
      <c r="CL56" s="140">
        <v>1127</v>
      </c>
    </row>
    <row r="57" spans="1:90">
      <c r="A57" s="80">
        <f>ROWS($A$3:A55)</f>
        <v>53</v>
      </c>
      <c r="B57" s="92"/>
      <c r="C57" s="203"/>
      <c r="D57" s="259" t="s">
        <v>1</v>
      </c>
      <c r="E57" s="454"/>
      <c r="F57" s="116">
        <v>15398</v>
      </c>
      <c r="G57" s="137">
        <v>20200</v>
      </c>
      <c r="H57" s="137">
        <v>32002</v>
      </c>
      <c r="I57" s="138">
        <v>19179</v>
      </c>
      <c r="J57" s="141"/>
      <c r="K57" s="116">
        <f t="shared" si="100"/>
        <v>2051.1999999999998</v>
      </c>
      <c r="L57" s="137">
        <f t="shared" si="101"/>
        <v>833.37</v>
      </c>
      <c r="M57" s="137">
        <f t="shared" si="102"/>
        <v>1029.49</v>
      </c>
      <c r="N57" s="137">
        <f t="shared" si="103"/>
        <v>2876.77</v>
      </c>
      <c r="O57" s="137">
        <f t="shared" si="104"/>
        <v>1197</v>
      </c>
      <c r="P57" s="137">
        <f>'2014'!AZ57+'2014'!BA57</f>
        <v>489.18999999999994</v>
      </c>
      <c r="Q57" s="137">
        <f>'2014'!AU57</f>
        <v>732.59</v>
      </c>
      <c r="R57" s="137">
        <f t="shared" si="105"/>
        <v>1999.5900000000001</v>
      </c>
      <c r="S57" s="137">
        <f t="shared" si="106"/>
        <v>2320.5700000000002</v>
      </c>
      <c r="T57" s="137">
        <f t="shared" si="107"/>
        <v>486.16</v>
      </c>
      <c r="U57" s="139">
        <f t="shared" si="107"/>
        <v>1383.29</v>
      </c>
      <c r="V57" s="137">
        <f t="shared" si="108"/>
        <v>4761</v>
      </c>
      <c r="W57" s="137">
        <f t="shared" si="109"/>
        <v>2899.35</v>
      </c>
      <c r="X57" s="137">
        <f t="shared" si="110"/>
        <v>3916.9399999999996</v>
      </c>
      <c r="Y57" s="137">
        <f t="shared" si="111"/>
        <v>3796</v>
      </c>
      <c r="Z57" s="137">
        <f t="shared" si="112"/>
        <v>925.83</v>
      </c>
      <c r="AA57" s="137">
        <f t="shared" si="113"/>
        <v>1669.94</v>
      </c>
      <c r="AB57" s="139">
        <f t="shared" si="114"/>
        <v>2231.04</v>
      </c>
      <c r="AC57" s="137">
        <f t="shared" si="115"/>
        <v>2085.39</v>
      </c>
      <c r="AD57" s="137">
        <f t="shared" si="116"/>
        <v>3872.7</v>
      </c>
      <c r="AE57" s="137">
        <f t="shared" si="117"/>
        <v>6286.65</v>
      </c>
      <c r="AF57" s="137">
        <f t="shared" si="118"/>
        <v>6162.84</v>
      </c>
      <c r="AG57" s="137">
        <f t="shared" si="119"/>
        <v>3504.74</v>
      </c>
      <c r="AH57" s="137">
        <f t="shared" si="120"/>
        <v>3673.15</v>
      </c>
      <c r="AI57" s="137">
        <f t="shared" si="121"/>
        <v>437.31</v>
      </c>
      <c r="AJ57" s="137">
        <f t="shared" si="122"/>
        <v>2329</v>
      </c>
      <c r="AK57" s="139">
        <f t="shared" si="123"/>
        <v>3650</v>
      </c>
      <c r="AL57" s="137">
        <f t="shared" si="124"/>
        <v>1562</v>
      </c>
      <c r="AM57" s="137">
        <f t="shared" si="125"/>
        <v>3593</v>
      </c>
      <c r="AN57" s="137">
        <f t="shared" si="126"/>
        <v>5861</v>
      </c>
      <c r="AO57" s="137">
        <f t="shared" si="127"/>
        <v>1973</v>
      </c>
      <c r="AP57" s="137">
        <f t="shared" si="127"/>
        <v>1194</v>
      </c>
      <c r="AQ57" s="137">
        <f t="shared" si="128"/>
        <v>1982</v>
      </c>
      <c r="AR57" s="137">
        <f t="shared" si="129"/>
        <v>1205</v>
      </c>
      <c r="AS57" s="138">
        <f t="shared" si="130"/>
        <v>1809</v>
      </c>
      <c r="AT57" s="137">
        <v>1353.19</v>
      </c>
      <c r="AU57" s="137">
        <v>732.59</v>
      </c>
      <c r="AV57" s="137">
        <v>2320.5700000000002</v>
      </c>
      <c r="AW57" s="137">
        <v>2876.77</v>
      </c>
      <c r="AX57" s="137">
        <v>646.4</v>
      </c>
      <c r="AY57" s="137">
        <v>833.37</v>
      </c>
      <c r="AZ57" s="137">
        <v>97.91</v>
      </c>
      <c r="BA57" s="137">
        <v>391.28</v>
      </c>
      <c r="BB57" s="137">
        <v>486.16</v>
      </c>
      <c r="BC57" s="137">
        <v>1383.29</v>
      </c>
      <c r="BD57" s="137">
        <v>1029.49</v>
      </c>
      <c r="BE57" s="137">
        <v>1197</v>
      </c>
      <c r="BF57" s="139">
        <v>2051.1999999999998</v>
      </c>
      <c r="BG57" s="137">
        <v>693</v>
      </c>
      <c r="BH57" s="137">
        <v>728.74</v>
      </c>
      <c r="BI57" s="137">
        <v>3188.2</v>
      </c>
      <c r="BJ57" s="137">
        <v>4068</v>
      </c>
      <c r="BK57" s="137">
        <v>85.43</v>
      </c>
      <c r="BL57" s="137">
        <v>699.57</v>
      </c>
      <c r="BM57" s="137">
        <v>925.83</v>
      </c>
      <c r="BN57" s="137">
        <v>3011</v>
      </c>
      <c r="BO57" s="137">
        <v>196.8</v>
      </c>
      <c r="BP57" s="137">
        <v>2231.04</v>
      </c>
      <c r="BQ57" s="137">
        <v>1473.14</v>
      </c>
      <c r="BR57" s="139">
        <v>2899.35</v>
      </c>
      <c r="BS57" s="137">
        <v>683.11</v>
      </c>
      <c r="BT57" s="137">
        <v>5603.54</v>
      </c>
      <c r="BU57" s="137">
        <v>3872.7</v>
      </c>
      <c r="BV57" s="137">
        <v>3504.74</v>
      </c>
      <c r="BW57" s="137">
        <v>437.31</v>
      </c>
      <c r="BX57" s="137">
        <v>2085.39</v>
      </c>
      <c r="BY57" s="137">
        <v>2329</v>
      </c>
      <c r="BZ57" s="137">
        <v>3673.15</v>
      </c>
      <c r="CA57" s="137">
        <v>6162.84</v>
      </c>
      <c r="CB57" s="139">
        <v>3650</v>
      </c>
      <c r="CC57" s="137">
        <v>1973</v>
      </c>
      <c r="CD57" s="137">
        <v>1194</v>
      </c>
      <c r="CE57" s="137">
        <v>1562</v>
      </c>
      <c r="CF57" s="137">
        <v>45</v>
      </c>
      <c r="CG57" s="137">
        <v>1764</v>
      </c>
      <c r="CH57" s="137">
        <v>3593</v>
      </c>
      <c r="CI57" s="137">
        <v>1205</v>
      </c>
      <c r="CJ57" s="137">
        <v>5861</v>
      </c>
      <c r="CK57" s="138">
        <v>1982</v>
      </c>
      <c r="CL57" s="140">
        <v>86779</v>
      </c>
    </row>
    <row r="58" spans="1:90">
      <c r="A58" s="80">
        <f>ROWS($A$3:A56)</f>
        <v>54</v>
      </c>
      <c r="B58" s="92" t="s">
        <v>231</v>
      </c>
      <c r="C58" s="204">
        <v>2014</v>
      </c>
      <c r="D58" s="260" t="s">
        <v>13</v>
      </c>
      <c r="E58" s="453">
        <v>42184</v>
      </c>
      <c r="F58" s="116">
        <v>65</v>
      </c>
      <c r="G58" s="137">
        <v>68</v>
      </c>
      <c r="H58" s="137">
        <v>74</v>
      </c>
      <c r="I58" s="138">
        <v>82</v>
      </c>
      <c r="J58" s="141"/>
      <c r="K58" s="116">
        <f t="shared" si="100"/>
        <v>14</v>
      </c>
      <c r="L58" s="137">
        <f t="shared" si="101"/>
        <v>5</v>
      </c>
      <c r="M58" s="137">
        <f t="shared" si="102"/>
        <v>12</v>
      </c>
      <c r="N58" s="137">
        <f t="shared" si="103"/>
        <v>11</v>
      </c>
      <c r="O58" s="137">
        <f t="shared" si="104"/>
        <v>7</v>
      </c>
      <c r="P58" s="137">
        <f>'2014'!AZ58+'2014'!BA58</f>
        <v>13</v>
      </c>
      <c r="Q58" s="137">
        <f>'2014'!AU58</f>
        <v>5</v>
      </c>
      <c r="R58" s="137">
        <f t="shared" si="105"/>
        <v>12</v>
      </c>
      <c r="S58" s="137">
        <f t="shared" si="106"/>
        <v>9</v>
      </c>
      <c r="T58" s="137">
        <f t="shared" si="107"/>
        <v>8</v>
      </c>
      <c r="U58" s="139">
        <f t="shared" si="107"/>
        <v>13</v>
      </c>
      <c r="V58" s="137">
        <f t="shared" si="108"/>
        <v>21</v>
      </c>
      <c r="W58" s="137">
        <f t="shared" si="109"/>
        <v>10</v>
      </c>
      <c r="X58" s="137">
        <f t="shared" si="110"/>
        <v>28</v>
      </c>
      <c r="Y58" s="137">
        <f t="shared" si="111"/>
        <v>24</v>
      </c>
      <c r="Z58" s="137">
        <f t="shared" si="112"/>
        <v>12</v>
      </c>
      <c r="AA58" s="137">
        <f t="shared" si="113"/>
        <v>13</v>
      </c>
      <c r="AB58" s="139">
        <f t="shared" si="114"/>
        <v>8</v>
      </c>
      <c r="AC58" s="137">
        <f t="shared" si="115"/>
        <v>10</v>
      </c>
      <c r="AD58" s="137">
        <f t="shared" si="116"/>
        <v>9</v>
      </c>
      <c r="AE58" s="137">
        <f t="shared" si="117"/>
        <v>23</v>
      </c>
      <c r="AF58" s="137">
        <f t="shared" si="118"/>
        <v>10</v>
      </c>
      <c r="AG58" s="137">
        <f t="shared" si="119"/>
        <v>14</v>
      </c>
      <c r="AH58" s="137">
        <f t="shared" si="120"/>
        <v>10</v>
      </c>
      <c r="AI58" s="137">
        <f t="shared" si="121"/>
        <v>8</v>
      </c>
      <c r="AJ58" s="137">
        <f t="shared" si="122"/>
        <v>10</v>
      </c>
      <c r="AK58" s="139">
        <f t="shared" si="123"/>
        <v>14</v>
      </c>
      <c r="AL58" s="137">
        <f t="shared" si="124"/>
        <v>20</v>
      </c>
      <c r="AM58" s="137">
        <f t="shared" si="125"/>
        <v>12</v>
      </c>
      <c r="AN58" s="137">
        <f t="shared" si="126"/>
        <v>21</v>
      </c>
      <c r="AO58" s="137">
        <f t="shared" si="127"/>
        <v>18</v>
      </c>
      <c r="AP58" s="137">
        <f t="shared" si="127"/>
        <v>6</v>
      </c>
      <c r="AQ58" s="137">
        <f t="shared" si="128"/>
        <v>14</v>
      </c>
      <c r="AR58" s="137">
        <f t="shared" si="129"/>
        <v>11</v>
      </c>
      <c r="AS58" s="138">
        <f t="shared" si="130"/>
        <v>18</v>
      </c>
      <c r="AT58" s="137">
        <v>4</v>
      </c>
      <c r="AU58" s="137">
        <v>5</v>
      </c>
      <c r="AV58" s="141">
        <v>9</v>
      </c>
      <c r="AW58" s="141">
        <v>11</v>
      </c>
      <c r="AX58" s="141">
        <v>8</v>
      </c>
      <c r="AY58" s="141">
        <v>5</v>
      </c>
      <c r="AZ58" s="141">
        <v>3</v>
      </c>
      <c r="BA58" s="141">
        <v>10</v>
      </c>
      <c r="BB58" s="141">
        <v>8</v>
      </c>
      <c r="BC58" s="141">
        <v>13</v>
      </c>
      <c r="BD58" s="141">
        <v>12</v>
      </c>
      <c r="BE58" s="141">
        <v>7</v>
      </c>
      <c r="BF58" s="139">
        <v>14</v>
      </c>
      <c r="BG58" s="141">
        <v>6</v>
      </c>
      <c r="BH58" s="141">
        <v>9</v>
      </c>
      <c r="BI58" s="141">
        <v>19</v>
      </c>
      <c r="BJ58" s="141">
        <v>15</v>
      </c>
      <c r="BK58" s="141">
        <v>4</v>
      </c>
      <c r="BL58" s="141">
        <v>3</v>
      </c>
      <c r="BM58" s="141">
        <v>12</v>
      </c>
      <c r="BN58" s="141">
        <v>17</v>
      </c>
      <c r="BO58" s="141">
        <v>3</v>
      </c>
      <c r="BP58" s="141">
        <v>8</v>
      </c>
      <c r="BQ58" s="141">
        <v>10</v>
      </c>
      <c r="BR58" s="139">
        <v>10</v>
      </c>
      <c r="BS58" s="141">
        <v>5</v>
      </c>
      <c r="BT58" s="141">
        <v>18</v>
      </c>
      <c r="BU58" s="141">
        <v>9</v>
      </c>
      <c r="BV58" s="141">
        <v>14</v>
      </c>
      <c r="BW58" s="141">
        <v>8</v>
      </c>
      <c r="BX58" s="141">
        <v>10</v>
      </c>
      <c r="BY58" s="141">
        <v>10</v>
      </c>
      <c r="BZ58" s="141">
        <v>10</v>
      </c>
      <c r="CA58" s="141">
        <v>10</v>
      </c>
      <c r="CB58" s="139">
        <v>14</v>
      </c>
      <c r="CC58" s="141">
        <v>18</v>
      </c>
      <c r="CD58" s="141">
        <v>6</v>
      </c>
      <c r="CE58" s="141">
        <v>20</v>
      </c>
      <c r="CF58" s="141">
        <v>3</v>
      </c>
      <c r="CG58" s="141">
        <v>15</v>
      </c>
      <c r="CH58" s="141">
        <v>12</v>
      </c>
      <c r="CI58" s="141">
        <v>11</v>
      </c>
      <c r="CJ58" s="141">
        <v>21</v>
      </c>
      <c r="CK58" s="138">
        <v>14</v>
      </c>
      <c r="CL58" s="140">
        <v>289</v>
      </c>
    </row>
    <row r="59" spans="1:90">
      <c r="A59" s="80">
        <f>ROWS($A$3:A57)</f>
        <v>55</v>
      </c>
      <c r="B59" s="92"/>
      <c r="C59" s="201"/>
      <c r="D59" s="260" t="s">
        <v>1</v>
      </c>
      <c r="E59" s="454"/>
      <c r="F59" s="116">
        <v>92773</v>
      </c>
      <c r="G59" s="137">
        <v>96907</v>
      </c>
      <c r="H59" s="137">
        <v>131863</v>
      </c>
      <c r="I59" s="138">
        <v>94241</v>
      </c>
      <c r="J59" s="141"/>
      <c r="K59" s="116">
        <f t="shared" si="100"/>
        <v>10615</v>
      </c>
      <c r="L59" s="137">
        <f t="shared" si="101"/>
        <v>3117.95</v>
      </c>
      <c r="M59" s="137">
        <f t="shared" si="102"/>
        <v>8228</v>
      </c>
      <c r="N59" s="137">
        <f t="shared" si="103"/>
        <v>9442</v>
      </c>
      <c r="O59" s="137">
        <f t="shared" si="104"/>
        <v>7359</v>
      </c>
      <c r="P59" s="137">
        <f>'2014'!AZ59+'2014'!BA59</f>
        <v>11722.849999999999</v>
      </c>
      <c r="Q59" s="137">
        <f>'2014'!AU59</f>
        <v>6912.5</v>
      </c>
      <c r="R59" s="137">
        <f t="shared" si="105"/>
        <v>10435.799999999999</v>
      </c>
      <c r="S59" s="137">
        <f t="shared" si="106"/>
        <v>8990.43</v>
      </c>
      <c r="T59" s="137">
        <f t="shared" si="107"/>
        <v>8608</v>
      </c>
      <c r="U59" s="139">
        <f t="shared" si="107"/>
        <v>7339</v>
      </c>
      <c r="V59" s="137">
        <f t="shared" si="108"/>
        <v>14425.27</v>
      </c>
      <c r="W59" s="137">
        <f t="shared" si="109"/>
        <v>5700</v>
      </c>
      <c r="X59" s="137">
        <f t="shared" si="110"/>
        <v>30361</v>
      </c>
      <c r="Y59" s="137">
        <f t="shared" si="111"/>
        <v>19485.71</v>
      </c>
      <c r="Z59" s="137">
        <f t="shared" si="112"/>
        <v>9712.59</v>
      </c>
      <c r="AA59" s="137">
        <f t="shared" si="113"/>
        <v>11770.27</v>
      </c>
      <c r="AB59" s="139">
        <f t="shared" si="114"/>
        <v>5399</v>
      </c>
      <c r="AC59" s="137">
        <f t="shared" si="115"/>
        <v>8368</v>
      </c>
      <c r="AD59" s="137">
        <f t="shared" si="116"/>
        <v>10472.209999999999</v>
      </c>
      <c r="AE59" s="137">
        <f t="shared" si="117"/>
        <v>22715.35</v>
      </c>
      <c r="AF59" s="137">
        <f t="shared" si="118"/>
        <v>16027</v>
      </c>
      <c r="AG59" s="137">
        <f t="shared" si="119"/>
        <v>18365</v>
      </c>
      <c r="AH59" s="137">
        <f t="shared" si="120"/>
        <v>14792</v>
      </c>
      <c r="AI59" s="137">
        <f t="shared" si="121"/>
        <v>6063</v>
      </c>
      <c r="AJ59" s="137">
        <f t="shared" si="122"/>
        <v>12330</v>
      </c>
      <c r="AK59" s="139">
        <f t="shared" si="123"/>
        <v>22727</v>
      </c>
      <c r="AL59" s="137">
        <f t="shared" si="124"/>
        <v>12299</v>
      </c>
      <c r="AM59" s="137">
        <f t="shared" si="125"/>
        <v>8194</v>
      </c>
      <c r="AN59" s="137">
        <f t="shared" si="126"/>
        <v>12891.94</v>
      </c>
      <c r="AO59" s="137">
        <f t="shared" si="127"/>
        <v>22503.79</v>
      </c>
      <c r="AP59" s="137">
        <f t="shared" si="127"/>
        <v>13124</v>
      </c>
      <c r="AQ59" s="137">
        <f t="shared" si="128"/>
        <v>9775.99</v>
      </c>
      <c r="AR59" s="137">
        <f t="shared" si="129"/>
        <v>3971</v>
      </c>
      <c r="AS59" s="138">
        <f t="shared" si="130"/>
        <v>11479</v>
      </c>
      <c r="AT59" s="137">
        <v>2318.44</v>
      </c>
      <c r="AU59" s="137">
        <v>6912.5</v>
      </c>
      <c r="AV59" s="137">
        <v>8990.43</v>
      </c>
      <c r="AW59" s="137">
        <v>9442</v>
      </c>
      <c r="AX59" s="137">
        <v>8117.36</v>
      </c>
      <c r="AY59" s="137">
        <v>3117.95</v>
      </c>
      <c r="AZ59" s="137">
        <v>1078.72</v>
      </c>
      <c r="BA59" s="137">
        <v>10644.13</v>
      </c>
      <c r="BB59" s="137">
        <v>8608</v>
      </c>
      <c r="BC59" s="137">
        <v>7339</v>
      </c>
      <c r="BD59" s="137">
        <v>8228</v>
      </c>
      <c r="BE59" s="137">
        <v>7359</v>
      </c>
      <c r="BF59" s="139">
        <v>10615</v>
      </c>
      <c r="BG59" s="137">
        <v>1427.27</v>
      </c>
      <c r="BH59" s="137">
        <v>4367</v>
      </c>
      <c r="BI59" s="137">
        <v>25994</v>
      </c>
      <c r="BJ59" s="137">
        <v>12998</v>
      </c>
      <c r="BK59" s="137">
        <v>2339.3000000000002</v>
      </c>
      <c r="BL59" s="137">
        <v>1635.41</v>
      </c>
      <c r="BM59" s="137">
        <v>9712.59</v>
      </c>
      <c r="BN59" s="137">
        <v>15511</v>
      </c>
      <c r="BO59" s="137">
        <v>1436.27</v>
      </c>
      <c r="BP59" s="137">
        <v>5399</v>
      </c>
      <c r="BQ59" s="137">
        <v>10334</v>
      </c>
      <c r="BR59" s="139">
        <v>5700</v>
      </c>
      <c r="BS59" s="137">
        <v>3160.35</v>
      </c>
      <c r="BT59" s="137">
        <v>19555</v>
      </c>
      <c r="BU59" s="137">
        <v>10472.209999999999</v>
      </c>
      <c r="BV59" s="137">
        <v>18365</v>
      </c>
      <c r="BW59" s="137">
        <v>6063</v>
      </c>
      <c r="BX59" s="137">
        <v>8368</v>
      </c>
      <c r="BY59" s="137">
        <v>12330</v>
      </c>
      <c r="BZ59" s="137">
        <v>14792</v>
      </c>
      <c r="CA59" s="137">
        <v>16027</v>
      </c>
      <c r="CB59" s="139">
        <v>22727</v>
      </c>
      <c r="CC59" s="137">
        <v>22503.79</v>
      </c>
      <c r="CD59" s="137">
        <v>13124</v>
      </c>
      <c r="CE59" s="137">
        <v>12299</v>
      </c>
      <c r="CF59" s="137">
        <v>516</v>
      </c>
      <c r="CG59" s="137">
        <v>10963</v>
      </c>
      <c r="CH59" s="137">
        <v>8194</v>
      </c>
      <c r="CI59" s="137">
        <v>3971</v>
      </c>
      <c r="CJ59" s="137">
        <v>12891.94</v>
      </c>
      <c r="CK59" s="138">
        <v>9775.99</v>
      </c>
      <c r="CL59" s="140">
        <v>428056</v>
      </c>
    </row>
    <row r="60" spans="1:90">
      <c r="A60" s="80">
        <f>ROWS($A$3:A58)</f>
        <v>56</v>
      </c>
      <c r="B60" s="92" t="s">
        <v>232</v>
      </c>
      <c r="C60" s="204">
        <v>2014</v>
      </c>
      <c r="D60" s="260" t="s">
        <v>13</v>
      </c>
      <c r="E60" s="453">
        <v>42184</v>
      </c>
      <c r="F60" s="116">
        <v>21</v>
      </c>
      <c r="G60" s="141">
        <v>23</v>
      </c>
      <c r="H60" s="141">
        <v>34</v>
      </c>
      <c r="I60" s="138">
        <v>23</v>
      </c>
      <c r="J60" s="141"/>
      <c r="K60" s="116">
        <f t="shared" si="100"/>
        <v>6</v>
      </c>
      <c r="L60" s="137">
        <f t="shared" si="101"/>
        <v>2</v>
      </c>
      <c r="M60" s="137">
        <f t="shared" si="102"/>
        <v>2</v>
      </c>
      <c r="N60" s="137">
        <f t="shared" si="103"/>
        <v>3</v>
      </c>
      <c r="O60" s="137">
        <f t="shared" si="104"/>
        <v>3</v>
      </c>
      <c r="P60" s="137">
        <f>'2014'!AZ60+'2014'!BA60</f>
        <v>3</v>
      </c>
      <c r="Q60" s="137">
        <f>'2014'!AU60</f>
        <v>1</v>
      </c>
      <c r="R60" s="137">
        <f t="shared" si="105"/>
        <v>5</v>
      </c>
      <c r="S60" s="137">
        <f t="shared" si="106"/>
        <v>4</v>
      </c>
      <c r="T60" s="137">
        <f t="shared" si="107"/>
        <v>2</v>
      </c>
      <c r="U60" s="139">
        <f t="shared" si="107"/>
        <v>3</v>
      </c>
      <c r="V60" s="137">
        <f t="shared" si="108"/>
        <v>6</v>
      </c>
      <c r="W60" s="137">
        <f t="shared" si="109"/>
        <v>1</v>
      </c>
      <c r="X60" s="137">
        <f t="shared" si="110"/>
        <v>9</v>
      </c>
      <c r="Y60" s="137">
        <f t="shared" si="111"/>
        <v>9</v>
      </c>
      <c r="Z60" s="137">
        <f t="shared" si="112"/>
        <v>3</v>
      </c>
      <c r="AA60" s="137">
        <f t="shared" si="113"/>
        <v>3</v>
      </c>
      <c r="AB60" s="139">
        <f t="shared" si="114"/>
        <v>2</v>
      </c>
      <c r="AC60" s="137">
        <f t="shared" si="115"/>
        <v>3</v>
      </c>
      <c r="AD60" s="137">
        <f t="shared" si="116"/>
        <v>7</v>
      </c>
      <c r="AE60" s="137">
        <f t="shared" si="117"/>
        <v>14</v>
      </c>
      <c r="AF60" s="137">
        <f t="shared" si="118"/>
        <v>3</v>
      </c>
      <c r="AG60" s="137">
        <f t="shared" si="119"/>
        <v>12</v>
      </c>
      <c r="AH60" s="137">
        <f t="shared" si="120"/>
        <v>6</v>
      </c>
      <c r="AI60" s="137">
        <f t="shared" si="121"/>
        <v>6</v>
      </c>
      <c r="AJ60" s="137">
        <f t="shared" si="122"/>
        <v>3</v>
      </c>
      <c r="AK60" s="139">
        <f t="shared" si="123"/>
        <v>2</v>
      </c>
      <c r="AL60" s="137">
        <f t="shared" si="124"/>
        <v>3</v>
      </c>
      <c r="AM60" s="137">
        <f t="shared" si="125"/>
        <v>3</v>
      </c>
      <c r="AN60" s="137">
        <f t="shared" si="126"/>
        <v>7</v>
      </c>
      <c r="AO60" s="137">
        <f t="shared" si="127"/>
        <v>3</v>
      </c>
      <c r="AP60" s="137">
        <f t="shared" si="127"/>
        <v>5</v>
      </c>
      <c r="AQ60" s="137">
        <f t="shared" si="128"/>
        <v>3</v>
      </c>
      <c r="AR60" s="137">
        <f t="shared" si="129"/>
        <v>3</v>
      </c>
      <c r="AS60" s="138">
        <f t="shared" si="130"/>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3</v>
      </c>
      <c r="BI60" s="141">
        <v>6</v>
      </c>
      <c r="BJ60" s="141">
        <v>5</v>
      </c>
      <c r="BK60" s="141">
        <v>1</v>
      </c>
      <c r="BL60" s="141">
        <v>1</v>
      </c>
      <c r="BM60" s="141">
        <v>3</v>
      </c>
      <c r="BN60" s="141">
        <v>7</v>
      </c>
      <c r="BO60" s="141">
        <v>0</v>
      </c>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c r="A61" s="80">
        <f>ROWS($A$3:A59)</f>
        <v>57</v>
      </c>
      <c r="B61" s="52"/>
      <c r="C61" s="201"/>
      <c r="D61" s="260" t="s">
        <v>1</v>
      </c>
      <c r="E61" s="451"/>
      <c r="F61" s="116">
        <v>69092.44</v>
      </c>
      <c r="G61" s="137">
        <v>56207.8</v>
      </c>
      <c r="H61" s="137">
        <v>181809.84</v>
      </c>
      <c r="I61" s="138">
        <v>83635.16</v>
      </c>
      <c r="J61" s="141"/>
      <c r="K61" s="116">
        <f t="shared" si="100"/>
        <v>3640.5994290985</v>
      </c>
      <c r="L61" s="137">
        <f t="shared" si="101"/>
        <v>2435.46</v>
      </c>
      <c r="M61" s="137">
        <f t="shared" si="102"/>
        <v>2670.3195366896002</v>
      </c>
      <c r="N61" s="137">
        <f t="shared" si="103"/>
        <v>18759.650000000001</v>
      </c>
      <c r="O61" s="137">
        <f t="shared" si="104"/>
        <v>7507.4710391156004</v>
      </c>
      <c r="P61" s="137">
        <f>'2014'!AZ61+'2014'!BA61</f>
        <v>2511.9478698377002</v>
      </c>
      <c r="Q61" s="137">
        <f>'2014'!AU61</f>
        <v>5384.5298784226998</v>
      </c>
      <c r="R61" s="137">
        <f t="shared" si="105"/>
        <v>6609.3052492992001</v>
      </c>
      <c r="S61" s="137">
        <f t="shared" si="106"/>
        <v>17652.689999999999</v>
      </c>
      <c r="T61" s="137">
        <f t="shared" si="107"/>
        <v>713.74209477930003</v>
      </c>
      <c r="U61" s="139">
        <f t="shared" si="107"/>
        <v>1207.4505157019</v>
      </c>
      <c r="V61" s="137">
        <f t="shared" si="108"/>
        <v>14511.3994995348</v>
      </c>
      <c r="W61" s="137">
        <f t="shared" si="109"/>
        <v>17414.11</v>
      </c>
      <c r="X61" s="137">
        <f t="shared" si="110"/>
        <v>12525.99</v>
      </c>
      <c r="Y61" s="137">
        <f t="shared" si="111"/>
        <v>6488.9607463743996</v>
      </c>
      <c r="Z61" s="137">
        <f t="shared" si="112"/>
        <v>218.49048465249999</v>
      </c>
      <c r="AA61" s="137">
        <f t="shared" si="113"/>
        <v>2405</v>
      </c>
      <c r="AB61" s="139">
        <f t="shared" si="114"/>
        <v>2643.84</v>
      </c>
      <c r="AC61" s="137">
        <f t="shared" si="115"/>
        <v>50256.04</v>
      </c>
      <c r="AD61" s="137">
        <f t="shared" si="116"/>
        <v>12541.48</v>
      </c>
      <c r="AE61" s="137">
        <f t="shared" si="117"/>
        <v>29089.230000000003</v>
      </c>
      <c r="AF61" s="137">
        <f t="shared" si="118"/>
        <v>11378.64</v>
      </c>
      <c r="AG61" s="137">
        <f t="shared" si="119"/>
        <v>27556.19</v>
      </c>
      <c r="AH61" s="137">
        <f t="shared" si="120"/>
        <v>9555.6299999999992</v>
      </c>
      <c r="AI61" s="137">
        <f t="shared" si="121"/>
        <v>3414.5</v>
      </c>
      <c r="AJ61" s="137">
        <f t="shared" si="122"/>
        <v>20602.939999999999</v>
      </c>
      <c r="AK61" s="139">
        <f t="shared" si="123"/>
        <v>17415.176874928398</v>
      </c>
      <c r="AL61" s="137">
        <f t="shared" si="124"/>
        <v>19750.628003054801</v>
      </c>
      <c r="AM61" s="137">
        <f t="shared" si="125"/>
        <v>2982.4588136552002</v>
      </c>
      <c r="AN61" s="137">
        <f t="shared" si="126"/>
        <v>8762.4028419921997</v>
      </c>
      <c r="AO61" s="137">
        <f t="shared" si="127"/>
        <v>21889.07</v>
      </c>
      <c r="AP61" s="137">
        <f t="shared" si="127"/>
        <v>13694.94</v>
      </c>
      <c r="AQ61" s="137">
        <f t="shared" si="128"/>
        <v>8540.17</v>
      </c>
      <c r="AR61" s="137">
        <f t="shared" si="129"/>
        <v>882.97538220659999</v>
      </c>
      <c r="AS61" s="138">
        <f t="shared" si="130"/>
        <v>7132.5229704204003</v>
      </c>
      <c r="AT61" s="137">
        <v>3.0137999999999998</v>
      </c>
      <c r="AU61" s="137">
        <v>5384.5298784226998</v>
      </c>
      <c r="AV61" s="137">
        <v>17652.689999999999</v>
      </c>
      <c r="AW61" s="137">
        <v>18759.650000000001</v>
      </c>
      <c r="AX61" s="137">
        <v>6606.2914492992004</v>
      </c>
      <c r="AY61" s="137">
        <v>2435.46</v>
      </c>
      <c r="AZ61" s="137">
        <v>0</v>
      </c>
      <c r="BA61" s="137">
        <v>2511.9478698377002</v>
      </c>
      <c r="BB61" s="137">
        <v>713.74209477930003</v>
      </c>
      <c r="BC61" s="137">
        <v>1207.4505157019</v>
      </c>
      <c r="BD61" s="137">
        <v>2670.3195366896002</v>
      </c>
      <c r="BE61" s="137">
        <v>7507.4710391156004</v>
      </c>
      <c r="BF61" s="139">
        <v>3640.5994290985</v>
      </c>
      <c r="BG61" s="137">
        <v>365.5694995348</v>
      </c>
      <c r="BH61" s="137">
        <v>2893.58</v>
      </c>
      <c r="BI61" s="137">
        <v>9632.41</v>
      </c>
      <c r="BJ61" s="137">
        <v>14145.83</v>
      </c>
      <c r="BK61" s="137">
        <v>3.9557544061000001</v>
      </c>
      <c r="BL61" s="137">
        <v>418.254256134</v>
      </c>
      <c r="BM61" s="137">
        <v>218.49048465249999</v>
      </c>
      <c r="BN61" s="137">
        <v>6066.7507358343</v>
      </c>
      <c r="BO61" s="137">
        <v>0</v>
      </c>
      <c r="BP61" s="137">
        <v>2643.84</v>
      </c>
      <c r="BQ61" s="137">
        <v>2405</v>
      </c>
      <c r="BR61" s="139">
        <v>17414.11</v>
      </c>
      <c r="BS61" s="137">
        <v>2995.67</v>
      </c>
      <c r="BT61" s="137">
        <v>26093.56</v>
      </c>
      <c r="BU61" s="137">
        <v>12541.48</v>
      </c>
      <c r="BV61" s="137">
        <v>27556.19</v>
      </c>
      <c r="BW61" s="137">
        <v>3414.5</v>
      </c>
      <c r="BX61" s="137">
        <v>50256.04</v>
      </c>
      <c r="BY61" s="137">
        <v>20602.939999999999</v>
      </c>
      <c r="BZ61" s="137">
        <v>9555.6299999999992</v>
      </c>
      <c r="CA61" s="137">
        <v>11378.64</v>
      </c>
      <c r="CB61" s="139">
        <v>17415.176874928398</v>
      </c>
      <c r="CC61" s="137">
        <v>21889.07</v>
      </c>
      <c r="CD61" s="137">
        <v>13694.94</v>
      </c>
      <c r="CE61" s="137">
        <v>19750.628003054801</v>
      </c>
      <c r="CF61" s="137">
        <v>132.02297042039999</v>
      </c>
      <c r="CG61" s="137">
        <v>7000.5</v>
      </c>
      <c r="CH61" s="137">
        <v>2982.4588136552002</v>
      </c>
      <c r="CI61" s="137">
        <v>882.97538220659999</v>
      </c>
      <c r="CJ61" s="137">
        <v>8762.4028419921997</v>
      </c>
      <c r="CK61" s="138">
        <v>8540.17</v>
      </c>
      <c r="CL61" s="140">
        <v>397044.05</v>
      </c>
    </row>
    <row r="62" spans="1:90">
      <c r="A62" s="80">
        <f>ROWS($A$3:A60)</f>
        <v>58</v>
      </c>
      <c r="B62" s="92" t="s">
        <v>56</v>
      </c>
      <c r="C62" s="204">
        <v>2014</v>
      </c>
      <c r="D62" s="259" t="s">
        <v>13</v>
      </c>
      <c r="E62" s="453">
        <v>42184</v>
      </c>
      <c r="F62" s="116">
        <v>775</v>
      </c>
      <c r="G62" s="137">
        <v>404</v>
      </c>
      <c r="H62" s="137">
        <v>995</v>
      </c>
      <c r="I62" s="138">
        <v>384</v>
      </c>
      <c r="J62" s="141"/>
      <c r="K62" s="116">
        <f t="shared" si="100"/>
        <v>80</v>
      </c>
      <c r="L62" s="137">
        <f t="shared" si="101"/>
        <v>179</v>
      </c>
      <c r="M62" s="137">
        <f t="shared" si="102"/>
        <v>51</v>
      </c>
      <c r="N62" s="137">
        <f t="shared" si="103"/>
        <v>41</v>
      </c>
      <c r="O62" s="137">
        <f t="shared" si="104"/>
        <v>17</v>
      </c>
      <c r="P62" s="137">
        <f>'2014'!AZ62+'2014'!BA62</f>
        <v>119</v>
      </c>
      <c r="Q62" s="137">
        <f>'2014'!AU62</f>
        <v>32</v>
      </c>
      <c r="R62" s="137">
        <f t="shared" si="105"/>
        <v>51</v>
      </c>
      <c r="S62" s="137">
        <f t="shared" si="106"/>
        <v>41</v>
      </c>
      <c r="T62" s="137">
        <f t="shared" si="107"/>
        <v>72</v>
      </c>
      <c r="U62" s="139">
        <f t="shared" si="107"/>
        <v>92</v>
      </c>
      <c r="V62" s="137">
        <f t="shared" si="108"/>
        <v>80</v>
      </c>
      <c r="W62" s="137">
        <f t="shared" si="109"/>
        <v>50</v>
      </c>
      <c r="X62" s="137">
        <f t="shared" si="110"/>
        <v>55</v>
      </c>
      <c r="Y62" s="137">
        <f t="shared" si="111"/>
        <v>64</v>
      </c>
      <c r="Z62" s="137">
        <f t="shared" si="112"/>
        <v>41</v>
      </c>
      <c r="AA62" s="137">
        <f t="shared" si="113"/>
        <v>49</v>
      </c>
      <c r="AB62" s="139">
        <f t="shared" si="114"/>
        <v>65</v>
      </c>
      <c r="AC62" s="137">
        <f t="shared" si="115"/>
        <v>122</v>
      </c>
      <c r="AD62" s="137">
        <f t="shared" si="116"/>
        <v>74</v>
      </c>
      <c r="AE62" s="137">
        <f t="shared" si="117"/>
        <v>135</v>
      </c>
      <c r="AF62" s="137">
        <f t="shared" si="118"/>
        <v>134</v>
      </c>
      <c r="AG62" s="137">
        <f t="shared" si="119"/>
        <v>138</v>
      </c>
      <c r="AH62" s="137">
        <f t="shared" si="120"/>
        <v>103</v>
      </c>
      <c r="AI62" s="137">
        <f t="shared" si="121"/>
        <v>44</v>
      </c>
      <c r="AJ62" s="137">
        <f t="shared" si="122"/>
        <v>62</v>
      </c>
      <c r="AK62" s="139">
        <f t="shared" si="123"/>
        <v>183</v>
      </c>
      <c r="AL62" s="137">
        <f t="shared" si="124"/>
        <v>41</v>
      </c>
      <c r="AM62" s="137">
        <f t="shared" si="125"/>
        <v>50</v>
      </c>
      <c r="AN62" s="137">
        <f t="shared" si="126"/>
        <v>81</v>
      </c>
      <c r="AO62" s="137">
        <f t="shared" si="127"/>
        <v>45</v>
      </c>
      <c r="AP62" s="137">
        <f t="shared" si="127"/>
        <v>15</v>
      </c>
      <c r="AQ62" s="137">
        <f t="shared" si="128"/>
        <v>66</v>
      </c>
      <c r="AR62" s="137">
        <f t="shared" si="129"/>
        <v>44</v>
      </c>
      <c r="AS62" s="138">
        <f t="shared" si="130"/>
        <v>42</v>
      </c>
      <c r="AT62" s="137">
        <v>4</v>
      </c>
      <c r="AU62" s="137">
        <v>32</v>
      </c>
      <c r="AV62" s="137">
        <v>41</v>
      </c>
      <c r="AW62" s="137">
        <v>41</v>
      </c>
      <c r="AX62" s="137">
        <v>47</v>
      </c>
      <c r="AY62" s="137">
        <v>179</v>
      </c>
      <c r="AZ62" s="137">
        <v>9</v>
      </c>
      <c r="BA62" s="137">
        <v>110</v>
      </c>
      <c r="BB62" s="137">
        <v>72</v>
      </c>
      <c r="BC62" s="137">
        <v>92</v>
      </c>
      <c r="BD62" s="137">
        <v>51</v>
      </c>
      <c r="BE62" s="137">
        <v>17</v>
      </c>
      <c r="BF62" s="139">
        <v>80</v>
      </c>
      <c r="BG62" s="137">
        <v>10</v>
      </c>
      <c r="BH62" s="137">
        <v>4</v>
      </c>
      <c r="BI62" s="137">
        <v>51</v>
      </c>
      <c r="BJ62" s="137">
        <v>70</v>
      </c>
      <c r="BK62" s="137">
        <v>8</v>
      </c>
      <c r="BL62" s="137">
        <v>2</v>
      </c>
      <c r="BM62" s="137">
        <v>41</v>
      </c>
      <c r="BN62" s="137">
        <v>54</v>
      </c>
      <c r="BO62" s="137">
        <v>7</v>
      </c>
      <c r="BP62" s="137">
        <v>65</v>
      </c>
      <c r="BQ62" s="137">
        <v>42</v>
      </c>
      <c r="BR62" s="139">
        <v>50</v>
      </c>
      <c r="BS62" s="137">
        <v>9</v>
      </c>
      <c r="BT62" s="137">
        <v>126</v>
      </c>
      <c r="BU62" s="137">
        <v>74</v>
      </c>
      <c r="BV62" s="137">
        <v>138</v>
      </c>
      <c r="BW62" s="137">
        <v>44</v>
      </c>
      <c r="BX62" s="137">
        <v>122</v>
      </c>
      <c r="BY62" s="137">
        <v>62</v>
      </c>
      <c r="BZ62" s="137">
        <v>103</v>
      </c>
      <c r="CA62" s="137">
        <v>134</v>
      </c>
      <c r="CB62" s="139">
        <v>183</v>
      </c>
      <c r="CC62" s="137">
        <v>45</v>
      </c>
      <c r="CD62" s="137">
        <v>15</v>
      </c>
      <c r="CE62" s="137">
        <v>41</v>
      </c>
      <c r="CF62" s="137">
        <v>3</v>
      </c>
      <c r="CG62" s="137">
        <v>39</v>
      </c>
      <c r="CH62" s="137">
        <v>50</v>
      </c>
      <c r="CI62" s="137">
        <v>44</v>
      </c>
      <c r="CJ62" s="137">
        <v>81</v>
      </c>
      <c r="CK62" s="138">
        <v>66</v>
      </c>
      <c r="CL62" s="140">
        <v>2558</v>
      </c>
    </row>
    <row r="63" spans="1:90">
      <c r="A63" s="80">
        <f>ROWS($A$3:A61)</f>
        <v>59</v>
      </c>
      <c r="B63" s="92"/>
      <c r="C63" s="203"/>
      <c r="D63" s="259" t="s">
        <v>1</v>
      </c>
      <c r="E63" s="451"/>
      <c r="F63" s="116">
        <v>279240</v>
      </c>
      <c r="G63" s="137">
        <v>200783</v>
      </c>
      <c r="H63" s="137">
        <v>157188</v>
      </c>
      <c r="I63" s="138">
        <v>305333</v>
      </c>
      <c r="J63" s="141"/>
      <c r="K63" s="116">
        <f t="shared" si="100"/>
        <v>39909</v>
      </c>
      <c r="L63" s="137">
        <f t="shared" si="101"/>
        <v>8168</v>
      </c>
      <c r="M63" s="137">
        <f t="shared" si="102"/>
        <v>51775</v>
      </c>
      <c r="N63" s="137">
        <f t="shared" si="103"/>
        <v>21180</v>
      </c>
      <c r="O63" s="137">
        <f t="shared" si="104"/>
        <v>57919</v>
      </c>
      <c r="P63" s="137">
        <f>'2014'!AZ63+'2014'!BA63</f>
        <v>27339</v>
      </c>
      <c r="Q63" s="137">
        <f>'2014'!AU63</f>
        <v>27130</v>
      </c>
      <c r="R63" s="137">
        <f t="shared" si="105"/>
        <v>16746</v>
      </c>
      <c r="S63" s="137">
        <f t="shared" si="106"/>
        <v>9237</v>
      </c>
      <c r="T63" s="137">
        <f t="shared" si="107"/>
        <v>13409</v>
      </c>
      <c r="U63" s="139">
        <f t="shared" si="107"/>
        <v>6427</v>
      </c>
      <c r="V63" s="137">
        <f t="shared" si="108"/>
        <v>21987</v>
      </c>
      <c r="W63" s="137">
        <f t="shared" si="109"/>
        <v>16240</v>
      </c>
      <c r="X63" s="137">
        <f t="shared" si="110"/>
        <v>41240</v>
      </c>
      <c r="Y63" s="137">
        <f t="shared" si="111"/>
        <v>39039</v>
      </c>
      <c r="Z63" s="137">
        <f t="shared" si="112"/>
        <v>29413</v>
      </c>
      <c r="AA63" s="137">
        <f t="shared" si="113"/>
        <v>26416</v>
      </c>
      <c r="AB63" s="139">
        <f t="shared" si="114"/>
        <v>26447</v>
      </c>
      <c r="AC63" s="137">
        <f t="shared" si="115"/>
        <v>19816</v>
      </c>
      <c r="AD63" s="137">
        <f t="shared" si="116"/>
        <v>9018</v>
      </c>
      <c r="AE63" s="137">
        <f t="shared" si="117"/>
        <v>19601</v>
      </c>
      <c r="AF63" s="137">
        <f t="shared" si="118"/>
        <v>10140</v>
      </c>
      <c r="AG63" s="137">
        <f t="shared" si="119"/>
        <v>18813</v>
      </c>
      <c r="AH63" s="137">
        <f t="shared" si="120"/>
        <v>26266</v>
      </c>
      <c r="AI63" s="137">
        <f t="shared" si="121"/>
        <v>17892</v>
      </c>
      <c r="AJ63" s="137">
        <f t="shared" si="122"/>
        <v>14426</v>
      </c>
      <c r="AK63" s="139">
        <f t="shared" si="123"/>
        <v>21216</v>
      </c>
      <c r="AL63" s="137">
        <f t="shared" si="124"/>
        <v>30425</v>
      </c>
      <c r="AM63" s="137">
        <f t="shared" si="125"/>
        <v>28174</v>
      </c>
      <c r="AN63" s="137">
        <f t="shared" si="126"/>
        <v>22356</v>
      </c>
      <c r="AO63" s="137">
        <f t="shared" si="127"/>
        <v>65216</v>
      </c>
      <c r="AP63" s="137">
        <f t="shared" si="127"/>
        <v>12114</v>
      </c>
      <c r="AQ63" s="137">
        <f t="shared" si="128"/>
        <v>43903</v>
      </c>
      <c r="AR63" s="137">
        <f t="shared" si="129"/>
        <v>8793</v>
      </c>
      <c r="AS63" s="138">
        <f t="shared" si="130"/>
        <v>94353</v>
      </c>
      <c r="AT63" s="137">
        <v>1265</v>
      </c>
      <c r="AU63" s="137">
        <v>27130</v>
      </c>
      <c r="AV63" s="137">
        <v>9237</v>
      </c>
      <c r="AW63" s="137">
        <v>21180</v>
      </c>
      <c r="AX63" s="137">
        <v>15481</v>
      </c>
      <c r="AY63" s="137">
        <v>8168</v>
      </c>
      <c r="AZ63" s="137">
        <v>2754</v>
      </c>
      <c r="BA63" s="137">
        <v>24585</v>
      </c>
      <c r="BB63" s="137">
        <v>13409</v>
      </c>
      <c r="BC63" s="137">
        <v>6427</v>
      </c>
      <c r="BD63" s="137">
        <v>51775</v>
      </c>
      <c r="BE63" s="137">
        <v>57919</v>
      </c>
      <c r="BF63" s="139">
        <v>39909</v>
      </c>
      <c r="BG63" s="137">
        <v>3662</v>
      </c>
      <c r="BH63" s="137">
        <v>6757</v>
      </c>
      <c r="BI63" s="137">
        <v>34483</v>
      </c>
      <c r="BJ63" s="137">
        <v>18325</v>
      </c>
      <c r="BK63" s="137">
        <v>3723</v>
      </c>
      <c r="BL63" s="137">
        <v>1596</v>
      </c>
      <c r="BM63" s="137">
        <v>29413</v>
      </c>
      <c r="BN63" s="137">
        <v>33720</v>
      </c>
      <c r="BO63" s="137">
        <v>3389</v>
      </c>
      <c r="BP63" s="137">
        <v>26447</v>
      </c>
      <c r="BQ63" s="137">
        <v>23027</v>
      </c>
      <c r="BR63" s="139">
        <v>16240</v>
      </c>
      <c r="BS63" s="137">
        <v>1919</v>
      </c>
      <c r="BT63" s="137">
        <v>17682</v>
      </c>
      <c r="BU63" s="137">
        <v>9018</v>
      </c>
      <c r="BV63" s="137">
        <v>18813</v>
      </c>
      <c r="BW63" s="137">
        <v>17892</v>
      </c>
      <c r="BX63" s="137">
        <v>19816</v>
      </c>
      <c r="BY63" s="137">
        <v>14426</v>
      </c>
      <c r="BZ63" s="137">
        <v>26266</v>
      </c>
      <c r="CA63" s="137">
        <v>10140</v>
      </c>
      <c r="CB63" s="139">
        <v>21216</v>
      </c>
      <c r="CC63" s="137">
        <v>65216</v>
      </c>
      <c r="CD63" s="137">
        <v>12114</v>
      </c>
      <c r="CE63" s="137">
        <v>30425</v>
      </c>
      <c r="CF63" s="137">
        <v>828</v>
      </c>
      <c r="CG63" s="137">
        <v>93525</v>
      </c>
      <c r="CH63" s="137">
        <v>28174</v>
      </c>
      <c r="CI63" s="137">
        <v>8793</v>
      </c>
      <c r="CJ63" s="137">
        <v>22356</v>
      </c>
      <c r="CK63" s="138">
        <v>43903</v>
      </c>
      <c r="CL63" s="140">
        <v>942544</v>
      </c>
    </row>
    <row r="64" spans="1:90">
      <c r="A64" s="80">
        <f>ROWS($A$3:A62)</f>
        <v>60</v>
      </c>
      <c r="B64" s="59" t="s">
        <v>80</v>
      </c>
      <c r="C64" s="201"/>
      <c r="D64" s="260"/>
      <c r="E64" s="451"/>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2012</v>
      </c>
      <c r="D65" s="260" t="s">
        <v>59</v>
      </c>
      <c r="E65" s="483">
        <v>42909</v>
      </c>
      <c r="F65" s="496">
        <f>SUM(AT65:BF65)</f>
        <v>314479.37931325939</v>
      </c>
      <c r="G65" s="494">
        <f>SUM(BG65:BR65)</f>
        <v>89897.598673236018</v>
      </c>
      <c r="H65" s="494">
        <f>SUM(BS65:CB65)</f>
        <v>243038.02430056274</v>
      </c>
      <c r="I65" s="495">
        <f>SUM(CC65:CK65)</f>
        <v>253397.00401661822</v>
      </c>
      <c r="J65" s="141"/>
      <c r="K65" s="145">
        <f>BF65</f>
        <v>67088.18121349439</v>
      </c>
      <c r="L65" s="146">
        <f>AY65</f>
        <v>21694.709696189002</v>
      </c>
      <c r="M65" s="146">
        <f>BD65</f>
        <v>50743.632540982115</v>
      </c>
      <c r="N65" s="146">
        <f>AW65</f>
        <v>23858.964067028599</v>
      </c>
      <c r="O65" s="146">
        <f>BE65</f>
        <v>13645.5788599189</v>
      </c>
      <c r="P65" s="146">
        <f>'2016'!AZ65+'2016'!BA65</f>
        <v>7281.3166639667988</v>
      </c>
      <c r="Q65" s="146">
        <f>'2016'!AU65</f>
        <v>13241.415086714902</v>
      </c>
      <c r="R65" s="146">
        <f>AT65+AX65</f>
        <v>298.92548990300003</v>
      </c>
      <c r="S65" s="146">
        <f>AV65</f>
        <v>16464.466047333601</v>
      </c>
      <c r="T65" s="146">
        <f>BB65</f>
        <v>24314.555380037702</v>
      </c>
      <c r="U65" s="147">
        <f>BC65</f>
        <v>75847.634267690344</v>
      </c>
      <c r="V65" s="146">
        <f>BG65+BJ65</f>
        <v>4782.2159732278005</v>
      </c>
      <c r="W65" s="146">
        <f>BR65</f>
        <v>19006.765023481599</v>
      </c>
      <c r="X65" s="146">
        <f>BH65+BI65</f>
        <v>2395.2442394348</v>
      </c>
      <c r="Y65" s="146">
        <f>BK65+BL65+BN65</f>
        <v>3495.0278979200002</v>
      </c>
      <c r="Z65" s="146">
        <f>BM65</f>
        <v>33553.801581314015</v>
      </c>
      <c r="AA65" s="146">
        <f>BO65+BQ65</f>
        <v>11118.094937060299</v>
      </c>
      <c r="AB65" s="147">
        <f>BP65</f>
        <v>15546.4490207975</v>
      </c>
      <c r="AC65" s="146">
        <f>BX65</f>
        <v>41771.511534796999</v>
      </c>
      <c r="AD65" s="146">
        <f>BU65</f>
        <v>11015.238704522701</v>
      </c>
      <c r="AE65" s="146">
        <f>BS65+BT65</f>
        <v>27698.816682424698</v>
      </c>
      <c r="AF65" s="146">
        <f>CA65</f>
        <v>15108.251329657398</v>
      </c>
      <c r="AG65" s="146">
        <f>BV65</f>
        <v>22911.120215382292</v>
      </c>
      <c r="AH65" s="146">
        <f>BZ65</f>
        <v>21429.034589089897</v>
      </c>
      <c r="AI65" s="146">
        <f>BW65</f>
        <v>32481.177064181302</v>
      </c>
      <c r="AJ65" s="146">
        <f>BY65</f>
        <v>27337.876733838995</v>
      </c>
      <c r="AK65" s="147">
        <f>CB65</f>
        <v>43284.997446668494</v>
      </c>
      <c r="AL65" s="146">
        <f>CE65</f>
        <v>37587.49923149489</v>
      </c>
      <c r="AM65" s="146">
        <f>CH65</f>
        <v>11780.271234555999</v>
      </c>
      <c r="AN65" s="146">
        <f>CJ65</f>
        <v>53315.547431706007</v>
      </c>
      <c r="AO65" s="146">
        <f>CC65</f>
        <v>48696.591738932875</v>
      </c>
      <c r="AP65" s="146">
        <f>CD65</f>
        <v>13425.063013786003</v>
      </c>
      <c r="AQ65" s="146">
        <f>CK65</f>
        <v>43548.144464026969</v>
      </c>
      <c r="AR65" s="146">
        <f>CI65</f>
        <v>10746.678063158999</v>
      </c>
      <c r="AS65" s="150">
        <f>CF65+CG65</f>
        <v>34297.208838956503</v>
      </c>
      <c r="AT65" s="493">
        <v>0</v>
      </c>
      <c r="AU65" s="493">
        <v>13241.415086714902</v>
      </c>
      <c r="AV65" s="493">
        <v>16464.466047333601</v>
      </c>
      <c r="AW65" s="493">
        <v>23858.964067028599</v>
      </c>
      <c r="AX65" s="493">
        <v>298.92548990300003</v>
      </c>
      <c r="AY65" s="493">
        <v>21694.709696189002</v>
      </c>
      <c r="AZ65" s="493">
        <v>0</v>
      </c>
      <c r="BA65" s="493">
        <v>7281.3166639667988</v>
      </c>
      <c r="BB65" s="493">
        <v>24314.555380037702</v>
      </c>
      <c r="BC65" s="493">
        <v>75847.634267690344</v>
      </c>
      <c r="BD65" s="493">
        <v>50743.632540982115</v>
      </c>
      <c r="BE65" s="493">
        <v>13645.5788599189</v>
      </c>
      <c r="BF65" s="510">
        <v>67088.18121349439</v>
      </c>
      <c r="BG65" s="493">
        <v>1368.2561210222</v>
      </c>
      <c r="BH65" s="493">
        <v>0</v>
      </c>
      <c r="BI65" s="493">
        <v>2395.2442394348</v>
      </c>
      <c r="BJ65" s="493">
        <v>3413.9598522056003</v>
      </c>
      <c r="BK65" s="493">
        <v>0</v>
      </c>
      <c r="BL65" s="493">
        <v>0</v>
      </c>
      <c r="BM65" s="493">
        <v>33553.801581314015</v>
      </c>
      <c r="BN65" s="493">
        <v>3495.0278979200002</v>
      </c>
      <c r="BO65" s="493">
        <v>408.51585075379995</v>
      </c>
      <c r="BP65" s="493">
        <v>15546.4490207975</v>
      </c>
      <c r="BQ65" s="493">
        <v>10709.579086306499</v>
      </c>
      <c r="BR65" s="510">
        <v>19006.765023481599</v>
      </c>
      <c r="BS65" s="493">
        <v>1030.3934755529999</v>
      </c>
      <c r="BT65" s="493">
        <v>26668.423206871699</v>
      </c>
      <c r="BU65" s="493">
        <v>11015.238704522701</v>
      </c>
      <c r="BV65" s="493">
        <v>22911.120215382292</v>
      </c>
      <c r="BW65" s="493">
        <v>32481.177064181302</v>
      </c>
      <c r="BX65" s="493">
        <v>41771.511534796999</v>
      </c>
      <c r="BY65" s="493">
        <v>27337.876733838995</v>
      </c>
      <c r="BZ65" s="493">
        <v>21429.034589089897</v>
      </c>
      <c r="CA65" s="493">
        <v>15108.251329657398</v>
      </c>
      <c r="CB65" s="510">
        <v>43284.997446668494</v>
      </c>
      <c r="CC65" s="493">
        <v>48696.591738932875</v>
      </c>
      <c r="CD65" s="493">
        <v>13425.063013786003</v>
      </c>
      <c r="CE65" s="493">
        <v>37587.49923149489</v>
      </c>
      <c r="CF65" s="493">
        <v>438.39042787099999</v>
      </c>
      <c r="CG65" s="493">
        <v>33858.8184110855</v>
      </c>
      <c r="CH65" s="493">
        <v>11780.271234555999</v>
      </c>
      <c r="CI65" s="493">
        <v>10746.678063158999</v>
      </c>
      <c r="CJ65" s="493">
        <v>53315.547431706007</v>
      </c>
      <c r="CK65" s="509">
        <v>43548.144464026969</v>
      </c>
      <c r="CL65" s="511">
        <v>900812.00630367652</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2014</v>
      </c>
      <c r="D67" s="260" t="s">
        <v>3</v>
      </c>
      <c r="E67" s="483">
        <v>42909</v>
      </c>
      <c r="F67" s="526">
        <f>IF(F65/F35%&gt;100,100,F65/F35%)</f>
        <v>67.700732230516053</v>
      </c>
      <c r="G67" s="523">
        <f t="shared" ref="G67:BR67" si="131">IF(G65/G35%&gt;100,100,G65/G35%)</f>
        <v>44.643438219198686</v>
      </c>
      <c r="H67" s="523">
        <f t="shared" si="131"/>
        <v>76.362455753014814</v>
      </c>
      <c r="I67" s="525">
        <f t="shared" si="131"/>
        <v>59.505633380053453</v>
      </c>
      <c r="J67" s="173"/>
      <c r="K67" s="170">
        <f t="shared" si="131"/>
        <v>100</v>
      </c>
      <c r="L67" s="171">
        <f t="shared" si="131"/>
        <v>85.090640477678861</v>
      </c>
      <c r="M67" s="171">
        <f t="shared" si="131"/>
        <v>74.572542898895037</v>
      </c>
      <c r="N67" s="171">
        <f t="shared" si="131"/>
        <v>84.828856101218093</v>
      </c>
      <c r="O67" s="171">
        <f t="shared" si="131"/>
        <v>52.10224841511608</v>
      </c>
      <c r="P67" s="171">
        <f t="shared" si="131"/>
        <v>12.537349835505964</v>
      </c>
      <c r="Q67" s="171">
        <f t="shared" si="131"/>
        <v>60.029989512716028</v>
      </c>
      <c r="R67" s="171">
        <f t="shared" si="131"/>
        <v>0.86227677590503937</v>
      </c>
      <c r="S67" s="171">
        <f t="shared" si="131"/>
        <v>83.861182943684611</v>
      </c>
      <c r="T67" s="171">
        <f t="shared" si="131"/>
        <v>58.980122207489877</v>
      </c>
      <c r="U67" s="172">
        <f t="shared" si="131"/>
        <v>99.351131430111934</v>
      </c>
      <c r="V67" s="171">
        <f t="shared" si="131"/>
        <v>29.838497368364635</v>
      </c>
      <c r="W67" s="171">
        <f t="shared" si="131"/>
        <v>100</v>
      </c>
      <c r="X67" s="171">
        <f t="shared" si="131"/>
        <v>6.0010127760555196</v>
      </c>
      <c r="Y67" s="171">
        <f t="shared" si="131"/>
        <v>8.1693887567668657</v>
      </c>
      <c r="Z67" s="171">
        <f t="shared" si="131"/>
        <v>72.434431235701524</v>
      </c>
      <c r="AA67" s="171">
        <f t="shared" si="131"/>
        <v>55.16022493084094</v>
      </c>
      <c r="AB67" s="172">
        <f t="shared" si="131"/>
        <v>90.113894161821804</v>
      </c>
      <c r="AC67" s="171">
        <f t="shared" si="131"/>
        <v>100</v>
      </c>
      <c r="AD67" s="171">
        <f t="shared" si="131"/>
        <v>49.384616473986547</v>
      </c>
      <c r="AE67" s="171">
        <f t="shared" si="131"/>
        <v>53.119854024287925</v>
      </c>
      <c r="AF67" s="171">
        <f t="shared" si="131"/>
        <v>65.268063459726108</v>
      </c>
      <c r="AG67" s="171">
        <f t="shared" si="131"/>
        <v>41.281297685373502</v>
      </c>
      <c r="AH67" s="171">
        <f t="shared" si="131"/>
        <v>63.672662573436028</v>
      </c>
      <c r="AI67" s="171">
        <f t="shared" si="131"/>
        <v>100</v>
      </c>
      <c r="AJ67" s="171">
        <f t="shared" si="131"/>
        <v>100</v>
      </c>
      <c r="AK67" s="172">
        <f t="shared" si="131"/>
        <v>100</v>
      </c>
      <c r="AL67" s="171">
        <f t="shared" si="131"/>
        <v>100</v>
      </c>
      <c r="AM67" s="171">
        <f t="shared" si="131"/>
        <v>15.432939310585336</v>
      </c>
      <c r="AN67" s="171">
        <f t="shared" si="131"/>
        <v>61.839504769075354</v>
      </c>
      <c r="AO67" s="171">
        <f t="shared" si="131"/>
        <v>100</v>
      </c>
      <c r="AP67" s="171">
        <f t="shared" si="131"/>
        <v>66.814627053132938</v>
      </c>
      <c r="AQ67" s="171">
        <f t="shared" si="131"/>
        <v>79.907784623338415</v>
      </c>
      <c r="AR67" s="171">
        <f t="shared" si="131"/>
        <v>32.194961243735769</v>
      </c>
      <c r="AS67" s="174">
        <f t="shared" si="131"/>
        <v>43.568055333337355</v>
      </c>
      <c r="AT67" s="523">
        <f t="shared" si="131"/>
        <v>0</v>
      </c>
      <c r="AU67" s="523">
        <f t="shared" si="131"/>
        <v>60.029989512716028</v>
      </c>
      <c r="AV67" s="523">
        <f t="shared" si="131"/>
        <v>83.861182943684611</v>
      </c>
      <c r="AW67" s="523">
        <f t="shared" si="131"/>
        <v>84.828856101218093</v>
      </c>
      <c r="AX67" s="523">
        <f t="shared" si="131"/>
        <v>0.92932130169433569</v>
      </c>
      <c r="AY67" s="523">
        <f t="shared" si="131"/>
        <v>85.090640477678861</v>
      </c>
      <c r="AZ67" s="523">
        <f t="shared" si="131"/>
        <v>0</v>
      </c>
      <c r="BA67" s="523">
        <f t="shared" si="131"/>
        <v>13.509938889651918</v>
      </c>
      <c r="BB67" s="523">
        <f t="shared" si="131"/>
        <v>58.980122207489877</v>
      </c>
      <c r="BC67" s="523">
        <f t="shared" si="131"/>
        <v>99.351131430111934</v>
      </c>
      <c r="BD67" s="523">
        <f t="shared" si="131"/>
        <v>74.572542898895037</v>
      </c>
      <c r="BE67" s="523">
        <f t="shared" si="131"/>
        <v>52.10224841511608</v>
      </c>
      <c r="BF67" s="524">
        <f t="shared" si="131"/>
        <v>100</v>
      </c>
      <c r="BG67" s="523">
        <f t="shared" si="131"/>
        <v>90.194866250639421</v>
      </c>
      <c r="BH67" s="523">
        <f t="shared" si="131"/>
        <v>0</v>
      </c>
      <c r="BI67" s="523">
        <f t="shared" si="131"/>
        <v>6.4050813975687237</v>
      </c>
      <c r="BJ67" s="523">
        <f t="shared" si="131"/>
        <v>23.528324274332189</v>
      </c>
      <c r="BK67" s="523">
        <f t="shared" si="131"/>
        <v>0</v>
      </c>
      <c r="BL67" s="523">
        <f t="shared" si="131"/>
        <v>0</v>
      </c>
      <c r="BM67" s="523">
        <f t="shared" si="131"/>
        <v>72.434431235701524</v>
      </c>
      <c r="BN67" s="523">
        <f t="shared" si="131"/>
        <v>9.1740239334330784</v>
      </c>
      <c r="BO67" s="523">
        <f t="shared" si="131"/>
        <v>40.089877404690874</v>
      </c>
      <c r="BP67" s="523">
        <f t="shared" si="131"/>
        <v>90.113894161821804</v>
      </c>
      <c r="BQ67" s="523">
        <f t="shared" si="131"/>
        <v>55.962685302327948</v>
      </c>
      <c r="BR67" s="524">
        <f t="shared" si="131"/>
        <v>100</v>
      </c>
      <c r="BS67" s="523">
        <f t="shared" ref="BS67:CL67" si="132">IF(BS65/BS35%&gt;100,100,BS65/BS35%)</f>
        <v>29.901145547098082</v>
      </c>
      <c r="BT67" s="523">
        <f t="shared" si="132"/>
        <v>54.762871589945583</v>
      </c>
      <c r="BU67" s="523">
        <f t="shared" si="132"/>
        <v>49.384616473986547</v>
      </c>
      <c r="BV67" s="523">
        <f t="shared" si="132"/>
        <v>41.281297685373502</v>
      </c>
      <c r="BW67" s="523">
        <f t="shared" si="132"/>
        <v>100</v>
      </c>
      <c r="BX67" s="523">
        <f t="shared" si="132"/>
        <v>100</v>
      </c>
      <c r="BY67" s="523">
        <f t="shared" si="132"/>
        <v>100</v>
      </c>
      <c r="BZ67" s="523">
        <f t="shared" si="132"/>
        <v>63.672662573436028</v>
      </c>
      <c r="CA67" s="523">
        <f t="shared" si="132"/>
        <v>65.268063459726108</v>
      </c>
      <c r="CB67" s="524">
        <f t="shared" si="132"/>
        <v>100</v>
      </c>
      <c r="CC67" s="523">
        <f t="shared" si="132"/>
        <v>100</v>
      </c>
      <c r="CD67" s="523">
        <f t="shared" si="132"/>
        <v>66.814627053132938</v>
      </c>
      <c r="CE67" s="523">
        <f t="shared" si="132"/>
        <v>100</v>
      </c>
      <c r="CF67" s="523">
        <f t="shared" si="132"/>
        <v>9.3393785230293993</v>
      </c>
      <c r="CG67" s="523">
        <f t="shared" si="132"/>
        <v>45.738471653701353</v>
      </c>
      <c r="CH67" s="523">
        <f t="shared" si="132"/>
        <v>15.432939310585336</v>
      </c>
      <c r="CI67" s="523">
        <f t="shared" si="132"/>
        <v>32.194961243735769</v>
      </c>
      <c r="CJ67" s="523">
        <f t="shared" si="132"/>
        <v>61.839504769075354</v>
      </c>
      <c r="CK67" s="525">
        <f t="shared" si="132"/>
        <v>79.907784623338415</v>
      </c>
      <c r="CL67" s="478">
        <f t="shared" si="132"/>
        <v>63.887920060573322</v>
      </c>
    </row>
    <row r="68" spans="1:90">
      <c r="A68" s="80">
        <f>ROWS($A$3:A66)</f>
        <v>64</v>
      </c>
      <c r="B68" s="59" t="s">
        <v>81</v>
      </c>
      <c r="C68" s="201"/>
      <c r="D68" s="260"/>
      <c r="E68" s="453">
        <v>42572</v>
      </c>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306</v>
      </c>
      <c r="C69" s="202">
        <v>2014</v>
      </c>
      <c r="D69" s="259" t="s">
        <v>13</v>
      </c>
      <c r="E69" s="451"/>
      <c r="F69" s="116">
        <f>SUM(AT69:BF69)</f>
        <v>729</v>
      </c>
      <c r="G69" s="137">
        <f>SUM(BG69:BR69)</f>
        <v>223</v>
      </c>
      <c r="H69" s="137">
        <f>SUM(BS69:CB69)</f>
        <v>1024</v>
      </c>
      <c r="I69" s="138">
        <f>SUM(CC69:CK69)</f>
        <v>849</v>
      </c>
      <c r="J69" s="141"/>
      <c r="K69" s="116">
        <f>BF69</f>
        <v>105</v>
      </c>
      <c r="L69" s="137">
        <f>AY69</f>
        <v>82</v>
      </c>
      <c r="M69" s="137">
        <f>BD69</f>
        <v>97</v>
      </c>
      <c r="N69" s="137">
        <f>AW69</f>
        <v>38</v>
      </c>
      <c r="O69" s="137">
        <f>BE69</f>
        <v>49</v>
      </c>
      <c r="P69" s="137">
        <f>SUM(AZ69,BA69)</f>
        <v>69</v>
      </c>
      <c r="Q69" s="137">
        <f>'2010'!AU69</f>
        <v>29</v>
      </c>
      <c r="R69" s="137">
        <f>SUM(AT69+AX69)</f>
        <v>41</v>
      </c>
      <c r="S69" s="137">
        <f>AV69</f>
        <v>37</v>
      </c>
      <c r="T69" s="137">
        <f>BB69</f>
        <v>41</v>
      </c>
      <c r="U69" s="139">
        <f>BC69</f>
        <v>141</v>
      </c>
      <c r="V69" s="137">
        <f>SUM(BG69,BJ69)</f>
        <v>13</v>
      </c>
      <c r="W69" s="137">
        <f>BR69</f>
        <v>36</v>
      </c>
      <c r="X69" s="137">
        <f>SUM(BH69,BI69)</f>
        <v>38</v>
      </c>
      <c r="Y69" s="137">
        <f>SUM(BK69,BL69,BN69)</f>
        <v>31</v>
      </c>
      <c r="Z69" s="137">
        <f>BM69</f>
        <v>40</v>
      </c>
      <c r="AA69" s="137">
        <f>SUM(BO69,BQ69)</f>
        <v>37</v>
      </c>
      <c r="AB69" s="139">
        <f>BP69</f>
        <v>28</v>
      </c>
      <c r="AC69" s="137">
        <f>BX69</f>
        <v>111</v>
      </c>
      <c r="AD69" s="137">
        <f>BU69</f>
        <v>73</v>
      </c>
      <c r="AE69" s="137">
        <f>SUM(BS69+BT69)</f>
        <v>276</v>
      </c>
      <c r="AF69" s="137">
        <f>CA69</f>
        <v>96</v>
      </c>
      <c r="AG69" s="137">
        <f>BV69</f>
        <v>123</v>
      </c>
      <c r="AH69" s="137">
        <f>BZ69</f>
        <v>70</v>
      </c>
      <c r="AI69" s="137">
        <f>BW69</f>
        <v>52</v>
      </c>
      <c r="AJ69" s="137">
        <f>BY69</f>
        <v>48</v>
      </c>
      <c r="AK69" s="139">
        <f>CB69</f>
        <v>175</v>
      </c>
      <c r="AL69" s="137">
        <f>CE69</f>
        <v>77</v>
      </c>
      <c r="AM69" s="137">
        <f>CH69</f>
        <v>89</v>
      </c>
      <c r="AN69" s="137">
        <f>CJ69</f>
        <v>294</v>
      </c>
      <c r="AO69" s="137">
        <f>CC69</f>
        <v>85</v>
      </c>
      <c r="AP69" s="137">
        <f>CD69</f>
        <v>43</v>
      </c>
      <c r="AQ69" s="137">
        <f>CK69</f>
        <v>68</v>
      </c>
      <c r="AR69" s="137">
        <f>CI69</f>
        <v>105</v>
      </c>
      <c r="AS69" s="138">
        <f>SUM(CF69:CG69)</f>
        <v>88</v>
      </c>
      <c r="AT69" s="137">
        <v>0</v>
      </c>
      <c r="AU69" s="137">
        <v>29</v>
      </c>
      <c r="AV69" s="137">
        <v>37</v>
      </c>
      <c r="AW69" s="137">
        <v>38</v>
      </c>
      <c r="AX69" s="137">
        <v>41</v>
      </c>
      <c r="AY69" s="137">
        <v>82</v>
      </c>
      <c r="AZ69" s="137">
        <v>0</v>
      </c>
      <c r="BA69" s="137">
        <v>69</v>
      </c>
      <c r="BB69" s="137">
        <v>41</v>
      </c>
      <c r="BC69" s="137">
        <v>141</v>
      </c>
      <c r="BD69" s="137">
        <v>97</v>
      </c>
      <c r="BE69" s="137">
        <v>49</v>
      </c>
      <c r="BF69" s="139">
        <v>105</v>
      </c>
      <c r="BG69" s="137">
        <v>0</v>
      </c>
      <c r="BH69" s="137">
        <v>0</v>
      </c>
      <c r="BI69" s="137">
        <v>38</v>
      </c>
      <c r="BJ69" s="137">
        <v>13</v>
      </c>
      <c r="BK69" s="137">
        <v>0</v>
      </c>
      <c r="BL69" s="137">
        <v>0</v>
      </c>
      <c r="BM69" s="137">
        <v>40</v>
      </c>
      <c r="BN69" s="137">
        <v>31</v>
      </c>
      <c r="BO69" s="137">
        <v>0</v>
      </c>
      <c r="BP69" s="137">
        <v>28</v>
      </c>
      <c r="BQ69" s="137">
        <v>37</v>
      </c>
      <c r="BR69" s="139">
        <v>36</v>
      </c>
      <c r="BS69" s="137">
        <v>0</v>
      </c>
      <c r="BT69" s="137">
        <v>276</v>
      </c>
      <c r="BU69" s="137">
        <v>73</v>
      </c>
      <c r="BV69" s="137">
        <v>123</v>
      </c>
      <c r="BW69" s="137">
        <v>52</v>
      </c>
      <c r="BX69" s="137">
        <v>111</v>
      </c>
      <c r="BY69" s="137">
        <v>48</v>
      </c>
      <c r="BZ69" s="137">
        <v>70</v>
      </c>
      <c r="CA69" s="137">
        <v>96</v>
      </c>
      <c r="CB69" s="139">
        <v>175</v>
      </c>
      <c r="CC69" s="137">
        <v>85</v>
      </c>
      <c r="CD69" s="137">
        <v>43</v>
      </c>
      <c r="CE69" s="137">
        <v>77</v>
      </c>
      <c r="CF69" s="137">
        <v>0</v>
      </c>
      <c r="CG69" s="137">
        <v>88</v>
      </c>
      <c r="CH69" s="137">
        <v>89</v>
      </c>
      <c r="CI69" s="137">
        <v>105</v>
      </c>
      <c r="CJ69" s="137">
        <v>294</v>
      </c>
      <c r="CK69" s="138">
        <v>68</v>
      </c>
      <c r="CL69" s="140">
        <f>SUM(AT69:CK69)</f>
        <v>2825</v>
      </c>
    </row>
    <row r="70" spans="1:90">
      <c r="A70" s="80">
        <f>ROWS($A$3:A68)</f>
        <v>66</v>
      </c>
      <c r="B70" s="92" t="s">
        <v>70</v>
      </c>
      <c r="C70" s="252"/>
      <c r="D70" s="259" t="s">
        <v>1</v>
      </c>
      <c r="E70" s="451"/>
      <c r="F70" s="116">
        <f>SUM(AT70:BF70)</f>
        <v>28381</v>
      </c>
      <c r="G70" s="137">
        <f>SUM(BG70:BR70)</f>
        <v>11191</v>
      </c>
      <c r="H70" s="137">
        <f>SUM(BS70:CB70)</f>
        <v>34859</v>
      </c>
      <c r="I70" s="138">
        <f>SUM(CC70:CK70)</f>
        <v>35394</v>
      </c>
      <c r="J70" s="141"/>
      <c r="K70" s="116">
        <f>BF70</f>
        <v>3432</v>
      </c>
      <c r="L70" s="137">
        <f>AY70</f>
        <v>2645</v>
      </c>
      <c r="M70" s="137">
        <f>BD70</f>
        <v>4427</v>
      </c>
      <c r="N70" s="137">
        <f>AW70</f>
        <v>1626</v>
      </c>
      <c r="O70" s="137">
        <f>BE70</f>
        <v>2596</v>
      </c>
      <c r="P70" s="137">
        <f>SUM(AZ70,BA70)</f>
        <v>2222</v>
      </c>
      <c r="Q70" s="137">
        <f>'2010'!AU70</f>
        <v>1115</v>
      </c>
      <c r="R70" s="137">
        <f>SUM(AT70+AX70)</f>
        <v>1456</v>
      </c>
      <c r="S70" s="137">
        <f>AV70</f>
        <v>1418</v>
      </c>
      <c r="T70" s="137">
        <f>BB70</f>
        <v>2140</v>
      </c>
      <c r="U70" s="139">
        <f>BC70</f>
        <v>5263</v>
      </c>
      <c r="V70" s="137">
        <f>SUM(BG70,BJ70)</f>
        <v>485</v>
      </c>
      <c r="W70" s="137">
        <f>BR70</f>
        <v>1574</v>
      </c>
      <c r="X70" s="137">
        <f>SUM(BH70,BI70)</f>
        <v>2108</v>
      </c>
      <c r="Y70" s="137">
        <f>SUM(BK70,BL70,BN70)</f>
        <v>1445</v>
      </c>
      <c r="Z70" s="137">
        <f>BM70</f>
        <v>2026</v>
      </c>
      <c r="AA70" s="137">
        <f>SUM(BO70,BQ70)</f>
        <v>2289</v>
      </c>
      <c r="AB70" s="139">
        <f>BP70</f>
        <v>1264</v>
      </c>
      <c r="AC70" s="137">
        <f>BX70</f>
        <v>4160</v>
      </c>
      <c r="AD70" s="137">
        <f>BU70</f>
        <v>1520</v>
      </c>
      <c r="AE70" s="137">
        <f>SUM(BS70+BT70)</f>
        <v>7650</v>
      </c>
      <c r="AF70" s="137">
        <f>CA70</f>
        <v>3120</v>
      </c>
      <c r="AG70" s="137">
        <f>BV70</f>
        <v>3387</v>
      </c>
      <c r="AH70" s="137">
        <f>BZ70</f>
        <v>3346</v>
      </c>
      <c r="AI70" s="137">
        <f>BW70</f>
        <v>1711</v>
      </c>
      <c r="AJ70" s="137">
        <f>BY70</f>
        <v>2883</v>
      </c>
      <c r="AK70" s="139">
        <f>CB70</f>
        <v>7082</v>
      </c>
      <c r="AL70" s="137">
        <f>CE70</f>
        <v>4707</v>
      </c>
      <c r="AM70" s="137">
        <f>CH70</f>
        <v>4097</v>
      </c>
      <c r="AN70" s="137">
        <f>CJ70</f>
        <v>9852</v>
      </c>
      <c r="AO70" s="137">
        <f>CC70</f>
        <v>3601</v>
      </c>
      <c r="AP70" s="137">
        <f>CD70</f>
        <v>3091</v>
      </c>
      <c r="AQ70" s="137">
        <f>CK70</f>
        <v>3480</v>
      </c>
      <c r="AR70" s="137">
        <f>CI70</f>
        <v>3055</v>
      </c>
      <c r="AS70" s="138">
        <f>SUM(CF70:CG70)</f>
        <v>3511</v>
      </c>
      <c r="AT70" s="141">
        <v>0</v>
      </c>
      <c r="AU70" s="141">
        <v>1156</v>
      </c>
      <c r="AV70" s="141">
        <v>1418</v>
      </c>
      <c r="AW70" s="141">
        <v>1626</v>
      </c>
      <c r="AX70" s="141">
        <v>1456</v>
      </c>
      <c r="AY70" s="141">
        <v>2645</v>
      </c>
      <c r="AZ70" s="141">
        <v>0</v>
      </c>
      <c r="BA70" s="141">
        <v>2222</v>
      </c>
      <c r="BB70" s="141">
        <v>2140</v>
      </c>
      <c r="BC70" s="141">
        <v>5263</v>
      </c>
      <c r="BD70" s="141">
        <v>4427</v>
      </c>
      <c r="BE70" s="141">
        <v>2596</v>
      </c>
      <c r="BF70" s="297">
        <v>3432</v>
      </c>
      <c r="BG70" s="141">
        <v>0</v>
      </c>
      <c r="BH70" s="141">
        <v>0</v>
      </c>
      <c r="BI70" s="141">
        <v>2108</v>
      </c>
      <c r="BJ70" s="141">
        <v>485</v>
      </c>
      <c r="BK70" s="141">
        <v>0</v>
      </c>
      <c r="BL70" s="141">
        <v>0</v>
      </c>
      <c r="BM70" s="141">
        <v>2026</v>
      </c>
      <c r="BN70" s="141">
        <v>1445</v>
      </c>
      <c r="BO70" s="141">
        <v>0</v>
      </c>
      <c r="BP70" s="141">
        <v>1264</v>
      </c>
      <c r="BQ70" s="141">
        <v>2289</v>
      </c>
      <c r="BR70" s="297">
        <v>1574</v>
      </c>
      <c r="BS70" s="141">
        <v>0</v>
      </c>
      <c r="BT70" s="141">
        <v>7650</v>
      </c>
      <c r="BU70" s="141">
        <v>1520</v>
      </c>
      <c r="BV70" s="141">
        <v>3387</v>
      </c>
      <c r="BW70" s="141">
        <v>1711</v>
      </c>
      <c r="BX70" s="141">
        <v>4160</v>
      </c>
      <c r="BY70" s="141">
        <v>2883</v>
      </c>
      <c r="BZ70" s="141">
        <v>3346</v>
      </c>
      <c r="CA70" s="141">
        <v>3120</v>
      </c>
      <c r="CB70" s="297">
        <v>7082</v>
      </c>
      <c r="CC70" s="141">
        <v>3601</v>
      </c>
      <c r="CD70" s="141">
        <v>3091</v>
      </c>
      <c r="CE70" s="141">
        <v>4707</v>
      </c>
      <c r="CF70" s="137">
        <v>0</v>
      </c>
      <c r="CG70" s="141">
        <v>3511</v>
      </c>
      <c r="CH70" s="141">
        <v>4097</v>
      </c>
      <c r="CI70" s="141">
        <v>3055</v>
      </c>
      <c r="CJ70" s="141">
        <v>9852</v>
      </c>
      <c r="CK70" s="298">
        <v>3480</v>
      </c>
      <c r="CL70" s="140">
        <f>SUM(AT70:CK70)</f>
        <v>109825</v>
      </c>
    </row>
    <row r="71" spans="1:90">
      <c r="A71" s="80">
        <f>ROWS($A$3:A69)</f>
        <v>67</v>
      </c>
      <c r="B71" s="54" t="s">
        <v>307</v>
      </c>
      <c r="C71" s="252"/>
      <c r="D71" s="259" t="s">
        <v>1</v>
      </c>
      <c r="E71" s="451"/>
      <c r="F71" s="167">
        <f>IF(ISERROR(F70/F69)=FALSE,F70/F69," -")</f>
        <v>38.93141289437586</v>
      </c>
      <c r="G71" s="168">
        <f>IF(ISERROR(G70/G69)=FALSE,G70/G69," -")</f>
        <v>50.183856502242151</v>
      </c>
      <c r="H71" s="168">
        <f>IF(ISERROR(H70/H69)=FALSE,H70/H69," -")</f>
        <v>34.0419921875</v>
      </c>
      <c r="I71" s="169">
        <f>IF(ISERROR(I70/I69)=FALSE,I70/I69," -")</f>
        <v>41.689045936395758</v>
      </c>
      <c r="J71" s="173"/>
      <c r="K71" s="167">
        <f t="shared" ref="K71:BV71" si="133">IF(ISERROR(K70/K69)=FALSE,K70/K69," -")</f>
        <v>32.685714285714283</v>
      </c>
      <c r="L71" s="168">
        <f t="shared" si="133"/>
        <v>32.256097560975611</v>
      </c>
      <c r="M71" s="168">
        <f t="shared" si="133"/>
        <v>45.639175257731956</v>
      </c>
      <c r="N71" s="168">
        <f t="shared" si="133"/>
        <v>42.789473684210527</v>
      </c>
      <c r="O71" s="168">
        <f t="shared" si="133"/>
        <v>52.979591836734691</v>
      </c>
      <c r="P71" s="168">
        <f t="shared" si="133"/>
        <v>32.20289855072464</v>
      </c>
      <c r="Q71" s="168">
        <f t="shared" si="133"/>
        <v>38.448275862068968</v>
      </c>
      <c r="R71" s="168">
        <f t="shared" si="133"/>
        <v>35.512195121951223</v>
      </c>
      <c r="S71" s="168">
        <f t="shared" si="133"/>
        <v>38.324324324324323</v>
      </c>
      <c r="T71" s="168">
        <f t="shared" si="133"/>
        <v>52.195121951219512</v>
      </c>
      <c r="U71" s="176">
        <f t="shared" si="133"/>
        <v>37.326241134751776</v>
      </c>
      <c r="V71" s="168">
        <f t="shared" si="133"/>
        <v>37.307692307692307</v>
      </c>
      <c r="W71" s="168">
        <f t="shared" si="133"/>
        <v>43.722222222222221</v>
      </c>
      <c r="X71" s="168">
        <f t="shared" si="133"/>
        <v>55.473684210526315</v>
      </c>
      <c r="Y71" s="168">
        <f t="shared" si="133"/>
        <v>46.612903225806448</v>
      </c>
      <c r="Z71" s="168">
        <f t="shared" si="133"/>
        <v>50.65</v>
      </c>
      <c r="AA71" s="168">
        <f t="shared" si="133"/>
        <v>61.864864864864863</v>
      </c>
      <c r="AB71" s="176">
        <f t="shared" si="133"/>
        <v>45.142857142857146</v>
      </c>
      <c r="AC71" s="168">
        <f t="shared" si="133"/>
        <v>37.477477477477478</v>
      </c>
      <c r="AD71" s="168">
        <f t="shared" si="133"/>
        <v>20.82191780821918</v>
      </c>
      <c r="AE71" s="168">
        <f t="shared" si="133"/>
        <v>27.717391304347824</v>
      </c>
      <c r="AF71" s="168">
        <f t="shared" si="133"/>
        <v>32.5</v>
      </c>
      <c r="AG71" s="168">
        <f t="shared" si="133"/>
        <v>27.536585365853657</v>
      </c>
      <c r="AH71" s="168">
        <f t="shared" si="133"/>
        <v>47.8</v>
      </c>
      <c r="AI71" s="168">
        <f t="shared" si="133"/>
        <v>32.903846153846153</v>
      </c>
      <c r="AJ71" s="168">
        <f t="shared" si="133"/>
        <v>60.0625</v>
      </c>
      <c r="AK71" s="176">
        <f t="shared" si="133"/>
        <v>40.46857142857143</v>
      </c>
      <c r="AL71" s="168">
        <f t="shared" si="133"/>
        <v>61.129870129870127</v>
      </c>
      <c r="AM71" s="168">
        <f t="shared" si="133"/>
        <v>46.033707865168537</v>
      </c>
      <c r="AN71" s="168">
        <f t="shared" si="133"/>
        <v>33.510204081632651</v>
      </c>
      <c r="AO71" s="168">
        <f t="shared" si="133"/>
        <v>42.364705882352943</v>
      </c>
      <c r="AP71" s="168">
        <f t="shared" si="133"/>
        <v>71.883720930232556</v>
      </c>
      <c r="AQ71" s="168">
        <f t="shared" si="133"/>
        <v>51.176470588235297</v>
      </c>
      <c r="AR71" s="168">
        <f t="shared" si="133"/>
        <v>29.095238095238095</v>
      </c>
      <c r="AS71" s="169">
        <f t="shared" si="133"/>
        <v>39.897727272727273</v>
      </c>
      <c r="AT71" s="168" t="str">
        <f t="shared" si="133"/>
        <v xml:space="preserve"> -</v>
      </c>
      <c r="AU71" s="168">
        <f t="shared" si="133"/>
        <v>39.862068965517238</v>
      </c>
      <c r="AV71" s="168">
        <f t="shared" si="133"/>
        <v>38.324324324324323</v>
      </c>
      <c r="AW71" s="168">
        <f t="shared" si="133"/>
        <v>42.789473684210527</v>
      </c>
      <c r="AX71" s="168">
        <f t="shared" si="133"/>
        <v>35.512195121951223</v>
      </c>
      <c r="AY71" s="168">
        <f t="shared" si="133"/>
        <v>32.256097560975611</v>
      </c>
      <c r="AZ71" s="168" t="str">
        <f t="shared" si="133"/>
        <v xml:space="preserve"> -</v>
      </c>
      <c r="BA71" s="168">
        <f t="shared" si="133"/>
        <v>32.20289855072464</v>
      </c>
      <c r="BB71" s="168">
        <f t="shared" si="133"/>
        <v>52.195121951219512</v>
      </c>
      <c r="BC71" s="168">
        <f t="shared" si="133"/>
        <v>37.326241134751776</v>
      </c>
      <c r="BD71" s="168">
        <f t="shared" si="133"/>
        <v>45.639175257731956</v>
      </c>
      <c r="BE71" s="168">
        <f t="shared" si="133"/>
        <v>52.979591836734691</v>
      </c>
      <c r="BF71" s="176">
        <f t="shared" si="133"/>
        <v>32.685714285714283</v>
      </c>
      <c r="BG71" s="168" t="str">
        <f t="shared" si="133"/>
        <v xml:space="preserve"> -</v>
      </c>
      <c r="BH71" s="168" t="str">
        <f t="shared" si="133"/>
        <v xml:space="preserve"> -</v>
      </c>
      <c r="BI71" s="168">
        <f t="shared" si="133"/>
        <v>55.473684210526315</v>
      </c>
      <c r="BJ71" s="168">
        <f t="shared" si="133"/>
        <v>37.307692307692307</v>
      </c>
      <c r="BK71" s="168" t="str">
        <f t="shared" si="133"/>
        <v xml:space="preserve"> -</v>
      </c>
      <c r="BL71" s="168" t="str">
        <f t="shared" si="133"/>
        <v xml:space="preserve"> -</v>
      </c>
      <c r="BM71" s="168">
        <f t="shared" si="133"/>
        <v>50.65</v>
      </c>
      <c r="BN71" s="168">
        <f t="shared" si="133"/>
        <v>46.612903225806448</v>
      </c>
      <c r="BO71" s="168" t="str">
        <f t="shared" si="133"/>
        <v xml:space="preserve"> -</v>
      </c>
      <c r="BP71" s="168">
        <f t="shared" si="133"/>
        <v>45.142857142857146</v>
      </c>
      <c r="BQ71" s="168">
        <f t="shared" si="133"/>
        <v>61.864864864864863</v>
      </c>
      <c r="BR71" s="176">
        <f t="shared" si="133"/>
        <v>43.722222222222221</v>
      </c>
      <c r="BS71" s="168" t="str">
        <f t="shared" si="133"/>
        <v xml:space="preserve"> -</v>
      </c>
      <c r="BT71" s="168">
        <f t="shared" si="133"/>
        <v>27.717391304347824</v>
      </c>
      <c r="BU71" s="168">
        <f t="shared" si="133"/>
        <v>20.82191780821918</v>
      </c>
      <c r="BV71" s="168">
        <f t="shared" si="133"/>
        <v>27.536585365853657</v>
      </c>
      <c r="BW71" s="168">
        <f t="shared" ref="BW71:CK71" si="134">IF(ISERROR(BW70/BW69)=FALSE,BW70/BW69," -")</f>
        <v>32.903846153846153</v>
      </c>
      <c r="BX71" s="168">
        <f t="shared" si="134"/>
        <v>37.477477477477478</v>
      </c>
      <c r="BY71" s="168">
        <f t="shared" si="134"/>
        <v>60.0625</v>
      </c>
      <c r="BZ71" s="168">
        <f t="shared" si="134"/>
        <v>47.8</v>
      </c>
      <c r="CA71" s="168">
        <f t="shared" si="134"/>
        <v>32.5</v>
      </c>
      <c r="CB71" s="176">
        <f t="shared" si="134"/>
        <v>40.46857142857143</v>
      </c>
      <c r="CC71" s="168">
        <f t="shared" si="134"/>
        <v>42.364705882352943</v>
      </c>
      <c r="CD71" s="168">
        <f t="shared" si="134"/>
        <v>71.883720930232556</v>
      </c>
      <c r="CE71" s="168">
        <f t="shared" si="134"/>
        <v>61.129870129870127</v>
      </c>
      <c r="CF71" s="168" t="str">
        <f t="shared" si="134"/>
        <v xml:space="preserve"> -</v>
      </c>
      <c r="CG71" s="168">
        <f t="shared" si="134"/>
        <v>39.897727272727273</v>
      </c>
      <c r="CH71" s="168">
        <f t="shared" si="134"/>
        <v>46.033707865168537</v>
      </c>
      <c r="CI71" s="168">
        <f t="shared" si="134"/>
        <v>29.095238095238095</v>
      </c>
      <c r="CJ71" s="168">
        <f t="shared" si="134"/>
        <v>33.510204081632651</v>
      </c>
      <c r="CK71" s="168">
        <f t="shared" si="134"/>
        <v>51.176470588235297</v>
      </c>
      <c r="CL71" s="177">
        <f>IF(OR(CL69&lt;0.1,CL70&lt;0.1),0,CL70/CL69)</f>
        <v>38.876106194690266</v>
      </c>
    </row>
    <row r="72" spans="1:90">
      <c r="A72" s="80">
        <f>ROWS($A$3:A70)</f>
        <v>68</v>
      </c>
      <c r="B72" s="59" t="s">
        <v>83</v>
      </c>
      <c r="C72" s="201"/>
      <c r="D72" s="260"/>
      <c r="E72" s="451"/>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393">
        <v>2010</v>
      </c>
      <c r="D73" s="259" t="s">
        <v>13</v>
      </c>
      <c r="E73" s="451"/>
      <c r="F73" s="116">
        <v>2934</v>
      </c>
      <c r="G73" s="137">
        <v>1628</v>
      </c>
      <c r="H73" s="137">
        <v>1925</v>
      </c>
      <c r="I73" s="138">
        <v>2407</v>
      </c>
      <c r="J73" s="141"/>
      <c r="K73" s="116">
        <f t="shared" ref="K73:K78" si="135">BF73</f>
        <v>261</v>
      </c>
      <c r="L73" s="137">
        <f t="shared" ref="L73:L78" si="136">AY73</f>
        <v>128</v>
      </c>
      <c r="M73" s="137">
        <f t="shared" ref="M73:M78" si="137">BD73</f>
        <v>692</v>
      </c>
      <c r="N73" s="137">
        <f t="shared" ref="N73:N78" si="138">AW73</f>
        <v>93</v>
      </c>
      <c r="O73" s="137">
        <f t="shared" ref="O73:O78" si="139">BE73</f>
        <v>141</v>
      </c>
      <c r="P73" s="137">
        <f t="shared" ref="P73:P78" si="140">SUM(AZ73,BA73)</f>
        <v>467</v>
      </c>
      <c r="Q73" s="137">
        <f>'2010'!AU73</f>
        <v>256</v>
      </c>
      <c r="R73" s="137">
        <f t="shared" ref="R73:R78" si="141">SUM(AT73,AX73)</f>
        <v>320</v>
      </c>
      <c r="S73" s="137">
        <f t="shared" ref="S73:S78" si="142">AV73</f>
        <v>167</v>
      </c>
      <c r="T73" s="137">
        <f t="shared" ref="T73:U78" si="143">BB73</f>
        <v>195</v>
      </c>
      <c r="U73" s="139">
        <f t="shared" si="143"/>
        <v>214</v>
      </c>
      <c r="V73" s="137">
        <f t="shared" ref="V73:V78" si="144">SUM(BG73,BJ73)</f>
        <v>118</v>
      </c>
      <c r="W73" s="137">
        <f t="shared" ref="W73:W78" si="145">BR73</f>
        <v>139</v>
      </c>
      <c r="X73" s="137">
        <f t="shared" ref="X73:X78" si="146">SUM(BH73,BI73)</f>
        <v>350</v>
      </c>
      <c r="Y73" s="137">
        <f t="shared" ref="Y73:Y78" si="147">SUM(BK73,BL73,BN73)</f>
        <v>461</v>
      </c>
      <c r="Z73" s="137">
        <f t="shared" ref="Z73:Z78" si="148">BM73</f>
        <v>333</v>
      </c>
      <c r="AA73" s="137">
        <f t="shared" ref="AA73:AA78" si="149">SUM(BO73,BQ73)</f>
        <v>125</v>
      </c>
      <c r="AB73" s="139">
        <f t="shared" ref="AB73:AB78" si="150">BP73</f>
        <v>92</v>
      </c>
      <c r="AC73" s="137">
        <f t="shared" ref="AC73:AC78" si="151">BX73</f>
        <v>196</v>
      </c>
      <c r="AD73" s="137">
        <f t="shared" ref="AD73:AD78" si="152">BU73</f>
        <v>154</v>
      </c>
      <c r="AE73" s="137">
        <f t="shared" ref="AE73:AE78" si="153">SUM(BS73,BT73)</f>
        <v>313</v>
      </c>
      <c r="AF73" s="137">
        <f t="shared" ref="AF73:AF78" si="154">CA73</f>
        <v>95</v>
      </c>
      <c r="AG73" s="137">
        <f t="shared" ref="AG73:AG78" si="155">BV73</f>
        <v>426</v>
      </c>
      <c r="AH73" s="137">
        <f t="shared" ref="AH73:AH78" si="156">BZ73</f>
        <v>194</v>
      </c>
      <c r="AI73" s="137">
        <f t="shared" ref="AI73:AI78" si="157">BW73</f>
        <v>199</v>
      </c>
      <c r="AJ73" s="137">
        <f t="shared" ref="AJ73:AJ78" si="158">BY73</f>
        <v>150</v>
      </c>
      <c r="AK73" s="139">
        <f t="shared" ref="AK73:AK78" si="159">CB73</f>
        <v>198</v>
      </c>
      <c r="AL73" s="137">
        <f t="shared" ref="AL73:AL78" si="160">CE73</f>
        <v>317</v>
      </c>
      <c r="AM73" s="137">
        <f t="shared" ref="AM73:AM78" si="161">CH73</f>
        <v>348</v>
      </c>
      <c r="AN73" s="137">
        <f t="shared" ref="AN73:AN78" si="162">CJ73</f>
        <v>190</v>
      </c>
      <c r="AO73" s="137">
        <f t="shared" ref="AO73:AP78" si="163">CC73</f>
        <v>306</v>
      </c>
      <c r="AP73" s="137">
        <f t="shared" si="163"/>
        <v>195</v>
      </c>
      <c r="AQ73" s="137">
        <f t="shared" ref="AQ73:AQ78" si="164">CK73</f>
        <v>347</v>
      </c>
      <c r="AR73" s="137">
        <f t="shared" ref="AR73:AR78" si="165">CI73</f>
        <v>181</v>
      </c>
      <c r="AS73" s="138">
        <f t="shared" ref="AS73:AS78" si="166">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c r="A74" s="80">
        <f>ROWS($A$3:A72)</f>
        <v>70</v>
      </c>
      <c r="B74" s="92" t="s">
        <v>85</v>
      </c>
      <c r="C74" s="203"/>
      <c r="D74" s="259" t="s">
        <v>13</v>
      </c>
      <c r="E74" s="451"/>
      <c r="F74" s="116">
        <v>465</v>
      </c>
      <c r="G74" s="137">
        <v>243</v>
      </c>
      <c r="H74" s="137">
        <v>314</v>
      </c>
      <c r="I74" s="138">
        <v>188</v>
      </c>
      <c r="J74" s="141"/>
      <c r="K74" s="116">
        <f t="shared" si="135"/>
        <v>46</v>
      </c>
      <c r="L74" s="137">
        <f t="shared" si="136"/>
        <v>76</v>
      </c>
      <c r="M74" s="137">
        <f t="shared" si="137"/>
        <v>12</v>
      </c>
      <c r="N74" s="137">
        <f t="shared" si="138"/>
        <v>30</v>
      </c>
      <c r="O74" s="137">
        <f t="shared" si="139"/>
        <v>12</v>
      </c>
      <c r="P74" s="137">
        <f t="shared" si="140"/>
        <v>50</v>
      </c>
      <c r="Q74" s="137">
        <f>'2010'!AU74</f>
        <v>20</v>
      </c>
      <c r="R74" s="137">
        <f t="shared" si="141"/>
        <v>137</v>
      </c>
      <c r="S74" s="137">
        <f t="shared" si="142"/>
        <v>47</v>
      </c>
      <c r="T74" s="137">
        <f t="shared" si="143"/>
        <v>16</v>
      </c>
      <c r="U74" s="139">
        <f t="shared" si="143"/>
        <v>19</v>
      </c>
      <c r="V74" s="137">
        <f t="shared" si="144"/>
        <v>27</v>
      </c>
      <c r="W74" s="137">
        <f t="shared" si="145"/>
        <v>10</v>
      </c>
      <c r="X74" s="137">
        <f t="shared" si="146"/>
        <v>51</v>
      </c>
      <c r="Y74" s="137">
        <f t="shared" si="147"/>
        <v>86</v>
      </c>
      <c r="Z74" s="137">
        <f t="shared" si="148"/>
        <v>18</v>
      </c>
      <c r="AA74" s="137">
        <f t="shared" si="149"/>
        <v>29</v>
      </c>
      <c r="AB74" s="139">
        <f t="shared" si="150"/>
        <v>22</v>
      </c>
      <c r="AC74" s="137">
        <f t="shared" si="151"/>
        <v>9</v>
      </c>
      <c r="AD74" s="137">
        <f t="shared" si="152"/>
        <v>29</v>
      </c>
      <c r="AE74" s="137">
        <f t="shared" si="153"/>
        <v>56</v>
      </c>
      <c r="AF74" s="137">
        <f t="shared" si="154"/>
        <v>29</v>
      </c>
      <c r="AG74" s="137">
        <f t="shared" si="155"/>
        <v>63</v>
      </c>
      <c r="AH74" s="137">
        <f t="shared" si="156"/>
        <v>98</v>
      </c>
      <c r="AI74" s="137">
        <f t="shared" si="157"/>
        <v>11</v>
      </c>
      <c r="AJ74" s="137">
        <f t="shared" si="158"/>
        <v>6</v>
      </c>
      <c r="AK74" s="139">
        <f t="shared" si="159"/>
        <v>13</v>
      </c>
      <c r="AL74" s="137">
        <f t="shared" si="160"/>
        <v>16</v>
      </c>
      <c r="AM74" s="137">
        <f t="shared" si="161"/>
        <v>27</v>
      </c>
      <c r="AN74" s="137">
        <f t="shared" si="162"/>
        <v>29</v>
      </c>
      <c r="AO74" s="137">
        <f t="shared" si="163"/>
        <v>26</v>
      </c>
      <c r="AP74" s="137">
        <f t="shared" si="163"/>
        <v>24</v>
      </c>
      <c r="AQ74" s="137">
        <f t="shared" si="164"/>
        <v>13</v>
      </c>
      <c r="AR74" s="137">
        <f t="shared" si="165"/>
        <v>22</v>
      </c>
      <c r="AS74" s="138">
        <f t="shared" si="166"/>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c r="A75" s="80">
        <f>ROWS($A$3:A73)</f>
        <v>71</v>
      </c>
      <c r="B75" s="92" t="s">
        <v>86</v>
      </c>
      <c r="C75" s="203"/>
      <c r="D75" s="259" t="s">
        <v>13</v>
      </c>
      <c r="E75" s="451"/>
      <c r="F75" s="116">
        <v>3016</v>
      </c>
      <c r="G75" s="137">
        <v>779</v>
      </c>
      <c r="H75" s="137">
        <v>4390</v>
      </c>
      <c r="I75" s="138">
        <v>1072</v>
      </c>
      <c r="J75" s="141"/>
      <c r="K75" s="116">
        <f t="shared" si="135"/>
        <v>12</v>
      </c>
      <c r="L75" s="137">
        <f t="shared" si="136"/>
        <v>446</v>
      </c>
      <c r="M75" s="137">
        <f t="shared" si="137"/>
        <v>200</v>
      </c>
      <c r="N75" s="137">
        <f t="shared" si="138"/>
        <v>33</v>
      </c>
      <c r="O75" s="137" t="str">
        <f t="shared" si="139"/>
        <v>*</v>
      </c>
      <c r="P75" s="137">
        <f t="shared" si="140"/>
        <v>1287</v>
      </c>
      <c r="Q75" s="137">
        <f>'2010'!AU75</f>
        <v>31</v>
      </c>
      <c r="R75" s="137">
        <f t="shared" si="141"/>
        <v>600</v>
      </c>
      <c r="S75" s="137">
        <f t="shared" si="142"/>
        <v>81</v>
      </c>
      <c r="T75" s="137">
        <f t="shared" si="143"/>
        <v>316</v>
      </c>
      <c r="U75" s="139" t="str">
        <f t="shared" si="143"/>
        <v>*</v>
      </c>
      <c r="V75" s="137">
        <f t="shared" si="144"/>
        <v>334</v>
      </c>
      <c r="W75" s="137" t="str">
        <f t="shared" si="145"/>
        <v>*</v>
      </c>
      <c r="X75" s="137">
        <f t="shared" si="146"/>
        <v>145</v>
      </c>
      <c r="Y75" s="137">
        <f t="shared" si="147"/>
        <v>197</v>
      </c>
      <c r="Z75" s="137">
        <f t="shared" si="148"/>
        <v>32</v>
      </c>
      <c r="AA75" s="137">
        <f t="shared" si="149"/>
        <v>63</v>
      </c>
      <c r="AB75" s="139" t="str">
        <f t="shared" si="150"/>
        <v xml:space="preserve"> -</v>
      </c>
      <c r="AC75" s="137" t="str">
        <f t="shared" si="151"/>
        <v xml:space="preserve"> -</v>
      </c>
      <c r="AD75" s="137">
        <f t="shared" si="152"/>
        <v>602</v>
      </c>
      <c r="AE75" s="137">
        <f t="shared" si="153"/>
        <v>1615</v>
      </c>
      <c r="AF75" s="137">
        <f t="shared" si="154"/>
        <v>249</v>
      </c>
      <c r="AG75" s="137">
        <f t="shared" si="155"/>
        <v>1758</v>
      </c>
      <c r="AH75" s="137">
        <f t="shared" si="156"/>
        <v>116</v>
      </c>
      <c r="AI75" s="137" t="str">
        <f t="shared" si="157"/>
        <v>*</v>
      </c>
      <c r="AJ75" s="137" t="str">
        <f t="shared" si="158"/>
        <v>*</v>
      </c>
      <c r="AK75" s="139">
        <f t="shared" si="159"/>
        <v>43</v>
      </c>
      <c r="AL75" s="137" t="str">
        <f t="shared" si="160"/>
        <v>*</v>
      </c>
      <c r="AM75" s="137">
        <f t="shared" si="161"/>
        <v>6</v>
      </c>
      <c r="AN75" s="137">
        <f t="shared" si="162"/>
        <v>137</v>
      </c>
      <c r="AO75" s="137">
        <f t="shared" si="163"/>
        <v>29</v>
      </c>
      <c r="AP75" s="137">
        <f t="shared" si="163"/>
        <v>13</v>
      </c>
      <c r="AQ75" s="137">
        <f t="shared" si="164"/>
        <v>13</v>
      </c>
      <c r="AR75" s="137">
        <f t="shared" si="165"/>
        <v>859</v>
      </c>
      <c r="AS75" s="138">
        <f t="shared" si="166"/>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c r="A76" s="80">
        <f>ROWS($A$3:A74)</f>
        <v>72</v>
      </c>
      <c r="B76" s="92" t="s">
        <v>87</v>
      </c>
      <c r="C76" s="203"/>
      <c r="D76" s="259" t="s">
        <v>13</v>
      </c>
      <c r="E76" s="451"/>
      <c r="F76" s="116">
        <v>4205</v>
      </c>
      <c r="G76" s="137">
        <v>1272</v>
      </c>
      <c r="H76" s="137">
        <v>5289</v>
      </c>
      <c r="I76" s="138">
        <v>5348</v>
      </c>
      <c r="J76" s="141"/>
      <c r="K76" s="116">
        <f t="shared" si="135"/>
        <v>1123</v>
      </c>
      <c r="L76" s="137">
        <f t="shared" si="136"/>
        <v>428</v>
      </c>
      <c r="M76" s="137">
        <f t="shared" si="137"/>
        <v>179</v>
      </c>
      <c r="N76" s="137">
        <f t="shared" si="138"/>
        <v>491</v>
      </c>
      <c r="O76" s="137">
        <f t="shared" si="139"/>
        <v>233</v>
      </c>
      <c r="P76" s="137">
        <f t="shared" si="140"/>
        <v>125</v>
      </c>
      <c r="Q76" s="137">
        <f>'2010'!AU76</f>
        <v>122</v>
      </c>
      <c r="R76" s="137">
        <f t="shared" si="141"/>
        <v>107</v>
      </c>
      <c r="S76" s="137">
        <f t="shared" si="142"/>
        <v>207</v>
      </c>
      <c r="T76" s="137">
        <f t="shared" si="143"/>
        <v>253</v>
      </c>
      <c r="U76" s="139">
        <f t="shared" si="143"/>
        <v>923</v>
      </c>
      <c r="V76" s="137">
        <f t="shared" si="144"/>
        <v>105</v>
      </c>
      <c r="W76" s="137">
        <f t="shared" si="145"/>
        <v>272</v>
      </c>
      <c r="X76" s="137">
        <f t="shared" si="146"/>
        <v>121</v>
      </c>
      <c r="Y76" s="137">
        <f t="shared" si="147"/>
        <v>179</v>
      </c>
      <c r="Z76" s="137">
        <f t="shared" si="148"/>
        <v>235</v>
      </c>
      <c r="AA76" s="137">
        <f t="shared" si="149"/>
        <v>123</v>
      </c>
      <c r="AB76" s="139">
        <f t="shared" si="150"/>
        <v>237</v>
      </c>
      <c r="AC76" s="137">
        <f t="shared" si="151"/>
        <v>688</v>
      </c>
      <c r="AD76" s="137">
        <f t="shared" si="152"/>
        <v>513</v>
      </c>
      <c r="AE76" s="137">
        <f t="shared" si="153"/>
        <v>870</v>
      </c>
      <c r="AF76" s="137">
        <f t="shared" si="154"/>
        <v>551</v>
      </c>
      <c r="AG76" s="137">
        <f t="shared" si="155"/>
        <v>898</v>
      </c>
      <c r="AH76" s="137">
        <f t="shared" si="156"/>
        <v>322</v>
      </c>
      <c r="AI76" s="137">
        <f t="shared" si="157"/>
        <v>392</v>
      </c>
      <c r="AJ76" s="137">
        <f t="shared" si="158"/>
        <v>225</v>
      </c>
      <c r="AK76" s="139">
        <f t="shared" si="159"/>
        <v>830</v>
      </c>
      <c r="AL76" s="137">
        <f t="shared" si="160"/>
        <v>327</v>
      </c>
      <c r="AM76" s="137">
        <f t="shared" si="161"/>
        <v>1026</v>
      </c>
      <c r="AN76" s="137">
        <f t="shared" si="162"/>
        <v>1983</v>
      </c>
      <c r="AO76" s="137">
        <f t="shared" si="163"/>
        <v>441</v>
      </c>
      <c r="AP76" s="137">
        <f t="shared" si="163"/>
        <v>99</v>
      </c>
      <c r="AQ76" s="137">
        <f t="shared" si="164"/>
        <v>498</v>
      </c>
      <c r="AR76" s="137">
        <f t="shared" si="165"/>
        <v>328</v>
      </c>
      <c r="AS76" s="138">
        <f t="shared" si="166"/>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c r="A77" s="80">
        <f>ROWS($A$3:A75)</f>
        <v>73</v>
      </c>
      <c r="B77" s="92" t="s">
        <v>88</v>
      </c>
      <c r="C77" s="203"/>
      <c r="D77" s="259" t="s">
        <v>13</v>
      </c>
      <c r="E77" s="451"/>
      <c r="F77" s="116">
        <v>1140</v>
      </c>
      <c r="G77" s="137">
        <v>76</v>
      </c>
      <c r="H77" s="137">
        <v>119</v>
      </c>
      <c r="I77" s="138">
        <v>662</v>
      </c>
      <c r="J77" s="141"/>
      <c r="K77" s="116">
        <f t="shared" si="135"/>
        <v>123</v>
      </c>
      <c r="L77" s="137">
        <f t="shared" si="136"/>
        <v>22</v>
      </c>
      <c r="M77" s="137">
        <f t="shared" si="137"/>
        <v>132</v>
      </c>
      <c r="N77" s="137">
        <f t="shared" si="138"/>
        <v>21</v>
      </c>
      <c r="O77" s="137">
        <f t="shared" si="139"/>
        <v>46</v>
      </c>
      <c r="P77" s="137">
        <f t="shared" si="140"/>
        <v>29</v>
      </c>
      <c r="Q77" s="137">
        <f>'2010'!AU77</f>
        <v>14</v>
      </c>
      <c r="R77" s="137">
        <f t="shared" si="141"/>
        <v>39</v>
      </c>
      <c r="S77" s="137" t="str">
        <f t="shared" si="142"/>
        <v>*</v>
      </c>
      <c r="T77" s="137">
        <f t="shared" si="143"/>
        <v>168</v>
      </c>
      <c r="U77" s="139">
        <f t="shared" si="143"/>
        <v>538</v>
      </c>
      <c r="V77" s="137">
        <f t="shared" si="144"/>
        <v>0</v>
      </c>
      <c r="W77" s="137">
        <f t="shared" si="145"/>
        <v>10</v>
      </c>
      <c r="X77" s="137">
        <f t="shared" si="146"/>
        <v>0</v>
      </c>
      <c r="Y77" s="137">
        <f t="shared" si="147"/>
        <v>24</v>
      </c>
      <c r="Z77" s="137">
        <f t="shared" si="148"/>
        <v>24</v>
      </c>
      <c r="AA77" s="137">
        <f t="shared" si="149"/>
        <v>6</v>
      </c>
      <c r="AB77" s="139">
        <f t="shared" si="150"/>
        <v>3</v>
      </c>
      <c r="AC77" s="137">
        <f t="shared" si="151"/>
        <v>17</v>
      </c>
      <c r="AD77" s="137">
        <f t="shared" si="152"/>
        <v>6</v>
      </c>
      <c r="AE77" s="137">
        <f t="shared" si="153"/>
        <v>8</v>
      </c>
      <c r="AF77" s="137" t="str">
        <f t="shared" si="154"/>
        <v>*</v>
      </c>
      <c r="AG77" s="137">
        <f t="shared" si="155"/>
        <v>25</v>
      </c>
      <c r="AH77" s="137">
        <f t="shared" si="156"/>
        <v>16</v>
      </c>
      <c r="AI77" s="137">
        <f t="shared" si="157"/>
        <v>21</v>
      </c>
      <c r="AJ77" s="137" t="str">
        <f t="shared" si="158"/>
        <v>*</v>
      </c>
      <c r="AK77" s="139">
        <f t="shared" si="159"/>
        <v>19</v>
      </c>
      <c r="AL77" s="137">
        <f t="shared" si="160"/>
        <v>7</v>
      </c>
      <c r="AM77" s="137">
        <f t="shared" si="161"/>
        <v>156</v>
      </c>
      <c r="AN77" s="137">
        <f t="shared" si="162"/>
        <v>55</v>
      </c>
      <c r="AO77" s="137">
        <f t="shared" si="163"/>
        <v>28</v>
      </c>
      <c r="AP77" s="137">
        <f t="shared" si="163"/>
        <v>7</v>
      </c>
      <c r="AQ77" s="137">
        <f t="shared" si="164"/>
        <v>84</v>
      </c>
      <c r="AR77" s="137">
        <f t="shared" si="165"/>
        <v>13</v>
      </c>
      <c r="AS77" s="138">
        <f t="shared" si="166"/>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c r="A78" s="80">
        <f>ROWS($A$3:A76)</f>
        <v>74</v>
      </c>
      <c r="B78" s="92" t="s">
        <v>89</v>
      </c>
      <c r="C78" s="203"/>
      <c r="D78" s="259" t="s">
        <v>13</v>
      </c>
      <c r="E78" s="451"/>
      <c r="F78" s="116">
        <v>2637</v>
      </c>
      <c r="G78" s="137">
        <v>932</v>
      </c>
      <c r="H78" s="137">
        <v>1574</v>
      </c>
      <c r="I78" s="138">
        <v>1897</v>
      </c>
      <c r="J78" s="141"/>
      <c r="K78" s="116">
        <f t="shared" si="135"/>
        <v>262</v>
      </c>
      <c r="L78" s="137">
        <f t="shared" si="136"/>
        <v>188</v>
      </c>
      <c r="M78" s="137">
        <f t="shared" si="137"/>
        <v>337</v>
      </c>
      <c r="N78" s="137">
        <f t="shared" si="138"/>
        <v>114</v>
      </c>
      <c r="O78" s="137">
        <f t="shared" si="139"/>
        <v>143</v>
      </c>
      <c r="P78" s="137">
        <f t="shared" si="140"/>
        <v>348</v>
      </c>
      <c r="Q78" s="137">
        <f>'2010'!AU78</f>
        <v>161</v>
      </c>
      <c r="R78" s="137">
        <f t="shared" si="141"/>
        <v>319</v>
      </c>
      <c r="S78" s="137">
        <f t="shared" si="142"/>
        <v>138</v>
      </c>
      <c r="T78" s="137">
        <f t="shared" si="143"/>
        <v>281</v>
      </c>
      <c r="U78" s="139">
        <f t="shared" si="143"/>
        <v>323</v>
      </c>
      <c r="V78" s="137">
        <f t="shared" si="144"/>
        <v>66</v>
      </c>
      <c r="W78" s="137">
        <f t="shared" si="145"/>
        <v>63</v>
      </c>
      <c r="X78" s="137">
        <f t="shared" si="146"/>
        <v>131</v>
      </c>
      <c r="Y78" s="137">
        <f t="shared" si="147"/>
        <v>159</v>
      </c>
      <c r="Z78" s="137">
        <f t="shared" si="148"/>
        <v>236</v>
      </c>
      <c r="AA78" s="137">
        <f t="shared" si="149"/>
        <v>107</v>
      </c>
      <c r="AB78" s="139">
        <f t="shared" si="150"/>
        <v>110</v>
      </c>
      <c r="AC78" s="137">
        <f t="shared" si="151"/>
        <v>127</v>
      </c>
      <c r="AD78" s="137">
        <f t="shared" si="152"/>
        <v>118</v>
      </c>
      <c r="AE78" s="137">
        <f t="shared" si="153"/>
        <v>215</v>
      </c>
      <c r="AF78" s="137">
        <f t="shared" si="154"/>
        <v>141</v>
      </c>
      <c r="AG78" s="137">
        <f t="shared" si="155"/>
        <v>402</v>
      </c>
      <c r="AH78" s="137">
        <f t="shared" si="156"/>
        <v>154</v>
      </c>
      <c r="AI78" s="137">
        <f t="shared" si="157"/>
        <v>171</v>
      </c>
      <c r="AJ78" s="137">
        <f t="shared" si="158"/>
        <v>33</v>
      </c>
      <c r="AK78" s="139">
        <f t="shared" si="159"/>
        <v>139</v>
      </c>
      <c r="AL78" s="137">
        <f t="shared" si="160"/>
        <v>67</v>
      </c>
      <c r="AM78" s="137">
        <f t="shared" si="161"/>
        <v>285</v>
      </c>
      <c r="AN78" s="137">
        <f t="shared" si="162"/>
        <v>166</v>
      </c>
      <c r="AO78" s="137">
        <f t="shared" si="163"/>
        <v>228</v>
      </c>
      <c r="AP78" s="137">
        <f t="shared" si="163"/>
        <v>81</v>
      </c>
      <c r="AQ78" s="137">
        <f t="shared" si="164"/>
        <v>293</v>
      </c>
      <c r="AR78" s="137">
        <f t="shared" si="165"/>
        <v>274</v>
      </c>
      <c r="AS78" s="138">
        <f t="shared" si="166"/>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c r="A79" s="80">
        <f>ROWS($A$3:A77)</f>
        <v>75</v>
      </c>
      <c r="B79" s="59" t="s">
        <v>79</v>
      </c>
      <c r="C79" s="392">
        <v>2011</v>
      </c>
      <c r="D79" s="260"/>
      <c r="E79" s="451"/>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c r="A80" s="80">
        <f>ROWS($A$3:A78)</f>
        <v>76</v>
      </c>
      <c r="B80" s="92" t="s">
        <v>90</v>
      </c>
      <c r="C80" s="205">
        <v>2014</v>
      </c>
      <c r="D80" s="259" t="s">
        <v>13</v>
      </c>
      <c r="E80" s="448">
        <v>42191</v>
      </c>
      <c r="F80" s="116">
        <f>SUM(AT80:BF80)</f>
        <v>15597</v>
      </c>
      <c r="G80" s="137">
        <f>SUM(BG80:BR80)</f>
        <v>5399</v>
      </c>
      <c r="H80" s="137">
        <f>SUM(BS80:CB80)</f>
        <v>14164</v>
      </c>
      <c r="I80" s="138">
        <f>SUM(CC80:CK80)</f>
        <v>13395</v>
      </c>
      <c r="J80" s="141"/>
      <c r="K80" s="116">
        <f>BF80</f>
        <v>2390</v>
      </c>
      <c r="L80" s="137">
        <f>AY80</f>
        <v>1179</v>
      </c>
      <c r="M80" s="137">
        <f>BD80</f>
        <v>1817</v>
      </c>
      <c r="N80" s="137">
        <f>AW80</f>
        <v>854</v>
      </c>
      <c r="O80" s="137">
        <f>BE80</f>
        <v>629</v>
      </c>
      <c r="P80" s="137">
        <f>AZ80+BA80</f>
        <v>2012</v>
      </c>
      <c r="Q80" s="137">
        <f>AU80</f>
        <v>680</v>
      </c>
      <c r="R80" s="137">
        <f>AT80+AX80</f>
        <v>1297</v>
      </c>
      <c r="S80" s="137">
        <f>AV80</f>
        <v>626</v>
      </c>
      <c r="T80" s="137">
        <f>BB80</f>
        <v>1505</v>
      </c>
      <c r="U80" s="139">
        <f>BC80</f>
        <v>2608</v>
      </c>
      <c r="V80" s="137">
        <f>BG80+BJ80</f>
        <v>612</v>
      </c>
      <c r="W80" s="137">
        <f>BR80</f>
        <v>812</v>
      </c>
      <c r="X80" s="137">
        <f>BH80+BI80</f>
        <v>798</v>
      </c>
      <c r="Y80" s="137">
        <f>BK80+BL80+BN80</f>
        <v>1015</v>
      </c>
      <c r="Z80" s="137">
        <f>BM80</f>
        <v>1086</v>
      </c>
      <c r="AA80" s="137">
        <f>BO80+BQ80</f>
        <v>472</v>
      </c>
      <c r="AB80" s="139">
        <f>BP80</f>
        <v>604</v>
      </c>
      <c r="AC80" s="137">
        <f>BX80</f>
        <v>1304</v>
      </c>
      <c r="AD80" s="137">
        <f>BU80</f>
        <v>1348</v>
      </c>
      <c r="AE80" s="137">
        <f>BS80+BT80</f>
        <v>2459</v>
      </c>
      <c r="AF80" s="137">
        <f>CA80</f>
        <v>1177</v>
      </c>
      <c r="AG80" s="137">
        <f>BV80</f>
        <v>3589</v>
      </c>
      <c r="AH80" s="137">
        <f>BZ80</f>
        <v>1019</v>
      </c>
      <c r="AI80" s="137">
        <f>BW80</f>
        <v>1078</v>
      </c>
      <c r="AJ80" s="137">
        <f>BY80</f>
        <v>566</v>
      </c>
      <c r="AK80" s="139">
        <f>CB80</f>
        <v>1624</v>
      </c>
      <c r="AL80" s="137">
        <f>CE80</f>
        <v>941</v>
      </c>
      <c r="AM80" s="137">
        <f>CH80</f>
        <v>2188</v>
      </c>
      <c r="AN80" s="137">
        <f>CJ80</f>
        <v>3142</v>
      </c>
      <c r="AO80" s="137">
        <f>CC80</f>
        <v>1211</v>
      </c>
      <c r="AP80" s="137">
        <f>CD80</f>
        <v>475</v>
      </c>
      <c r="AQ80" s="137">
        <f>CK80</f>
        <v>1596</v>
      </c>
      <c r="AR80" s="137">
        <f>CI80</f>
        <v>1524</v>
      </c>
      <c r="AS80" s="138">
        <f>CF80+CG80</f>
        <v>2318</v>
      </c>
      <c r="AT80" s="137">
        <v>145</v>
      </c>
      <c r="AU80" s="137">
        <v>680</v>
      </c>
      <c r="AV80" s="137">
        <v>626</v>
      </c>
      <c r="AW80" s="137">
        <v>854</v>
      </c>
      <c r="AX80" s="137">
        <v>1152</v>
      </c>
      <c r="AY80" s="137">
        <v>1179</v>
      </c>
      <c r="AZ80" s="137">
        <v>168</v>
      </c>
      <c r="BA80" s="137">
        <v>1844</v>
      </c>
      <c r="BB80" s="137">
        <v>1505</v>
      </c>
      <c r="BC80" s="137">
        <v>2608</v>
      </c>
      <c r="BD80" s="137">
        <v>1817</v>
      </c>
      <c r="BE80" s="137">
        <v>629</v>
      </c>
      <c r="BF80" s="139">
        <v>2390</v>
      </c>
      <c r="BG80" s="137">
        <v>86</v>
      </c>
      <c r="BH80" s="137">
        <v>46</v>
      </c>
      <c r="BI80" s="137">
        <v>752</v>
      </c>
      <c r="BJ80" s="137">
        <v>526</v>
      </c>
      <c r="BK80" s="137">
        <v>70</v>
      </c>
      <c r="BL80" s="137">
        <v>61</v>
      </c>
      <c r="BM80" s="137">
        <v>1086</v>
      </c>
      <c r="BN80" s="137">
        <v>884</v>
      </c>
      <c r="BO80" s="137">
        <v>16</v>
      </c>
      <c r="BP80" s="137">
        <v>604</v>
      </c>
      <c r="BQ80" s="137">
        <v>456</v>
      </c>
      <c r="BR80" s="139">
        <v>812</v>
      </c>
      <c r="BS80" s="137">
        <v>140</v>
      </c>
      <c r="BT80" s="137">
        <f>1381+938</f>
        <v>2319</v>
      </c>
      <c r="BU80" s="137">
        <v>1348</v>
      </c>
      <c r="BV80" s="137">
        <v>3589</v>
      </c>
      <c r="BW80" s="137">
        <v>1078</v>
      </c>
      <c r="BX80" s="137">
        <v>1304</v>
      </c>
      <c r="BY80" s="137">
        <v>566</v>
      </c>
      <c r="BZ80" s="137">
        <v>1019</v>
      </c>
      <c r="CA80" s="137">
        <v>1177</v>
      </c>
      <c r="CB80" s="139">
        <v>1624</v>
      </c>
      <c r="CC80" s="137">
        <v>1211</v>
      </c>
      <c r="CD80" s="137">
        <v>475</v>
      </c>
      <c r="CE80" s="137">
        <v>941</v>
      </c>
      <c r="CF80" s="137">
        <v>123</v>
      </c>
      <c r="CG80" s="137">
        <v>2195</v>
      </c>
      <c r="CH80" s="137">
        <v>2188</v>
      </c>
      <c r="CI80" s="137">
        <v>1524</v>
      </c>
      <c r="CJ80" s="137">
        <v>3142</v>
      </c>
      <c r="CK80" s="138">
        <v>1596</v>
      </c>
      <c r="CL80" s="149">
        <f>SUM(AT80:CK80)</f>
        <v>48555</v>
      </c>
    </row>
    <row r="81" spans="1:90">
      <c r="A81" s="80">
        <f>ROWS($A$3:A79)</f>
        <v>77</v>
      </c>
      <c r="B81" s="602" t="s">
        <v>365</v>
      </c>
      <c r="C81" s="590">
        <v>2014</v>
      </c>
      <c r="D81" s="603" t="s">
        <v>13</v>
      </c>
      <c r="E81" s="522">
        <v>43320</v>
      </c>
      <c r="F81" s="154">
        <f>SUM(AT81:BF81)</f>
        <v>1004550</v>
      </c>
      <c r="G81" s="155">
        <f>SUM(BG81:BR81)</f>
        <v>656706</v>
      </c>
      <c r="H81" s="155">
        <f>SUM(BS81:CB81)</f>
        <v>657277</v>
      </c>
      <c r="I81" s="156">
        <f>SUM(CC81:CK81)</f>
        <v>574986</v>
      </c>
      <c r="J81" s="141"/>
      <c r="K81" s="154">
        <f>BF81</f>
        <v>79072</v>
      </c>
      <c r="L81" s="155">
        <f>AY81</f>
        <v>118073</v>
      </c>
      <c r="M81" s="155">
        <f>BD81</f>
        <v>99192</v>
      </c>
      <c r="N81" s="155">
        <f>AW81</f>
        <v>50761</v>
      </c>
      <c r="O81" s="155">
        <f>BE81</f>
        <v>28631</v>
      </c>
      <c r="P81" s="155">
        <f>AZ81+BA81</f>
        <v>150313</v>
      </c>
      <c r="Q81" s="155">
        <f>AU81</f>
        <v>100160</v>
      </c>
      <c r="R81" s="155">
        <f>AT81+AX81</f>
        <v>143994</v>
      </c>
      <c r="S81" s="155">
        <f>AV81</f>
        <v>102380</v>
      </c>
      <c r="T81" s="155">
        <f>BB81</f>
        <v>50781</v>
      </c>
      <c r="U81" s="552">
        <f>BC81</f>
        <v>81193</v>
      </c>
      <c r="V81" s="155">
        <f>BG81+BJ81</f>
        <v>89800</v>
      </c>
      <c r="W81" s="155">
        <f>BR81</f>
        <v>49308</v>
      </c>
      <c r="X81" s="155">
        <f>BH81+BI81</f>
        <v>175596</v>
      </c>
      <c r="Y81" s="155">
        <f>BK81+BL81+BN81</f>
        <v>98747</v>
      </c>
      <c r="Z81" s="155">
        <f>BM81</f>
        <v>78834</v>
      </c>
      <c r="AA81" s="155">
        <f>BO81+BQ81</f>
        <v>107867</v>
      </c>
      <c r="AB81" s="552">
        <f>BP81</f>
        <v>56554</v>
      </c>
      <c r="AC81" s="155">
        <f>BX81</f>
        <v>36404</v>
      </c>
      <c r="AD81" s="155">
        <f>BU81</f>
        <v>56914</v>
      </c>
      <c r="AE81" s="155">
        <f>BS81+BT81</f>
        <v>101039</v>
      </c>
      <c r="AF81" s="155">
        <f>CA81</f>
        <v>70956</v>
      </c>
      <c r="AG81" s="155">
        <f>BV81</f>
        <v>136976</v>
      </c>
      <c r="AH81" s="155">
        <f>BZ81</f>
        <v>57528</v>
      </c>
      <c r="AI81" s="155">
        <f>BW81</f>
        <v>60661</v>
      </c>
      <c r="AJ81" s="155">
        <f>BY81</f>
        <v>74838</v>
      </c>
      <c r="AK81" s="552">
        <f>CB81</f>
        <v>61961</v>
      </c>
      <c r="AL81" s="155">
        <f>CE81</f>
        <v>101232</v>
      </c>
      <c r="AM81" s="155">
        <f>CH81</f>
        <v>73421</v>
      </c>
      <c r="AN81" s="155">
        <f>CJ81</f>
        <v>32506</v>
      </c>
      <c r="AO81" s="155">
        <f>CC81</f>
        <v>78340</v>
      </c>
      <c r="AP81" s="155">
        <f>CD81</f>
        <v>90382</v>
      </c>
      <c r="AQ81" s="155">
        <f>CK81</f>
        <v>69254</v>
      </c>
      <c r="AR81" s="155">
        <f>CI81</f>
        <v>58522</v>
      </c>
      <c r="AS81" s="156">
        <f>CF81+CG81</f>
        <v>71329</v>
      </c>
      <c r="AT81" s="155">
        <v>12440</v>
      </c>
      <c r="AU81" s="155">
        <v>100160</v>
      </c>
      <c r="AV81" s="155">
        <v>102380</v>
      </c>
      <c r="AW81" s="155">
        <v>50761</v>
      </c>
      <c r="AX81" s="155">
        <v>131554</v>
      </c>
      <c r="AY81" s="155">
        <v>118073</v>
      </c>
      <c r="AZ81" s="155">
        <v>15678</v>
      </c>
      <c r="BA81" s="155">
        <v>134635</v>
      </c>
      <c r="BB81" s="155">
        <v>50781</v>
      </c>
      <c r="BC81" s="155">
        <v>81193</v>
      </c>
      <c r="BD81" s="155">
        <v>99192</v>
      </c>
      <c r="BE81" s="155">
        <v>28631</v>
      </c>
      <c r="BF81" s="552">
        <v>79072</v>
      </c>
      <c r="BG81" s="155">
        <v>11390</v>
      </c>
      <c r="BH81" s="155">
        <v>9580</v>
      </c>
      <c r="BI81" s="155">
        <v>166016</v>
      </c>
      <c r="BJ81" s="155">
        <v>78410</v>
      </c>
      <c r="BK81" s="155">
        <v>3488</v>
      </c>
      <c r="BL81" s="155">
        <v>5173</v>
      </c>
      <c r="BM81" s="155">
        <v>78834</v>
      </c>
      <c r="BN81" s="155">
        <v>90086</v>
      </c>
      <c r="BO81" s="155">
        <v>4301</v>
      </c>
      <c r="BP81" s="155">
        <v>56554</v>
      </c>
      <c r="BQ81" s="155">
        <v>103566</v>
      </c>
      <c r="BR81" s="552">
        <v>49308</v>
      </c>
      <c r="BS81" s="155">
        <v>8896</v>
      </c>
      <c r="BT81" s="155">
        <v>92143</v>
      </c>
      <c r="BU81" s="155">
        <v>56914</v>
      </c>
      <c r="BV81" s="155">
        <v>136976</v>
      </c>
      <c r="BW81" s="155">
        <v>60661</v>
      </c>
      <c r="BX81" s="155">
        <v>36404</v>
      </c>
      <c r="BY81" s="155">
        <v>74838</v>
      </c>
      <c r="BZ81" s="155">
        <v>57528</v>
      </c>
      <c r="CA81" s="155">
        <v>70956</v>
      </c>
      <c r="CB81" s="552">
        <v>61961</v>
      </c>
      <c r="CC81" s="155">
        <v>78340</v>
      </c>
      <c r="CD81" s="155">
        <v>90382</v>
      </c>
      <c r="CE81" s="155">
        <v>101232</v>
      </c>
      <c r="CF81" s="155">
        <v>5424</v>
      </c>
      <c r="CG81" s="155">
        <v>65905</v>
      </c>
      <c r="CH81" s="155">
        <v>73421</v>
      </c>
      <c r="CI81" s="155">
        <v>58522</v>
      </c>
      <c r="CJ81" s="155">
        <v>32506</v>
      </c>
      <c r="CK81" s="156">
        <v>69254</v>
      </c>
      <c r="CL81" s="553">
        <f>SUM(AT81:CK81)</f>
        <v>2893519</v>
      </c>
    </row>
    <row r="82" spans="1:90">
      <c r="A82" s="80">
        <f>ROWS($A$3:A80)</f>
        <v>78</v>
      </c>
      <c r="B82" s="610" t="s">
        <v>367</v>
      </c>
      <c r="C82" s="590">
        <v>2014</v>
      </c>
      <c r="D82" s="603" t="s">
        <v>13</v>
      </c>
      <c r="E82" s="522">
        <v>43320</v>
      </c>
      <c r="F82" s="530">
        <f t="shared" ref="F82:AQ82" si="167">F81/F80</f>
        <v>64.406616657049426</v>
      </c>
      <c r="G82" s="531">
        <f t="shared" si="167"/>
        <v>121.63474717540285</v>
      </c>
      <c r="H82" s="531">
        <f t="shared" si="167"/>
        <v>46.404758542784521</v>
      </c>
      <c r="I82" s="532">
        <f t="shared" si="167"/>
        <v>42.925419932810748</v>
      </c>
      <c r="J82" s="141"/>
      <c r="K82" s="530">
        <f t="shared" si="167"/>
        <v>33.084518828451884</v>
      </c>
      <c r="L82" s="531">
        <f t="shared" si="167"/>
        <v>100.14673452078033</v>
      </c>
      <c r="M82" s="531">
        <f t="shared" si="167"/>
        <v>54.591084204733079</v>
      </c>
      <c r="N82" s="531">
        <f t="shared" si="167"/>
        <v>59.439110070257613</v>
      </c>
      <c r="O82" s="531">
        <f t="shared" si="167"/>
        <v>45.518282988871228</v>
      </c>
      <c r="P82" s="531">
        <f t="shared" si="167"/>
        <v>74.708250497017886</v>
      </c>
      <c r="Q82" s="531">
        <f t="shared" si="167"/>
        <v>147.29411764705881</v>
      </c>
      <c r="R82" s="531">
        <f t="shared" si="167"/>
        <v>111.02081727062452</v>
      </c>
      <c r="S82" s="531">
        <f t="shared" si="167"/>
        <v>163.54632587859425</v>
      </c>
      <c r="T82" s="531">
        <f t="shared" si="167"/>
        <v>33.741528239202658</v>
      </c>
      <c r="U82" s="555">
        <f t="shared" si="167"/>
        <v>31.13228527607362</v>
      </c>
      <c r="V82" s="531">
        <f t="shared" si="167"/>
        <v>146.73202614379085</v>
      </c>
      <c r="W82" s="531">
        <f t="shared" si="167"/>
        <v>60.724137931034484</v>
      </c>
      <c r="X82" s="531">
        <f t="shared" si="167"/>
        <v>220.04511278195488</v>
      </c>
      <c r="Y82" s="531">
        <f t="shared" si="167"/>
        <v>97.28768472906404</v>
      </c>
      <c r="Z82" s="531">
        <f t="shared" si="167"/>
        <v>72.591160220994482</v>
      </c>
      <c r="AA82" s="531">
        <f t="shared" si="167"/>
        <v>228.53177966101694</v>
      </c>
      <c r="AB82" s="555">
        <f t="shared" si="167"/>
        <v>93.632450331125824</v>
      </c>
      <c r="AC82" s="531">
        <f t="shared" si="167"/>
        <v>27.917177914110429</v>
      </c>
      <c r="AD82" s="531">
        <f t="shared" si="167"/>
        <v>42.22106824925816</v>
      </c>
      <c r="AE82" s="531">
        <f t="shared" si="167"/>
        <v>41.08946726311509</v>
      </c>
      <c r="AF82" s="531">
        <f t="shared" si="167"/>
        <v>60.285471537807986</v>
      </c>
      <c r="AG82" s="531">
        <f t="shared" si="167"/>
        <v>38.165505711897467</v>
      </c>
      <c r="AH82" s="531">
        <f t="shared" si="167"/>
        <v>56.455348380765457</v>
      </c>
      <c r="AI82" s="531">
        <f t="shared" si="167"/>
        <v>56.271799628942489</v>
      </c>
      <c r="AJ82" s="531">
        <f t="shared" si="167"/>
        <v>132.22261484098939</v>
      </c>
      <c r="AK82" s="555">
        <f t="shared" si="167"/>
        <v>38.153325123152712</v>
      </c>
      <c r="AL82" s="531">
        <f t="shared" si="167"/>
        <v>107.57917109458023</v>
      </c>
      <c r="AM82" s="531">
        <f t="shared" si="167"/>
        <v>33.556215722120655</v>
      </c>
      <c r="AN82" s="531">
        <f t="shared" si="167"/>
        <v>10.345639719923616</v>
      </c>
      <c r="AO82" s="531">
        <f t="shared" si="167"/>
        <v>64.69033856317094</v>
      </c>
      <c r="AP82" s="531">
        <f t="shared" si="167"/>
        <v>190.27789473684211</v>
      </c>
      <c r="AQ82" s="531">
        <f t="shared" si="167"/>
        <v>43.392230576441101</v>
      </c>
      <c r="AR82" s="531">
        <f>AR81/AR80</f>
        <v>38.400262467191602</v>
      </c>
      <c r="AS82" s="532">
        <f>AS81/AS80</f>
        <v>30.771786022433133</v>
      </c>
      <c r="AT82" s="531">
        <f>IF(OR(AT80&lt;0.1,AT81&lt;0.1),0,AT81/AT80)</f>
        <v>85.793103448275858</v>
      </c>
      <c r="AU82" s="531">
        <f>IF(OR(AU80&lt;0.1,AU81&lt;0.1),0,AU81/AU80)</f>
        <v>147.29411764705881</v>
      </c>
      <c r="AV82" s="531">
        <f t="shared" ref="AV82:CK82" si="168">IF(OR(AV80&lt;0.1,AV81&lt;0.1),0,AV81/AV80)</f>
        <v>163.54632587859425</v>
      </c>
      <c r="AW82" s="531">
        <f t="shared" si="168"/>
        <v>59.439110070257613</v>
      </c>
      <c r="AX82" s="531">
        <f>IF(OR(AX80&lt;0.1,AX81&lt;0.1),0,AX81/AX80)</f>
        <v>114.19618055555556</v>
      </c>
      <c r="AY82" s="531">
        <f t="shared" si="168"/>
        <v>100.14673452078033</v>
      </c>
      <c r="AZ82" s="531">
        <f t="shared" si="168"/>
        <v>93.321428571428569</v>
      </c>
      <c r="BA82" s="531">
        <f t="shared" si="168"/>
        <v>73.012472885032537</v>
      </c>
      <c r="BB82" s="531">
        <f t="shared" si="168"/>
        <v>33.741528239202658</v>
      </c>
      <c r="BC82" s="531">
        <f t="shared" si="168"/>
        <v>31.13228527607362</v>
      </c>
      <c r="BD82" s="531">
        <f t="shared" si="168"/>
        <v>54.591084204733079</v>
      </c>
      <c r="BE82" s="531">
        <f t="shared" si="168"/>
        <v>45.518282988871228</v>
      </c>
      <c r="BF82" s="555">
        <f t="shared" si="168"/>
        <v>33.084518828451884</v>
      </c>
      <c r="BG82" s="531">
        <f t="shared" si="168"/>
        <v>132.44186046511629</v>
      </c>
      <c r="BH82" s="531">
        <f>IF(OR(BH80&lt;0.1,BH81&lt;0.1),0,BH81/BH80)</f>
        <v>208.2608695652174</v>
      </c>
      <c r="BI82" s="531">
        <f>IF(OR(BI80&lt;0.1,BI81&lt;0.1),0,BI81/BI80)</f>
        <v>220.7659574468085</v>
      </c>
      <c r="BJ82" s="531">
        <f>IF(OR(BJ80&lt;0.1,BJ81&lt;0.1),0,BJ81/BJ80)</f>
        <v>149.06844106463879</v>
      </c>
      <c r="BK82" s="531">
        <f t="shared" si="168"/>
        <v>49.828571428571429</v>
      </c>
      <c r="BL82" s="531">
        <f t="shared" si="168"/>
        <v>84.803278688524586</v>
      </c>
      <c r="BM82" s="531">
        <f>IF(OR(BM80&lt;0.1,BM81&lt;0.1),0,BM81/BM80)</f>
        <v>72.591160220994482</v>
      </c>
      <c r="BN82" s="531">
        <f t="shared" si="168"/>
        <v>101.90723981900453</v>
      </c>
      <c r="BO82" s="531">
        <f t="shared" si="168"/>
        <v>268.8125</v>
      </c>
      <c r="BP82" s="531">
        <f t="shared" si="168"/>
        <v>93.632450331125824</v>
      </c>
      <c r="BQ82" s="531">
        <f>IF(OR(BQ80&lt;0.1,BQ81&lt;0.1),0,BQ81/BQ80)</f>
        <v>227.11842105263159</v>
      </c>
      <c r="BR82" s="555">
        <f t="shared" si="168"/>
        <v>60.724137931034484</v>
      </c>
      <c r="BS82" s="531">
        <f t="shared" si="168"/>
        <v>63.542857142857144</v>
      </c>
      <c r="BT82" s="531">
        <f t="shared" si="168"/>
        <v>39.733937041828376</v>
      </c>
      <c r="BU82" s="531">
        <f t="shared" si="168"/>
        <v>42.22106824925816</v>
      </c>
      <c r="BV82" s="531">
        <f t="shared" si="168"/>
        <v>38.165505711897467</v>
      </c>
      <c r="BW82" s="531">
        <f t="shared" si="168"/>
        <v>56.271799628942489</v>
      </c>
      <c r="BX82" s="531">
        <f t="shared" si="168"/>
        <v>27.917177914110429</v>
      </c>
      <c r="BY82" s="531">
        <f t="shared" si="168"/>
        <v>132.22261484098939</v>
      </c>
      <c r="BZ82" s="531">
        <f t="shared" si="168"/>
        <v>56.455348380765457</v>
      </c>
      <c r="CA82" s="531">
        <f t="shared" si="168"/>
        <v>60.285471537807986</v>
      </c>
      <c r="CB82" s="555">
        <f t="shared" si="168"/>
        <v>38.153325123152712</v>
      </c>
      <c r="CC82" s="531">
        <f t="shared" si="168"/>
        <v>64.69033856317094</v>
      </c>
      <c r="CD82" s="531">
        <f t="shared" si="168"/>
        <v>190.27789473684211</v>
      </c>
      <c r="CE82" s="531">
        <f t="shared" si="168"/>
        <v>107.57917109458023</v>
      </c>
      <c r="CF82" s="531">
        <f t="shared" si="168"/>
        <v>44.097560975609753</v>
      </c>
      <c r="CG82" s="531">
        <f t="shared" si="168"/>
        <v>30.025056947608199</v>
      </c>
      <c r="CH82" s="531">
        <f t="shared" si="168"/>
        <v>33.556215722120655</v>
      </c>
      <c r="CI82" s="531">
        <f t="shared" si="168"/>
        <v>38.400262467191602</v>
      </c>
      <c r="CJ82" s="531">
        <f t="shared" si="168"/>
        <v>10.345639719923616</v>
      </c>
      <c r="CK82" s="532">
        <f t="shared" si="168"/>
        <v>43.392230576441101</v>
      </c>
      <c r="CL82" s="556">
        <f>IF(OR(CL80&lt;0.1,CL81&lt;0.1),0,CL81/CL80)</f>
        <v>59.592606322726802</v>
      </c>
    </row>
    <row r="83" spans="1:90">
      <c r="A83" s="80">
        <f>ROWS($A$3:A81)</f>
        <v>79</v>
      </c>
      <c r="B83" s="602" t="s">
        <v>366</v>
      </c>
      <c r="C83" s="590">
        <v>2014</v>
      </c>
      <c r="D83" s="603" t="s">
        <v>13</v>
      </c>
      <c r="E83" s="522">
        <v>43320</v>
      </c>
      <c r="F83" s="154">
        <f>SUM(AT83:BF83)</f>
        <v>1156592</v>
      </c>
      <c r="G83" s="155">
        <f>SUM(BG83:BR83)</f>
        <v>735634</v>
      </c>
      <c r="H83" s="155">
        <f>SUM(BS83:CB83)</f>
        <v>832442</v>
      </c>
      <c r="I83" s="156">
        <f>SUM(CC83:CK83)</f>
        <v>712754</v>
      </c>
      <c r="J83" s="122"/>
      <c r="K83" s="154">
        <f>BF83</f>
        <v>100147</v>
      </c>
      <c r="L83" s="155">
        <f>AY83</f>
        <v>131949</v>
      </c>
      <c r="M83" s="155">
        <f>BD83</f>
        <v>116661</v>
      </c>
      <c r="N83" s="155">
        <f>AW83</f>
        <v>60738</v>
      </c>
      <c r="O83" s="155">
        <f>BE83</f>
        <v>34198</v>
      </c>
      <c r="P83" s="155">
        <f>AZ83+BA83</f>
        <v>168455</v>
      </c>
      <c r="Q83" s="155">
        <f>AU83</f>
        <v>107237</v>
      </c>
      <c r="R83" s="155">
        <f>AT83+AX83</f>
        <v>155261</v>
      </c>
      <c r="S83" s="155">
        <f>AV83</f>
        <v>109256</v>
      </c>
      <c r="T83" s="155">
        <f>BB83</f>
        <v>64795</v>
      </c>
      <c r="U83" s="552">
        <f>BC83</f>
        <v>107895</v>
      </c>
      <c r="V83" s="155">
        <f>BG83+BJ83</f>
        <v>97684</v>
      </c>
      <c r="W83" s="155">
        <f>BR83</f>
        <v>57501</v>
      </c>
      <c r="X83" s="155">
        <f>BH83+BI83</f>
        <v>190054</v>
      </c>
      <c r="Y83" s="155">
        <f>BK83+BL83+BN83</f>
        <v>111028</v>
      </c>
      <c r="Z83" s="155">
        <f>BM83</f>
        <v>97581</v>
      </c>
      <c r="AA83" s="155">
        <f>BO83+BQ83</f>
        <v>116156</v>
      </c>
      <c r="AB83" s="552">
        <f>BP83</f>
        <v>65630</v>
      </c>
      <c r="AC83" s="155">
        <f>BX83</f>
        <v>56213</v>
      </c>
      <c r="AD83" s="155">
        <f>BU83</f>
        <v>71766</v>
      </c>
      <c r="AE83" s="155">
        <f>BS83+BT83</f>
        <v>124609</v>
      </c>
      <c r="AF83" s="155">
        <f>CA83</f>
        <v>87495</v>
      </c>
      <c r="AG83" s="155">
        <f>BV83</f>
        <v>178686</v>
      </c>
      <c r="AH83" s="155">
        <f>BZ83</f>
        <v>75138</v>
      </c>
      <c r="AI83" s="155">
        <f>BW83</f>
        <v>75504</v>
      </c>
      <c r="AJ83" s="155">
        <f>BY83</f>
        <v>83637</v>
      </c>
      <c r="AK83" s="552">
        <f>CB83</f>
        <v>79394</v>
      </c>
      <c r="AL83" s="155">
        <f>CE83</f>
        <v>111286</v>
      </c>
      <c r="AM83" s="155">
        <f>CH83</f>
        <v>91242</v>
      </c>
      <c r="AN83" s="155">
        <f>CJ83</f>
        <v>48409</v>
      </c>
      <c r="AO83" s="155">
        <f>CC83</f>
        <v>93818</v>
      </c>
      <c r="AP83" s="155">
        <f>CD83</f>
        <v>96646</v>
      </c>
      <c r="AQ83" s="155">
        <f>CK83</f>
        <v>87695</v>
      </c>
      <c r="AR83" s="155">
        <f>CI83</f>
        <v>94600</v>
      </c>
      <c r="AS83" s="156">
        <f>CF83+CG83</f>
        <v>89058</v>
      </c>
      <c r="AT83" s="155">
        <v>13377</v>
      </c>
      <c r="AU83" s="155">
        <v>107237</v>
      </c>
      <c r="AV83" s="155">
        <v>109256</v>
      </c>
      <c r="AW83" s="155">
        <v>60738</v>
      </c>
      <c r="AX83" s="155">
        <v>141884</v>
      </c>
      <c r="AY83" s="155">
        <v>131949</v>
      </c>
      <c r="AZ83" s="155">
        <v>18766</v>
      </c>
      <c r="BA83" s="155">
        <v>149689</v>
      </c>
      <c r="BB83" s="155">
        <v>64795</v>
      </c>
      <c r="BC83" s="155">
        <v>107895</v>
      </c>
      <c r="BD83" s="155">
        <v>116661</v>
      </c>
      <c r="BE83" s="155">
        <v>34198</v>
      </c>
      <c r="BF83" s="552">
        <v>100147</v>
      </c>
      <c r="BG83" s="155">
        <v>12447</v>
      </c>
      <c r="BH83" s="155">
        <v>10410</v>
      </c>
      <c r="BI83" s="155">
        <v>179644</v>
      </c>
      <c r="BJ83" s="155">
        <v>85237</v>
      </c>
      <c r="BK83" s="155">
        <v>4198</v>
      </c>
      <c r="BL83" s="155">
        <v>6029</v>
      </c>
      <c r="BM83" s="155">
        <v>97581</v>
      </c>
      <c r="BN83" s="155">
        <v>100801</v>
      </c>
      <c r="BO83" s="155">
        <v>4699</v>
      </c>
      <c r="BP83" s="155">
        <v>65630</v>
      </c>
      <c r="BQ83" s="155">
        <v>111457</v>
      </c>
      <c r="BR83" s="552">
        <v>57501</v>
      </c>
      <c r="BS83" s="155">
        <v>10059</v>
      </c>
      <c r="BT83" s="155">
        <v>114550</v>
      </c>
      <c r="BU83" s="155">
        <v>71766</v>
      </c>
      <c r="BV83" s="155">
        <v>178686</v>
      </c>
      <c r="BW83" s="155">
        <v>75504</v>
      </c>
      <c r="BX83" s="155">
        <v>56213</v>
      </c>
      <c r="BY83" s="155">
        <v>83637</v>
      </c>
      <c r="BZ83" s="155">
        <v>75138</v>
      </c>
      <c r="CA83" s="155">
        <v>87495</v>
      </c>
      <c r="CB83" s="552">
        <v>79394</v>
      </c>
      <c r="CC83" s="155">
        <v>93818</v>
      </c>
      <c r="CD83" s="155">
        <v>96646</v>
      </c>
      <c r="CE83" s="155">
        <v>111286</v>
      </c>
      <c r="CF83" s="155">
        <v>6321</v>
      </c>
      <c r="CG83" s="155">
        <v>82737</v>
      </c>
      <c r="CH83" s="155">
        <v>91242</v>
      </c>
      <c r="CI83" s="155">
        <v>94600</v>
      </c>
      <c r="CJ83" s="155">
        <v>48409</v>
      </c>
      <c r="CK83" s="156">
        <v>87695</v>
      </c>
      <c r="CL83" s="320">
        <f>SUM(AT83:CK83)</f>
        <v>3437422</v>
      </c>
    </row>
    <row r="84" spans="1:90">
      <c r="A84" s="80">
        <f>ROWS($A$3:A82)</f>
        <v>80</v>
      </c>
      <c r="B84" s="610" t="s">
        <v>368</v>
      </c>
      <c r="C84" s="590">
        <v>2014</v>
      </c>
      <c r="D84" s="603" t="s">
        <v>13</v>
      </c>
      <c r="E84" s="522">
        <v>43320</v>
      </c>
      <c r="F84" s="530">
        <f>F83/F80</f>
        <v>74.154773353850103</v>
      </c>
      <c r="G84" s="531">
        <f>G83/G80</f>
        <v>136.25375069457306</v>
      </c>
      <c r="H84" s="531">
        <f>H83/H80</f>
        <v>58.771674668172835</v>
      </c>
      <c r="I84" s="532">
        <f>I83/I80</f>
        <v>53.210451661067566</v>
      </c>
      <c r="J84" s="122"/>
      <c r="K84" s="530">
        <f t="shared" ref="K84:BV84" si="169">K83/K80</f>
        <v>41.902510460251044</v>
      </c>
      <c r="L84" s="531">
        <f t="shared" si="169"/>
        <v>111.91603053435115</v>
      </c>
      <c r="M84" s="531">
        <f t="shared" si="169"/>
        <v>64.205283434232257</v>
      </c>
      <c r="N84" s="531">
        <f t="shared" si="169"/>
        <v>71.121779859484775</v>
      </c>
      <c r="O84" s="531">
        <f t="shared" si="169"/>
        <v>54.368839427662955</v>
      </c>
      <c r="P84" s="531">
        <f t="shared" si="169"/>
        <v>83.725149105367791</v>
      </c>
      <c r="Q84" s="531">
        <f t="shared" si="169"/>
        <v>157.70147058823528</v>
      </c>
      <c r="R84" s="531">
        <f t="shared" si="169"/>
        <v>119.70778720123361</v>
      </c>
      <c r="S84" s="531">
        <f t="shared" si="169"/>
        <v>174.53035143769969</v>
      </c>
      <c r="T84" s="531">
        <f t="shared" si="169"/>
        <v>43.053156146179404</v>
      </c>
      <c r="U84" s="555">
        <f t="shared" si="169"/>
        <v>41.370782208588956</v>
      </c>
      <c r="V84" s="531">
        <f t="shared" si="169"/>
        <v>159.61437908496731</v>
      </c>
      <c r="W84" s="531">
        <f t="shared" si="169"/>
        <v>70.814039408866989</v>
      </c>
      <c r="X84" s="531">
        <f t="shared" si="169"/>
        <v>238.16290726817041</v>
      </c>
      <c r="Y84" s="531">
        <f t="shared" si="169"/>
        <v>109.38719211822661</v>
      </c>
      <c r="Z84" s="531">
        <f t="shared" si="169"/>
        <v>89.853591160221001</v>
      </c>
      <c r="AA84" s="531">
        <f t="shared" si="169"/>
        <v>246.09322033898306</v>
      </c>
      <c r="AB84" s="555">
        <f t="shared" si="169"/>
        <v>108.65894039735099</v>
      </c>
      <c r="AC84" s="531">
        <f t="shared" si="169"/>
        <v>43.108128834355831</v>
      </c>
      <c r="AD84" s="531">
        <f t="shared" si="169"/>
        <v>53.238872403560833</v>
      </c>
      <c r="AE84" s="531">
        <f t="shared" si="169"/>
        <v>50.674664497763317</v>
      </c>
      <c r="AF84" s="531">
        <f t="shared" si="169"/>
        <v>74.337298215802889</v>
      </c>
      <c r="AG84" s="531">
        <f t="shared" si="169"/>
        <v>49.787127333519088</v>
      </c>
      <c r="AH84" s="531">
        <f t="shared" si="169"/>
        <v>73.736997055937195</v>
      </c>
      <c r="AI84" s="531">
        <f t="shared" si="169"/>
        <v>70.040816326530617</v>
      </c>
      <c r="AJ84" s="531">
        <f t="shared" si="169"/>
        <v>147.76855123674912</v>
      </c>
      <c r="AK84" s="555">
        <f t="shared" si="169"/>
        <v>48.887931034482762</v>
      </c>
      <c r="AL84" s="531">
        <f t="shared" si="169"/>
        <v>118.26354941551541</v>
      </c>
      <c r="AM84" s="531">
        <f t="shared" si="169"/>
        <v>41.701096892138942</v>
      </c>
      <c r="AN84" s="531">
        <f t="shared" si="169"/>
        <v>15.407065563335456</v>
      </c>
      <c r="AO84" s="531">
        <f t="shared" si="169"/>
        <v>77.471511147811725</v>
      </c>
      <c r="AP84" s="531">
        <f t="shared" si="169"/>
        <v>203.46526315789473</v>
      </c>
      <c r="AQ84" s="531">
        <f t="shared" si="169"/>
        <v>54.946741854636592</v>
      </c>
      <c r="AR84" s="531">
        <f t="shared" si="169"/>
        <v>62.073490813648291</v>
      </c>
      <c r="AS84" s="532">
        <f t="shared" si="169"/>
        <v>38.42018981880932</v>
      </c>
      <c r="AT84" s="531">
        <f t="shared" si="169"/>
        <v>92.255172413793105</v>
      </c>
      <c r="AU84" s="531">
        <f t="shared" si="169"/>
        <v>157.70147058823528</v>
      </c>
      <c r="AV84" s="531">
        <f t="shared" si="169"/>
        <v>174.53035143769969</v>
      </c>
      <c r="AW84" s="531">
        <f t="shared" si="169"/>
        <v>71.121779859484775</v>
      </c>
      <c r="AX84" s="531">
        <f t="shared" si="169"/>
        <v>123.16319444444444</v>
      </c>
      <c r="AY84" s="531">
        <f t="shared" si="169"/>
        <v>111.91603053435115</v>
      </c>
      <c r="AZ84" s="531">
        <f t="shared" si="169"/>
        <v>111.70238095238095</v>
      </c>
      <c r="BA84" s="531">
        <f t="shared" si="169"/>
        <v>81.176247288503248</v>
      </c>
      <c r="BB84" s="531">
        <f t="shared" si="169"/>
        <v>43.053156146179404</v>
      </c>
      <c r="BC84" s="531">
        <f t="shared" si="169"/>
        <v>41.370782208588956</v>
      </c>
      <c r="BD84" s="531">
        <f t="shared" si="169"/>
        <v>64.205283434232257</v>
      </c>
      <c r="BE84" s="531">
        <f t="shared" si="169"/>
        <v>54.368839427662955</v>
      </c>
      <c r="BF84" s="555">
        <f t="shared" si="169"/>
        <v>41.902510460251044</v>
      </c>
      <c r="BG84" s="531">
        <f t="shared" si="169"/>
        <v>144.73255813953489</v>
      </c>
      <c r="BH84" s="531">
        <f t="shared" si="169"/>
        <v>226.30434782608697</v>
      </c>
      <c r="BI84" s="531">
        <f t="shared" si="169"/>
        <v>238.88829787234042</v>
      </c>
      <c r="BJ84" s="531">
        <f t="shared" si="169"/>
        <v>162.04752851711027</v>
      </c>
      <c r="BK84" s="531">
        <f t="shared" si="169"/>
        <v>59.971428571428568</v>
      </c>
      <c r="BL84" s="531">
        <f t="shared" si="169"/>
        <v>98.836065573770497</v>
      </c>
      <c r="BM84" s="531">
        <f t="shared" si="169"/>
        <v>89.853591160221001</v>
      </c>
      <c r="BN84" s="531">
        <f t="shared" si="169"/>
        <v>114.02828054298642</v>
      </c>
      <c r="BO84" s="531">
        <f t="shared" si="169"/>
        <v>293.6875</v>
      </c>
      <c r="BP84" s="531">
        <f t="shared" si="169"/>
        <v>108.65894039735099</v>
      </c>
      <c r="BQ84" s="531">
        <f t="shared" si="169"/>
        <v>244.4232456140351</v>
      </c>
      <c r="BR84" s="555">
        <f t="shared" si="169"/>
        <v>70.814039408866989</v>
      </c>
      <c r="BS84" s="531">
        <f t="shared" si="169"/>
        <v>71.849999999999994</v>
      </c>
      <c r="BT84" s="531">
        <f t="shared" si="169"/>
        <v>49.396291504959031</v>
      </c>
      <c r="BU84" s="531">
        <f t="shared" si="169"/>
        <v>53.238872403560833</v>
      </c>
      <c r="BV84" s="531">
        <f t="shared" si="169"/>
        <v>49.787127333519088</v>
      </c>
      <c r="BW84" s="531">
        <f t="shared" ref="BW84:CL84" si="170">BW83/BW80</f>
        <v>70.040816326530617</v>
      </c>
      <c r="BX84" s="531">
        <f t="shared" si="170"/>
        <v>43.108128834355831</v>
      </c>
      <c r="BY84" s="531">
        <f t="shared" si="170"/>
        <v>147.76855123674912</v>
      </c>
      <c r="BZ84" s="531">
        <f t="shared" si="170"/>
        <v>73.736997055937195</v>
      </c>
      <c r="CA84" s="531">
        <f t="shared" si="170"/>
        <v>74.337298215802889</v>
      </c>
      <c r="CB84" s="555">
        <f t="shared" si="170"/>
        <v>48.887931034482762</v>
      </c>
      <c r="CC84" s="531">
        <f t="shared" si="170"/>
        <v>77.471511147811725</v>
      </c>
      <c r="CD84" s="531">
        <f t="shared" si="170"/>
        <v>203.46526315789473</v>
      </c>
      <c r="CE84" s="531">
        <f t="shared" si="170"/>
        <v>118.26354941551541</v>
      </c>
      <c r="CF84" s="531">
        <f t="shared" si="170"/>
        <v>51.390243902439025</v>
      </c>
      <c r="CG84" s="531">
        <f t="shared" si="170"/>
        <v>37.693394077448744</v>
      </c>
      <c r="CH84" s="531">
        <f t="shared" si="170"/>
        <v>41.701096892138942</v>
      </c>
      <c r="CI84" s="531">
        <f t="shared" si="170"/>
        <v>62.073490813648291</v>
      </c>
      <c r="CJ84" s="531">
        <f t="shared" si="170"/>
        <v>15.407065563335456</v>
      </c>
      <c r="CK84" s="532">
        <f t="shared" si="170"/>
        <v>54.946741854636592</v>
      </c>
      <c r="CL84" s="556">
        <f t="shared" si="170"/>
        <v>70.794398105241484</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4">
        <v>2013</v>
      </c>
      <c r="D86" s="260"/>
      <c r="E86" s="451"/>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9" t="s">
        <v>188</v>
      </c>
      <c r="E87" s="448">
        <v>42185</v>
      </c>
      <c r="F87" s="151">
        <v>23748</v>
      </c>
      <c r="G87" s="151">
        <v>20707</v>
      </c>
      <c r="H87" s="151">
        <v>15552</v>
      </c>
      <c r="I87" s="152">
        <v>23034</v>
      </c>
      <c r="J87" s="280"/>
      <c r="K87" s="116">
        <f>BF87</f>
        <v>21623</v>
      </c>
      <c r="L87" s="137">
        <f>AY87</f>
        <v>23751</v>
      </c>
      <c r="M87" s="137">
        <f>BD87</f>
        <v>14746</v>
      </c>
      <c r="N87" s="137">
        <f>AW87</f>
        <v>19401</v>
      </c>
      <c r="O87" s="137">
        <f>BE87</f>
        <v>27331</v>
      </c>
      <c r="P87" s="143">
        <f>(AZ100*AZ87+BA100*BA87)/(AZ100+BA100)</f>
        <v>23641.483754512636</v>
      </c>
      <c r="Q87" s="137">
        <f>'2008'!AU87</f>
        <v>31866</v>
      </c>
      <c r="R87" s="143">
        <f>(AT100*AT87+AX100*AX87)/(AT100+AX100)</f>
        <v>42143.210526315786</v>
      </c>
      <c r="S87" s="137">
        <f>AV87</f>
        <v>28735</v>
      </c>
      <c r="T87" s="137">
        <f>BB87</f>
        <v>25281</v>
      </c>
      <c r="U87" s="139">
        <f>BC87</f>
        <v>24470</v>
      </c>
      <c r="V87" s="143">
        <f>(BG100*BG87+BJ100*BJ87)/(BG100+BJ100)</f>
        <v>19819.049180327867</v>
      </c>
      <c r="W87" s="137">
        <f>BR87</f>
        <v>9971</v>
      </c>
      <c r="X87" s="143">
        <f>(BH100*BH87+BI100*BI87)/(BH100+BI100)</f>
        <v>25506.789603960395</v>
      </c>
      <c r="Y87" s="143">
        <f>(BK100*BK87+BL100*BL87+BN100*BN87)/(BK100+BL100+BN100)</f>
        <v>29117.591397849461</v>
      </c>
      <c r="Z87" s="137">
        <f>BM87</f>
        <v>12315</v>
      </c>
      <c r="AA87" s="143">
        <f>(BO100*BO87+BQ100*BQ87)/(BO100+BQ100)</f>
        <v>21987.45945945946</v>
      </c>
      <c r="AB87" s="139">
        <f>BP87</f>
        <v>15106</v>
      </c>
      <c r="AC87" s="137">
        <f>BX87</f>
        <v>13365</v>
      </c>
      <c r="AD87" s="137">
        <f>BU87</f>
        <v>23666</v>
      </c>
      <c r="AE87" s="143">
        <f>(BS100*BS87+BT100*BT87)/(BS100+BT100)</f>
        <v>21887.139534883721</v>
      </c>
      <c r="AF87" s="137">
        <f>CA87</f>
        <v>14299</v>
      </c>
      <c r="AG87" s="137">
        <f>BV87</f>
        <v>18841</v>
      </c>
      <c r="AH87" s="137">
        <f>BZ87</f>
        <v>17736</v>
      </c>
      <c r="AI87" s="137">
        <f>BW87</f>
        <v>11693</v>
      </c>
      <c r="AJ87" s="137">
        <f>BY87</f>
        <v>11006</v>
      </c>
      <c r="AK87" s="139">
        <f>CB87</f>
        <v>12430</v>
      </c>
      <c r="AL87" s="137">
        <f>CE87</f>
        <v>14004</v>
      </c>
      <c r="AM87" s="137">
        <f>CH87</f>
        <v>24879</v>
      </c>
      <c r="AN87" s="137">
        <f>CJ87</f>
        <v>26309</v>
      </c>
      <c r="AO87" s="137">
        <f>CC87</f>
        <v>15726</v>
      </c>
      <c r="AP87" s="137">
        <f>CD87</f>
        <v>23849</v>
      </c>
      <c r="AQ87" s="137">
        <f>CK87</f>
        <v>18697</v>
      </c>
      <c r="AR87" s="137">
        <f>CI87</f>
        <v>22754</v>
      </c>
      <c r="AS87" s="144">
        <f>(CF100*CF87+CG100*CG87)/(CF100+CG100)</f>
        <v>30857</v>
      </c>
      <c r="AT87" s="137">
        <v>129588</v>
      </c>
      <c r="AU87" s="151">
        <v>31008</v>
      </c>
      <c r="AV87" s="151">
        <v>28735</v>
      </c>
      <c r="AW87" s="151">
        <v>19401</v>
      </c>
      <c r="AX87" s="151">
        <v>37749</v>
      </c>
      <c r="AY87" s="151">
        <v>23751</v>
      </c>
      <c r="AZ87" s="151">
        <v>30103</v>
      </c>
      <c r="BA87" s="151">
        <v>23219</v>
      </c>
      <c r="BB87" s="151">
        <v>25281</v>
      </c>
      <c r="BC87" s="151">
        <v>24470</v>
      </c>
      <c r="BD87" s="151">
        <v>14746</v>
      </c>
      <c r="BE87" s="151">
        <v>27331</v>
      </c>
      <c r="BF87" s="153">
        <v>21623</v>
      </c>
      <c r="BG87" s="151">
        <v>19882</v>
      </c>
      <c r="BH87" s="151">
        <v>75365</v>
      </c>
      <c r="BI87" s="151">
        <v>24882</v>
      </c>
      <c r="BJ87" s="151">
        <v>19786</v>
      </c>
      <c r="BK87" s="151">
        <v>136696</v>
      </c>
      <c r="BL87" s="151">
        <v>0</v>
      </c>
      <c r="BM87" s="151">
        <v>12315</v>
      </c>
      <c r="BN87" s="151">
        <v>23860</v>
      </c>
      <c r="BO87" s="151">
        <v>26875</v>
      </c>
      <c r="BP87" s="151">
        <v>15106</v>
      </c>
      <c r="BQ87" s="151">
        <v>21671</v>
      </c>
      <c r="BR87" s="153">
        <v>9971</v>
      </c>
      <c r="BS87" s="151">
        <v>28772</v>
      </c>
      <c r="BT87" s="151">
        <v>21181</v>
      </c>
      <c r="BU87" s="151">
        <v>23666</v>
      </c>
      <c r="BV87" s="151">
        <v>18841</v>
      </c>
      <c r="BW87" s="151">
        <v>11693</v>
      </c>
      <c r="BX87" s="151">
        <v>13365</v>
      </c>
      <c r="BY87" s="151">
        <v>11006</v>
      </c>
      <c r="BZ87" s="151">
        <v>17736</v>
      </c>
      <c r="CA87" s="151">
        <v>14299</v>
      </c>
      <c r="CB87" s="153">
        <v>12430</v>
      </c>
      <c r="CC87" s="151">
        <v>15726</v>
      </c>
      <c r="CD87" s="151">
        <v>23849</v>
      </c>
      <c r="CE87" s="151">
        <v>14004</v>
      </c>
      <c r="CF87" s="151">
        <v>0</v>
      </c>
      <c r="CG87" s="151">
        <v>30857</v>
      </c>
      <c r="CH87" s="151">
        <v>24879</v>
      </c>
      <c r="CI87" s="151">
        <v>22754</v>
      </c>
      <c r="CJ87" s="151">
        <v>26309</v>
      </c>
      <c r="CK87" s="151">
        <v>18697</v>
      </c>
      <c r="CL87" s="140">
        <v>21997</v>
      </c>
    </row>
    <row r="88" spans="1:90">
      <c r="A88" s="80">
        <f>ROWS($A$3:A86)</f>
        <v>84</v>
      </c>
      <c r="B88" s="59" t="s">
        <v>190</v>
      </c>
      <c r="C88" s="387">
        <v>2014</v>
      </c>
      <c r="D88" s="260"/>
      <c r="E88" s="455"/>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c r="A89" s="80">
        <f>ROWS($A$3:A87)</f>
        <v>85</v>
      </c>
      <c r="B89" s="388" t="s">
        <v>284</v>
      </c>
      <c r="C89" s="205"/>
      <c r="D89" s="259" t="s">
        <v>192</v>
      </c>
      <c r="E89" s="448">
        <v>42181</v>
      </c>
      <c r="F89" s="381">
        <v>83.5</v>
      </c>
      <c r="G89" s="382">
        <v>78</v>
      </c>
      <c r="H89" s="382">
        <v>83.7</v>
      </c>
      <c r="I89" s="383">
        <v>87</v>
      </c>
      <c r="J89" s="382"/>
      <c r="K89" s="381">
        <f>BF89</f>
        <v>87.1</v>
      </c>
      <c r="L89" s="384">
        <f>AY89</f>
        <v>74.099999999999994</v>
      </c>
      <c r="M89" s="384">
        <f>BD89</f>
        <v>80</v>
      </c>
      <c r="N89" s="384">
        <f>AW89</f>
        <v>79.599999999999994</v>
      </c>
      <c r="O89" s="384">
        <f>BE89</f>
        <v>75</v>
      </c>
      <c r="P89" s="384">
        <f>'2014'!BA89</f>
        <v>85.5</v>
      </c>
      <c r="Q89" s="384">
        <f>'2014'!AU89</f>
        <v>92.3</v>
      </c>
      <c r="R89" s="384">
        <f>AX89</f>
        <v>82.1</v>
      </c>
      <c r="S89" s="384">
        <f>AV89</f>
        <v>75.5</v>
      </c>
      <c r="T89" s="384">
        <f t="shared" ref="T89:U93" si="171">BB89</f>
        <v>88.8</v>
      </c>
      <c r="U89" s="385">
        <f t="shared" si="171"/>
        <v>90.4</v>
      </c>
      <c r="V89" s="384" t="str">
        <f>BJ89</f>
        <v>-</v>
      </c>
      <c r="W89" s="384">
        <f>BR89</f>
        <v>96</v>
      </c>
      <c r="X89" s="384">
        <f>BI89</f>
        <v>78.599999999999994</v>
      </c>
      <c r="Y89" s="384">
        <f>BN89</f>
        <v>75.599999999999994</v>
      </c>
      <c r="Z89" s="384">
        <f>BM89</f>
        <v>80.599999999999994</v>
      </c>
      <c r="AA89" s="384">
        <f>BQ89</f>
        <v>70.8</v>
      </c>
      <c r="AB89" s="385">
        <f>BP89</f>
        <v>90.4</v>
      </c>
      <c r="AC89" s="384">
        <f>BX89</f>
        <v>90.6</v>
      </c>
      <c r="AD89" s="384">
        <f>BU89</f>
        <v>81.099999999999994</v>
      </c>
      <c r="AE89" s="384">
        <f>BT89</f>
        <v>95.1</v>
      </c>
      <c r="AF89" s="384" t="str">
        <f>CA89</f>
        <v>-</v>
      </c>
      <c r="AG89" s="384">
        <f>BV89</f>
        <v>83.6</v>
      </c>
      <c r="AH89" s="384">
        <f>BZ89</f>
        <v>76.3</v>
      </c>
      <c r="AI89" s="384">
        <f>BW89</f>
        <v>86.1</v>
      </c>
      <c r="AJ89" s="384">
        <f>BY89</f>
        <v>77.599999999999994</v>
      </c>
      <c r="AK89" s="385">
        <f>CB89</f>
        <v>71.099999999999994</v>
      </c>
      <c r="AL89" s="384">
        <f>CE89</f>
        <v>79</v>
      </c>
      <c r="AM89" s="384">
        <f>CH89</f>
        <v>94.2</v>
      </c>
      <c r="AN89" s="384">
        <f>CJ89</f>
        <v>91.8</v>
      </c>
      <c r="AO89" s="384">
        <f t="shared" ref="AO89:AP93" si="172">CC89</f>
        <v>71.900000000000006</v>
      </c>
      <c r="AP89" s="384">
        <f t="shared" si="172"/>
        <v>82.7</v>
      </c>
      <c r="AQ89" s="384">
        <f>CK89</f>
        <v>91.2</v>
      </c>
      <c r="AR89" s="384" t="str">
        <f>CI89</f>
        <v>-</v>
      </c>
      <c r="AS89" s="383">
        <f>CG89</f>
        <v>85.6</v>
      </c>
      <c r="AT89" s="384" t="s">
        <v>58</v>
      </c>
      <c r="AU89" s="382">
        <v>92.3</v>
      </c>
      <c r="AV89" s="382">
        <v>75.5</v>
      </c>
      <c r="AW89" s="382">
        <v>79.599999999999994</v>
      </c>
      <c r="AX89" s="382">
        <v>82.1</v>
      </c>
      <c r="AY89" s="382">
        <v>74.099999999999994</v>
      </c>
      <c r="AZ89" s="384" t="s">
        <v>58</v>
      </c>
      <c r="BA89" s="382">
        <v>85.5</v>
      </c>
      <c r="BB89" s="382">
        <v>88.8</v>
      </c>
      <c r="BC89" s="382">
        <v>90.4</v>
      </c>
      <c r="BD89" s="382">
        <v>80</v>
      </c>
      <c r="BE89" s="382">
        <v>75</v>
      </c>
      <c r="BF89" s="385">
        <v>87.1</v>
      </c>
      <c r="BG89" s="384" t="s">
        <v>58</v>
      </c>
      <c r="BH89" s="384" t="s">
        <v>58</v>
      </c>
      <c r="BI89" s="382">
        <v>78.599999999999994</v>
      </c>
      <c r="BJ89" s="382" t="s">
        <v>58</v>
      </c>
      <c r="BK89" s="384" t="s">
        <v>58</v>
      </c>
      <c r="BL89" s="382" t="s">
        <v>58</v>
      </c>
      <c r="BM89" s="382">
        <v>80.599999999999994</v>
      </c>
      <c r="BN89" s="382">
        <v>75.599999999999994</v>
      </c>
      <c r="BO89" s="384" t="s">
        <v>58</v>
      </c>
      <c r="BP89" s="382">
        <v>90.4</v>
      </c>
      <c r="BQ89" s="382">
        <v>70.8</v>
      </c>
      <c r="BR89" s="385">
        <v>96</v>
      </c>
      <c r="BS89" s="384" t="s">
        <v>58</v>
      </c>
      <c r="BT89" s="382">
        <v>95.1</v>
      </c>
      <c r="BU89" s="382">
        <v>81.099999999999994</v>
      </c>
      <c r="BV89" s="382">
        <v>83.6</v>
      </c>
      <c r="BW89" s="382">
        <v>86.1</v>
      </c>
      <c r="BX89" s="382">
        <v>90.6</v>
      </c>
      <c r="BY89" s="382">
        <v>77.599999999999994</v>
      </c>
      <c r="BZ89" s="382">
        <v>76.3</v>
      </c>
      <c r="CA89" s="382" t="s">
        <v>58</v>
      </c>
      <c r="CB89" s="385">
        <v>71.099999999999994</v>
      </c>
      <c r="CC89" s="382">
        <v>71.900000000000006</v>
      </c>
      <c r="CD89" s="382">
        <v>82.7</v>
      </c>
      <c r="CE89" s="382">
        <v>79</v>
      </c>
      <c r="CF89" s="384" t="s">
        <v>58</v>
      </c>
      <c r="CG89" s="382">
        <v>85.6</v>
      </c>
      <c r="CH89" s="382">
        <v>94.2</v>
      </c>
      <c r="CI89" s="384" t="s">
        <v>58</v>
      </c>
      <c r="CJ89" s="382">
        <v>91.8</v>
      </c>
      <c r="CK89" s="383">
        <v>91.2</v>
      </c>
      <c r="CL89" s="319">
        <v>83.5</v>
      </c>
    </row>
    <row r="90" spans="1:90">
      <c r="A90" s="80">
        <f>ROWS($A$3:A88)</f>
        <v>86</v>
      </c>
      <c r="B90" s="92" t="s">
        <v>193</v>
      </c>
      <c r="C90" s="203"/>
      <c r="D90" s="259" t="s">
        <v>192</v>
      </c>
      <c r="E90" s="448">
        <v>42181</v>
      </c>
      <c r="F90" s="381">
        <v>888.4</v>
      </c>
      <c r="G90" s="382">
        <v>857.5</v>
      </c>
      <c r="H90" s="382" t="s">
        <v>58</v>
      </c>
      <c r="I90" s="383">
        <v>786.5</v>
      </c>
      <c r="J90" s="382"/>
      <c r="K90" s="381" t="str">
        <f>BF90</f>
        <v>-</v>
      </c>
      <c r="L90" s="384" t="str">
        <f>AY90</f>
        <v>-</v>
      </c>
      <c r="M90" s="384">
        <f>BD90</f>
        <v>909.1</v>
      </c>
      <c r="N90" s="384" t="str">
        <f>AW90</f>
        <v>-</v>
      </c>
      <c r="O90" s="384" t="str">
        <f>BE90</f>
        <v>-</v>
      </c>
      <c r="P90" s="384">
        <f>'2014'!BA90</f>
        <v>894.2</v>
      </c>
      <c r="Q90" s="384">
        <f>'2014'!AU90</f>
        <v>890.6</v>
      </c>
      <c r="R90" s="384">
        <f>AX90</f>
        <v>835.5</v>
      </c>
      <c r="S90" s="384" t="str">
        <f>AV90</f>
        <v>-</v>
      </c>
      <c r="T90" s="384">
        <f t="shared" si="171"/>
        <v>902.2</v>
      </c>
      <c r="U90" s="385" t="str">
        <f t="shared" si="171"/>
        <v>-</v>
      </c>
      <c r="V90" s="384" t="str">
        <f>BJ90</f>
        <v>-</v>
      </c>
      <c r="W90" s="384" t="str">
        <f>BR90</f>
        <v>-</v>
      </c>
      <c r="X90" s="384">
        <f>BI90</f>
        <v>861.2</v>
      </c>
      <c r="Y90" s="384">
        <f>BN90</f>
        <v>890.2</v>
      </c>
      <c r="Z90" s="384">
        <f>BM90</f>
        <v>813.3</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2"/>
        <v>-</v>
      </c>
      <c r="AP90" s="384" t="str">
        <f t="shared" si="172"/>
        <v>-</v>
      </c>
      <c r="AQ90" s="384" t="str">
        <f>CK90</f>
        <v>-</v>
      </c>
      <c r="AR90" s="384" t="str">
        <f>CI90</f>
        <v>-</v>
      </c>
      <c r="AS90" s="383" t="str">
        <f>CG90</f>
        <v>-</v>
      </c>
      <c r="AT90" s="384" t="s">
        <v>58</v>
      </c>
      <c r="AU90" s="382">
        <v>890.6</v>
      </c>
      <c r="AV90" s="384" t="s">
        <v>58</v>
      </c>
      <c r="AW90" s="382" t="s">
        <v>58</v>
      </c>
      <c r="AX90" s="382">
        <v>835.5</v>
      </c>
      <c r="AY90" s="384" t="s">
        <v>58</v>
      </c>
      <c r="AZ90" s="384" t="s">
        <v>58</v>
      </c>
      <c r="BA90" s="382">
        <v>894.2</v>
      </c>
      <c r="BB90" s="382">
        <v>902.2</v>
      </c>
      <c r="BC90" s="382" t="s">
        <v>58</v>
      </c>
      <c r="BD90" s="382">
        <v>909.1</v>
      </c>
      <c r="BE90" s="384" t="s">
        <v>58</v>
      </c>
      <c r="BF90" s="385" t="s">
        <v>58</v>
      </c>
      <c r="BG90" s="384" t="s">
        <v>58</v>
      </c>
      <c r="BH90" s="384" t="s">
        <v>58</v>
      </c>
      <c r="BI90" s="382">
        <v>861.2</v>
      </c>
      <c r="BJ90" s="382" t="s">
        <v>58</v>
      </c>
      <c r="BK90" s="382" t="s">
        <v>58</v>
      </c>
      <c r="BL90" s="382" t="s">
        <v>58</v>
      </c>
      <c r="BM90" s="382">
        <v>813.3</v>
      </c>
      <c r="BN90" s="382">
        <v>890.2</v>
      </c>
      <c r="BO90" s="384" t="s">
        <v>58</v>
      </c>
      <c r="BP90" s="384" t="s">
        <v>58</v>
      </c>
      <c r="BQ90" s="384" t="s">
        <v>58</v>
      </c>
      <c r="BR90" s="385" t="s">
        <v>58</v>
      </c>
      <c r="BS90" s="384" t="s">
        <v>58</v>
      </c>
      <c r="BT90" s="382" t="s">
        <v>58</v>
      </c>
      <c r="BU90" s="382" t="s">
        <v>58</v>
      </c>
      <c r="BV90" s="382" t="s">
        <v>58</v>
      </c>
      <c r="BW90" s="382" t="s">
        <v>58</v>
      </c>
      <c r="BX90" s="382" t="s">
        <v>58</v>
      </c>
      <c r="BY90" s="382" t="s">
        <v>58</v>
      </c>
      <c r="BZ90" s="382" t="s">
        <v>58</v>
      </c>
      <c r="CA90" s="382" t="s">
        <v>58</v>
      </c>
      <c r="CB90" s="385" t="s">
        <v>58</v>
      </c>
      <c r="CC90" s="382" t="s">
        <v>58</v>
      </c>
      <c r="CD90" s="382" t="s">
        <v>58</v>
      </c>
      <c r="CE90" s="382" t="s">
        <v>58</v>
      </c>
      <c r="CF90" s="384" t="s">
        <v>58</v>
      </c>
      <c r="CG90" s="384" t="s">
        <v>58</v>
      </c>
      <c r="CH90" s="384" t="s">
        <v>58</v>
      </c>
      <c r="CI90" s="384" t="s">
        <v>58</v>
      </c>
      <c r="CJ90" s="382" t="s">
        <v>58</v>
      </c>
      <c r="CK90" s="383" t="s">
        <v>58</v>
      </c>
      <c r="CL90" s="386">
        <v>878.4</v>
      </c>
    </row>
    <row r="91" spans="1:90">
      <c r="A91" s="80">
        <f>ROWS($A$3:A89)</f>
        <v>87</v>
      </c>
      <c r="B91" s="92" t="s">
        <v>194</v>
      </c>
      <c r="C91" s="203"/>
      <c r="D91" s="259" t="s">
        <v>192</v>
      </c>
      <c r="E91" s="448">
        <v>42181</v>
      </c>
      <c r="F91" s="381">
        <v>46.1</v>
      </c>
      <c r="G91" s="384">
        <v>45.3</v>
      </c>
      <c r="H91" s="384">
        <v>49.2</v>
      </c>
      <c r="I91" s="383">
        <v>49.8</v>
      </c>
      <c r="J91" s="382"/>
      <c r="K91" s="381">
        <f>BF91</f>
        <v>50.3</v>
      </c>
      <c r="L91" s="384">
        <f>AY91</f>
        <v>46.3</v>
      </c>
      <c r="M91" s="384">
        <f>BD91</f>
        <v>44.2</v>
      </c>
      <c r="N91" s="384" t="str">
        <f>AW91</f>
        <v>-</v>
      </c>
      <c r="O91" s="384" t="str">
        <f>BE91</f>
        <v>-</v>
      </c>
      <c r="P91" s="384">
        <f>'2014'!BA91</f>
        <v>47.8</v>
      </c>
      <c r="Q91" s="384">
        <f>'2014'!AU91</f>
        <v>48.1</v>
      </c>
      <c r="R91" s="384">
        <f>AX91</f>
        <v>52.4</v>
      </c>
      <c r="S91" s="384" t="str">
        <f>AV91</f>
        <v>-</v>
      </c>
      <c r="T91" s="384">
        <f t="shared" si="171"/>
        <v>49</v>
      </c>
      <c r="U91" s="385">
        <f t="shared" si="171"/>
        <v>48.3</v>
      </c>
      <c r="V91" s="384" t="str">
        <f>BJ91</f>
        <v>-</v>
      </c>
      <c r="W91" s="384">
        <f>BR91</f>
        <v>48.3</v>
      </c>
      <c r="X91" s="384">
        <f>BI91</f>
        <v>47.2</v>
      </c>
      <c r="Y91" s="384">
        <f>BN91</f>
        <v>42.2</v>
      </c>
      <c r="Z91" s="384">
        <f>BM91</f>
        <v>42.1</v>
      </c>
      <c r="AA91" s="384">
        <f>BQ91</f>
        <v>51.8</v>
      </c>
      <c r="AB91" s="385" t="str">
        <f>BP91</f>
        <v>-</v>
      </c>
      <c r="AC91" s="384" t="str">
        <f>BX91</f>
        <v>-</v>
      </c>
      <c r="AD91" s="384" t="str">
        <f>BU91</f>
        <v>-</v>
      </c>
      <c r="AE91" s="384" t="str">
        <f>BT91</f>
        <v>-</v>
      </c>
      <c r="AF91" s="384" t="str">
        <f>CA91</f>
        <v>-</v>
      </c>
      <c r="AG91" s="384" t="str">
        <f>BV91</f>
        <v>-</v>
      </c>
      <c r="AH91" s="384" t="str">
        <f>BZ91</f>
        <v>-</v>
      </c>
      <c r="AI91" s="384">
        <f>BW91</f>
        <v>47.4</v>
      </c>
      <c r="AJ91" s="384" t="str">
        <f>BY91</f>
        <v>-</v>
      </c>
      <c r="AK91" s="385" t="str">
        <f>CB91</f>
        <v>-</v>
      </c>
      <c r="AL91" s="384" t="str">
        <f>CE91</f>
        <v>-</v>
      </c>
      <c r="AM91" s="384">
        <f>CH91</f>
        <v>51</v>
      </c>
      <c r="AN91" s="384" t="str">
        <f>CJ91</f>
        <v>-</v>
      </c>
      <c r="AO91" s="384" t="str">
        <f t="shared" si="172"/>
        <v>-</v>
      </c>
      <c r="AP91" s="384">
        <f t="shared" si="172"/>
        <v>46.9</v>
      </c>
      <c r="AQ91" s="384">
        <f>CK91</f>
        <v>48.7</v>
      </c>
      <c r="AR91" s="384" t="str">
        <f>CI91</f>
        <v>-</v>
      </c>
      <c r="AS91" s="383">
        <f>CG91</f>
        <v>51</v>
      </c>
      <c r="AT91" s="384" t="s">
        <v>58</v>
      </c>
      <c r="AU91" s="384">
        <v>48.1</v>
      </c>
      <c r="AV91" s="384" t="s">
        <v>58</v>
      </c>
      <c r="AW91" s="382" t="s">
        <v>58</v>
      </c>
      <c r="AX91" s="384">
        <v>52.4</v>
      </c>
      <c r="AY91" s="382">
        <v>46.3</v>
      </c>
      <c r="AZ91" s="384" t="s">
        <v>58</v>
      </c>
      <c r="BA91" s="382">
        <v>47.8</v>
      </c>
      <c r="BB91" s="382">
        <v>49</v>
      </c>
      <c r="BC91" s="382">
        <v>48.3</v>
      </c>
      <c r="BD91" s="382">
        <v>44.2</v>
      </c>
      <c r="BE91" s="382" t="s">
        <v>58</v>
      </c>
      <c r="BF91" s="385">
        <v>50.3</v>
      </c>
      <c r="BG91" s="384" t="s">
        <v>58</v>
      </c>
      <c r="BH91" s="384" t="s">
        <v>58</v>
      </c>
      <c r="BI91" s="382">
        <v>47.2</v>
      </c>
      <c r="BJ91" s="382" t="s">
        <v>58</v>
      </c>
      <c r="BK91" s="382" t="s">
        <v>58</v>
      </c>
      <c r="BL91" s="382" t="s">
        <v>58</v>
      </c>
      <c r="BM91" s="384">
        <v>42.1</v>
      </c>
      <c r="BN91" s="384">
        <v>42.2</v>
      </c>
      <c r="BO91" s="384" t="s">
        <v>58</v>
      </c>
      <c r="BP91" s="382" t="s">
        <v>58</v>
      </c>
      <c r="BQ91" s="384">
        <v>51.8</v>
      </c>
      <c r="BR91" s="385">
        <v>48.3</v>
      </c>
      <c r="BS91" s="384" t="s">
        <v>58</v>
      </c>
      <c r="BT91" s="382" t="s">
        <v>58</v>
      </c>
      <c r="BU91" s="382" t="s">
        <v>58</v>
      </c>
      <c r="BV91" s="382" t="s">
        <v>58</v>
      </c>
      <c r="BW91" s="382">
        <v>47.4</v>
      </c>
      <c r="BX91" s="382" t="s">
        <v>58</v>
      </c>
      <c r="BY91" s="382" t="s">
        <v>58</v>
      </c>
      <c r="BZ91" s="382" t="s">
        <v>58</v>
      </c>
      <c r="CA91" s="382" t="s">
        <v>58</v>
      </c>
      <c r="CB91" s="385" t="s">
        <v>58</v>
      </c>
      <c r="CC91" s="382" t="s">
        <v>58</v>
      </c>
      <c r="CD91" s="382">
        <v>46.9</v>
      </c>
      <c r="CE91" s="382" t="s">
        <v>58</v>
      </c>
      <c r="CF91" s="384" t="s">
        <v>58</v>
      </c>
      <c r="CG91" s="382">
        <v>51</v>
      </c>
      <c r="CH91" s="382">
        <v>51</v>
      </c>
      <c r="CI91" s="384" t="s">
        <v>58</v>
      </c>
      <c r="CJ91" s="382" t="s">
        <v>58</v>
      </c>
      <c r="CK91" s="383">
        <v>48.7</v>
      </c>
      <c r="CL91" s="386">
        <v>47.2</v>
      </c>
    </row>
    <row r="92" spans="1:90">
      <c r="A92" s="80">
        <f>ROWS($A$3:A90)</f>
        <v>88</v>
      </c>
      <c r="B92" s="92" t="s">
        <v>195</v>
      </c>
      <c r="C92" s="203"/>
      <c r="D92" s="259" t="s">
        <v>192</v>
      </c>
      <c r="E92" s="448">
        <v>42181</v>
      </c>
      <c r="F92" s="381">
        <v>499.9</v>
      </c>
      <c r="G92" s="382">
        <v>471.5</v>
      </c>
      <c r="H92" s="382">
        <v>474.9</v>
      </c>
      <c r="I92" s="383">
        <v>480.8</v>
      </c>
      <c r="J92" s="382"/>
      <c r="K92" s="381">
        <f>BF92</f>
        <v>470.3</v>
      </c>
      <c r="L92" s="384">
        <f>AY92</f>
        <v>497.6</v>
      </c>
      <c r="M92" s="384">
        <f>BD92</f>
        <v>488.4</v>
      </c>
      <c r="N92" s="384">
        <f>AW92</f>
        <v>485.9</v>
      </c>
      <c r="O92" s="384">
        <f>BE92</f>
        <v>471.1</v>
      </c>
      <c r="P92" s="384">
        <f>'2014'!BA92</f>
        <v>533</v>
      </c>
      <c r="Q92" s="384" t="str">
        <f>'2014'!AU92</f>
        <v>-</v>
      </c>
      <c r="R92" s="384">
        <f>AX92</f>
        <v>541.29999999999995</v>
      </c>
      <c r="S92" s="384">
        <f>AV92</f>
        <v>472.8</v>
      </c>
      <c r="T92" s="384">
        <f t="shared" si="171"/>
        <v>489</v>
      </c>
      <c r="U92" s="385">
        <f t="shared" si="171"/>
        <v>502.2</v>
      </c>
      <c r="V92" s="384" t="str">
        <f>BJ92</f>
        <v>-</v>
      </c>
      <c r="W92" s="384">
        <f>BR92</f>
        <v>532.29999999999995</v>
      </c>
      <c r="X92" s="384" t="str">
        <f>BI92</f>
        <v>-</v>
      </c>
      <c r="Y92" s="384">
        <f>BN92</f>
        <v>454.1</v>
      </c>
      <c r="Z92" s="384">
        <f>BM92</f>
        <v>452.9</v>
      </c>
      <c r="AA92" s="384">
        <f>BQ92</f>
        <v>575.79999999999995</v>
      </c>
      <c r="AB92" s="385" t="str">
        <f>BP92</f>
        <v>-</v>
      </c>
      <c r="AC92" s="384">
        <f>BX92</f>
        <v>391.7</v>
      </c>
      <c r="AD92" s="384" t="str">
        <f>BU92</f>
        <v>-</v>
      </c>
      <c r="AE92" s="384" t="str">
        <f>BT92</f>
        <v>-</v>
      </c>
      <c r="AF92" s="384" t="str">
        <f>CA92</f>
        <v>-</v>
      </c>
      <c r="AG92" s="384" t="str">
        <f>BV92</f>
        <v>-</v>
      </c>
      <c r="AH92" s="384">
        <f>BZ92</f>
        <v>412.2</v>
      </c>
      <c r="AI92" s="384">
        <f>BW92</f>
        <v>484.3</v>
      </c>
      <c r="AJ92" s="384">
        <f>BY92</f>
        <v>504.4</v>
      </c>
      <c r="AK92" s="385">
        <f>CB92</f>
        <v>502</v>
      </c>
      <c r="AL92" s="384">
        <f>CE92</f>
        <v>456.4</v>
      </c>
      <c r="AM92" s="384">
        <f>CH92</f>
        <v>487.2</v>
      </c>
      <c r="AN92" s="384">
        <f>CJ92</f>
        <v>470.7</v>
      </c>
      <c r="AO92" s="384" t="str">
        <f t="shared" si="172"/>
        <v>-</v>
      </c>
      <c r="AP92" s="384" t="str">
        <f t="shared" si="172"/>
        <v>-</v>
      </c>
      <c r="AQ92" s="384">
        <f>CK92</f>
        <v>523</v>
      </c>
      <c r="AR92" s="384" t="str">
        <f>CI92</f>
        <v>-</v>
      </c>
      <c r="AS92" s="383">
        <f>CG92</f>
        <v>485.6</v>
      </c>
      <c r="AT92" s="384" t="s">
        <v>58</v>
      </c>
      <c r="AU92" s="384" t="s">
        <v>58</v>
      </c>
      <c r="AV92" s="382">
        <v>472.8</v>
      </c>
      <c r="AW92" s="382">
        <v>485.9</v>
      </c>
      <c r="AX92" s="382">
        <v>541.29999999999995</v>
      </c>
      <c r="AY92" s="382">
        <v>497.6</v>
      </c>
      <c r="AZ92" s="384" t="s">
        <v>58</v>
      </c>
      <c r="BA92" s="382">
        <v>533</v>
      </c>
      <c r="BB92" s="382">
        <v>489</v>
      </c>
      <c r="BC92" s="382">
        <v>502.2</v>
      </c>
      <c r="BD92" s="382">
        <v>488.4</v>
      </c>
      <c r="BE92" s="382">
        <v>471.1</v>
      </c>
      <c r="BF92" s="385">
        <v>470.3</v>
      </c>
      <c r="BG92" s="384" t="s">
        <v>58</v>
      </c>
      <c r="BH92" s="384" t="s">
        <v>58</v>
      </c>
      <c r="BI92" s="382" t="s">
        <v>58</v>
      </c>
      <c r="BJ92" s="382" t="s">
        <v>58</v>
      </c>
      <c r="BK92" s="382" t="s">
        <v>58</v>
      </c>
      <c r="BL92" s="382" t="s">
        <v>58</v>
      </c>
      <c r="BM92" s="382">
        <v>452.9</v>
      </c>
      <c r="BN92" s="382">
        <v>454.1</v>
      </c>
      <c r="BO92" s="384" t="s">
        <v>58</v>
      </c>
      <c r="BP92" s="382" t="s">
        <v>58</v>
      </c>
      <c r="BQ92" s="382">
        <v>575.79999999999995</v>
      </c>
      <c r="BR92" s="385">
        <v>532.29999999999995</v>
      </c>
      <c r="BS92" s="384" t="s">
        <v>58</v>
      </c>
      <c r="BT92" s="382" t="s">
        <v>58</v>
      </c>
      <c r="BU92" s="382" t="s">
        <v>58</v>
      </c>
      <c r="BV92" s="382" t="s">
        <v>58</v>
      </c>
      <c r="BW92" s="382">
        <v>484.3</v>
      </c>
      <c r="BX92" s="382">
        <v>391.7</v>
      </c>
      <c r="BY92" s="382">
        <v>504.4</v>
      </c>
      <c r="BZ92" s="382">
        <v>412.2</v>
      </c>
      <c r="CA92" s="382" t="s">
        <v>58</v>
      </c>
      <c r="CB92" s="385">
        <v>502</v>
      </c>
      <c r="CC92" s="382" t="s">
        <v>58</v>
      </c>
      <c r="CD92" s="382" t="s">
        <v>58</v>
      </c>
      <c r="CE92" s="382">
        <v>456.4</v>
      </c>
      <c r="CF92" s="384" t="s">
        <v>58</v>
      </c>
      <c r="CG92" s="382">
        <v>485.6</v>
      </c>
      <c r="CH92" s="382">
        <v>487.2</v>
      </c>
      <c r="CI92" s="384" t="s">
        <v>58</v>
      </c>
      <c r="CJ92" s="382">
        <v>470.7</v>
      </c>
      <c r="CK92" s="383">
        <v>523</v>
      </c>
      <c r="CL92" s="386">
        <v>485.3</v>
      </c>
    </row>
    <row r="93" spans="1:90">
      <c r="A93" s="80">
        <f>ROWS($A$3:A91)</f>
        <v>89</v>
      </c>
      <c r="B93" s="54" t="s">
        <v>94</v>
      </c>
      <c r="C93" s="261"/>
      <c r="D93" s="260" t="s">
        <v>3</v>
      </c>
      <c r="E93" s="448"/>
      <c r="F93" s="117">
        <v>0.37</v>
      </c>
      <c r="G93" s="118">
        <v>0.37</v>
      </c>
      <c r="H93" s="118">
        <v>0.69</v>
      </c>
      <c r="I93" s="119">
        <v>0.54</v>
      </c>
      <c r="J93" s="122"/>
      <c r="K93" s="117">
        <f>BF93</f>
        <v>0.99</v>
      </c>
      <c r="L93" s="118">
        <f>AY93</f>
        <v>0.69</v>
      </c>
      <c r="M93" s="118">
        <f>BD93</f>
        <v>0.7</v>
      </c>
      <c r="N93" s="118">
        <f>AW93</f>
        <v>0.74</v>
      </c>
      <c r="O93" s="118">
        <f>BE93</f>
        <v>0.6</v>
      </c>
      <c r="P93" s="190">
        <f>(AZ35*AZ93+BA35*BA93)/P35</f>
        <v>0.12064121769375141</v>
      </c>
      <c r="Q93" s="118">
        <f>'2014'!AU93</f>
        <v>0.48</v>
      </c>
      <c r="R93" s="190">
        <f>(AT35*AT93+AX35*AX93)/R35</f>
        <v>1.7214353708137422E-2</v>
      </c>
      <c r="S93" s="118">
        <f>AV93</f>
        <v>0.56999999999999995</v>
      </c>
      <c r="T93" s="118">
        <f t="shared" si="171"/>
        <v>0.56999999999999995</v>
      </c>
      <c r="U93" s="120">
        <f t="shared" si="171"/>
        <v>0.97</v>
      </c>
      <c r="V93" s="190">
        <f>(BG35*BG93+BJ35*BJ93)/V35</f>
        <v>0.32098958008360889</v>
      </c>
      <c r="W93" s="118">
        <f>BR93</f>
        <v>0.82</v>
      </c>
      <c r="X93" s="190">
        <f>(BH35*BH93+BI35*BI93)/X35</f>
        <v>6.5584005612065954E-2</v>
      </c>
      <c r="Y93" s="190">
        <f>(BK35*BK93+BL35*BL93+BN35*BN93)/Y35</f>
        <v>0.10728694310691411</v>
      </c>
      <c r="Z93" s="118">
        <f>BM93</f>
        <v>0.7</v>
      </c>
      <c r="AA93" s="190">
        <f>(BO35*BO93+BQ35*BQ93)/AA35</f>
        <v>0.46039442349672549</v>
      </c>
      <c r="AB93" s="120">
        <f>BP93</f>
        <v>0.78</v>
      </c>
      <c r="AC93" s="118">
        <f>BX93</f>
        <v>0.65</v>
      </c>
      <c r="AD93" s="118">
        <f>BU93</f>
        <v>0.36</v>
      </c>
      <c r="AE93" s="190">
        <f>(BS35*BS93+BT35*BT93)/AE35</f>
        <v>0.1160348266339368</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2"/>
        <v>1</v>
      </c>
      <c r="AP93" s="118">
        <f t="shared" si="172"/>
        <v>0.61</v>
      </c>
      <c r="AQ93" s="118">
        <f>CK93</f>
        <v>0.72</v>
      </c>
      <c r="AR93" s="118">
        <f>CI93</f>
        <v>0.24</v>
      </c>
      <c r="AS93" s="191">
        <f>(CF35*CF93+CG35*CG93)/AS35</f>
        <v>0.45045947078924298</v>
      </c>
      <c r="AT93" s="118">
        <v>0.11</v>
      </c>
      <c r="AU93" s="118">
        <v>0.48</v>
      </c>
      <c r="AV93" s="118">
        <v>0.56999999999999995</v>
      </c>
      <c r="AW93" s="118">
        <v>0.74</v>
      </c>
      <c r="AX93" s="118">
        <v>0.01</v>
      </c>
      <c r="AY93" s="118">
        <v>0.69</v>
      </c>
      <c r="AZ93" s="118">
        <v>0</v>
      </c>
      <c r="BA93" s="118">
        <v>0.13</v>
      </c>
      <c r="BB93" s="118">
        <v>0.56999999999999995</v>
      </c>
      <c r="BC93" s="118">
        <v>0.97</v>
      </c>
      <c r="BD93" s="118">
        <v>0.7</v>
      </c>
      <c r="BE93" s="118">
        <v>0.6</v>
      </c>
      <c r="BF93" s="120">
        <v>0.99</v>
      </c>
      <c r="BG93" s="118">
        <v>1</v>
      </c>
      <c r="BH93" s="118">
        <v>0</v>
      </c>
      <c r="BI93" s="118">
        <v>7.0000000000000007E-2</v>
      </c>
      <c r="BJ93" s="118">
        <v>0.25</v>
      </c>
      <c r="BK93" s="342">
        <v>0.01</v>
      </c>
      <c r="BL93" s="118">
        <v>0</v>
      </c>
      <c r="BM93" s="118">
        <v>0.7</v>
      </c>
      <c r="BN93" s="118">
        <v>0.12</v>
      </c>
      <c r="BO93" s="118">
        <v>0.28000000000000003</v>
      </c>
      <c r="BP93" s="118">
        <v>0.78</v>
      </c>
      <c r="BQ93" s="118">
        <v>0.47</v>
      </c>
      <c r="BR93" s="120">
        <v>0.82</v>
      </c>
      <c r="BS93" s="118">
        <v>0.06</v>
      </c>
      <c r="BT93" s="118">
        <v>0.12</v>
      </c>
      <c r="BU93" s="118">
        <v>0.36</v>
      </c>
      <c r="BV93" s="118">
        <v>0.34</v>
      </c>
      <c r="BW93" s="118">
        <v>0.96</v>
      </c>
      <c r="BX93" s="118">
        <v>0.65</v>
      </c>
      <c r="BY93" s="118">
        <v>0.63</v>
      </c>
      <c r="BZ93" s="118">
        <v>0.65</v>
      </c>
      <c r="CA93" s="118">
        <v>0.28999999999999998</v>
      </c>
      <c r="CB93" s="120">
        <v>0.71</v>
      </c>
      <c r="CC93" s="118">
        <v>1</v>
      </c>
      <c r="CD93" s="118">
        <v>0.61</v>
      </c>
      <c r="CE93" s="118">
        <v>0.61</v>
      </c>
      <c r="CF93" s="118">
        <v>0.3</v>
      </c>
      <c r="CG93" s="118">
        <v>0.46</v>
      </c>
      <c r="CH93" s="118">
        <v>0.2</v>
      </c>
      <c r="CI93" s="118">
        <v>0.24</v>
      </c>
      <c r="CJ93" s="118">
        <v>0.57999999999999996</v>
      </c>
      <c r="CK93" s="119">
        <v>0.72</v>
      </c>
      <c r="CL93" s="121">
        <v>0.54</v>
      </c>
    </row>
    <row r="94" spans="1:90">
      <c r="A94" s="80">
        <f>ROWS($A$3:A92)</f>
        <v>90</v>
      </c>
      <c r="B94" s="59" t="s">
        <v>247</v>
      </c>
      <c r="C94" s="201"/>
      <c r="D94" s="260"/>
      <c r="E94" s="448"/>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c r="A95" s="80">
        <f>ROWS($A$3:A93)</f>
        <v>91</v>
      </c>
      <c r="B95" s="236" t="s">
        <v>95</v>
      </c>
      <c r="C95" s="393">
        <v>2010</v>
      </c>
      <c r="D95" s="259" t="s">
        <v>10</v>
      </c>
      <c r="E95" s="447">
        <v>40441</v>
      </c>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'2014'!BA95</f>
        <v>27400</v>
      </c>
      <c r="Q95" s="137">
        <f>'2014'!AU95</f>
        <v>17100</v>
      </c>
      <c r="R95" s="137">
        <f>AX95</f>
        <v>28800</v>
      </c>
      <c r="S95" s="137">
        <f>AV95</f>
        <v>12300</v>
      </c>
      <c r="T95" s="137">
        <f t="shared" ref="T95:U98" si="173">BB95</f>
        <v>43200</v>
      </c>
      <c r="U95" s="139">
        <f t="shared" si="173"/>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74">CC95</f>
        <v>49800</v>
      </c>
      <c r="AP95" s="137">
        <f t="shared" si="174"/>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c r="A96" s="80">
        <f>ROWS($A$3:A94)</f>
        <v>92</v>
      </c>
      <c r="B96" s="92" t="s">
        <v>96</v>
      </c>
      <c r="C96" s="394">
        <v>2010</v>
      </c>
      <c r="D96" s="259" t="s">
        <v>10</v>
      </c>
      <c r="E96" s="447">
        <v>40441</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'2014'!BA96</f>
        <v>26046</v>
      </c>
      <c r="Q96" s="137">
        <f>'2014'!AU96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0">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'2014'!AZ97+'2014'!BA97</f>
        <v>6750</v>
      </c>
      <c r="Q97" s="113">
        <f>'2014'!AU97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'2014'!AZ98+'2014'!BA98</f>
        <v>34324</v>
      </c>
      <c r="Q98" s="113">
        <f>'2014'!AU98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c r="A100" s="80">
        <f>ROWS($A$3:A98)</f>
        <v>96</v>
      </c>
      <c r="B100" s="55" t="s">
        <v>255</v>
      </c>
      <c r="C100" s="203">
        <f>C86</f>
        <v>2013</v>
      </c>
      <c r="D100" s="259" t="s">
        <v>13</v>
      </c>
      <c r="E100" s="447">
        <f>E87</f>
        <v>42185</v>
      </c>
      <c r="F100" s="154">
        <v>2313</v>
      </c>
      <c r="G100" s="155">
        <v>1171</v>
      </c>
      <c r="H100" s="155">
        <v>1272</v>
      </c>
      <c r="I100" s="156">
        <v>1054</v>
      </c>
      <c r="J100" s="281"/>
      <c r="K100" s="157">
        <f>BF100</f>
        <v>147</v>
      </c>
      <c r="L100" s="113">
        <f>AY100</f>
        <v>222</v>
      </c>
      <c r="M100" s="113">
        <f>BD100</f>
        <v>158</v>
      </c>
      <c r="N100" s="113">
        <f>AW100</f>
        <v>122</v>
      </c>
      <c r="O100" s="113">
        <f>BE100</f>
        <v>62</v>
      </c>
      <c r="P100" s="113">
        <f>'2009'!AZ101+'2009'!BA101</f>
        <v>658</v>
      </c>
      <c r="Q100" s="113">
        <f>'2009'!AU101</f>
        <v>260</v>
      </c>
      <c r="R100" s="113">
        <f>AT100+AX100</f>
        <v>418</v>
      </c>
      <c r="S100" s="113">
        <f>AV100</f>
        <v>308</v>
      </c>
      <c r="T100" s="113">
        <f>BB100</f>
        <v>95</v>
      </c>
      <c r="U100" s="112">
        <f>BC100</f>
        <v>126</v>
      </c>
      <c r="V100" s="113">
        <f>BG100+BJ100</f>
        <v>122</v>
      </c>
      <c r="W100" s="113">
        <f>BR100</f>
        <v>38</v>
      </c>
      <c r="X100" s="113">
        <f>BH100+BI100</f>
        <v>404</v>
      </c>
      <c r="Y100" s="113">
        <f>BK100+BL100+BN100</f>
        <v>279</v>
      </c>
      <c r="Z100" s="113">
        <f>BM100</f>
        <v>111</v>
      </c>
      <c r="AA100" s="113">
        <f>BO100+BQ100</f>
        <v>148</v>
      </c>
      <c r="AB100" s="112">
        <f>BP100</f>
        <v>69</v>
      </c>
      <c r="AC100" s="113">
        <f>BX100</f>
        <v>90</v>
      </c>
      <c r="AD100" s="113">
        <f>BU100</f>
        <v>146</v>
      </c>
      <c r="AE100" s="113">
        <f>BS100+BT100</f>
        <v>172</v>
      </c>
      <c r="AF100" s="113">
        <f>CA100</f>
        <v>122</v>
      </c>
      <c r="AG100" s="113">
        <f>BV100</f>
        <v>289</v>
      </c>
      <c r="AH100" s="113">
        <f>BZ100</f>
        <v>101</v>
      </c>
      <c r="AI100" s="113">
        <f>BW100</f>
        <v>108</v>
      </c>
      <c r="AJ100" s="113">
        <f>BY100</f>
        <v>154</v>
      </c>
      <c r="AK100" s="112">
        <f>CB100</f>
        <v>90</v>
      </c>
      <c r="AL100" s="113">
        <f>CE100</f>
        <v>233</v>
      </c>
      <c r="AM100" s="113">
        <f>CH100</f>
        <v>151</v>
      </c>
      <c r="AN100" s="113">
        <f>CJ100</f>
        <v>76</v>
      </c>
      <c r="AO100" s="113">
        <f>CC100</f>
        <v>155</v>
      </c>
      <c r="AP100" s="113">
        <f>CD100</f>
        <v>149</v>
      </c>
      <c r="AQ100" s="113">
        <f>CK100</f>
        <v>143</v>
      </c>
      <c r="AR100" s="113">
        <f>CI100</f>
        <v>36</v>
      </c>
      <c r="AS100" s="158">
        <f>CF100+CG100</f>
        <v>111</v>
      </c>
      <c r="AT100" s="113">
        <v>20</v>
      </c>
      <c r="AU100" s="113">
        <v>101</v>
      </c>
      <c r="AV100" s="113">
        <v>308</v>
      </c>
      <c r="AW100" s="113">
        <v>122</v>
      </c>
      <c r="AX100" s="113">
        <v>398</v>
      </c>
      <c r="AY100" s="113">
        <v>222</v>
      </c>
      <c r="AZ100" s="113">
        <v>34</v>
      </c>
      <c r="BA100" s="113">
        <v>520</v>
      </c>
      <c r="BB100" s="113">
        <v>95</v>
      </c>
      <c r="BC100" s="113">
        <v>126</v>
      </c>
      <c r="BD100" s="113">
        <v>158</v>
      </c>
      <c r="BE100" s="113">
        <v>62</v>
      </c>
      <c r="BF100" s="112">
        <v>147</v>
      </c>
      <c r="BG100" s="159">
        <v>42</v>
      </c>
      <c r="BH100" s="113">
        <v>5</v>
      </c>
      <c r="BI100" s="113">
        <v>399</v>
      </c>
      <c r="BJ100" s="113">
        <v>80</v>
      </c>
      <c r="BK100" s="113">
        <v>13</v>
      </c>
      <c r="BL100" s="113">
        <v>0</v>
      </c>
      <c r="BM100" s="113">
        <v>111</v>
      </c>
      <c r="BN100" s="113">
        <v>266</v>
      </c>
      <c r="BO100" s="159">
        <v>9</v>
      </c>
      <c r="BP100" s="113">
        <v>69</v>
      </c>
      <c r="BQ100" s="113">
        <v>139</v>
      </c>
      <c r="BR100" s="112">
        <v>38</v>
      </c>
      <c r="BS100" s="159">
        <v>16</v>
      </c>
      <c r="BT100" s="113">
        <v>156</v>
      </c>
      <c r="BU100" s="113">
        <v>146</v>
      </c>
      <c r="BV100" s="113">
        <v>289</v>
      </c>
      <c r="BW100" s="113">
        <v>108</v>
      </c>
      <c r="BX100" s="113">
        <v>90</v>
      </c>
      <c r="BY100" s="113">
        <v>154</v>
      </c>
      <c r="BZ100" s="113">
        <v>101</v>
      </c>
      <c r="CA100" s="113">
        <v>122</v>
      </c>
      <c r="CB100" s="112">
        <v>90</v>
      </c>
      <c r="CC100" s="113">
        <v>155</v>
      </c>
      <c r="CD100" s="113">
        <v>149</v>
      </c>
      <c r="CE100" s="113">
        <v>233</v>
      </c>
      <c r="CF100" s="113">
        <v>0</v>
      </c>
      <c r="CG100" s="113">
        <v>111</v>
      </c>
      <c r="CH100" s="113">
        <v>151</v>
      </c>
      <c r="CI100" s="113">
        <v>36</v>
      </c>
      <c r="CJ100" s="113">
        <v>76</v>
      </c>
      <c r="CK100" s="158">
        <v>143</v>
      </c>
      <c r="CL100" s="123">
        <v>5810</v>
      </c>
    </row>
    <row r="101" spans="1:90">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'2014'!AZ103+'2014'!BA103</f>
        <v>0</v>
      </c>
      <c r="Q103" s="113">
        <f>'2014'!AU103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'2014'!AZ104+'2014'!BA104</f>
        <v>0</v>
      </c>
      <c r="Q104" s="113">
        <f>'2014'!AU104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'2014'!AZ105+'2014'!BA105</f>
        <v>0</v>
      </c>
      <c r="Q105" s="113">
        <f>'2014'!AU105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'2014'!AZ106+'2014'!BA106</f>
        <v>0</v>
      </c>
      <c r="Q106" s="164">
        <f>'2014'!AU106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c r="B107" s="57"/>
      <c r="C107" s="203"/>
      <c r="D107" s="48"/>
      <c r="E107" s="449"/>
      <c r="F107" s="155">
        <f t="shared" ref="F107:BQ107" si="177">SUM(F7:F92)</f>
        <v>16076029.570731519</v>
      </c>
      <c r="G107" s="155">
        <f t="shared" si="177"/>
        <v>9370453.0032614246</v>
      </c>
      <c r="H107" s="155">
        <f t="shared" si="177"/>
        <v>9788661.1624363977</v>
      </c>
      <c r="I107" s="155">
        <f t="shared" si="177"/>
        <v>9971615.6247965246</v>
      </c>
      <c r="J107" s="155">
        <f t="shared" si="177"/>
        <v>0</v>
      </c>
      <c r="K107" s="155">
        <f t="shared" si="177"/>
        <v>1674676.9120144576</v>
      </c>
      <c r="L107" s="155">
        <f t="shared" si="177"/>
        <v>1362084.4506413033</v>
      </c>
      <c r="M107" s="155">
        <f t="shared" si="177"/>
        <v>1231357.7865632558</v>
      </c>
      <c r="N107" s="155">
        <f t="shared" si="177"/>
        <v>957700.29137213051</v>
      </c>
      <c r="O107" s="155">
        <f t="shared" si="177"/>
        <v>712894.9137701604</v>
      </c>
      <c r="P107" s="155">
        <f t="shared" si="177"/>
        <v>1760091.2198886331</v>
      </c>
      <c r="Q107" s="155">
        <f t="shared" si="177"/>
        <v>1283374.405087559</v>
      </c>
      <c r="R107" s="155">
        <f t="shared" si="177"/>
        <v>3188346.5264035058</v>
      </c>
      <c r="S107" s="155">
        <f t="shared" si="177"/>
        <v>1492480.7750519277</v>
      </c>
      <c r="T107" s="155">
        <f t="shared" si="177"/>
        <v>927813.92092798429</v>
      </c>
      <c r="U107" s="155">
        <f t="shared" si="177"/>
        <v>1813181.9624840945</v>
      </c>
      <c r="V107" s="155">
        <f t="shared" si="177"/>
        <v>1053897.6379680631</v>
      </c>
      <c r="W107" s="155">
        <f t="shared" si="177"/>
        <v>671590.75604047265</v>
      </c>
      <c r="X107" s="155">
        <f t="shared" si="177"/>
        <v>2335480.6533242981</v>
      </c>
      <c r="Y107" s="155">
        <f t="shared" si="177"/>
        <v>2727606.9676657207</v>
      </c>
      <c r="Z107" s="155">
        <f t="shared" si="177"/>
        <v>935948.90896759229</v>
      </c>
      <c r="AA107" s="155">
        <f t="shared" si="177"/>
        <v>1095137.523423709</v>
      </c>
      <c r="AB107" s="155">
        <f t="shared" si="177"/>
        <v>694938.9342845442</v>
      </c>
      <c r="AC107" s="155">
        <f t="shared" si="177"/>
        <v>1033792.103241739</v>
      </c>
      <c r="AD107" s="155">
        <f t="shared" si="177"/>
        <v>711218.95925099135</v>
      </c>
      <c r="AE107" s="155">
        <f t="shared" si="177"/>
        <v>1842518.0073879194</v>
      </c>
      <c r="AF107" s="155">
        <f t="shared" si="177"/>
        <v>901218.03326534154</v>
      </c>
      <c r="AG107" s="155">
        <f t="shared" si="177"/>
        <v>1859820.9909563437</v>
      </c>
      <c r="AH107" s="155">
        <f t="shared" si="177"/>
        <v>1056268.0905613354</v>
      </c>
      <c r="AI107" s="155">
        <f t="shared" si="177"/>
        <v>781140.80664671003</v>
      </c>
      <c r="AJ107" s="155">
        <f t="shared" si="177"/>
        <v>786003.73991983698</v>
      </c>
      <c r="AK107" s="155">
        <f t="shared" si="177"/>
        <v>976009.41499636369</v>
      </c>
      <c r="AL107" s="155">
        <f t="shared" si="177"/>
        <v>1003681.5698331746</v>
      </c>
      <c r="AM107" s="155">
        <f t="shared" si="177"/>
        <v>1435375.7391833505</v>
      </c>
      <c r="AN107" s="155">
        <f t="shared" si="177"/>
        <v>1651683.827902958</v>
      </c>
      <c r="AO107" s="155">
        <f t="shared" si="177"/>
        <v>1305437.8974989483</v>
      </c>
      <c r="AP107" s="155">
        <f t="shared" si="177"/>
        <v>844551.79293896141</v>
      </c>
      <c r="AQ107" s="155">
        <f t="shared" si="177"/>
        <v>1084236.819477103</v>
      </c>
      <c r="AR107" s="155">
        <f t="shared" si="177"/>
        <v>917086.55715657945</v>
      </c>
      <c r="AS107" s="155" t="e">
        <f t="shared" si="177"/>
        <v>#VALUE!</v>
      </c>
      <c r="AT107" s="155">
        <f t="shared" si="177"/>
        <v>1715255.7209307726</v>
      </c>
      <c r="AU107" s="155">
        <f t="shared" si="177"/>
        <v>1282882.5057695513</v>
      </c>
      <c r="AV107" s="155">
        <f t="shared" si="177"/>
        <v>1492480.7750519277</v>
      </c>
      <c r="AW107" s="155">
        <f t="shared" si="177"/>
        <v>957700.29137213051</v>
      </c>
      <c r="AX107" s="155">
        <f t="shared" si="177"/>
        <v>1606038.5015210107</v>
      </c>
      <c r="AY107" s="155">
        <f t="shared" si="177"/>
        <v>1362084.4506413033</v>
      </c>
      <c r="AZ107" s="155">
        <f t="shared" si="177"/>
        <v>390408.84643064137</v>
      </c>
      <c r="BA107" s="155">
        <f t="shared" si="177"/>
        <v>1400756.368750283</v>
      </c>
      <c r="BB107" s="155">
        <f t="shared" si="177"/>
        <v>927813.92092798429</v>
      </c>
      <c r="BC107" s="155">
        <f t="shared" si="177"/>
        <v>1813181.9624840945</v>
      </c>
      <c r="BD107" s="155">
        <f t="shared" si="177"/>
        <v>1231357.7865632558</v>
      </c>
      <c r="BE107" s="155">
        <f t="shared" si="177"/>
        <v>712894.9137701604</v>
      </c>
      <c r="BF107" s="155">
        <f t="shared" si="177"/>
        <v>1674676.9120144576</v>
      </c>
      <c r="BG107" s="155">
        <f t="shared" si="177"/>
        <v>212952.53831478045</v>
      </c>
      <c r="BH107" s="155">
        <f t="shared" si="177"/>
        <v>864755.89202151459</v>
      </c>
      <c r="BI107" s="155">
        <f t="shared" si="177"/>
        <v>1547745.284829289</v>
      </c>
      <c r="BJ107" s="155">
        <f t="shared" si="177"/>
        <v>861735.33118550293</v>
      </c>
      <c r="BK107" s="155">
        <f t="shared" si="177"/>
        <v>536709.8946480928</v>
      </c>
      <c r="BL107" s="155">
        <f t="shared" si="177"/>
        <v>770661.45115895593</v>
      </c>
      <c r="BM107" s="155">
        <f t="shared" si="177"/>
        <v>935948.90896759229</v>
      </c>
      <c r="BN107" s="155">
        <f t="shared" si="177"/>
        <v>1555842.0906298731</v>
      </c>
      <c r="BO107" s="155">
        <f t="shared" si="177"/>
        <v>314953.6870816811</v>
      </c>
      <c r="BP107" s="155">
        <f t="shared" si="177"/>
        <v>694938.9342845442</v>
      </c>
      <c r="BQ107" s="155">
        <f t="shared" si="177"/>
        <v>808718.65634184319</v>
      </c>
      <c r="BR107" s="155">
        <f t="shared" ref="BR107:CL107" si="178">SUM(BR7:BR92)</f>
        <v>671590.75604047265</v>
      </c>
      <c r="BS107" s="155">
        <f t="shared" si="178"/>
        <v>605084.88060651696</v>
      </c>
      <c r="BT107" s="155">
        <f t="shared" si="178"/>
        <v>1267922.09089471</v>
      </c>
      <c r="BU107" s="155">
        <f t="shared" si="178"/>
        <v>711218.95925099135</v>
      </c>
      <c r="BV107" s="155">
        <f t="shared" si="178"/>
        <v>1859820.9909563437</v>
      </c>
      <c r="BW107" s="155">
        <f t="shared" si="178"/>
        <v>781140.80664671003</v>
      </c>
      <c r="BX107" s="155">
        <f t="shared" si="178"/>
        <v>1033792.103241739</v>
      </c>
      <c r="BY107" s="155">
        <f t="shared" si="178"/>
        <v>786003.73991983698</v>
      </c>
      <c r="BZ107" s="155">
        <f t="shared" si="178"/>
        <v>1056268.0905613354</v>
      </c>
      <c r="CA107" s="155">
        <f t="shared" si="178"/>
        <v>901218.03326534154</v>
      </c>
      <c r="CB107" s="155">
        <f t="shared" si="178"/>
        <v>976009.41499636369</v>
      </c>
      <c r="CC107" s="155">
        <f t="shared" si="178"/>
        <v>1305437.8974989483</v>
      </c>
      <c r="CD107" s="155">
        <f t="shared" si="178"/>
        <v>844551.79293896141</v>
      </c>
      <c r="CE107" s="155">
        <f t="shared" si="178"/>
        <v>1003681.5698331746</v>
      </c>
      <c r="CF107" s="155">
        <f t="shared" si="178"/>
        <v>404704.14024116419</v>
      </c>
      <c r="CG107" s="155">
        <f t="shared" si="178"/>
        <v>1507407.0475220585</v>
      </c>
      <c r="CH107" s="155">
        <f t="shared" si="178"/>
        <v>1435375.7391833505</v>
      </c>
      <c r="CI107" s="155">
        <f t="shared" si="178"/>
        <v>917086.55715657945</v>
      </c>
      <c r="CJ107" s="155">
        <f t="shared" si="178"/>
        <v>1651683.827902958</v>
      </c>
      <c r="CK107" s="155">
        <f t="shared" si="178"/>
        <v>1084236.819477103</v>
      </c>
      <c r="CL107" s="155">
        <f t="shared" si="178"/>
        <v>45151804.278133735</v>
      </c>
    </row>
    <row r="108" spans="1:90">
      <c r="B108" s="71" t="s">
        <v>209</v>
      </c>
    </row>
    <row r="109" spans="1:90">
      <c r="B109" s="73" t="s">
        <v>277</v>
      </c>
    </row>
    <row r="110" spans="1:90">
      <c r="B110" s="73" t="s">
        <v>205</v>
      </c>
    </row>
    <row r="111" spans="1:90">
      <c r="B111" s="73" t="s">
        <v>206</v>
      </c>
    </row>
    <row r="112" spans="1:90">
      <c r="B112" s="73" t="s">
        <v>286</v>
      </c>
    </row>
    <row r="113" spans="1:90">
      <c r="B113" s="73" t="s">
        <v>78</v>
      </c>
    </row>
    <row r="114" spans="1:90">
      <c r="B114" s="73" t="s">
        <v>207</v>
      </c>
    </row>
    <row r="115" spans="1:90">
      <c r="B115" s="73" t="s">
        <v>211</v>
      </c>
    </row>
    <row r="117" spans="1:90" s="69" customFormat="1" ht="11.25">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'2014'!AZ117+'2014'!BA117</f>
        <v>5400</v>
      </c>
      <c r="Q117" s="323">
        <f>'2014'!AU117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325">
        <v>2011</v>
      </c>
      <c r="D118" s="329" t="s">
        <v>285</v>
      </c>
      <c r="E118" s="459"/>
      <c r="F118" s="323">
        <v>643</v>
      </c>
      <c r="G118" s="324">
        <v>324</v>
      </c>
      <c r="H118" s="324">
        <v>500</v>
      </c>
      <c r="I118" s="323">
        <v>456</v>
      </c>
      <c r="J118" s="324"/>
      <c r="K118" s="323">
        <f>BF118</f>
        <v>76</v>
      </c>
      <c r="L118" s="324">
        <f>AY118</f>
        <v>48</v>
      </c>
      <c r="M118" s="324">
        <f>BD118</f>
        <v>58</v>
      </c>
      <c r="N118" s="324">
        <f>AW118</f>
        <v>29</v>
      </c>
      <c r="O118" s="324">
        <f>BE118</f>
        <v>29</v>
      </c>
      <c r="P118" s="423">
        <f>AZ118+BA118</f>
        <v>91</v>
      </c>
      <c r="Q118" s="323">
        <f>AU118</f>
        <v>22</v>
      </c>
      <c r="R118" s="423">
        <f>AT118+AX118</f>
        <v>76</v>
      </c>
      <c r="S118" s="324">
        <f>AV118</f>
        <v>30</v>
      </c>
      <c r="T118" s="324">
        <f>BB118</f>
        <v>71</v>
      </c>
      <c r="U118" s="323">
        <f>BC118</f>
        <v>114</v>
      </c>
      <c r="V118" s="423">
        <f>BG118+BJ118</f>
        <v>44</v>
      </c>
      <c r="W118" s="324">
        <f>BR118</f>
        <v>25</v>
      </c>
      <c r="X118" s="423">
        <f>BH118+BI118</f>
        <v>59</v>
      </c>
      <c r="Y118" s="423">
        <f>BK118+BL118+BN118</f>
        <v>77</v>
      </c>
      <c r="Z118" s="324">
        <f>BM118</f>
        <v>56</v>
      </c>
      <c r="AA118" s="423">
        <f>BO118+BQ118</f>
        <v>34</v>
      </c>
      <c r="AB118" s="323">
        <f>BP118</f>
        <v>29</v>
      </c>
      <c r="AC118" s="324">
        <f>BX118</f>
        <v>38</v>
      </c>
      <c r="AD118" s="324">
        <f>BU118</f>
        <v>42</v>
      </c>
      <c r="AE118" s="423">
        <f>BS118+BT118</f>
        <v>116</v>
      </c>
      <c r="AF118" s="324">
        <f>CA118</f>
        <v>40</v>
      </c>
      <c r="AG118" s="324">
        <f>BV118</f>
        <v>115</v>
      </c>
      <c r="AH118" s="324">
        <f>BZ118</f>
        <v>62</v>
      </c>
      <c r="AI118" s="324">
        <f>BW118</f>
        <v>32</v>
      </c>
      <c r="AJ118" s="324">
        <f>BY118</f>
        <v>21</v>
      </c>
      <c r="AK118" s="323">
        <f>CB118</f>
        <v>35</v>
      </c>
      <c r="AL118" s="324">
        <f>CE118</f>
        <v>25</v>
      </c>
      <c r="AM118" s="324">
        <f>CH118</f>
        <v>84</v>
      </c>
      <c r="AN118" s="324">
        <f>CJ118</f>
        <v>105</v>
      </c>
      <c r="AO118" s="324">
        <f>CC118</f>
        <v>32</v>
      </c>
      <c r="AP118" s="324">
        <f>CD118</f>
        <v>15</v>
      </c>
      <c r="AQ118" s="324">
        <f>CK118</f>
        <v>53</v>
      </c>
      <c r="AR118" s="324">
        <f>CI118</f>
        <v>61</v>
      </c>
      <c r="AS118" s="423">
        <f>CF118+CG118</f>
        <v>79</v>
      </c>
      <c r="AT118" s="324">
        <v>18</v>
      </c>
      <c r="AU118" s="324">
        <v>22</v>
      </c>
      <c r="AV118" s="324">
        <v>30</v>
      </c>
      <c r="AW118" s="324">
        <v>29</v>
      </c>
      <c r="AX118" s="324">
        <v>58</v>
      </c>
      <c r="AY118" s="324">
        <v>48</v>
      </c>
      <c r="AZ118" s="324">
        <v>11</v>
      </c>
      <c r="BA118" s="324">
        <v>80</v>
      </c>
      <c r="BB118" s="324">
        <v>71</v>
      </c>
      <c r="BC118" s="324">
        <v>114</v>
      </c>
      <c r="BD118" s="324">
        <v>58</v>
      </c>
      <c r="BE118" s="324">
        <v>29</v>
      </c>
      <c r="BF118" s="323">
        <v>76</v>
      </c>
      <c r="BG118" s="324">
        <v>12</v>
      </c>
      <c r="BH118" s="324">
        <v>10</v>
      </c>
      <c r="BI118" s="324">
        <v>49</v>
      </c>
      <c r="BJ118" s="324">
        <v>32</v>
      </c>
      <c r="BK118" s="324">
        <v>10</v>
      </c>
      <c r="BL118" s="324">
        <v>5</v>
      </c>
      <c r="BM118" s="324">
        <v>56</v>
      </c>
      <c r="BN118" s="324">
        <v>62</v>
      </c>
      <c r="BO118" s="324">
        <v>8</v>
      </c>
      <c r="BP118" s="324">
        <v>29</v>
      </c>
      <c r="BQ118" s="324">
        <v>26</v>
      </c>
      <c r="BR118" s="323">
        <v>25</v>
      </c>
      <c r="BS118" s="324">
        <v>16</v>
      </c>
      <c r="BT118" s="324">
        <v>100</v>
      </c>
      <c r="BU118" s="324">
        <v>42</v>
      </c>
      <c r="BV118" s="324">
        <v>115</v>
      </c>
      <c r="BW118" s="324">
        <v>32</v>
      </c>
      <c r="BX118" s="324">
        <v>38</v>
      </c>
      <c r="BY118" s="324">
        <v>21</v>
      </c>
      <c r="BZ118" s="324">
        <v>62</v>
      </c>
      <c r="CA118" s="324">
        <v>40</v>
      </c>
      <c r="CB118" s="323">
        <v>35</v>
      </c>
      <c r="CC118" s="324">
        <v>32</v>
      </c>
      <c r="CD118" s="324">
        <v>15</v>
      </c>
      <c r="CE118" s="324">
        <v>25</v>
      </c>
      <c r="CF118" s="324">
        <v>7</v>
      </c>
      <c r="CG118" s="324">
        <v>72</v>
      </c>
      <c r="CH118" s="324">
        <v>84</v>
      </c>
      <c r="CI118" s="324">
        <v>61</v>
      </c>
      <c r="CJ118" s="324">
        <v>105</v>
      </c>
      <c r="CK118" s="323">
        <v>53</v>
      </c>
      <c r="CL118" s="323">
        <v>1922</v>
      </c>
    </row>
    <row r="119" spans="1:90" s="69" customFormat="1" ht="11.25">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1.25">
      <c r="B123" s="328" t="s">
        <v>235</v>
      </c>
      <c r="C123" s="322">
        <v>2013</v>
      </c>
      <c r="D123" s="69" t="s">
        <v>13</v>
      </c>
      <c r="E123" s="461">
        <v>42024</v>
      </c>
      <c r="F123" s="323">
        <v>2439</v>
      </c>
      <c r="G123" s="323">
        <v>530</v>
      </c>
      <c r="H123" s="323">
        <v>2280</v>
      </c>
      <c r="I123" s="323">
        <v>3425</v>
      </c>
      <c r="J123" s="323"/>
      <c r="K123" s="323">
        <f>BF123</f>
        <v>592</v>
      </c>
      <c r="L123" s="323">
        <f>AY123</f>
        <v>197</v>
      </c>
      <c r="M123" s="323">
        <f>BD123</f>
        <v>184</v>
      </c>
      <c r="N123" s="323">
        <f>AW123</f>
        <v>237</v>
      </c>
      <c r="O123" s="323">
        <f>BE123</f>
        <v>168</v>
      </c>
      <c r="P123" s="323">
        <f>'2014'!BA123</f>
        <v>86</v>
      </c>
      <c r="Q123" s="323">
        <f>'2014'!AU123</f>
        <v>62</v>
      </c>
      <c r="R123" s="323">
        <f>AX123</f>
        <v>104</v>
      </c>
      <c r="S123" s="323">
        <f>AV123</f>
        <v>76</v>
      </c>
      <c r="T123" s="323">
        <f>BB123</f>
        <v>174</v>
      </c>
      <c r="U123" s="323">
        <f>BC123</f>
        <v>543</v>
      </c>
      <c r="V123" s="323">
        <f>BJ123</f>
        <v>17</v>
      </c>
      <c r="W123" s="323">
        <f>BR123</f>
        <v>96</v>
      </c>
      <c r="X123" s="323">
        <f>BI123</f>
        <v>21</v>
      </c>
      <c r="Y123" s="323">
        <f>BN123</f>
        <v>62</v>
      </c>
      <c r="Z123" s="323">
        <f>BM123</f>
        <v>168</v>
      </c>
      <c r="AA123" s="323">
        <f>BQ123</f>
        <v>59</v>
      </c>
      <c r="AB123" s="323">
        <f>BP123</f>
        <v>97</v>
      </c>
      <c r="AC123" s="323">
        <f>BX123</f>
        <v>404</v>
      </c>
      <c r="AD123" s="323">
        <f>BU123</f>
        <v>162</v>
      </c>
      <c r="AE123" s="323">
        <f>BT123</f>
        <v>390</v>
      </c>
      <c r="AF123" s="323">
        <f>CA123</f>
        <v>137</v>
      </c>
      <c r="AG123" s="323">
        <f>BV123</f>
        <v>417</v>
      </c>
      <c r="AH123" s="323">
        <f>BZ123</f>
        <v>193</v>
      </c>
      <c r="AI123" s="323">
        <f>BW123</f>
        <v>181</v>
      </c>
      <c r="AJ123" s="323">
        <f>BY123</f>
        <v>101</v>
      </c>
      <c r="AK123" s="323">
        <f>CB123</f>
        <v>290</v>
      </c>
      <c r="AL123" s="323">
        <f>CE123</f>
        <v>70</v>
      </c>
      <c r="AM123" s="323">
        <f>CH123</f>
        <v>710</v>
      </c>
      <c r="AN123" s="323">
        <f>CJ123</f>
        <v>1444</v>
      </c>
      <c r="AO123" s="323">
        <f>CC123</f>
        <v>179</v>
      </c>
      <c r="AP123" s="323">
        <f>CD123</f>
        <v>29</v>
      </c>
      <c r="AQ123" s="323">
        <f>CK123</f>
        <v>293</v>
      </c>
      <c r="AR123" s="323">
        <f>CI123</f>
        <v>246</v>
      </c>
      <c r="AS123" s="323">
        <f>CG123</f>
        <v>436</v>
      </c>
      <c r="AT123" s="323" t="s">
        <v>233</v>
      </c>
      <c r="AU123" s="323">
        <v>62</v>
      </c>
      <c r="AV123" s="323">
        <v>76</v>
      </c>
      <c r="AW123" s="323">
        <v>237</v>
      </c>
      <c r="AX123" s="323">
        <v>104</v>
      </c>
      <c r="AY123" s="323">
        <v>197</v>
      </c>
      <c r="AZ123" s="323" t="s">
        <v>233</v>
      </c>
      <c r="BA123" s="323">
        <v>86</v>
      </c>
      <c r="BB123" s="323">
        <v>174</v>
      </c>
      <c r="BC123" s="323">
        <v>543</v>
      </c>
      <c r="BD123" s="323">
        <v>184</v>
      </c>
      <c r="BE123" s="323">
        <v>168</v>
      </c>
      <c r="BF123" s="323">
        <v>592</v>
      </c>
      <c r="BG123" s="323" t="s">
        <v>58</v>
      </c>
      <c r="BH123" s="323" t="s">
        <v>233</v>
      </c>
      <c r="BI123" s="323">
        <v>21</v>
      </c>
      <c r="BJ123" s="323">
        <v>17</v>
      </c>
      <c r="BK123" s="323" t="s">
        <v>233</v>
      </c>
      <c r="BL123" s="323" t="s">
        <v>233</v>
      </c>
      <c r="BM123" s="323">
        <v>168</v>
      </c>
      <c r="BN123" s="323">
        <v>62</v>
      </c>
      <c r="BO123" s="323" t="s">
        <v>233</v>
      </c>
      <c r="BP123" s="323">
        <v>97</v>
      </c>
      <c r="BQ123" s="323">
        <v>59</v>
      </c>
      <c r="BR123" s="323">
        <v>96</v>
      </c>
      <c r="BS123" s="323">
        <v>5</v>
      </c>
      <c r="BT123" s="323">
        <v>390</v>
      </c>
      <c r="BU123" s="323">
        <v>162</v>
      </c>
      <c r="BV123" s="323">
        <v>417</v>
      </c>
      <c r="BW123" s="323">
        <v>181</v>
      </c>
      <c r="BX123" s="323">
        <v>404</v>
      </c>
      <c r="BY123" s="323">
        <v>101</v>
      </c>
      <c r="BZ123" s="323">
        <v>193</v>
      </c>
      <c r="CA123" s="323">
        <v>137</v>
      </c>
      <c r="CB123" s="323">
        <v>290</v>
      </c>
      <c r="CC123" s="323">
        <v>179</v>
      </c>
      <c r="CD123" s="323">
        <v>29</v>
      </c>
      <c r="CE123" s="323">
        <v>70</v>
      </c>
      <c r="CF123" s="323">
        <v>18</v>
      </c>
      <c r="CG123" s="323">
        <v>436</v>
      </c>
      <c r="CH123" s="323">
        <v>710</v>
      </c>
      <c r="CI123" s="323">
        <v>246</v>
      </c>
      <c r="CJ123" s="323">
        <v>1444</v>
      </c>
      <c r="CK123" s="323">
        <v>293</v>
      </c>
      <c r="CL123" s="323">
        <v>8674</v>
      </c>
    </row>
    <row r="124" spans="1:90" s="69" customFormat="1" ht="11.25">
      <c r="B124" s="328" t="s">
        <v>236</v>
      </c>
      <c r="C124" s="322">
        <v>2010</v>
      </c>
      <c r="D124" s="69" t="s">
        <v>13</v>
      </c>
      <c r="E124" s="460">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c r="B125" s="328" t="s">
        <v>237</v>
      </c>
      <c r="C125" s="322">
        <v>2010</v>
      </c>
      <c r="D125" s="69" t="s">
        <v>13</v>
      </c>
      <c r="E125" s="460">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'2014'!AZ126+'2014'!BA126</f>
        <v>6973</v>
      </c>
      <c r="Q126" s="323">
        <f>'2014'!AU126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c r="B127" s="328"/>
      <c r="C127" s="322"/>
      <c r="E127" s="460"/>
      <c r="F127" s="323">
        <f>F126/F35%</f>
        <v>62.946649616588516</v>
      </c>
      <c r="G127" s="323">
        <f>G126/G35%</f>
        <v>42.470501767907514</v>
      </c>
      <c r="H127" s="323">
        <f>H126/H35%</f>
        <v>49.633486139083601</v>
      </c>
      <c r="I127" s="323">
        <f>I126/I35%</f>
        <v>52.657707056925538</v>
      </c>
      <c r="J127" s="323"/>
      <c r="K127" s="323">
        <f t="shared" ref="K127:BV127" si="179">K126/K35%</f>
        <v>99.268413400563006</v>
      </c>
      <c r="L127" s="323">
        <f t="shared" si="179"/>
        <v>69.175556950109822</v>
      </c>
      <c r="M127" s="323">
        <f t="shared" si="179"/>
        <v>70.264233018840187</v>
      </c>
      <c r="N127" s="323">
        <f t="shared" si="179"/>
        <v>73.910260968498903</v>
      </c>
      <c r="O127" s="323">
        <f t="shared" si="179"/>
        <v>59.728904161893858</v>
      </c>
      <c r="P127" s="323">
        <f t="shared" si="179"/>
        <v>12.006474163610379</v>
      </c>
      <c r="Q127" s="323">
        <f t="shared" si="179"/>
        <v>48.340738054220687</v>
      </c>
      <c r="R127" s="323">
        <f t="shared" si="179"/>
        <v>1.4480629993942364</v>
      </c>
      <c r="S127" s="323">
        <f t="shared" si="179"/>
        <v>56.736107573982579</v>
      </c>
      <c r="T127" s="323">
        <f t="shared" si="179"/>
        <v>56.536082474226802</v>
      </c>
      <c r="U127" s="323">
        <f t="shared" si="179"/>
        <v>96.604796772461142</v>
      </c>
      <c r="V127" s="323">
        <f t="shared" si="179"/>
        <v>33.655705996131523</v>
      </c>
      <c r="W127" s="323">
        <f t="shared" si="179"/>
        <v>82.393993866976842</v>
      </c>
      <c r="X127" s="323">
        <f t="shared" si="179"/>
        <v>6.5866613218419605</v>
      </c>
      <c r="Y127" s="323">
        <f t="shared" si="179"/>
        <v>15.782338366602778</v>
      </c>
      <c r="Z127" s="323">
        <f t="shared" si="179"/>
        <v>70.176802020594522</v>
      </c>
      <c r="AA127" s="323">
        <f t="shared" si="179"/>
        <v>45.946616392141294</v>
      </c>
      <c r="AB127" s="323">
        <f t="shared" si="179"/>
        <v>77.637375376767906</v>
      </c>
      <c r="AC127" s="323">
        <f t="shared" si="179"/>
        <v>64.570295397769698</v>
      </c>
      <c r="AD127" s="323">
        <f t="shared" si="179"/>
        <v>35.691548980049312</v>
      </c>
      <c r="AE127" s="323">
        <f t="shared" si="179"/>
        <v>11.176741331696839</v>
      </c>
      <c r="AF127" s="323">
        <f t="shared" si="179"/>
        <v>28.987385519267324</v>
      </c>
      <c r="AG127" s="323">
        <f t="shared" si="179"/>
        <v>34.136936936936934</v>
      </c>
      <c r="AH127" s="323">
        <f t="shared" si="179"/>
        <v>65.443470509582525</v>
      </c>
      <c r="AI127" s="323">
        <f t="shared" si="179"/>
        <v>96.268235137739666</v>
      </c>
      <c r="AJ127" s="323">
        <f t="shared" si="179"/>
        <v>62.795876288659791</v>
      </c>
      <c r="AK127" s="323">
        <f t="shared" si="179"/>
        <v>71.009805967035263</v>
      </c>
      <c r="AL127" s="323">
        <f t="shared" si="179"/>
        <v>61.481306757872389</v>
      </c>
      <c r="AM127" s="323">
        <f t="shared" si="179"/>
        <v>19.664098936225958</v>
      </c>
      <c r="AN127" s="323">
        <f t="shared" si="179"/>
        <v>58.441588568247198</v>
      </c>
      <c r="AO127" s="323">
        <f t="shared" si="179"/>
        <v>101.09655802619555</v>
      </c>
      <c r="AP127" s="323">
        <f t="shared" si="179"/>
        <v>60.687801721992734</v>
      </c>
      <c r="AQ127" s="323">
        <f t="shared" si="179"/>
        <v>72.345774156849785</v>
      </c>
      <c r="AR127" s="323">
        <f t="shared" si="179"/>
        <v>23.502097064110245</v>
      </c>
      <c r="AS127" s="323">
        <f t="shared" si="179"/>
        <v>44.937183216676615</v>
      </c>
      <c r="AT127" s="323">
        <f t="shared" si="179"/>
        <v>11.155537784886045</v>
      </c>
      <c r="AU127" s="323">
        <f t="shared" si="179"/>
        <v>48.340738054220687</v>
      </c>
      <c r="AV127" s="323">
        <f t="shared" si="179"/>
        <v>56.736107573982579</v>
      </c>
      <c r="AW127" s="323">
        <f t="shared" si="179"/>
        <v>73.910260968498903</v>
      </c>
      <c r="AX127" s="323">
        <f t="shared" si="179"/>
        <v>0.69327861717341288</v>
      </c>
      <c r="AY127" s="323">
        <f t="shared" si="179"/>
        <v>69.175556950109822</v>
      </c>
      <c r="AZ127" s="323">
        <f t="shared" si="179"/>
        <v>0</v>
      </c>
      <c r="BA127" s="323">
        <f t="shared" si="179"/>
        <v>12.93788036217901</v>
      </c>
      <c r="BB127" s="323">
        <f t="shared" si="179"/>
        <v>56.536082474226802</v>
      </c>
      <c r="BC127" s="323">
        <f t="shared" si="179"/>
        <v>96.604796772461142</v>
      </c>
      <c r="BD127" s="323">
        <f t="shared" si="179"/>
        <v>70.264233018840187</v>
      </c>
      <c r="BE127" s="323">
        <f t="shared" si="179"/>
        <v>59.728904161893858</v>
      </c>
      <c r="BF127" s="323">
        <f t="shared" si="179"/>
        <v>99.268413400563006</v>
      </c>
      <c r="BG127" s="323">
        <f t="shared" si="179"/>
        <v>118.58932102834542</v>
      </c>
      <c r="BH127" s="323">
        <f t="shared" si="179"/>
        <v>0</v>
      </c>
      <c r="BI127" s="323">
        <f t="shared" si="179"/>
        <v>7.0301636538667243</v>
      </c>
      <c r="BJ127" s="323">
        <f t="shared" si="179"/>
        <v>24.776016540317023</v>
      </c>
      <c r="BK127" s="323">
        <f t="shared" si="179"/>
        <v>112.88913162206445</v>
      </c>
      <c r="BL127" s="323">
        <f t="shared" si="179"/>
        <v>0</v>
      </c>
      <c r="BM127" s="323">
        <f t="shared" si="179"/>
        <v>70.176802020594522</v>
      </c>
      <c r="BN127" s="323">
        <f t="shared" si="179"/>
        <v>12.29755623802399</v>
      </c>
      <c r="BO127" s="323">
        <f t="shared" si="179"/>
        <v>27.576054955839059</v>
      </c>
      <c r="BP127" s="323">
        <f t="shared" si="179"/>
        <v>77.637375376767906</v>
      </c>
      <c r="BQ127" s="323">
        <f t="shared" si="179"/>
        <v>46.924805350890942</v>
      </c>
      <c r="BR127" s="323">
        <f t="shared" si="179"/>
        <v>82.393993866976842</v>
      </c>
      <c r="BS127" s="323">
        <f t="shared" si="179"/>
        <v>6.0940220545560067</v>
      </c>
      <c r="BT127" s="323">
        <f t="shared" si="179"/>
        <v>11.536408066039673</v>
      </c>
      <c r="BU127" s="323">
        <f t="shared" si="179"/>
        <v>35.691548980049312</v>
      </c>
      <c r="BV127" s="323">
        <f t="shared" si="179"/>
        <v>34.136936936936934</v>
      </c>
      <c r="BW127" s="323">
        <f t="shared" ref="BW127:CL127" si="180">BW126/BW35%</f>
        <v>96.268235137739666</v>
      </c>
      <c r="BX127" s="323">
        <f t="shared" si="180"/>
        <v>64.570295397769698</v>
      </c>
      <c r="BY127" s="323">
        <f t="shared" si="180"/>
        <v>62.795876288659791</v>
      </c>
      <c r="BZ127" s="323">
        <f t="shared" si="180"/>
        <v>65.443470509582525</v>
      </c>
      <c r="CA127" s="323">
        <f t="shared" si="180"/>
        <v>28.987385519267324</v>
      </c>
      <c r="CB127" s="323">
        <f t="shared" si="180"/>
        <v>71.009805967035263</v>
      </c>
      <c r="CC127" s="323">
        <f t="shared" si="180"/>
        <v>101.09655802619555</v>
      </c>
      <c r="CD127" s="323">
        <f t="shared" si="180"/>
        <v>60.687801721992734</v>
      </c>
      <c r="CE127" s="323">
        <f t="shared" si="180"/>
        <v>61.481306757872389</v>
      </c>
      <c r="CF127" s="323">
        <f t="shared" si="180"/>
        <v>29.761397528760121</v>
      </c>
      <c r="CG127" s="323">
        <f t="shared" si="180"/>
        <v>45.89946911262107</v>
      </c>
      <c r="CH127" s="323">
        <f t="shared" si="180"/>
        <v>19.664098936225958</v>
      </c>
      <c r="CI127" s="323">
        <f t="shared" si="180"/>
        <v>23.502097064110245</v>
      </c>
      <c r="CJ127" s="323">
        <f t="shared" si="180"/>
        <v>58.441588568247198</v>
      </c>
      <c r="CK127" s="323">
        <f t="shared" si="180"/>
        <v>72.345774156849785</v>
      </c>
      <c r="CL127" s="323">
        <f t="shared" si="180"/>
        <v>53.909820509110716</v>
      </c>
    </row>
    <row r="128" spans="1:90"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c r="AT129" s="126">
        <v>0.9</v>
      </c>
      <c r="AU129" s="126">
        <v>0.9</v>
      </c>
      <c r="AV129" s="126">
        <v>1.4</v>
      </c>
      <c r="AW129" s="126">
        <v>1.1000000000000001</v>
      </c>
      <c r="AX129" s="126">
        <v>3.2</v>
      </c>
      <c r="AY129" s="126">
        <v>2.5</v>
      </c>
      <c r="AZ129" s="126">
        <v>0.7</v>
      </c>
      <c r="BA129" s="126">
        <v>3.9</v>
      </c>
      <c r="BB129" s="126">
        <v>2.2000000000000002</v>
      </c>
      <c r="BC129" s="126">
        <v>3.2</v>
      </c>
      <c r="BD129" s="126">
        <v>2</v>
      </c>
      <c r="BE129" s="126">
        <v>0.9</v>
      </c>
      <c r="BF129" s="126">
        <v>2.4</v>
      </c>
      <c r="BG129" s="126">
        <v>0.3</v>
      </c>
      <c r="BH129" s="126">
        <v>0.2</v>
      </c>
      <c r="BI129" s="126">
        <v>1.7</v>
      </c>
      <c r="BJ129" s="126">
        <v>1.1000000000000001</v>
      </c>
      <c r="BK129" s="126">
        <v>0.3</v>
      </c>
      <c r="BL129" s="126">
        <v>0.4</v>
      </c>
      <c r="BM129" s="126">
        <v>1.3</v>
      </c>
      <c r="BN129" s="126">
        <v>2.1</v>
      </c>
      <c r="BO129" s="126">
        <v>0.2</v>
      </c>
      <c r="BP129" s="126">
        <v>0.8</v>
      </c>
      <c r="BQ129" s="126">
        <v>0.7</v>
      </c>
      <c r="BR129" s="126">
        <v>0.6</v>
      </c>
      <c r="BS129" s="126">
        <v>0.5</v>
      </c>
      <c r="BT129" s="126">
        <v>3.9</v>
      </c>
      <c r="BU129" s="126">
        <v>1.8</v>
      </c>
      <c r="BV129" s="126">
        <v>4.7</v>
      </c>
      <c r="BW129" s="126">
        <v>0.9</v>
      </c>
      <c r="BX129" s="126">
        <v>1.3</v>
      </c>
      <c r="BY129" s="126">
        <v>0.5</v>
      </c>
      <c r="BZ129" s="126">
        <v>2.2999999999999998</v>
      </c>
      <c r="CA129" s="126">
        <v>1.5</v>
      </c>
      <c r="CB129" s="126">
        <v>1.3</v>
      </c>
      <c r="CC129" s="126">
        <v>1.5</v>
      </c>
      <c r="CD129" s="126">
        <v>0.5</v>
      </c>
      <c r="CE129" s="126">
        <v>0.9</v>
      </c>
      <c r="CF129" s="126">
        <v>0.3</v>
      </c>
      <c r="CG129" s="126">
        <v>2.8</v>
      </c>
      <c r="CH129" s="126">
        <v>3.5</v>
      </c>
      <c r="CI129" s="126">
        <v>3.8</v>
      </c>
      <c r="CJ129" s="126">
        <v>5.8</v>
      </c>
      <c r="CK129" s="126">
        <v>1.8</v>
      </c>
    </row>
    <row r="131" spans="2:90">
      <c r="B131" s="58" t="s">
        <v>290</v>
      </c>
      <c r="D131" t="s">
        <v>7</v>
      </c>
      <c r="E131" s="457">
        <v>42024</v>
      </c>
      <c r="F131" s="126">
        <v>16888</v>
      </c>
      <c r="G131" s="126">
        <v>7358</v>
      </c>
      <c r="H131" s="126">
        <v>22942</v>
      </c>
      <c r="I131" s="126">
        <v>14975</v>
      </c>
      <c r="K131" s="126">
        <v>4191</v>
      </c>
      <c r="L131" s="126">
        <v>1688</v>
      </c>
      <c r="M131" s="126">
        <v>921</v>
      </c>
      <c r="N131" s="126">
        <v>1985</v>
      </c>
      <c r="O131" s="126">
        <v>593</v>
      </c>
      <c r="P131" s="126">
        <v>882</v>
      </c>
      <c r="Q131" s="126">
        <v>649</v>
      </c>
      <c r="R131" s="126">
        <v>397</v>
      </c>
      <c r="S131" s="126">
        <v>875</v>
      </c>
      <c r="T131" s="126">
        <v>1321</v>
      </c>
      <c r="U131" s="126">
        <v>3336</v>
      </c>
      <c r="V131" s="126">
        <v>769</v>
      </c>
      <c r="W131" s="126">
        <v>923</v>
      </c>
      <c r="X131" s="126">
        <v>626</v>
      </c>
      <c r="Y131" s="126">
        <v>1081</v>
      </c>
      <c r="Z131" s="126">
        <v>1243</v>
      </c>
      <c r="AA131" s="126">
        <v>1190</v>
      </c>
      <c r="AB131" s="126">
        <v>1349</v>
      </c>
      <c r="AC131" s="126">
        <v>2093</v>
      </c>
      <c r="AD131" s="126">
        <v>2097</v>
      </c>
      <c r="AE131" s="126">
        <v>3830</v>
      </c>
      <c r="AF131" s="126">
        <v>2820</v>
      </c>
      <c r="AG131" s="126">
        <v>4054</v>
      </c>
      <c r="AH131" s="126">
        <v>1166</v>
      </c>
      <c r="AI131" s="126">
        <v>1692</v>
      </c>
      <c r="AJ131" s="126">
        <v>1340</v>
      </c>
      <c r="AK131" s="126">
        <v>3850</v>
      </c>
      <c r="AL131" s="126">
        <v>2169</v>
      </c>
      <c r="AM131" s="126">
        <v>2274</v>
      </c>
      <c r="AN131" s="126">
        <v>2733</v>
      </c>
      <c r="AO131" s="126">
        <v>1619</v>
      </c>
      <c r="AP131" s="126" t="s">
        <v>233</v>
      </c>
      <c r="AQ131" s="126">
        <v>2227</v>
      </c>
      <c r="AR131" s="126">
        <v>1126</v>
      </c>
      <c r="AS131" s="126" t="e">
        <v>#VALUE!</v>
      </c>
      <c r="AT131" s="126" t="s">
        <v>233</v>
      </c>
      <c r="AU131" s="126">
        <v>649</v>
      </c>
      <c r="AV131" s="126">
        <v>875</v>
      </c>
      <c r="AW131" s="126">
        <v>1985</v>
      </c>
      <c r="AX131" s="126">
        <v>397</v>
      </c>
      <c r="AY131" s="126">
        <v>1688</v>
      </c>
      <c r="AZ131" s="126" t="s">
        <v>233</v>
      </c>
      <c r="BA131" s="126">
        <v>882</v>
      </c>
      <c r="BB131" s="126">
        <v>1321</v>
      </c>
      <c r="BC131" s="126">
        <v>3336</v>
      </c>
      <c r="BD131" s="126">
        <v>921</v>
      </c>
      <c r="BE131" s="126">
        <v>593</v>
      </c>
      <c r="BF131" s="126">
        <v>4191</v>
      </c>
      <c r="BG131" s="126">
        <v>78</v>
      </c>
      <c r="BH131" s="126" t="s">
        <v>233</v>
      </c>
      <c r="BI131" s="126">
        <v>626</v>
      </c>
      <c r="BJ131" s="126">
        <v>691</v>
      </c>
      <c r="BK131" s="126" t="s">
        <v>233</v>
      </c>
      <c r="BL131" s="126" t="s">
        <v>233</v>
      </c>
      <c r="BM131" s="126">
        <v>1243</v>
      </c>
      <c r="BN131" s="126">
        <v>1081</v>
      </c>
      <c r="BO131" s="126" t="s">
        <v>233</v>
      </c>
      <c r="BP131" s="126">
        <v>1349</v>
      </c>
      <c r="BQ131" s="126">
        <v>1190</v>
      </c>
      <c r="BR131" s="126">
        <v>923</v>
      </c>
      <c r="BS131" s="126">
        <v>135</v>
      </c>
      <c r="BT131" s="126">
        <v>3695</v>
      </c>
      <c r="BU131" s="126">
        <v>2097</v>
      </c>
      <c r="BV131" s="126">
        <v>4054</v>
      </c>
      <c r="BW131" s="126">
        <v>1692</v>
      </c>
      <c r="BX131" s="126">
        <v>2093</v>
      </c>
      <c r="BY131" s="126">
        <v>1340</v>
      </c>
      <c r="BZ131" s="126">
        <v>1166</v>
      </c>
      <c r="CA131" s="126">
        <v>2820</v>
      </c>
      <c r="CB131" s="126">
        <v>3850</v>
      </c>
      <c r="CC131" s="126">
        <v>1619</v>
      </c>
      <c r="CD131" s="126" t="s">
        <v>233</v>
      </c>
      <c r="CE131" s="126">
        <v>2169</v>
      </c>
      <c r="CF131" s="126" t="s">
        <v>233</v>
      </c>
      <c r="CG131" s="126">
        <v>2161</v>
      </c>
      <c r="CH131" s="126">
        <v>2274</v>
      </c>
      <c r="CI131" s="126">
        <v>1126</v>
      </c>
      <c r="CJ131" s="126">
        <v>2733</v>
      </c>
      <c r="CK131" s="126">
        <v>2227</v>
      </c>
      <c r="CL131" s="126">
        <v>62163</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CM129"/>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440" bestFit="1" customWidth="1"/>
    <col min="6" max="89" width="11.42578125" style="126" customWidth="1"/>
    <col min="90" max="90" width="17.85546875" style="126" bestFit="1" customWidth="1"/>
  </cols>
  <sheetData>
    <row r="1" spans="1:91" ht="13.5" thickBot="1">
      <c r="B1" s="70" t="s">
        <v>187</v>
      </c>
      <c r="E1" s="322"/>
    </row>
    <row r="2" spans="1:91">
      <c r="B2" s="81"/>
      <c r="C2" s="199"/>
      <c r="D2" s="82"/>
      <c r="E2" s="277"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34"/>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34"/>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3"/>
      <c r="E5" s="264"/>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0"/>
      <c r="E6" s="435"/>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2013</v>
      </c>
      <c r="D7" s="259" t="s">
        <v>1</v>
      </c>
      <c r="E7" s="436">
        <v>42178</v>
      </c>
      <c r="F7" s="116">
        <v>1055764</v>
      </c>
      <c r="G7" s="137">
        <v>691898</v>
      </c>
      <c r="H7" s="137">
        <v>935700</v>
      </c>
      <c r="I7" s="138">
        <v>891769</v>
      </c>
      <c r="J7" s="137"/>
      <c r="K7" s="116">
        <f t="shared" ref="K7:K20" si="0">BF7</f>
        <v>151157</v>
      </c>
      <c r="L7" s="137">
        <f t="shared" ref="L7:L20" si="1">AY7</f>
        <v>85814</v>
      </c>
      <c r="M7" s="137">
        <f t="shared" ref="M7:M20" si="2">BD7</f>
        <v>130441</v>
      </c>
      <c r="N7" s="137">
        <f t="shared" ref="N7:N20" si="3">AW7</f>
        <v>64236</v>
      </c>
      <c r="O7" s="137">
        <f t="shared" ref="O7:O20" si="4">BE7</f>
        <v>62712</v>
      </c>
      <c r="P7" s="137">
        <f>'2013'!AZ7+'2013'!BA7</f>
        <v>119981</v>
      </c>
      <c r="Q7" s="137">
        <f>'2013'!AU7</f>
        <v>61782</v>
      </c>
      <c r="R7" s="137">
        <f>AT7+AX7</f>
        <v>89417</v>
      </c>
      <c r="S7" s="137">
        <f t="shared" ref="S7:S20" si="5">AV7</f>
        <v>64148</v>
      </c>
      <c r="T7" s="137">
        <f t="shared" ref="T7:U20" si="6">BB7</f>
        <v>77676</v>
      </c>
      <c r="U7" s="139">
        <f t="shared" si="6"/>
        <v>148400</v>
      </c>
      <c r="V7" s="137">
        <f t="shared" ref="V7:V13" si="7">BG7+BJ7</f>
        <v>87896</v>
      </c>
      <c r="W7" s="137">
        <f t="shared" ref="W7:W20" si="8">BR7</f>
        <v>87067</v>
      </c>
      <c r="X7" s="137">
        <f t="shared" ref="X7:X13" si="9">BH7+BI7</f>
        <v>125840</v>
      </c>
      <c r="Y7" s="137">
        <f t="shared" ref="Y7:Y13" si="10">BK7+BL7+BN7</f>
        <v>131550</v>
      </c>
      <c r="Z7" s="137">
        <f t="shared" ref="Z7:Z20" si="11">BM7</f>
        <v>112625</v>
      </c>
      <c r="AA7" s="137">
        <f t="shared" ref="AA7:AA13" si="12">BO7+BQ7</f>
        <v>67169</v>
      </c>
      <c r="AB7" s="139">
        <f t="shared" ref="AB7:AB20" si="13">BP7</f>
        <v>79751</v>
      </c>
      <c r="AC7" s="137">
        <f t="shared" ref="AC7:AC20" si="14">BX7</f>
        <v>102526</v>
      </c>
      <c r="AD7" s="137">
        <f t="shared" ref="AD7:AD20" si="15">BU7</f>
        <v>67988</v>
      </c>
      <c r="AE7" s="137">
        <f t="shared" ref="AE7:AE13" si="16">BS7+BT7</f>
        <v>153140</v>
      </c>
      <c r="AF7" s="137">
        <f t="shared" ref="AF7:AF20" si="17">CA7</f>
        <v>80677</v>
      </c>
      <c r="AG7" s="137">
        <f t="shared" ref="AG7:AG20" si="18">BV7</f>
        <v>186078</v>
      </c>
      <c r="AH7" s="137">
        <f t="shared" ref="AH7:AH20" si="19">BZ7</f>
        <v>81797</v>
      </c>
      <c r="AI7" s="137">
        <f t="shared" ref="AI7:AI20" si="20">BW7</f>
        <v>76943</v>
      </c>
      <c r="AJ7" s="137">
        <f t="shared" ref="AJ7:AJ20" si="21">BY7</f>
        <v>73435</v>
      </c>
      <c r="AK7" s="139">
        <f t="shared" ref="AK7:AK20" si="22">CB7</f>
        <v>113115</v>
      </c>
      <c r="AL7" s="137">
        <f t="shared" ref="AL7:AL20" si="23">CE7</f>
        <v>91771</v>
      </c>
      <c r="AM7" s="137">
        <f t="shared" ref="AM7:AM20" si="24">CH7</f>
        <v>140975</v>
      </c>
      <c r="AN7" s="137">
        <f t="shared" ref="AN7:AN20" si="25">CJ7</f>
        <v>163182</v>
      </c>
      <c r="AO7" s="137">
        <f t="shared" ref="AO7:AP20" si="26">CC7</f>
        <v>109272</v>
      </c>
      <c r="AP7" s="137">
        <f t="shared" si="26"/>
        <v>51919</v>
      </c>
      <c r="AQ7" s="137">
        <f t="shared" ref="AQ7:AQ20" si="27">CK7</f>
        <v>120434</v>
      </c>
      <c r="AR7" s="137">
        <f t="shared" ref="AR7:AR20" si="28">CI7</f>
        <v>66480</v>
      </c>
      <c r="AS7" s="138">
        <f t="shared" ref="AS7:AS13" si="29">CF7+CG7</f>
        <v>147736</v>
      </c>
      <c r="AT7" s="137">
        <v>20735</v>
      </c>
      <c r="AU7" s="137">
        <v>61782</v>
      </c>
      <c r="AV7" s="137">
        <v>64148</v>
      </c>
      <c r="AW7" s="137">
        <v>64236</v>
      </c>
      <c r="AX7" s="137">
        <v>68682</v>
      </c>
      <c r="AY7" s="137">
        <v>85814</v>
      </c>
      <c r="AZ7" s="137">
        <v>9988</v>
      </c>
      <c r="BA7" s="137">
        <v>109993</v>
      </c>
      <c r="BB7" s="137">
        <v>77676</v>
      </c>
      <c r="BC7" s="137">
        <v>148400</v>
      </c>
      <c r="BD7" s="137">
        <v>130441</v>
      </c>
      <c r="BE7" s="137">
        <v>62712</v>
      </c>
      <c r="BF7" s="139">
        <v>151157</v>
      </c>
      <c r="BG7" s="137">
        <v>14021</v>
      </c>
      <c r="BH7" s="137">
        <v>17346</v>
      </c>
      <c r="BI7" s="137">
        <v>108494</v>
      </c>
      <c r="BJ7" s="137">
        <v>73875</v>
      </c>
      <c r="BK7" s="137">
        <v>10883</v>
      </c>
      <c r="BL7" s="137">
        <v>14496</v>
      </c>
      <c r="BM7" s="137">
        <v>112625</v>
      </c>
      <c r="BN7" s="137">
        <v>106171</v>
      </c>
      <c r="BO7" s="137">
        <v>9800</v>
      </c>
      <c r="BP7" s="137">
        <v>79751</v>
      </c>
      <c r="BQ7" s="137">
        <v>57369</v>
      </c>
      <c r="BR7" s="139">
        <v>87067</v>
      </c>
      <c r="BS7" s="137">
        <v>15306</v>
      </c>
      <c r="BT7" s="137">
        <v>137834</v>
      </c>
      <c r="BU7" s="137">
        <v>67988</v>
      </c>
      <c r="BV7" s="137">
        <v>186078</v>
      </c>
      <c r="BW7" s="137">
        <v>76943</v>
      </c>
      <c r="BX7" s="137">
        <v>102526</v>
      </c>
      <c r="BY7" s="137">
        <v>73435</v>
      </c>
      <c r="BZ7" s="137">
        <v>81797</v>
      </c>
      <c r="CA7" s="137">
        <v>80677</v>
      </c>
      <c r="CB7" s="139">
        <v>113115</v>
      </c>
      <c r="CC7" s="137">
        <v>109272</v>
      </c>
      <c r="CD7" s="137">
        <v>51919</v>
      </c>
      <c r="CE7" s="137">
        <v>91771</v>
      </c>
      <c r="CF7" s="137">
        <v>11869</v>
      </c>
      <c r="CG7" s="141">
        <v>135867</v>
      </c>
      <c r="CH7" s="137">
        <v>140975</v>
      </c>
      <c r="CI7" s="137">
        <v>66480</v>
      </c>
      <c r="CJ7" s="137">
        <v>163182</v>
      </c>
      <c r="CK7" s="138">
        <v>120434</v>
      </c>
      <c r="CL7" s="140">
        <v>3575132</v>
      </c>
      <c r="CM7" s="422"/>
    </row>
    <row r="8" spans="1:91" ht="14.25">
      <c r="A8" s="80">
        <f>ROWS($A$3:A6)</f>
        <v>4</v>
      </c>
      <c r="B8" s="92" t="s">
        <v>242</v>
      </c>
      <c r="C8" s="203"/>
      <c r="D8" s="259" t="s">
        <v>1</v>
      </c>
      <c r="E8" s="435"/>
      <c r="F8" s="116">
        <v>174451</v>
      </c>
      <c r="G8" s="137">
        <v>114258</v>
      </c>
      <c r="H8" s="137">
        <v>113574</v>
      </c>
      <c r="I8" s="138">
        <v>110662</v>
      </c>
      <c r="J8" s="137"/>
      <c r="K8" s="116">
        <f t="shared" si="0"/>
        <v>19427</v>
      </c>
      <c r="L8" s="137">
        <f t="shared" si="1"/>
        <v>15089</v>
      </c>
      <c r="M8" s="137">
        <f t="shared" si="2"/>
        <v>14143</v>
      </c>
      <c r="N8" s="137">
        <f t="shared" si="3"/>
        <v>10599</v>
      </c>
      <c r="O8" s="137">
        <f t="shared" si="4"/>
        <v>7876</v>
      </c>
      <c r="P8" s="137">
        <f>'2013'!AZ8+'2013'!BA8</f>
        <v>22720</v>
      </c>
      <c r="Q8" s="137">
        <f>'2013'!AU8</f>
        <v>13948</v>
      </c>
      <c r="R8" s="137">
        <f>AT8+AX8</f>
        <v>27352</v>
      </c>
      <c r="S8" s="137">
        <f t="shared" si="5"/>
        <v>15827</v>
      </c>
      <c r="T8" s="137">
        <f t="shared" si="6"/>
        <v>10139</v>
      </c>
      <c r="U8" s="139">
        <f t="shared" si="6"/>
        <v>17332</v>
      </c>
      <c r="V8" s="137">
        <f t="shared" si="7"/>
        <v>12497</v>
      </c>
      <c r="W8" s="137">
        <f t="shared" si="8"/>
        <v>8403</v>
      </c>
      <c r="X8" s="137">
        <f t="shared" si="9"/>
        <v>27638</v>
      </c>
      <c r="Y8" s="137">
        <f t="shared" si="10"/>
        <v>32519</v>
      </c>
      <c r="Z8" s="137">
        <f t="shared" si="11"/>
        <v>12023</v>
      </c>
      <c r="AA8" s="137">
        <f t="shared" si="12"/>
        <v>12261</v>
      </c>
      <c r="AB8" s="139">
        <f t="shared" si="13"/>
        <v>8918</v>
      </c>
      <c r="AC8" s="137">
        <f t="shared" si="14"/>
        <v>11829</v>
      </c>
      <c r="AD8" s="137">
        <f t="shared" si="15"/>
        <v>7511</v>
      </c>
      <c r="AE8" s="137">
        <f t="shared" si="16"/>
        <v>19399</v>
      </c>
      <c r="AF8" s="137">
        <f t="shared" si="17"/>
        <v>10280</v>
      </c>
      <c r="AG8" s="137">
        <f t="shared" si="18"/>
        <v>21812</v>
      </c>
      <c r="AH8" s="137">
        <f t="shared" si="19"/>
        <v>12694</v>
      </c>
      <c r="AI8" s="137">
        <f t="shared" si="20"/>
        <v>9912</v>
      </c>
      <c r="AJ8" s="137">
        <f t="shared" si="21"/>
        <v>8585</v>
      </c>
      <c r="AK8" s="139">
        <f t="shared" si="22"/>
        <v>11552</v>
      </c>
      <c r="AL8" s="137">
        <f t="shared" si="23"/>
        <v>12353</v>
      </c>
      <c r="AM8" s="137">
        <f t="shared" si="24"/>
        <v>16350</v>
      </c>
      <c r="AN8" s="137">
        <f t="shared" si="25"/>
        <v>17202</v>
      </c>
      <c r="AO8" s="137">
        <f t="shared" si="26"/>
        <v>14354</v>
      </c>
      <c r="AP8" s="137">
        <f t="shared" si="26"/>
        <v>9315</v>
      </c>
      <c r="AQ8" s="137">
        <f t="shared" si="27"/>
        <v>11890</v>
      </c>
      <c r="AR8" s="137">
        <f t="shared" si="28"/>
        <v>9824</v>
      </c>
      <c r="AS8" s="138">
        <f t="shared" si="29"/>
        <v>19373</v>
      </c>
      <c r="AT8" s="137">
        <v>10678</v>
      </c>
      <c r="AU8" s="137">
        <v>13948</v>
      </c>
      <c r="AV8" s="137">
        <v>15827</v>
      </c>
      <c r="AW8" s="137">
        <v>10599</v>
      </c>
      <c r="AX8" s="137">
        <v>16674</v>
      </c>
      <c r="AY8" s="137">
        <v>15089</v>
      </c>
      <c r="AZ8" s="137">
        <v>3562</v>
      </c>
      <c r="BA8" s="137">
        <v>19158</v>
      </c>
      <c r="BB8" s="137">
        <v>10139</v>
      </c>
      <c r="BC8" s="137">
        <v>17332</v>
      </c>
      <c r="BD8" s="137">
        <v>14143</v>
      </c>
      <c r="BE8" s="137">
        <v>7876</v>
      </c>
      <c r="BF8" s="139">
        <v>19427</v>
      </c>
      <c r="BG8" s="137">
        <v>2062</v>
      </c>
      <c r="BH8" s="137">
        <v>8067</v>
      </c>
      <c r="BI8" s="137">
        <v>19571</v>
      </c>
      <c r="BJ8" s="137">
        <v>10435</v>
      </c>
      <c r="BK8" s="137">
        <v>3279</v>
      </c>
      <c r="BL8" s="137">
        <v>8430</v>
      </c>
      <c r="BM8" s="137">
        <v>12023</v>
      </c>
      <c r="BN8" s="137">
        <v>20810</v>
      </c>
      <c r="BO8" s="137">
        <v>3049</v>
      </c>
      <c r="BP8" s="137">
        <v>8918</v>
      </c>
      <c r="BQ8" s="137">
        <v>9212</v>
      </c>
      <c r="BR8" s="139">
        <v>8403</v>
      </c>
      <c r="BS8" s="137">
        <v>5038</v>
      </c>
      <c r="BT8" s="137">
        <v>14361</v>
      </c>
      <c r="BU8" s="137">
        <v>7511</v>
      </c>
      <c r="BV8" s="137">
        <v>21812</v>
      </c>
      <c r="BW8" s="137">
        <v>9912</v>
      </c>
      <c r="BX8" s="137">
        <v>11829</v>
      </c>
      <c r="BY8" s="137">
        <v>8585</v>
      </c>
      <c r="BZ8" s="137">
        <v>12694</v>
      </c>
      <c r="CA8" s="137">
        <v>10280</v>
      </c>
      <c r="CB8" s="139">
        <v>11552</v>
      </c>
      <c r="CC8" s="137">
        <v>14354</v>
      </c>
      <c r="CD8" s="137">
        <v>9315</v>
      </c>
      <c r="CE8" s="137">
        <v>12353</v>
      </c>
      <c r="CF8" s="137">
        <v>3830</v>
      </c>
      <c r="CG8" s="141">
        <v>15543</v>
      </c>
      <c r="CH8" s="137">
        <v>16350</v>
      </c>
      <c r="CI8" s="137">
        <v>9824</v>
      </c>
      <c r="CJ8" s="137">
        <v>17202</v>
      </c>
      <c r="CK8" s="138">
        <v>11890</v>
      </c>
      <c r="CL8" s="140">
        <v>512944</v>
      </c>
      <c r="CM8" s="422"/>
    </row>
    <row r="9" spans="1:91">
      <c r="A9" s="80">
        <f>ROWS($A$3:A7)</f>
        <v>5</v>
      </c>
      <c r="B9" s="92" t="s">
        <v>0</v>
      </c>
      <c r="C9" s="203"/>
      <c r="D9" s="259" t="s">
        <v>1</v>
      </c>
      <c r="E9" s="435"/>
      <c r="F9" s="116">
        <v>529847</v>
      </c>
      <c r="G9" s="137">
        <v>251514</v>
      </c>
      <c r="H9" s="137">
        <v>371200</v>
      </c>
      <c r="I9" s="138">
        <v>474642</v>
      </c>
      <c r="J9" s="137"/>
      <c r="K9" s="116">
        <f t="shared" si="0"/>
        <v>70745</v>
      </c>
      <c r="L9" s="137">
        <f t="shared" si="1"/>
        <v>36115</v>
      </c>
      <c r="M9" s="137">
        <f t="shared" si="2"/>
        <v>75336</v>
      </c>
      <c r="N9" s="137">
        <f t="shared" si="3"/>
        <v>32188</v>
      </c>
      <c r="O9" s="137">
        <f t="shared" si="4"/>
        <v>27163</v>
      </c>
      <c r="P9" s="137">
        <f>'2013'!AZ9+'2013'!BA9</f>
        <v>65583</v>
      </c>
      <c r="Q9" s="137">
        <f>'2013'!AU9</f>
        <v>25649</v>
      </c>
      <c r="R9" s="137">
        <f t="shared" ref="R9:R16" si="30">AT9+AX9</f>
        <v>42663</v>
      </c>
      <c r="S9" s="137">
        <f t="shared" si="5"/>
        <v>28485</v>
      </c>
      <c r="T9" s="137">
        <f t="shared" si="6"/>
        <v>44217</v>
      </c>
      <c r="U9" s="139">
        <f t="shared" si="6"/>
        <v>81702</v>
      </c>
      <c r="V9" s="137">
        <f t="shared" si="7"/>
        <v>25874</v>
      </c>
      <c r="W9" s="137">
        <f t="shared" si="8"/>
        <v>22924</v>
      </c>
      <c r="X9" s="137">
        <f t="shared" si="9"/>
        <v>52346</v>
      </c>
      <c r="Y9" s="137">
        <f t="shared" si="10"/>
        <v>50944</v>
      </c>
      <c r="Z9" s="137">
        <f t="shared" si="11"/>
        <v>51711</v>
      </c>
      <c r="AA9" s="137">
        <f t="shared" si="12"/>
        <v>27007</v>
      </c>
      <c r="AB9" s="139">
        <f t="shared" si="13"/>
        <v>20707</v>
      </c>
      <c r="AC9" s="137">
        <f t="shared" si="14"/>
        <v>42583</v>
      </c>
      <c r="AD9" s="137">
        <f t="shared" si="15"/>
        <v>27511</v>
      </c>
      <c r="AE9" s="137">
        <f t="shared" si="16"/>
        <v>58623</v>
      </c>
      <c r="AF9" s="137">
        <f t="shared" si="17"/>
        <v>27574</v>
      </c>
      <c r="AG9" s="137">
        <f t="shared" si="18"/>
        <v>70617</v>
      </c>
      <c r="AH9" s="137">
        <f t="shared" si="19"/>
        <v>40225</v>
      </c>
      <c r="AI9" s="137">
        <f t="shared" si="20"/>
        <v>32848</v>
      </c>
      <c r="AJ9" s="137">
        <f t="shared" si="21"/>
        <v>27265</v>
      </c>
      <c r="AK9" s="139">
        <f t="shared" si="22"/>
        <v>43955</v>
      </c>
      <c r="AL9" s="137">
        <f t="shared" si="23"/>
        <v>40851</v>
      </c>
      <c r="AM9" s="137">
        <f t="shared" si="24"/>
        <v>81946</v>
      </c>
      <c r="AN9" s="137">
        <f t="shared" si="25"/>
        <v>96117</v>
      </c>
      <c r="AO9" s="137">
        <f t="shared" si="26"/>
        <v>52478</v>
      </c>
      <c r="AP9" s="137">
        <f t="shared" si="26"/>
        <v>23790</v>
      </c>
      <c r="AQ9" s="137">
        <f t="shared" si="27"/>
        <v>59646</v>
      </c>
      <c r="AR9" s="137">
        <f t="shared" si="28"/>
        <v>36934</v>
      </c>
      <c r="AS9" s="138">
        <f t="shared" si="29"/>
        <v>82881</v>
      </c>
      <c r="AT9" s="137">
        <v>4757</v>
      </c>
      <c r="AU9" s="137">
        <v>25649</v>
      </c>
      <c r="AV9" s="137">
        <v>28485</v>
      </c>
      <c r="AW9" s="137">
        <v>32188</v>
      </c>
      <c r="AX9" s="137">
        <v>37906</v>
      </c>
      <c r="AY9" s="137">
        <v>36115</v>
      </c>
      <c r="AZ9" s="137">
        <v>4731</v>
      </c>
      <c r="BA9" s="137">
        <v>60852</v>
      </c>
      <c r="BB9" s="137">
        <v>44217</v>
      </c>
      <c r="BC9" s="137">
        <v>81702</v>
      </c>
      <c r="BD9" s="137">
        <v>75336</v>
      </c>
      <c r="BE9" s="137">
        <v>27163</v>
      </c>
      <c r="BF9" s="139">
        <v>70745</v>
      </c>
      <c r="BG9" s="137">
        <v>3119</v>
      </c>
      <c r="BH9" s="137">
        <v>3939</v>
      </c>
      <c r="BI9" s="137">
        <v>48407</v>
      </c>
      <c r="BJ9" s="137">
        <v>22755</v>
      </c>
      <c r="BK9" s="137">
        <v>2868</v>
      </c>
      <c r="BL9" s="137">
        <v>3454</v>
      </c>
      <c r="BM9" s="137">
        <v>51711</v>
      </c>
      <c r="BN9" s="137">
        <v>44622</v>
      </c>
      <c r="BO9" s="137">
        <v>1647</v>
      </c>
      <c r="BP9" s="137">
        <v>20707</v>
      </c>
      <c r="BQ9" s="137">
        <v>25360</v>
      </c>
      <c r="BR9" s="139">
        <v>22924</v>
      </c>
      <c r="BS9" s="137">
        <v>3905</v>
      </c>
      <c r="BT9" s="137">
        <v>54718</v>
      </c>
      <c r="BU9" s="137">
        <v>27511</v>
      </c>
      <c r="BV9" s="137">
        <v>70617</v>
      </c>
      <c r="BW9" s="137">
        <v>32848</v>
      </c>
      <c r="BX9" s="137">
        <v>42583</v>
      </c>
      <c r="BY9" s="137">
        <v>27265</v>
      </c>
      <c r="BZ9" s="137">
        <v>40225</v>
      </c>
      <c r="CA9" s="137">
        <v>27574</v>
      </c>
      <c r="CB9" s="139">
        <v>43955</v>
      </c>
      <c r="CC9" s="137">
        <v>52478</v>
      </c>
      <c r="CD9" s="137">
        <v>23790</v>
      </c>
      <c r="CE9" s="137">
        <v>40851</v>
      </c>
      <c r="CF9" s="137">
        <v>5201</v>
      </c>
      <c r="CG9" s="141">
        <v>77680</v>
      </c>
      <c r="CH9" s="137">
        <v>81946</v>
      </c>
      <c r="CI9" s="137">
        <v>36934</v>
      </c>
      <c r="CJ9" s="137">
        <v>96117</v>
      </c>
      <c r="CK9" s="138">
        <v>59646</v>
      </c>
      <c r="CL9" s="140">
        <v>1627203</v>
      </c>
      <c r="CM9" s="422"/>
    </row>
    <row r="10" spans="1:91">
      <c r="A10" s="80">
        <f>ROWS($A$3:A8)</f>
        <v>6</v>
      </c>
      <c r="B10" s="92" t="s">
        <v>202</v>
      </c>
      <c r="C10" s="203"/>
      <c r="D10" s="259" t="s">
        <v>1</v>
      </c>
      <c r="E10" s="435"/>
      <c r="F10" s="116">
        <v>335293</v>
      </c>
      <c r="G10" s="137">
        <v>310022</v>
      </c>
      <c r="H10" s="137">
        <v>432375</v>
      </c>
      <c r="I10" s="138">
        <v>291816</v>
      </c>
      <c r="J10" s="137"/>
      <c r="K10" s="116">
        <f t="shared" si="0"/>
        <v>59351</v>
      </c>
      <c r="L10" s="137">
        <f t="shared" si="1"/>
        <v>33683</v>
      </c>
      <c r="M10" s="137">
        <f t="shared" si="2"/>
        <v>38565</v>
      </c>
      <c r="N10" s="137">
        <f t="shared" si="3"/>
        <v>20657</v>
      </c>
      <c r="O10" s="137">
        <f t="shared" si="4"/>
        <v>26965</v>
      </c>
      <c r="P10" s="137">
        <f>'2013'!AZ10+'2013'!BA10</f>
        <v>29529</v>
      </c>
      <c r="Q10" s="137">
        <f>'2013'!AU10</f>
        <v>21397</v>
      </c>
      <c r="R10" s="137">
        <f t="shared" si="30"/>
        <v>17465</v>
      </c>
      <c r="S10" s="137">
        <f t="shared" si="5"/>
        <v>18752</v>
      </c>
      <c r="T10" s="137">
        <f t="shared" si="6"/>
        <v>21896</v>
      </c>
      <c r="U10" s="139">
        <f t="shared" si="6"/>
        <v>47033</v>
      </c>
      <c r="V10" s="137">
        <f t="shared" si="7"/>
        <v>46151</v>
      </c>
      <c r="W10" s="137">
        <f t="shared" si="8"/>
        <v>54657</v>
      </c>
      <c r="X10" s="137">
        <f t="shared" si="9"/>
        <v>41309</v>
      </c>
      <c r="Y10" s="137">
        <f t="shared" si="10"/>
        <v>44204</v>
      </c>
      <c r="Z10" s="137">
        <f t="shared" si="11"/>
        <v>47441</v>
      </c>
      <c r="AA10" s="137">
        <f t="shared" si="12"/>
        <v>26968</v>
      </c>
      <c r="AB10" s="139">
        <f t="shared" si="13"/>
        <v>49292</v>
      </c>
      <c r="AC10" s="137">
        <f t="shared" si="14"/>
        <v>46945</v>
      </c>
      <c r="AD10" s="137">
        <f t="shared" si="15"/>
        <v>31127</v>
      </c>
      <c r="AE10" s="137">
        <f t="shared" si="16"/>
        <v>71694</v>
      </c>
      <c r="AF10" s="137">
        <f t="shared" si="17"/>
        <v>41606</v>
      </c>
      <c r="AG10" s="137">
        <f t="shared" si="18"/>
        <v>88048</v>
      </c>
      <c r="AH10" s="137">
        <f t="shared" si="19"/>
        <v>27366</v>
      </c>
      <c r="AI10" s="137">
        <f t="shared" si="20"/>
        <v>33035</v>
      </c>
      <c r="AJ10" s="137">
        <f t="shared" si="21"/>
        <v>36730</v>
      </c>
      <c r="AK10" s="139">
        <f t="shared" si="22"/>
        <v>55823</v>
      </c>
      <c r="AL10" s="137">
        <f t="shared" si="23"/>
        <v>37396</v>
      </c>
      <c r="AM10" s="137">
        <f t="shared" si="24"/>
        <v>40190</v>
      </c>
      <c r="AN10" s="137">
        <f t="shared" si="25"/>
        <v>46931</v>
      </c>
      <c r="AO10" s="137">
        <f t="shared" si="26"/>
        <v>41361</v>
      </c>
      <c r="AP10" s="137">
        <f t="shared" si="26"/>
        <v>17965</v>
      </c>
      <c r="AQ10" s="137">
        <f t="shared" si="27"/>
        <v>46787</v>
      </c>
      <c r="AR10" s="137">
        <f t="shared" si="28"/>
        <v>18639</v>
      </c>
      <c r="AS10" s="138">
        <f t="shared" si="29"/>
        <v>42547</v>
      </c>
      <c r="AT10" s="141">
        <v>4970</v>
      </c>
      <c r="AU10" s="137">
        <v>21397</v>
      </c>
      <c r="AV10" s="137">
        <v>18752</v>
      </c>
      <c r="AW10" s="137">
        <v>20657</v>
      </c>
      <c r="AX10" s="137">
        <v>12495</v>
      </c>
      <c r="AY10" s="137">
        <v>33683</v>
      </c>
      <c r="AZ10" s="137">
        <v>1420</v>
      </c>
      <c r="BA10" s="137">
        <v>28109</v>
      </c>
      <c r="BB10" s="137">
        <v>21896</v>
      </c>
      <c r="BC10" s="137">
        <v>47033</v>
      </c>
      <c r="BD10" s="137">
        <v>38565</v>
      </c>
      <c r="BE10" s="137">
        <v>26965</v>
      </c>
      <c r="BF10" s="139">
        <v>59351</v>
      </c>
      <c r="BG10" s="137">
        <v>8632</v>
      </c>
      <c r="BH10" s="137">
        <v>4529</v>
      </c>
      <c r="BI10" s="137">
        <v>36780</v>
      </c>
      <c r="BJ10" s="137">
        <v>37519</v>
      </c>
      <c r="BK10" s="137">
        <v>4430</v>
      </c>
      <c r="BL10" s="137">
        <v>1812</v>
      </c>
      <c r="BM10" s="137">
        <v>47441</v>
      </c>
      <c r="BN10" s="137">
        <v>37962</v>
      </c>
      <c r="BO10" s="137">
        <v>5008</v>
      </c>
      <c r="BP10" s="137">
        <v>49292</v>
      </c>
      <c r="BQ10" s="137">
        <v>21960</v>
      </c>
      <c r="BR10" s="139">
        <v>54657</v>
      </c>
      <c r="BS10" s="137">
        <v>6095</v>
      </c>
      <c r="BT10" s="137">
        <v>65599</v>
      </c>
      <c r="BU10" s="137">
        <v>31127</v>
      </c>
      <c r="BV10" s="137">
        <v>88048</v>
      </c>
      <c r="BW10" s="137">
        <v>33035</v>
      </c>
      <c r="BX10" s="137">
        <v>46945</v>
      </c>
      <c r="BY10" s="137">
        <v>36730</v>
      </c>
      <c r="BZ10" s="137">
        <v>27366</v>
      </c>
      <c r="CA10" s="137">
        <v>41606</v>
      </c>
      <c r="CB10" s="139">
        <v>55823</v>
      </c>
      <c r="CC10" s="137">
        <v>41361</v>
      </c>
      <c r="CD10" s="137">
        <v>17965</v>
      </c>
      <c r="CE10" s="137">
        <v>37396</v>
      </c>
      <c r="CF10" s="137">
        <v>2291</v>
      </c>
      <c r="CG10" s="141">
        <v>40256</v>
      </c>
      <c r="CH10" s="137">
        <v>40190</v>
      </c>
      <c r="CI10" s="137">
        <v>18639</v>
      </c>
      <c r="CJ10" s="137">
        <v>46931</v>
      </c>
      <c r="CK10" s="138">
        <v>46787</v>
      </c>
      <c r="CL10" s="140">
        <v>1369506</v>
      </c>
      <c r="CM10" s="422"/>
    </row>
    <row r="11" spans="1:91">
      <c r="A11" s="80">
        <f>ROWS($A$3:A9)</f>
        <v>7</v>
      </c>
      <c r="B11" s="92" t="s">
        <v>2</v>
      </c>
      <c r="C11" s="203"/>
      <c r="D11" s="259" t="s">
        <v>1</v>
      </c>
      <c r="E11" s="435"/>
      <c r="F11" s="116">
        <v>9006</v>
      </c>
      <c r="G11" s="137">
        <v>10143</v>
      </c>
      <c r="H11" s="137">
        <v>11793</v>
      </c>
      <c r="I11" s="138">
        <v>8037</v>
      </c>
      <c r="J11" s="137"/>
      <c r="K11" s="116">
        <f t="shared" si="0"/>
        <v>1155</v>
      </c>
      <c r="L11" s="137">
        <f t="shared" si="1"/>
        <v>524</v>
      </c>
      <c r="M11" s="137">
        <f t="shared" si="2"/>
        <v>1065</v>
      </c>
      <c r="N11" s="137">
        <f t="shared" si="3"/>
        <v>310</v>
      </c>
      <c r="O11" s="137">
        <f t="shared" si="4"/>
        <v>255</v>
      </c>
      <c r="P11" s="137">
        <f>'2013'!AZ11+'2013'!BA11</f>
        <v>1454</v>
      </c>
      <c r="Q11" s="137">
        <f>'2013'!AU11</f>
        <v>255</v>
      </c>
      <c r="R11" s="137">
        <f t="shared" si="30"/>
        <v>1180</v>
      </c>
      <c r="S11" s="137">
        <f t="shared" si="5"/>
        <v>613</v>
      </c>
      <c r="T11" s="137">
        <f t="shared" si="6"/>
        <v>823</v>
      </c>
      <c r="U11" s="139">
        <f t="shared" si="6"/>
        <v>1372</v>
      </c>
      <c r="V11" s="137">
        <f t="shared" si="7"/>
        <v>2362</v>
      </c>
      <c r="W11" s="137">
        <f t="shared" si="8"/>
        <v>518</v>
      </c>
      <c r="X11" s="137">
        <f t="shared" si="9"/>
        <v>3106</v>
      </c>
      <c r="Y11" s="137">
        <f t="shared" si="10"/>
        <v>2676</v>
      </c>
      <c r="Z11" s="137">
        <f t="shared" si="11"/>
        <v>757</v>
      </c>
      <c r="AA11" s="137">
        <f t="shared" si="12"/>
        <v>402</v>
      </c>
      <c r="AB11" s="139">
        <f t="shared" si="13"/>
        <v>322</v>
      </c>
      <c r="AC11" s="137">
        <f t="shared" si="14"/>
        <v>669</v>
      </c>
      <c r="AD11" s="137">
        <f t="shared" si="15"/>
        <v>975</v>
      </c>
      <c r="AE11" s="137">
        <f t="shared" si="16"/>
        <v>2237</v>
      </c>
      <c r="AF11" s="137">
        <f t="shared" si="17"/>
        <v>927</v>
      </c>
      <c r="AG11" s="137">
        <f t="shared" si="18"/>
        <v>3760</v>
      </c>
      <c r="AH11" s="137">
        <f t="shared" si="19"/>
        <v>981</v>
      </c>
      <c r="AI11" s="137">
        <f t="shared" si="20"/>
        <v>453</v>
      </c>
      <c r="AJ11" s="137">
        <f t="shared" si="21"/>
        <v>350</v>
      </c>
      <c r="AK11" s="139">
        <f t="shared" si="22"/>
        <v>1440</v>
      </c>
      <c r="AL11" s="137">
        <f t="shared" si="23"/>
        <v>387</v>
      </c>
      <c r="AM11" s="137">
        <f t="shared" si="24"/>
        <v>1542</v>
      </c>
      <c r="AN11" s="137">
        <f t="shared" si="25"/>
        <v>2193</v>
      </c>
      <c r="AO11" s="137">
        <f t="shared" si="26"/>
        <v>269</v>
      </c>
      <c r="AP11" s="137">
        <f t="shared" si="26"/>
        <v>475</v>
      </c>
      <c r="AQ11" s="137">
        <f t="shared" si="27"/>
        <v>1141</v>
      </c>
      <c r="AR11" s="137">
        <f t="shared" si="28"/>
        <v>711</v>
      </c>
      <c r="AS11" s="138">
        <f t="shared" si="29"/>
        <v>1320</v>
      </c>
      <c r="AT11" s="141">
        <v>272</v>
      </c>
      <c r="AU11" s="137">
        <v>255</v>
      </c>
      <c r="AV11" s="137">
        <v>613</v>
      </c>
      <c r="AW11" s="137">
        <v>310</v>
      </c>
      <c r="AX11" s="137">
        <v>908</v>
      </c>
      <c r="AY11" s="137">
        <v>524</v>
      </c>
      <c r="AZ11" s="137">
        <v>216</v>
      </c>
      <c r="BA11" s="137">
        <v>1238</v>
      </c>
      <c r="BB11" s="137">
        <v>823</v>
      </c>
      <c r="BC11" s="137">
        <v>1372</v>
      </c>
      <c r="BD11" s="137">
        <v>1065</v>
      </c>
      <c r="BE11" s="137">
        <v>255</v>
      </c>
      <c r="BF11" s="139">
        <v>1155</v>
      </c>
      <c r="BG11" s="137">
        <v>137</v>
      </c>
      <c r="BH11" s="137">
        <v>705</v>
      </c>
      <c r="BI11" s="137">
        <v>2401</v>
      </c>
      <c r="BJ11" s="137">
        <v>2225</v>
      </c>
      <c r="BK11" s="137">
        <v>252</v>
      </c>
      <c r="BL11" s="137">
        <v>761</v>
      </c>
      <c r="BM11" s="137">
        <v>757</v>
      </c>
      <c r="BN11" s="137">
        <v>1663</v>
      </c>
      <c r="BO11" s="137">
        <v>73</v>
      </c>
      <c r="BP11" s="137">
        <v>322</v>
      </c>
      <c r="BQ11" s="137">
        <v>329</v>
      </c>
      <c r="BR11" s="139">
        <v>518</v>
      </c>
      <c r="BS11" s="137">
        <v>207</v>
      </c>
      <c r="BT11" s="137">
        <v>2030</v>
      </c>
      <c r="BU11" s="137">
        <v>975</v>
      </c>
      <c r="BV11" s="137">
        <v>3760</v>
      </c>
      <c r="BW11" s="137">
        <v>453</v>
      </c>
      <c r="BX11" s="137">
        <v>669</v>
      </c>
      <c r="BY11" s="137">
        <v>350</v>
      </c>
      <c r="BZ11" s="137">
        <v>981</v>
      </c>
      <c r="CA11" s="137">
        <v>927</v>
      </c>
      <c r="CB11" s="139">
        <v>1440</v>
      </c>
      <c r="CC11" s="137">
        <v>269</v>
      </c>
      <c r="CD11" s="137">
        <v>475</v>
      </c>
      <c r="CE11" s="137">
        <v>387</v>
      </c>
      <c r="CF11" s="137">
        <v>177</v>
      </c>
      <c r="CG11" s="141">
        <v>1143</v>
      </c>
      <c r="CH11" s="137">
        <v>1542</v>
      </c>
      <c r="CI11" s="137">
        <v>711</v>
      </c>
      <c r="CJ11" s="137">
        <v>2193</v>
      </c>
      <c r="CK11" s="138">
        <v>1141</v>
      </c>
      <c r="CL11" s="140">
        <v>38980</v>
      </c>
      <c r="CM11" s="422"/>
    </row>
    <row r="12" spans="1:91">
      <c r="A12" s="80">
        <f>ROWS($A$3:A10)</f>
        <v>8</v>
      </c>
      <c r="B12" s="92" t="s">
        <v>283</v>
      </c>
      <c r="C12" s="203"/>
      <c r="D12" s="259" t="s">
        <v>1</v>
      </c>
      <c r="E12" s="435"/>
      <c r="F12" s="116">
        <f>F7-SUM(F8:F11)</f>
        <v>7167</v>
      </c>
      <c r="G12" s="137">
        <f>G7-SUM(G8:G11)</f>
        <v>5961</v>
      </c>
      <c r="H12" s="137">
        <f>H7-SUM(H8:H11)</f>
        <v>6758</v>
      </c>
      <c r="I12" s="138">
        <f>I7-SUM(I8:I11)</f>
        <v>6612</v>
      </c>
      <c r="J12" s="137"/>
      <c r="K12" s="116">
        <f t="shared" si="0"/>
        <v>479</v>
      </c>
      <c r="L12" s="137">
        <f t="shared" si="1"/>
        <v>403</v>
      </c>
      <c r="M12" s="137">
        <f t="shared" si="2"/>
        <v>1332</v>
      </c>
      <c r="N12" s="137">
        <f t="shared" si="3"/>
        <v>482</v>
      </c>
      <c r="O12" s="137">
        <f t="shared" si="4"/>
        <v>453</v>
      </c>
      <c r="P12" s="137">
        <f>'2013'!AZ12+'2013'!BA12</f>
        <v>695</v>
      </c>
      <c r="Q12" s="137">
        <f>'2013'!AU12</f>
        <v>533</v>
      </c>
      <c r="R12" s="137">
        <f t="shared" si="30"/>
        <v>757</v>
      </c>
      <c r="S12" s="137">
        <f t="shared" si="5"/>
        <v>471</v>
      </c>
      <c r="T12" s="137">
        <f t="shared" si="6"/>
        <v>601</v>
      </c>
      <c r="U12" s="139">
        <f t="shared" si="6"/>
        <v>961</v>
      </c>
      <c r="V12" s="137">
        <f t="shared" si="7"/>
        <v>1012</v>
      </c>
      <c r="W12" s="137">
        <f t="shared" si="8"/>
        <v>565</v>
      </c>
      <c r="X12" s="137">
        <f t="shared" si="9"/>
        <v>1441</v>
      </c>
      <c r="Y12" s="137">
        <f t="shared" si="10"/>
        <v>1207</v>
      </c>
      <c r="Z12" s="137">
        <f t="shared" si="11"/>
        <v>693</v>
      </c>
      <c r="AA12" s="137">
        <f t="shared" si="12"/>
        <v>531</v>
      </c>
      <c r="AB12" s="139">
        <f t="shared" si="13"/>
        <v>512</v>
      </c>
      <c r="AC12" s="137">
        <f t="shared" si="14"/>
        <v>500</v>
      </c>
      <c r="AD12" s="137">
        <f t="shared" si="15"/>
        <v>864</v>
      </c>
      <c r="AE12" s="137">
        <f t="shared" si="16"/>
        <v>1187</v>
      </c>
      <c r="AF12" s="137">
        <f t="shared" si="17"/>
        <v>290</v>
      </c>
      <c r="AG12" s="137">
        <f t="shared" si="18"/>
        <v>1841</v>
      </c>
      <c r="AH12" s="137">
        <f t="shared" si="19"/>
        <v>531</v>
      </c>
      <c r="AI12" s="137">
        <f t="shared" si="20"/>
        <v>695</v>
      </c>
      <c r="AJ12" s="137">
        <f t="shared" si="21"/>
        <v>505</v>
      </c>
      <c r="AK12" s="139">
        <f t="shared" si="22"/>
        <v>345</v>
      </c>
      <c r="AL12" s="137">
        <f t="shared" si="23"/>
        <v>784</v>
      </c>
      <c r="AM12" s="137">
        <f t="shared" si="24"/>
        <v>947</v>
      </c>
      <c r="AN12" s="137">
        <f t="shared" si="25"/>
        <v>739</v>
      </c>
      <c r="AO12" s="137">
        <f t="shared" si="26"/>
        <v>810</v>
      </c>
      <c r="AP12" s="137">
        <f t="shared" si="26"/>
        <v>374</v>
      </c>
      <c r="AQ12" s="137">
        <f t="shared" si="27"/>
        <v>970</v>
      </c>
      <c r="AR12" s="137">
        <f t="shared" si="28"/>
        <v>372</v>
      </c>
      <c r="AS12" s="138">
        <f t="shared" si="29"/>
        <v>1615</v>
      </c>
      <c r="AT12" s="141">
        <f>AT7-SUM(AT8:AT11)</f>
        <v>58</v>
      </c>
      <c r="AU12" s="137">
        <f t="shared" ref="AU12:CL12" si="31">AU7-SUM(AU8:AU11)</f>
        <v>533</v>
      </c>
      <c r="AV12" s="137">
        <f t="shared" si="31"/>
        <v>471</v>
      </c>
      <c r="AW12" s="137">
        <f t="shared" si="31"/>
        <v>482</v>
      </c>
      <c r="AX12" s="137">
        <f t="shared" si="31"/>
        <v>699</v>
      </c>
      <c r="AY12" s="137">
        <f t="shared" si="31"/>
        <v>403</v>
      </c>
      <c r="AZ12" s="137">
        <f t="shared" si="31"/>
        <v>59</v>
      </c>
      <c r="BA12" s="137">
        <f t="shared" si="31"/>
        <v>636</v>
      </c>
      <c r="BB12" s="137">
        <f t="shared" si="31"/>
        <v>601</v>
      </c>
      <c r="BC12" s="137">
        <f t="shared" si="31"/>
        <v>961</v>
      </c>
      <c r="BD12" s="137">
        <f t="shared" si="31"/>
        <v>1332</v>
      </c>
      <c r="BE12" s="137">
        <f t="shared" si="31"/>
        <v>453</v>
      </c>
      <c r="BF12" s="139">
        <f t="shared" si="31"/>
        <v>479</v>
      </c>
      <c r="BG12" s="137">
        <f t="shared" si="31"/>
        <v>71</v>
      </c>
      <c r="BH12" s="137">
        <f t="shared" si="31"/>
        <v>106</v>
      </c>
      <c r="BI12" s="137">
        <f t="shared" si="31"/>
        <v>1335</v>
      </c>
      <c r="BJ12" s="137">
        <f t="shared" si="31"/>
        <v>941</v>
      </c>
      <c r="BK12" s="137">
        <f t="shared" si="31"/>
        <v>54</v>
      </c>
      <c r="BL12" s="137">
        <f t="shared" si="31"/>
        <v>39</v>
      </c>
      <c r="BM12" s="137">
        <f t="shared" si="31"/>
        <v>693</v>
      </c>
      <c r="BN12" s="137">
        <f t="shared" si="31"/>
        <v>1114</v>
      </c>
      <c r="BO12" s="137">
        <f t="shared" si="31"/>
        <v>23</v>
      </c>
      <c r="BP12" s="137">
        <f t="shared" si="31"/>
        <v>512</v>
      </c>
      <c r="BQ12" s="137">
        <f t="shared" si="31"/>
        <v>508</v>
      </c>
      <c r="BR12" s="139">
        <f t="shared" si="31"/>
        <v>565</v>
      </c>
      <c r="BS12" s="137">
        <f t="shared" si="31"/>
        <v>61</v>
      </c>
      <c r="BT12" s="137">
        <f t="shared" si="31"/>
        <v>1126</v>
      </c>
      <c r="BU12" s="137">
        <f t="shared" si="31"/>
        <v>864</v>
      </c>
      <c r="BV12" s="137">
        <f t="shared" si="31"/>
        <v>1841</v>
      </c>
      <c r="BW12" s="137">
        <f t="shared" si="31"/>
        <v>695</v>
      </c>
      <c r="BX12" s="137">
        <f t="shared" si="31"/>
        <v>500</v>
      </c>
      <c r="BY12" s="137">
        <f t="shared" si="31"/>
        <v>505</v>
      </c>
      <c r="BZ12" s="137">
        <f t="shared" si="31"/>
        <v>531</v>
      </c>
      <c r="CA12" s="137">
        <f t="shared" si="31"/>
        <v>290</v>
      </c>
      <c r="CB12" s="139">
        <f t="shared" si="31"/>
        <v>345</v>
      </c>
      <c r="CC12" s="137">
        <f t="shared" si="31"/>
        <v>810</v>
      </c>
      <c r="CD12" s="137">
        <f t="shared" si="31"/>
        <v>374</v>
      </c>
      <c r="CE12" s="137">
        <f t="shared" si="31"/>
        <v>784</v>
      </c>
      <c r="CF12" s="137">
        <f t="shared" si="31"/>
        <v>370</v>
      </c>
      <c r="CG12" s="141">
        <f t="shared" si="31"/>
        <v>1245</v>
      </c>
      <c r="CH12" s="137">
        <f t="shared" si="31"/>
        <v>947</v>
      </c>
      <c r="CI12" s="137">
        <f t="shared" si="31"/>
        <v>372</v>
      </c>
      <c r="CJ12" s="137">
        <f t="shared" si="31"/>
        <v>739</v>
      </c>
      <c r="CK12" s="138">
        <f t="shared" si="31"/>
        <v>970</v>
      </c>
      <c r="CL12" s="140">
        <f t="shared" si="31"/>
        <v>26499</v>
      </c>
      <c r="CM12" s="422"/>
    </row>
    <row r="13" spans="1:91">
      <c r="A13" s="80">
        <f>ROWS($A$3:A11)</f>
        <v>9</v>
      </c>
      <c r="B13" s="92" t="s">
        <v>65</v>
      </c>
      <c r="C13" s="202">
        <v>2013</v>
      </c>
      <c r="D13" s="259" t="s">
        <v>11</v>
      </c>
      <c r="E13" s="436">
        <v>42004</v>
      </c>
      <c r="F13" s="116">
        <v>3972881</v>
      </c>
      <c r="G13" s="137">
        <v>2702831</v>
      </c>
      <c r="H13" s="137">
        <v>2174500</v>
      </c>
      <c r="I13" s="138">
        <v>1781066</v>
      </c>
      <c r="J13" s="137"/>
      <c r="K13" s="116">
        <f t="shared" si="0"/>
        <v>306933</v>
      </c>
      <c r="L13" s="137">
        <f t="shared" si="1"/>
        <v>411025</v>
      </c>
      <c r="M13" s="137">
        <f t="shared" si="2"/>
        <v>129857</v>
      </c>
      <c r="N13" s="137">
        <f t="shared" si="3"/>
        <v>248813</v>
      </c>
      <c r="O13" s="137">
        <f t="shared" si="4"/>
        <v>127947</v>
      </c>
      <c r="P13" s="137">
        <f>'2013'!AZ13+'2013'!BA13</f>
        <v>444157</v>
      </c>
      <c r="Q13" s="137">
        <f>'2013'!AU13</f>
        <v>370392</v>
      </c>
      <c r="R13" s="137">
        <f t="shared" si="30"/>
        <v>1125930</v>
      </c>
      <c r="S13" s="137">
        <f t="shared" si="5"/>
        <v>512279</v>
      </c>
      <c r="T13" s="137">
        <f t="shared" si="6"/>
        <v>107866</v>
      </c>
      <c r="U13" s="139">
        <f t="shared" si="6"/>
        <v>187682</v>
      </c>
      <c r="V13" s="137">
        <f t="shared" si="7"/>
        <v>276323</v>
      </c>
      <c r="W13" s="137">
        <f t="shared" si="8"/>
        <v>114793</v>
      </c>
      <c r="X13" s="137">
        <f t="shared" si="9"/>
        <v>728289</v>
      </c>
      <c r="Y13" s="137">
        <f t="shared" si="10"/>
        <v>979816</v>
      </c>
      <c r="Z13" s="137">
        <f t="shared" si="11"/>
        <v>141584</v>
      </c>
      <c r="AA13" s="137">
        <f t="shared" si="12"/>
        <v>310565</v>
      </c>
      <c r="AB13" s="139">
        <f t="shared" si="13"/>
        <v>151461</v>
      </c>
      <c r="AC13" s="137">
        <f t="shared" si="14"/>
        <v>205090</v>
      </c>
      <c r="AD13" s="137">
        <f t="shared" si="15"/>
        <v>158177</v>
      </c>
      <c r="AE13" s="137">
        <f t="shared" si="16"/>
        <v>470423</v>
      </c>
      <c r="AF13" s="137">
        <f t="shared" si="17"/>
        <v>221943</v>
      </c>
      <c r="AG13" s="137">
        <f t="shared" si="18"/>
        <v>412678</v>
      </c>
      <c r="AH13" s="137">
        <f t="shared" si="19"/>
        <v>273407</v>
      </c>
      <c r="AI13" s="137">
        <f t="shared" si="20"/>
        <v>135319</v>
      </c>
      <c r="AJ13" s="137">
        <f t="shared" si="21"/>
        <v>133198</v>
      </c>
      <c r="AK13" s="139">
        <f t="shared" si="22"/>
        <v>164265</v>
      </c>
      <c r="AL13" s="137">
        <f t="shared" si="23"/>
        <v>184615</v>
      </c>
      <c r="AM13" s="137">
        <f t="shared" si="24"/>
        <v>188696</v>
      </c>
      <c r="AN13" s="137">
        <f t="shared" si="25"/>
        <v>273540</v>
      </c>
      <c r="AO13" s="137">
        <f t="shared" si="26"/>
        <v>276019</v>
      </c>
      <c r="AP13" s="137">
        <f t="shared" si="26"/>
        <v>216535</v>
      </c>
      <c r="AQ13" s="137">
        <f t="shared" si="27"/>
        <v>127101</v>
      </c>
      <c r="AR13" s="137">
        <f t="shared" si="28"/>
        <v>207450</v>
      </c>
      <c r="AS13" s="138">
        <f t="shared" si="29"/>
        <v>307110</v>
      </c>
      <c r="AT13" s="141">
        <v>604297</v>
      </c>
      <c r="AU13" s="141">
        <v>370392</v>
      </c>
      <c r="AV13" s="141">
        <v>512279</v>
      </c>
      <c r="AW13" s="141">
        <v>248813</v>
      </c>
      <c r="AX13" s="141">
        <v>521633</v>
      </c>
      <c r="AY13" s="137">
        <v>411025</v>
      </c>
      <c r="AZ13" s="137">
        <v>118122</v>
      </c>
      <c r="BA13" s="137">
        <v>326035</v>
      </c>
      <c r="BB13" s="137">
        <v>107866</v>
      </c>
      <c r="BC13" s="137">
        <v>187682</v>
      </c>
      <c r="BD13" s="137">
        <v>129857</v>
      </c>
      <c r="BE13" s="137">
        <v>127947</v>
      </c>
      <c r="BF13" s="139">
        <v>306933</v>
      </c>
      <c r="BG13" s="137">
        <v>53012</v>
      </c>
      <c r="BH13" s="137">
        <v>299103</v>
      </c>
      <c r="BI13" s="137">
        <v>429186</v>
      </c>
      <c r="BJ13" s="137">
        <v>223311</v>
      </c>
      <c r="BK13" s="137">
        <v>152113</v>
      </c>
      <c r="BL13" s="137">
        <v>296690</v>
      </c>
      <c r="BM13" s="137">
        <v>141584</v>
      </c>
      <c r="BN13" s="137">
        <v>531013</v>
      </c>
      <c r="BO13" s="137">
        <v>117754</v>
      </c>
      <c r="BP13" s="137">
        <v>151461</v>
      </c>
      <c r="BQ13" s="137">
        <v>192811</v>
      </c>
      <c r="BR13" s="139">
        <v>114793</v>
      </c>
      <c r="BS13" s="137">
        <v>220286</v>
      </c>
      <c r="BT13" s="137">
        <v>250137</v>
      </c>
      <c r="BU13" s="137">
        <v>158177</v>
      </c>
      <c r="BV13" s="137">
        <v>412678</v>
      </c>
      <c r="BW13" s="137">
        <v>135319</v>
      </c>
      <c r="BX13" s="137">
        <v>205090</v>
      </c>
      <c r="BY13" s="137">
        <v>133198</v>
      </c>
      <c r="BZ13" s="137">
        <v>273407</v>
      </c>
      <c r="CA13" s="137">
        <v>221943</v>
      </c>
      <c r="CB13" s="139">
        <v>164265</v>
      </c>
      <c r="CC13" s="137">
        <v>276019</v>
      </c>
      <c r="CD13" s="155">
        <v>216535</v>
      </c>
      <c r="CE13" s="137">
        <v>184615</v>
      </c>
      <c r="CF13" s="137">
        <v>119218</v>
      </c>
      <c r="CG13" s="137">
        <v>187892</v>
      </c>
      <c r="CH13" s="137">
        <v>188696</v>
      </c>
      <c r="CI13" s="137">
        <v>207450</v>
      </c>
      <c r="CJ13" s="137">
        <v>273540</v>
      </c>
      <c r="CK13" s="138">
        <v>127101</v>
      </c>
      <c r="CL13" s="140">
        <v>10631278</v>
      </c>
      <c r="CM13" s="49"/>
    </row>
    <row r="14" spans="1:91">
      <c r="A14" s="80">
        <f>ROWS($A$3:A12)</f>
        <v>10</v>
      </c>
      <c r="B14" s="54" t="s">
        <v>61</v>
      </c>
      <c r="C14" s="252"/>
      <c r="D14" s="259" t="s">
        <v>12</v>
      </c>
      <c r="E14" s="435"/>
      <c r="F14" s="142">
        <f>F13/F7*100</f>
        <v>376.30388988448175</v>
      </c>
      <c r="G14" s="143">
        <f>G13/G7*100</f>
        <v>390.64009434916704</v>
      </c>
      <c r="H14" s="143">
        <f>H13/H7*100</f>
        <v>232.39286095970931</v>
      </c>
      <c r="I14" s="144">
        <f>I13/I7*100</f>
        <v>199.72279816858403</v>
      </c>
      <c r="J14" s="141"/>
      <c r="K14" s="145">
        <f t="shared" si="0"/>
        <v>203.05576321308308</v>
      </c>
      <c r="L14" s="146">
        <f t="shared" si="1"/>
        <v>478.97196261682245</v>
      </c>
      <c r="M14" s="146">
        <f t="shared" si="2"/>
        <v>99.552288007604972</v>
      </c>
      <c r="N14" s="146">
        <f t="shared" si="3"/>
        <v>387.34198891587272</v>
      </c>
      <c r="O14" s="146">
        <f t="shared" si="4"/>
        <v>204.02315346345196</v>
      </c>
      <c r="P14" s="143">
        <f>P13/P7*100</f>
        <v>370.18944666238821</v>
      </c>
      <c r="Q14" s="146">
        <f>'2013'!AU14</f>
        <v>599.51442167621633</v>
      </c>
      <c r="R14" s="143">
        <f>R13/R7*100</f>
        <v>1259.1900868962277</v>
      </c>
      <c r="S14" s="146">
        <f t="shared" si="5"/>
        <v>798.58919997505768</v>
      </c>
      <c r="T14" s="146">
        <f t="shared" si="6"/>
        <v>138.86657397394305</v>
      </c>
      <c r="U14" s="147">
        <f t="shared" si="6"/>
        <v>126.47035040431267</v>
      </c>
      <c r="V14" s="143">
        <f>V13/V7*100</f>
        <v>314.37494311458994</v>
      </c>
      <c r="W14" s="146">
        <f t="shared" si="8"/>
        <v>131.84444163690031</v>
      </c>
      <c r="X14" s="143">
        <f>X13/X7*100</f>
        <v>578.74205340114429</v>
      </c>
      <c r="Y14" s="143">
        <f>Y13/Y7*100</f>
        <v>744.82402128468266</v>
      </c>
      <c r="Z14" s="146">
        <f t="shared" si="11"/>
        <v>125.71276359600444</v>
      </c>
      <c r="AA14" s="143">
        <f>AA13/AA7*100</f>
        <v>462.36359034673728</v>
      </c>
      <c r="AB14" s="147">
        <f t="shared" si="13"/>
        <v>189.91736780730022</v>
      </c>
      <c r="AC14" s="146">
        <f t="shared" si="14"/>
        <v>200.03706376919027</v>
      </c>
      <c r="AD14" s="146">
        <f t="shared" si="15"/>
        <v>232.6542919338707</v>
      </c>
      <c r="AE14" s="143">
        <f>AE13/AE7*100</f>
        <v>307.18492882329895</v>
      </c>
      <c r="AF14" s="146">
        <f t="shared" si="17"/>
        <v>275.10071023959739</v>
      </c>
      <c r="AG14" s="146">
        <f t="shared" si="18"/>
        <v>221.7768892614925</v>
      </c>
      <c r="AH14" s="146">
        <f t="shared" si="19"/>
        <v>334.2506448891769</v>
      </c>
      <c r="AI14" s="146">
        <f t="shared" si="20"/>
        <v>175.86914989017842</v>
      </c>
      <c r="AJ14" s="146">
        <f t="shared" si="21"/>
        <v>181.38217471233062</v>
      </c>
      <c r="AK14" s="147">
        <f t="shared" si="22"/>
        <v>145.21946691420234</v>
      </c>
      <c r="AL14" s="146">
        <f t="shared" si="23"/>
        <v>201.16921467566007</v>
      </c>
      <c r="AM14" s="146">
        <f t="shared" si="24"/>
        <v>133.85068274516757</v>
      </c>
      <c r="AN14" s="146">
        <f t="shared" si="25"/>
        <v>167.62878258631466</v>
      </c>
      <c r="AO14" s="146">
        <f t="shared" si="26"/>
        <v>252.59810381433488</v>
      </c>
      <c r="AP14" s="146">
        <f t="shared" si="26"/>
        <v>417.063117548489</v>
      </c>
      <c r="AQ14" s="146">
        <f t="shared" si="27"/>
        <v>105.53581214607171</v>
      </c>
      <c r="AR14" s="146">
        <f t="shared" si="28"/>
        <v>312.04873646209387</v>
      </c>
      <c r="AS14" s="144">
        <f>AS13/AS7*100</f>
        <v>207.87756538690635</v>
      </c>
      <c r="AT14" s="143">
        <f t="shared" ref="AT14:CK14" si="32">AT13/AT7*100</f>
        <v>2914.3814805883771</v>
      </c>
      <c r="AU14" s="143">
        <f t="shared" si="32"/>
        <v>599.51442167621633</v>
      </c>
      <c r="AV14" s="143">
        <f t="shared" si="32"/>
        <v>798.58919997505768</v>
      </c>
      <c r="AW14" s="143">
        <f t="shared" si="32"/>
        <v>387.34198891587272</v>
      </c>
      <c r="AX14" s="143">
        <f t="shared" si="32"/>
        <v>759.49011385807057</v>
      </c>
      <c r="AY14" s="143">
        <f t="shared" si="32"/>
        <v>478.97196261682245</v>
      </c>
      <c r="AZ14" s="143">
        <f t="shared" si="32"/>
        <v>1182.6391670004004</v>
      </c>
      <c r="BA14" s="143">
        <f t="shared" si="32"/>
        <v>296.41431727473571</v>
      </c>
      <c r="BB14" s="143">
        <f t="shared" si="32"/>
        <v>138.86657397394305</v>
      </c>
      <c r="BC14" s="143">
        <f t="shared" si="32"/>
        <v>126.47035040431267</v>
      </c>
      <c r="BD14" s="143">
        <f t="shared" si="32"/>
        <v>99.552288007604972</v>
      </c>
      <c r="BE14" s="143">
        <f t="shared" si="32"/>
        <v>204.02315346345196</v>
      </c>
      <c r="BF14" s="148">
        <f t="shared" si="32"/>
        <v>203.05576321308308</v>
      </c>
      <c r="BG14" s="143">
        <f t="shared" si="32"/>
        <v>378.09000784537477</v>
      </c>
      <c r="BH14" s="143">
        <f t="shared" si="32"/>
        <v>1724.3341404358355</v>
      </c>
      <c r="BI14" s="143">
        <f t="shared" si="32"/>
        <v>395.58500930927056</v>
      </c>
      <c r="BJ14" s="143">
        <f t="shared" si="32"/>
        <v>302.28223350253808</v>
      </c>
      <c r="BK14" s="143">
        <f t="shared" si="32"/>
        <v>1397.7120279334742</v>
      </c>
      <c r="BL14" s="143">
        <f t="shared" si="32"/>
        <v>2046.7025386313467</v>
      </c>
      <c r="BM14" s="143">
        <f t="shared" si="32"/>
        <v>125.71276359600444</v>
      </c>
      <c r="BN14" s="143">
        <f t="shared" si="32"/>
        <v>500.14881653182135</v>
      </c>
      <c r="BO14" s="143">
        <f t="shared" si="32"/>
        <v>1201.5714285714284</v>
      </c>
      <c r="BP14" s="143">
        <f t="shared" si="32"/>
        <v>189.91736780730022</v>
      </c>
      <c r="BQ14" s="143">
        <f t="shared" si="32"/>
        <v>336.08917708169918</v>
      </c>
      <c r="BR14" s="148">
        <f t="shared" si="32"/>
        <v>131.84444163690031</v>
      </c>
      <c r="BS14" s="143">
        <f t="shared" si="32"/>
        <v>1439.2133803737097</v>
      </c>
      <c r="BT14" s="143">
        <f t="shared" si="32"/>
        <v>181.47699406532496</v>
      </c>
      <c r="BU14" s="143">
        <f t="shared" si="32"/>
        <v>232.6542919338707</v>
      </c>
      <c r="BV14" s="143">
        <f t="shared" si="32"/>
        <v>221.7768892614925</v>
      </c>
      <c r="BW14" s="143">
        <f t="shared" si="32"/>
        <v>175.86914989017842</v>
      </c>
      <c r="BX14" s="143">
        <f t="shared" si="32"/>
        <v>200.03706376919027</v>
      </c>
      <c r="BY14" s="143">
        <f t="shared" si="32"/>
        <v>181.38217471233062</v>
      </c>
      <c r="BZ14" s="143">
        <f t="shared" si="32"/>
        <v>334.2506448891769</v>
      </c>
      <c r="CA14" s="143">
        <f t="shared" si="32"/>
        <v>275.10071023959739</v>
      </c>
      <c r="CB14" s="148">
        <f t="shared" si="32"/>
        <v>145.21946691420234</v>
      </c>
      <c r="CC14" s="143">
        <f t="shared" si="32"/>
        <v>252.59810381433488</v>
      </c>
      <c r="CD14" s="143">
        <f t="shared" si="32"/>
        <v>417.063117548489</v>
      </c>
      <c r="CE14" s="143">
        <f t="shared" si="32"/>
        <v>201.16921467566007</v>
      </c>
      <c r="CF14" s="143">
        <f t="shared" si="32"/>
        <v>1004.4485634847082</v>
      </c>
      <c r="CG14" s="143">
        <f>CG13/CG7*100</f>
        <v>138.29112293640105</v>
      </c>
      <c r="CH14" s="143">
        <f t="shared" si="32"/>
        <v>133.85068274516757</v>
      </c>
      <c r="CI14" s="143">
        <f t="shared" si="32"/>
        <v>312.04873646209387</v>
      </c>
      <c r="CJ14" s="143">
        <f t="shared" si="32"/>
        <v>167.62878258631466</v>
      </c>
      <c r="CK14" s="144">
        <f t="shared" si="32"/>
        <v>105.53581214607171</v>
      </c>
      <c r="CL14" s="149">
        <f>CL13/CL7*100</f>
        <v>297.36742587406565</v>
      </c>
    </row>
    <row r="15" spans="1:91">
      <c r="A15" s="80">
        <f>ROWS($A$3:A13)</f>
        <v>11</v>
      </c>
      <c r="B15" s="59" t="s">
        <v>269</v>
      </c>
      <c r="C15" s="252"/>
      <c r="D15" s="259"/>
      <c r="E15" s="435"/>
      <c r="F15" s="302"/>
      <c r="G15" s="141"/>
      <c r="H15" s="141"/>
      <c r="I15" s="298"/>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1">
      <c r="A16" s="80">
        <f>ROWS($A$3:A14)</f>
        <v>12</v>
      </c>
      <c r="B16" s="92" t="s">
        <v>200</v>
      </c>
      <c r="C16" s="202">
        <v>2013</v>
      </c>
      <c r="D16" s="259" t="s">
        <v>11</v>
      </c>
      <c r="E16" s="436">
        <v>42207</v>
      </c>
      <c r="F16" s="116">
        <v>2282500</v>
      </c>
      <c r="G16" s="137">
        <v>1503700</v>
      </c>
      <c r="H16" s="137">
        <v>1170700</v>
      </c>
      <c r="I16" s="138">
        <v>988300</v>
      </c>
      <c r="J16" s="141"/>
      <c r="K16" s="116">
        <f t="shared" si="0"/>
        <v>163400</v>
      </c>
      <c r="L16" s="137">
        <f t="shared" si="1"/>
        <v>193400</v>
      </c>
      <c r="M16" s="137">
        <f t="shared" si="2"/>
        <v>73000</v>
      </c>
      <c r="N16" s="137">
        <f t="shared" si="3"/>
        <v>119200</v>
      </c>
      <c r="O16" s="137">
        <f t="shared" si="4"/>
        <v>64200</v>
      </c>
      <c r="P16" s="137">
        <f>'2013'!AZ16+'2013'!BA16</f>
        <v>264200</v>
      </c>
      <c r="Q16" s="137">
        <f>'2013'!AU16</f>
        <v>220100</v>
      </c>
      <c r="R16" s="137">
        <f t="shared" si="30"/>
        <v>746500</v>
      </c>
      <c r="S16" s="137">
        <f t="shared" si="5"/>
        <v>263200</v>
      </c>
      <c r="T16" s="137">
        <f t="shared" si="6"/>
        <v>68500</v>
      </c>
      <c r="U16" s="139">
        <f t="shared" si="6"/>
        <v>106700</v>
      </c>
      <c r="V16" s="137">
        <f>BG16+BJ16</f>
        <v>152700</v>
      </c>
      <c r="W16" s="137">
        <f t="shared" si="8"/>
        <v>61900</v>
      </c>
      <c r="X16" s="137">
        <f>BH16+BI16</f>
        <v>428800</v>
      </c>
      <c r="Y16" s="137">
        <f>BK16+BL16+BN16</f>
        <v>574400</v>
      </c>
      <c r="Z16" s="137">
        <f t="shared" si="11"/>
        <v>66500</v>
      </c>
      <c r="AA16" s="137">
        <f>BO16+BQ16</f>
        <v>155300</v>
      </c>
      <c r="AB16" s="139">
        <f t="shared" si="13"/>
        <v>64000</v>
      </c>
      <c r="AC16" s="137">
        <f t="shared" si="14"/>
        <v>114300</v>
      </c>
      <c r="AD16" s="137">
        <f t="shared" si="15"/>
        <v>69900</v>
      </c>
      <c r="AE16" s="137">
        <f>BS16+BT16</f>
        <v>277900</v>
      </c>
      <c r="AF16" s="137">
        <f t="shared" si="17"/>
        <v>104200</v>
      </c>
      <c r="AG16" s="137">
        <f t="shared" si="18"/>
        <v>234900</v>
      </c>
      <c r="AH16" s="137">
        <f t="shared" si="19"/>
        <v>138300</v>
      </c>
      <c r="AI16" s="137">
        <f t="shared" si="20"/>
        <v>74100</v>
      </c>
      <c r="AJ16" s="137">
        <f t="shared" si="21"/>
        <v>80700</v>
      </c>
      <c r="AK16" s="139">
        <f t="shared" si="22"/>
        <v>76400</v>
      </c>
      <c r="AL16" s="137">
        <f t="shared" si="23"/>
        <v>91300</v>
      </c>
      <c r="AM16" s="137">
        <f t="shared" si="24"/>
        <v>106200</v>
      </c>
      <c r="AN16" s="137">
        <f t="shared" si="25"/>
        <v>155400</v>
      </c>
      <c r="AO16" s="137">
        <f t="shared" si="26"/>
        <v>146400</v>
      </c>
      <c r="AP16" s="137">
        <f t="shared" si="26"/>
        <v>107400</v>
      </c>
      <c r="AQ16" s="137">
        <f t="shared" si="27"/>
        <v>66300</v>
      </c>
      <c r="AR16" s="137">
        <f t="shared" si="28"/>
        <v>120100</v>
      </c>
      <c r="AS16" s="138">
        <f>CF16+CG16</f>
        <v>195300</v>
      </c>
      <c r="AT16" s="141">
        <v>496200</v>
      </c>
      <c r="AU16" s="141">
        <v>220100</v>
      </c>
      <c r="AV16" s="141">
        <v>263200</v>
      </c>
      <c r="AW16" s="141">
        <v>119200</v>
      </c>
      <c r="AX16" s="141">
        <v>250300</v>
      </c>
      <c r="AY16" s="137">
        <v>193400</v>
      </c>
      <c r="AZ16" s="137">
        <v>103100</v>
      </c>
      <c r="BA16" s="137">
        <v>161100</v>
      </c>
      <c r="BB16" s="137">
        <v>68500</v>
      </c>
      <c r="BC16" s="137">
        <v>106700</v>
      </c>
      <c r="BD16" s="137">
        <v>73000</v>
      </c>
      <c r="BE16" s="137">
        <v>64200</v>
      </c>
      <c r="BF16" s="139">
        <v>163400</v>
      </c>
      <c r="BG16" s="137">
        <v>39800</v>
      </c>
      <c r="BH16" s="137">
        <v>232300</v>
      </c>
      <c r="BI16" s="137">
        <v>196500</v>
      </c>
      <c r="BJ16" s="137">
        <v>112900</v>
      </c>
      <c r="BK16" s="137">
        <v>116100</v>
      </c>
      <c r="BL16" s="137">
        <v>235200</v>
      </c>
      <c r="BM16" s="137">
        <v>66500</v>
      </c>
      <c r="BN16" s="137">
        <v>223100</v>
      </c>
      <c r="BO16" s="137">
        <v>76300</v>
      </c>
      <c r="BP16" s="137">
        <v>64000</v>
      </c>
      <c r="BQ16" s="137">
        <v>79000</v>
      </c>
      <c r="BR16" s="139">
        <v>61900</v>
      </c>
      <c r="BS16" s="137">
        <v>164400</v>
      </c>
      <c r="BT16" s="137">
        <v>113500</v>
      </c>
      <c r="BU16" s="137">
        <v>69900</v>
      </c>
      <c r="BV16" s="137">
        <v>234900</v>
      </c>
      <c r="BW16" s="137">
        <v>74100</v>
      </c>
      <c r="BX16" s="137">
        <v>114300</v>
      </c>
      <c r="BY16" s="137">
        <v>80700</v>
      </c>
      <c r="BZ16" s="137">
        <v>138300</v>
      </c>
      <c r="CA16" s="137">
        <v>104200</v>
      </c>
      <c r="CB16" s="139">
        <v>76400</v>
      </c>
      <c r="CC16" s="137">
        <v>146400</v>
      </c>
      <c r="CD16" s="137">
        <v>107400</v>
      </c>
      <c r="CE16" s="137">
        <v>91300</v>
      </c>
      <c r="CF16" s="137">
        <v>119700</v>
      </c>
      <c r="CG16" s="137">
        <v>75600</v>
      </c>
      <c r="CH16" s="137">
        <v>106200</v>
      </c>
      <c r="CI16" s="137">
        <v>120100</v>
      </c>
      <c r="CJ16" s="137">
        <v>155400</v>
      </c>
      <c r="CK16" s="138">
        <v>66300</v>
      </c>
      <c r="CL16" s="140">
        <v>5945100</v>
      </c>
    </row>
    <row r="17" spans="1:90" ht="14.25">
      <c r="A17" s="80">
        <f>ROWS($A$3:A15)</f>
        <v>13</v>
      </c>
      <c r="B17" s="54" t="s">
        <v>243</v>
      </c>
      <c r="C17" s="204">
        <v>2013</v>
      </c>
      <c r="D17" s="259" t="s">
        <v>3</v>
      </c>
      <c r="E17" s="436">
        <v>42184</v>
      </c>
      <c r="F17" s="167">
        <f>(AT16*AT17+AU16*AU17+AV16*AV17+AW16*AW17+AX16*AX17+AY16*AY17+AZ16*AZ17+BA16*BA17+BB16*BB17+BC16*BC17+BD16*BD17+BE16*BE17+BF16*BF17)/F16</f>
        <v>4.3760569550930999</v>
      </c>
      <c r="G17" s="168">
        <f>(BG16*BG17+BH16*BH17+BI16*BI17+BJ16*BJ17+BK16*BK17+BL16*BL17+BM16*BM17+BN16*BN17+BO16*BO17+BP16*BP17+BQ16*BQ17+BR16*BR17)/G16</f>
        <v>4.779783201436457</v>
      </c>
      <c r="H17" s="168">
        <f>(BS16*BS17+BT16*BT17+BU16*BU17+BV16*BV17+BW16*BW17+BX16*BX17+BY16*BY17+BZ16*BZ17+CA16*CA17+CB16*CB17)/H16</f>
        <v>3.9486204834714274</v>
      </c>
      <c r="I17" s="169">
        <f>(CC16*CC17+CD16*CD17+CE16*CE17+CF16*CF17+CG16*CG17+CH16*CH17+CI16*CI17+CJ16*CJ17+CK16*CK17)/I16</f>
        <v>3.5450166953354243</v>
      </c>
      <c r="J17" s="173"/>
      <c r="K17" s="170">
        <f t="shared" si="0"/>
        <v>3.6</v>
      </c>
      <c r="L17" s="171">
        <f t="shared" si="1"/>
        <v>3.9</v>
      </c>
      <c r="M17" s="171">
        <f t="shared" si="2"/>
        <v>3.6</v>
      </c>
      <c r="N17" s="171">
        <f t="shared" si="3"/>
        <v>4.2</v>
      </c>
      <c r="O17" s="171">
        <f t="shared" si="4"/>
        <v>5.2</v>
      </c>
      <c r="P17" s="168">
        <f>ROUND((AZ16*AZ17/100+BA16*BA17/100)/P16%,1)</f>
        <v>4.9000000000000004</v>
      </c>
      <c r="Q17" s="171">
        <f>'2013'!AU17</f>
        <v>3.8</v>
      </c>
      <c r="R17" s="168">
        <f>ROUND((AT16*AT17/100+AX16*AX17/100)/R16%,1)</f>
        <v>5.2</v>
      </c>
      <c r="S17" s="171">
        <f t="shared" si="5"/>
        <v>3.6</v>
      </c>
      <c r="T17" s="171">
        <f t="shared" si="6"/>
        <v>3</v>
      </c>
      <c r="U17" s="172">
        <f t="shared" si="6"/>
        <v>3.4</v>
      </c>
      <c r="V17" s="168">
        <f>ROUND((BG16*BG17/100+BJ16*BJ17/100)/V16%,1)</f>
        <v>4.0999999999999996</v>
      </c>
      <c r="W17" s="171">
        <f t="shared" si="8"/>
        <v>4.0999999999999996</v>
      </c>
      <c r="X17" s="168">
        <f>ROUND((BH16*BH17/100+BI16*BI17/100)/X16%,1)</f>
        <v>4.5</v>
      </c>
      <c r="Y17" s="168">
        <f>ROUND((BK16*BK17/100+BL16*BL17/100+BN16*BN17/100)/Y16%,1)</f>
        <v>5.2</v>
      </c>
      <c r="Z17" s="171">
        <f t="shared" si="11"/>
        <v>4</v>
      </c>
      <c r="AA17" s="168">
        <f>ROUND((BO16*BO17/100+BQ16*BQ17/100)/AA16%,1)</f>
        <v>5.4</v>
      </c>
      <c r="AB17" s="172">
        <f t="shared" si="13"/>
        <v>4.2</v>
      </c>
      <c r="AC17" s="171">
        <f t="shared" si="14"/>
        <v>3.9</v>
      </c>
      <c r="AD17" s="171">
        <f t="shared" si="15"/>
        <v>3.2</v>
      </c>
      <c r="AE17" s="168">
        <f>ROUND((BS16*BS17/100+BT16*BT17/100)/AE16%,1)</f>
        <v>4.9000000000000004</v>
      </c>
      <c r="AF17" s="171">
        <f t="shared" si="17"/>
        <v>3.7</v>
      </c>
      <c r="AG17" s="171">
        <f t="shared" si="18"/>
        <v>3.7</v>
      </c>
      <c r="AH17" s="171">
        <f t="shared" si="19"/>
        <v>4.3</v>
      </c>
      <c r="AI17" s="171">
        <f t="shared" si="20"/>
        <v>3.3</v>
      </c>
      <c r="AJ17" s="171">
        <f t="shared" si="21"/>
        <v>3.1</v>
      </c>
      <c r="AK17" s="172">
        <f t="shared" si="22"/>
        <v>3.1</v>
      </c>
      <c r="AL17" s="171">
        <f t="shared" si="23"/>
        <v>4.3</v>
      </c>
      <c r="AM17" s="171">
        <f t="shared" si="24"/>
        <v>2.8</v>
      </c>
      <c r="AN17" s="171">
        <f t="shared" si="25"/>
        <v>2.8</v>
      </c>
      <c r="AO17" s="171">
        <f t="shared" si="26"/>
        <v>4</v>
      </c>
      <c r="AP17" s="171">
        <f t="shared" si="26"/>
        <v>3.4</v>
      </c>
      <c r="AQ17" s="171">
        <f t="shared" si="27"/>
        <v>3.9</v>
      </c>
      <c r="AR17" s="171">
        <f t="shared" si="28"/>
        <v>2.8</v>
      </c>
      <c r="AS17" s="169">
        <f>ROUND((CF16*CF17/100+CG16*CG17/100)/AS16%,1)</f>
        <v>4.3</v>
      </c>
      <c r="AT17" s="173">
        <v>5.9</v>
      </c>
      <c r="AU17" s="171">
        <v>3.8</v>
      </c>
      <c r="AV17" s="171">
        <v>3.6</v>
      </c>
      <c r="AW17" s="171">
        <v>4.2</v>
      </c>
      <c r="AX17" s="171">
        <v>3.9</v>
      </c>
      <c r="AY17" s="171">
        <v>3.9</v>
      </c>
      <c r="AZ17" s="171">
        <v>6.6</v>
      </c>
      <c r="BA17" s="171">
        <v>3.8</v>
      </c>
      <c r="BB17" s="171">
        <v>3</v>
      </c>
      <c r="BC17" s="171">
        <v>3.4</v>
      </c>
      <c r="BD17" s="171">
        <v>3.6</v>
      </c>
      <c r="BE17" s="171">
        <v>5.2</v>
      </c>
      <c r="BF17" s="172">
        <v>3.6</v>
      </c>
      <c r="BG17" s="171">
        <v>5.6</v>
      </c>
      <c r="BH17" s="171">
        <v>5.6</v>
      </c>
      <c r="BI17" s="171">
        <v>3.2</v>
      </c>
      <c r="BJ17" s="171">
        <v>3.6</v>
      </c>
      <c r="BK17" s="171">
        <v>5.3</v>
      </c>
      <c r="BL17" s="171">
        <v>6</v>
      </c>
      <c r="BM17" s="171">
        <v>4</v>
      </c>
      <c r="BN17" s="171">
        <v>4.4000000000000004</v>
      </c>
      <c r="BO17" s="171">
        <v>8</v>
      </c>
      <c r="BP17" s="171">
        <v>4.2</v>
      </c>
      <c r="BQ17" s="171">
        <v>2.8</v>
      </c>
      <c r="BR17" s="172">
        <v>4.0999999999999996</v>
      </c>
      <c r="BS17" s="171">
        <v>6</v>
      </c>
      <c r="BT17" s="171">
        <v>3.4</v>
      </c>
      <c r="BU17" s="171">
        <v>3.2</v>
      </c>
      <c r="BV17" s="171">
        <v>3.7</v>
      </c>
      <c r="BW17" s="171">
        <v>3.3</v>
      </c>
      <c r="BX17" s="171">
        <v>3.9</v>
      </c>
      <c r="BY17" s="171">
        <v>3.1</v>
      </c>
      <c r="BZ17" s="171">
        <v>4.3</v>
      </c>
      <c r="CA17" s="171">
        <v>3.7</v>
      </c>
      <c r="CB17" s="172">
        <v>3.1</v>
      </c>
      <c r="CC17" s="171">
        <v>4</v>
      </c>
      <c r="CD17" s="171">
        <v>3.4</v>
      </c>
      <c r="CE17" s="171">
        <v>4.3</v>
      </c>
      <c r="CF17" s="171">
        <v>5</v>
      </c>
      <c r="CG17" s="173">
        <v>3.1</v>
      </c>
      <c r="CH17" s="171">
        <v>2.8</v>
      </c>
      <c r="CI17" s="171">
        <v>2.8</v>
      </c>
      <c r="CJ17" s="171">
        <v>2.8</v>
      </c>
      <c r="CK17" s="174">
        <v>3.9</v>
      </c>
      <c r="CL17" s="319">
        <v>4.0999999999999996</v>
      </c>
    </row>
    <row r="18" spans="1:90">
      <c r="A18" s="80">
        <f>ROWS($A$3:A16)</f>
        <v>14</v>
      </c>
      <c r="B18" s="238" t="s">
        <v>270</v>
      </c>
      <c r="C18" s="393">
        <v>2010</v>
      </c>
      <c r="D18" s="259" t="s">
        <v>11</v>
      </c>
      <c r="E18" s="437">
        <v>40897</v>
      </c>
      <c r="F18" s="302">
        <v>65993</v>
      </c>
      <c r="G18" s="141">
        <v>23507</v>
      </c>
      <c r="H18" s="141">
        <v>61838</v>
      </c>
      <c r="I18" s="298">
        <v>38779</v>
      </c>
      <c r="J18" s="173"/>
      <c r="K18" s="116">
        <f>BF18</f>
        <v>4934</v>
      </c>
      <c r="L18" s="137">
        <f>AY18</f>
        <v>7021</v>
      </c>
      <c r="M18" s="137">
        <f>BD18</f>
        <v>5124</v>
      </c>
      <c r="N18" s="137">
        <f>AW18</f>
        <v>2210</v>
      </c>
      <c r="O18" s="137">
        <f>BE18</f>
        <v>1489</v>
      </c>
      <c r="P18" s="143">
        <f>'2013'!AZ18+'2013'!BA18</f>
        <v>17120</v>
      </c>
      <c r="Q18" s="137">
        <f>'2013'!AU18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c r="A19" s="80">
        <f>ROWS($A$3:A17)</f>
        <v>15</v>
      </c>
      <c r="B19" s="238" t="s">
        <v>268</v>
      </c>
      <c r="C19" s="202">
        <v>2012</v>
      </c>
      <c r="D19" s="259" t="s">
        <v>11</v>
      </c>
      <c r="E19" s="437">
        <v>41487</v>
      </c>
      <c r="F19" s="302">
        <v>1597502</v>
      </c>
      <c r="G19" s="141">
        <v>1042894</v>
      </c>
      <c r="H19" s="141">
        <v>774307</v>
      </c>
      <c r="I19" s="298">
        <v>656965</v>
      </c>
      <c r="J19" s="173"/>
      <c r="K19" s="116">
        <f>BF19</f>
        <v>109150</v>
      </c>
      <c r="L19" s="137">
        <f>AY19</f>
        <v>129344</v>
      </c>
      <c r="M19" s="137">
        <f>BD19</f>
        <v>49701</v>
      </c>
      <c r="N19" s="137">
        <f>AW19</f>
        <v>79719</v>
      </c>
      <c r="O19" s="137">
        <f>BE19</f>
        <v>47293</v>
      </c>
      <c r="P19" s="143">
        <f>'2013'!AZ19+'2013'!BA19</f>
        <v>179832</v>
      </c>
      <c r="Q19" s="137">
        <f>'2013'!AU19</f>
        <v>158600</v>
      </c>
      <c r="R19" s="143">
        <f>AT19+AX19</f>
        <v>535665</v>
      </c>
      <c r="S19" s="137">
        <f>AV19</f>
        <v>187097</v>
      </c>
      <c r="T19" s="137">
        <f>BB19</f>
        <v>49782</v>
      </c>
      <c r="U19" s="139">
        <f>BC19</f>
        <v>71319</v>
      </c>
      <c r="V19" s="143">
        <f>BG19+BJ19</f>
        <v>111881</v>
      </c>
      <c r="W19" s="137">
        <f>BR19</f>
        <v>42442</v>
      </c>
      <c r="X19" s="143">
        <f>BH19+BI19</f>
        <v>297838</v>
      </c>
      <c r="Y19" s="143">
        <f>BK19+BL19+BN19</f>
        <v>401686</v>
      </c>
      <c r="Z19" s="137">
        <f>BM19</f>
        <v>42030</v>
      </c>
      <c r="AA19" s="143">
        <f>BO19+BQ19</f>
        <v>105030</v>
      </c>
      <c r="AB19" s="139">
        <f>BP19</f>
        <v>41987</v>
      </c>
      <c r="AC19" s="137">
        <f>BX19</f>
        <v>78457</v>
      </c>
      <c r="AD19" s="137">
        <f>BU19</f>
        <v>45332</v>
      </c>
      <c r="AE19" s="143">
        <f>BS19+BT19</f>
        <v>179273</v>
      </c>
      <c r="AF19" s="137">
        <f>CA19</f>
        <v>69688</v>
      </c>
      <c r="AG19" s="137">
        <f>BV19</f>
        <v>157944</v>
      </c>
      <c r="AH19" s="137">
        <f>BZ19</f>
        <v>88918</v>
      </c>
      <c r="AI19" s="137">
        <f>BW19</f>
        <v>50130</v>
      </c>
      <c r="AJ19" s="137">
        <f>BY19</f>
        <v>56433</v>
      </c>
      <c r="AK19" s="139">
        <f>CB19</f>
        <v>48132</v>
      </c>
      <c r="AL19" s="137">
        <f>CE19</f>
        <v>61505</v>
      </c>
      <c r="AM19" s="137">
        <f>CH19</f>
        <v>71226</v>
      </c>
      <c r="AN19" s="137">
        <f>CJ19</f>
        <v>101087</v>
      </c>
      <c r="AO19" s="137">
        <f>CC19</f>
        <v>98786</v>
      </c>
      <c r="AP19" s="137">
        <f>CD19</f>
        <v>67802</v>
      </c>
      <c r="AQ19" s="137">
        <f>CK19</f>
        <v>41732</v>
      </c>
      <c r="AR19" s="137">
        <f>CI19</f>
        <v>80778</v>
      </c>
      <c r="AS19" s="144">
        <f>CF19+CG19</f>
        <v>134049</v>
      </c>
      <c r="AT19" s="141">
        <v>359817</v>
      </c>
      <c r="AU19" s="137">
        <v>158600</v>
      </c>
      <c r="AV19" s="137">
        <v>187097</v>
      </c>
      <c r="AW19" s="137">
        <v>79719</v>
      </c>
      <c r="AX19" s="137">
        <v>175848</v>
      </c>
      <c r="AY19" s="137">
        <v>129344</v>
      </c>
      <c r="AZ19" s="137">
        <v>63321</v>
      </c>
      <c r="BA19" s="137">
        <v>116511</v>
      </c>
      <c r="BB19" s="137">
        <v>49782</v>
      </c>
      <c r="BC19" s="137">
        <v>71319</v>
      </c>
      <c r="BD19" s="137">
        <v>49701</v>
      </c>
      <c r="BE19" s="137">
        <v>47293</v>
      </c>
      <c r="BF19" s="139">
        <v>109150</v>
      </c>
      <c r="BG19" s="137">
        <v>31306</v>
      </c>
      <c r="BH19" s="137">
        <v>163521</v>
      </c>
      <c r="BI19" s="137">
        <v>134317</v>
      </c>
      <c r="BJ19" s="137">
        <v>80575</v>
      </c>
      <c r="BK19" s="137">
        <v>82246</v>
      </c>
      <c r="BL19" s="137">
        <v>170843</v>
      </c>
      <c r="BM19" s="137">
        <v>42030</v>
      </c>
      <c r="BN19" s="137">
        <v>148597</v>
      </c>
      <c r="BO19" s="137">
        <v>51124</v>
      </c>
      <c r="BP19" s="137">
        <v>41987</v>
      </c>
      <c r="BQ19" s="137">
        <v>53906</v>
      </c>
      <c r="BR19" s="139">
        <v>42442</v>
      </c>
      <c r="BS19" s="137">
        <v>107888</v>
      </c>
      <c r="BT19" s="137">
        <v>71385</v>
      </c>
      <c r="BU19" s="137">
        <v>45332</v>
      </c>
      <c r="BV19" s="137">
        <v>157944</v>
      </c>
      <c r="BW19" s="137">
        <v>50130</v>
      </c>
      <c r="BX19" s="137">
        <v>78457</v>
      </c>
      <c r="BY19" s="137">
        <v>56433</v>
      </c>
      <c r="BZ19" s="137">
        <v>88918</v>
      </c>
      <c r="CA19" s="137">
        <v>69688</v>
      </c>
      <c r="CB19" s="139">
        <v>48132</v>
      </c>
      <c r="CC19" s="137">
        <v>98786</v>
      </c>
      <c r="CD19" s="137">
        <v>67802</v>
      </c>
      <c r="CE19" s="137">
        <v>61505</v>
      </c>
      <c r="CF19" s="137">
        <v>84825</v>
      </c>
      <c r="CG19" s="141">
        <v>49224</v>
      </c>
      <c r="CH19" s="137">
        <v>71226</v>
      </c>
      <c r="CI19" s="137">
        <v>80778</v>
      </c>
      <c r="CJ19" s="137">
        <v>101087</v>
      </c>
      <c r="CK19" s="138">
        <v>41732</v>
      </c>
      <c r="CL19" s="320">
        <v>4071668</v>
      </c>
    </row>
    <row r="20" spans="1:90">
      <c r="A20" s="80">
        <f>ROWS($A$3:A18)</f>
        <v>16</v>
      </c>
      <c r="B20" s="92" t="s">
        <v>64</v>
      </c>
      <c r="C20" s="204">
        <v>2012</v>
      </c>
      <c r="D20" s="259" t="s">
        <v>285</v>
      </c>
      <c r="E20" s="436">
        <v>41954</v>
      </c>
      <c r="F20" s="116">
        <v>145907.92499999999</v>
      </c>
      <c r="G20" s="137">
        <v>88567.297000000006</v>
      </c>
      <c r="H20" s="137">
        <v>62688.027000000002</v>
      </c>
      <c r="I20" s="138">
        <v>56924.069000000003</v>
      </c>
      <c r="J20" s="141"/>
      <c r="K20" s="116">
        <f t="shared" si="0"/>
        <v>9903.6929999999993</v>
      </c>
      <c r="L20" s="137">
        <f t="shared" si="1"/>
        <v>10732.052</v>
      </c>
      <c r="M20" s="137">
        <f t="shared" si="2"/>
        <v>4072.4079999999999</v>
      </c>
      <c r="N20" s="137">
        <f t="shared" si="3"/>
        <v>6652.6009999999997</v>
      </c>
      <c r="O20" s="137">
        <f t="shared" si="4"/>
        <v>3620.6570000000002</v>
      </c>
      <c r="P20" s="137">
        <f>'2013'!AZ20+'2013'!BA20</f>
        <v>17747.184000000001</v>
      </c>
      <c r="Q20" s="137">
        <f>'2013'!AU20</f>
        <v>15376.76</v>
      </c>
      <c r="R20" s="137">
        <f>AT20+AX20</f>
        <v>52077.243999999992</v>
      </c>
      <c r="S20" s="137">
        <f t="shared" si="5"/>
        <v>15821.448</v>
      </c>
      <c r="T20" s="137">
        <f t="shared" si="6"/>
        <v>4030.433</v>
      </c>
      <c r="U20" s="139">
        <f t="shared" si="6"/>
        <v>5873.4459999999999</v>
      </c>
      <c r="V20" s="137">
        <f>BG20+BJ20</f>
        <v>9645.4680000000008</v>
      </c>
      <c r="W20" s="137">
        <f t="shared" si="8"/>
        <v>3419.2159999999999</v>
      </c>
      <c r="X20" s="137">
        <f>BH20+BI20</f>
        <v>26494.387999999999</v>
      </c>
      <c r="Y20" s="137">
        <f>BK20+BL20+BN20</f>
        <v>33103.358</v>
      </c>
      <c r="Z20" s="137">
        <f t="shared" si="11"/>
        <v>3651.9989999999998</v>
      </c>
      <c r="AA20" s="137">
        <f>BO20+BQ20</f>
        <v>8713.5080000000016</v>
      </c>
      <c r="AB20" s="139">
        <f t="shared" si="13"/>
        <v>3539.3609999999999</v>
      </c>
      <c r="AC20" s="137">
        <f t="shared" si="14"/>
        <v>6105.1859999999997</v>
      </c>
      <c r="AD20" s="137">
        <f t="shared" si="15"/>
        <v>3689.9070000000002</v>
      </c>
      <c r="AE20" s="137">
        <f>BS20+BT20</f>
        <v>13981.393</v>
      </c>
      <c r="AF20" s="137">
        <f t="shared" si="17"/>
        <v>5791.3190000000004</v>
      </c>
      <c r="AG20" s="137">
        <f t="shared" si="18"/>
        <v>12926.192999999999</v>
      </c>
      <c r="AH20" s="137">
        <f t="shared" si="19"/>
        <v>6946.7849999999999</v>
      </c>
      <c r="AI20" s="137">
        <f t="shared" si="20"/>
        <v>4387.607</v>
      </c>
      <c r="AJ20" s="137">
        <f t="shared" si="21"/>
        <v>4890.9179999999997</v>
      </c>
      <c r="AK20" s="139">
        <f t="shared" si="22"/>
        <v>3968.7190000000001</v>
      </c>
      <c r="AL20" s="137">
        <f t="shared" si="23"/>
        <v>5094.6040000000003</v>
      </c>
      <c r="AM20" s="137">
        <f t="shared" si="24"/>
        <v>6965.5519999999997</v>
      </c>
      <c r="AN20" s="137">
        <f t="shared" si="25"/>
        <v>8936.9789999999994</v>
      </c>
      <c r="AO20" s="137">
        <f t="shared" si="26"/>
        <v>8363.9320000000007</v>
      </c>
      <c r="AP20" s="137">
        <f t="shared" si="26"/>
        <v>5553.4030000000002</v>
      </c>
      <c r="AQ20" s="137">
        <f t="shared" si="27"/>
        <v>3518.0720000000001</v>
      </c>
      <c r="AR20" s="137">
        <f t="shared" si="28"/>
        <v>7461.9080000000004</v>
      </c>
      <c r="AS20" s="138">
        <f>CF20+CG20</f>
        <v>11029.618</v>
      </c>
      <c r="AT20" s="141">
        <v>35507.269999999997</v>
      </c>
      <c r="AU20" s="137">
        <v>15376.76</v>
      </c>
      <c r="AV20" s="137">
        <v>15821.448</v>
      </c>
      <c r="AW20" s="137">
        <v>6652.6009999999997</v>
      </c>
      <c r="AX20" s="137">
        <v>16569.973999999998</v>
      </c>
      <c r="AY20" s="137">
        <v>10732.052</v>
      </c>
      <c r="AZ20" s="137">
        <v>4831.0420000000004</v>
      </c>
      <c r="BA20" s="137">
        <v>12916.142</v>
      </c>
      <c r="BB20" s="137">
        <v>4030.433</v>
      </c>
      <c r="BC20" s="137">
        <v>5873.4459999999999</v>
      </c>
      <c r="BD20" s="137">
        <v>4072.4079999999999</v>
      </c>
      <c r="BE20" s="137">
        <v>3620.6570000000002</v>
      </c>
      <c r="BF20" s="139">
        <v>9903.6929999999993</v>
      </c>
      <c r="BG20" s="137">
        <v>2485.9270000000001</v>
      </c>
      <c r="BH20" s="137">
        <v>14060.191999999999</v>
      </c>
      <c r="BI20" s="137">
        <v>12434.196</v>
      </c>
      <c r="BJ20" s="137">
        <v>7159.5410000000002</v>
      </c>
      <c r="BK20" s="137">
        <v>6099.4319999999998</v>
      </c>
      <c r="BL20" s="137">
        <v>14015.786</v>
      </c>
      <c r="BM20" s="137">
        <v>3651.9989999999998</v>
      </c>
      <c r="BN20" s="137">
        <v>12988.14</v>
      </c>
      <c r="BO20" s="137">
        <v>4205.8630000000003</v>
      </c>
      <c r="BP20" s="137">
        <v>3539.3609999999999</v>
      </c>
      <c r="BQ20" s="137">
        <v>4507.6450000000004</v>
      </c>
      <c r="BR20" s="139">
        <v>3419.2159999999999</v>
      </c>
      <c r="BS20" s="137">
        <v>8206.7099999999991</v>
      </c>
      <c r="BT20" s="137">
        <v>5774.683</v>
      </c>
      <c r="BU20" s="137">
        <v>3689.9070000000002</v>
      </c>
      <c r="BV20" s="137">
        <v>12926.192999999999</v>
      </c>
      <c r="BW20" s="137">
        <v>4387.607</v>
      </c>
      <c r="BX20" s="137">
        <v>6105.1859999999997</v>
      </c>
      <c r="BY20" s="137">
        <v>4890.9179999999997</v>
      </c>
      <c r="BZ20" s="137">
        <v>6946.7849999999999</v>
      </c>
      <c r="CA20" s="137">
        <v>5791.3190000000004</v>
      </c>
      <c r="CB20" s="139">
        <v>3968.7190000000001</v>
      </c>
      <c r="CC20" s="137">
        <v>8363.9320000000007</v>
      </c>
      <c r="CD20" s="137">
        <v>5553.4030000000002</v>
      </c>
      <c r="CE20" s="137">
        <v>5094.6040000000003</v>
      </c>
      <c r="CF20" s="137">
        <v>6684.1840000000002</v>
      </c>
      <c r="CG20" s="141">
        <v>4345.4340000000002</v>
      </c>
      <c r="CH20" s="137">
        <v>6965.5519999999997</v>
      </c>
      <c r="CI20" s="137">
        <v>7461.9080000000004</v>
      </c>
      <c r="CJ20" s="137">
        <v>8936.9789999999994</v>
      </c>
      <c r="CK20" s="138">
        <v>3518.0720000000001</v>
      </c>
      <c r="CL20" s="140">
        <v>354087.31900000002</v>
      </c>
    </row>
    <row r="21" spans="1:90">
      <c r="A21" s="80">
        <f>ROWS($A$3:A19)</f>
        <v>17</v>
      </c>
      <c r="B21" s="53" t="s">
        <v>62</v>
      </c>
      <c r="C21" s="261"/>
      <c r="D21" s="260" t="s">
        <v>3</v>
      </c>
      <c r="E21" s="435"/>
      <c r="F21" s="167">
        <f>F118/F20%</f>
        <v>0.44068887964790132</v>
      </c>
      <c r="G21" s="168">
        <f>G118/G20%</f>
        <v>0.36582351609985342</v>
      </c>
      <c r="H21" s="168">
        <f>H118/H20%</f>
        <v>0.7976004732131704</v>
      </c>
      <c r="I21" s="169">
        <f>I118/I20%</f>
        <v>0.80106711978021095</v>
      </c>
      <c r="J21" s="173"/>
      <c r="K21" s="167">
        <f t="shared" ref="K21:BV21" si="33">K118/K20%</f>
        <v>0.76739050776311424</v>
      </c>
      <c r="L21" s="168">
        <f t="shared" si="33"/>
        <v>0.44725836214733211</v>
      </c>
      <c r="M21" s="168">
        <f t="shared" si="33"/>
        <v>1.4242187914374003</v>
      </c>
      <c r="N21" s="168">
        <f t="shared" si="33"/>
        <v>0.43591972523228134</v>
      </c>
      <c r="O21" s="168">
        <f t="shared" si="33"/>
        <v>0.80095960484519801</v>
      </c>
      <c r="P21" s="168">
        <f t="shared" si="33"/>
        <v>0.51275740421691685</v>
      </c>
      <c r="Q21" s="168">
        <f t="shared" si="33"/>
        <v>0.14307305310091331</v>
      </c>
      <c r="R21" s="168">
        <f t="shared" si="33"/>
        <v>0.14593706226082165</v>
      </c>
      <c r="S21" s="168">
        <f t="shared" si="33"/>
        <v>0.18961601997491001</v>
      </c>
      <c r="T21" s="168">
        <f t="shared" si="33"/>
        <v>1.761597327135819</v>
      </c>
      <c r="U21" s="176">
        <f t="shared" si="33"/>
        <v>1.9409389309104059</v>
      </c>
      <c r="V21" s="168">
        <f t="shared" si="33"/>
        <v>0.45617278498046954</v>
      </c>
      <c r="W21" s="168">
        <f t="shared" si="33"/>
        <v>0.73116176339839301</v>
      </c>
      <c r="X21" s="168">
        <f t="shared" si="33"/>
        <v>0.22268866901171677</v>
      </c>
      <c r="Y21" s="168">
        <f t="shared" si="33"/>
        <v>0.23260480099934269</v>
      </c>
      <c r="Z21" s="168">
        <f t="shared" si="33"/>
        <v>1.5334067725648337</v>
      </c>
      <c r="AA21" s="168">
        <f t="shared" si="33"/>
        <v>0.39019875806621163</v>
      </c>
      <c r="AB21" s="176">
        <f t="shared" si="33"/>
        <v>0.81935694041947127</v>
      </c>
      <c r="AC21" s="168">
        <f t="shared" si="33"/>
        <v>0.62242165922545201</v>
      </c>
      <c r="AD21" s="168">
        <f t="shared" si="33"/>
        <v>1.1382400694651653</v>
      </c>
      <c r="AE21" s="168">
        <f t="shared" si="33"/>
        <v>0.82967412474565305</v>
      </c>
      <c r="AF21" s="168">
        <f t="shared" si="33"/>
        <v>0.69068894322692287</v>
      </c>
      <c r="AG21" s="168">
        <f t="shared" si="33"/>
        <v>0.8896664315626418</v>
      </c>
      <c r="AH21" s="168">
        <f t="shared" si="33"/>
        <v>0.89249919207230399</v>
      </c>
      <c r="AI21" s="168">
        <f t="shared" si="33"/>
        <v>0.72932694290988231</v>
      </c>
      <c r="AJ21" s="168">
        <f t="shared" si="33"/>
        <v>0.42936724762099876</v>
      </c>
      <c r="AK21" s="176">
        <f t="shared" si="33"/>
        <v>0.88189665229511083</v>
      </c>
      <c r="AL21" s="168">
        <f t="shared" si="33"/>
        <v>0.49071527443546148</v>
      </c>
      <c r="AM21" s="168">
        <f t="shared" si="33"/>
        <v>1.2059345763264706</v>
      </c>
      <c r="AN21" s="168">
        <f t="shared" si="33"/>
        <v>1.1748936637313347</v>
      </c>
      <c r="AO21" s="168">
        <f t="shared" si="33"/>
        <v>0.3825951717445813</v>
      </c>
      <c r="AP21" s="168">
        <f t="shared" si="33"/>
        <v>0.27010465474952927</v>
      </c>
      <c r="AQ21" s="168">
        <f t="shared" si="33"/>
        <v>1.5065069731375593</v>
      </c>
      <c r="AR21" s="168">
        <f t="shared" si="33"/>
        <v>0.81748528660498099</v>
      </c>
      <c r="AS21" s="169">
        <f t="shared" si="33"/>
        <v>0.71625327368545311</v>
      </c>
      <c r="AT21" s="168">
        <f t="shared" si="33"/>
        <v>5.0693843824095752E-2</v>
      </c>
      <c r="AU21" s="168">
        <f t="shared" si="33"/>
        <v>0.14307305310091331</v>
      </c>
      <c r="AV21" s="168">
        <f t="shared" si="33"/>
        <v>0.18961601997491001</v>
      </c>
      <c r="AW21" s="168">
        <f t="shared" si="33"/>
        <v>0.43591972523228134</v>
      </c>
      <c r="AX21" s="168">
        <f t="shared" si="33"/>
        <v>0.35003072424857157</v>
      </c>
      <c r="AY21" s="168">
        <f t="shared" si="33"/>
        <v>0.44725836214733211</v>
      </c>
      <c r="AZ21" s="168">
        <f t="shared" si="33"/>
        <v>0.22769414962651949</v>
      </c>
      <c r="BA21" s="168">
        <f t="shared" si="33"/>
        <v>0.61937999752557693</v>
      </c>
      <c r="BB21" s="168">
        <f t="shared" si="33"/>
        <v>1.761597327135819</v>
      </c>
      <c r="BC21" s="168">
        <f t="shared" si="33"/>
        <v>1.9409389309104059</v>
      </c>
      <c r="BD21" s="168">
        <f t="shared" si="33"/>
        <v>1.4242187914374003</v>
      </c>
      <c r="BE21" s="168">
        <f t="shared" si="33"/>
        <v>0.80095960484519801</v>
      </c>
      <c r="BF21" s="176">
        <f t="shared" si="33"/>
        <v>0.76739050776311424</v>
      </c>
      <c r="BG21" s="168">
        <f t="shared" si="33"/>
        <v>0.48271731229436743</v>
      </c>
      <c r="BH21" s="168">
        <f t="shared" si="33"/>
        <v>7.112278409853863E-2</v>
      </c>
      <c r="BI21" s="168">
        <f t="shared" si="33"/>
        <v>0.39407453445321272</v>
      </c>
      <c r="BJ21" s="168">
        <f t="shared" si="33"/>
        <v>0.4469560269296593</v>
      </c>
      <c r="BK21" s="168">
        <f t="shared" si="33"/>
        <v>0.16394969236479726</v>
      </c>
      <c r="BL21" s="168">
        <f t="shared" si="33"/>
        <v>3.5674060662741286E-2</v>
      </c>
      <c r="BM21" s="168">
        <f t="shared" si="33"/>
        <v>1.5334067725648337</v>
      </c>
      <c r="BN21" s="168">
        <f t="shared" si="33"/>
        <v>0.47735857482287691</v>
      </c>
      <c r="BO21" s="168">
        <f t="shared" si="33"/>
        <v>0.19021066544488016</v>
      </c>
      <c r="BP21" s="168">
        <f t="shared" si="33"/>
        <v>0.81935694041947127</v>
      </c>
      <c r="BQ21" s="168">
        <f t="shared" si="33"/>
        <v>0.57679786229838415</v>
      </c>
      <c r="BR21" s="176">
        <f t="shared" si="33"/>
        <v>0.73116176339839301</v>
      </c>
      <c r="BS21" s="168">
        <f t="shared" si="33"/>
        <v>0.19496241490195218</v>
      </c>
      <c r="BT21" s="168">
        <f t="shared" si="33"/>
        <v>1.7316967875119724</v>
      </c>
      <c r="BU21" s="168">
        <f t="shared" si="33"/>
        <v>1.1382400694651653</v>
      </c>
      <c r="BV21" s="168">
        <f t="shared" si="33"/>
        <v>0.8896664315626418</v>
      </c>
      <c r="BW21" s="168">
        <f t="shared" ref="BW21:CL21" si="34">BW118/BW20%</f>
        <v>0.72932694290988231</v>
      </c>
      <c r="BX21" s="168">
        <f t="shared" si="34"/>
        <v>0.62242165922545201</v>
      </c>
      <c r="BY21" s="168">
        <f t="shared" si="34"/>
        <v>0.42936724762099876</v>
      </c>
      <c r="BZ21" s="168">
        <f t="shared" si="34"/>
        <v>0.89249919207230399</v>
      </c>
      <c r="CA21" s="168">
        <f t="shared" si="34"/>
        <v>0.69068894322692287</v>
      </c>
      <c r="CB21" s="176">
        <f t="shared" si="34"/>
        <v>0.88189665229511083</v>
      </c>
      <c r="CC21" s="168">
        <f t="shared" si="34"/>
        <v>0.3825951717445813</v>
      </c>
      <c r="CD21" s="168">
        <f t="shared" si="34"/>
        <v>0.27010465474952927</v>
      </c>
      <c r="CE21" s="168">
        <f t="shared" si="34"/>
        <v>0.49071527443546148</v>
      </c>
      <c r="CF21" s="168">
        <f t="shared" si="34"/>
        <v>0.1047248250496994</v>
      </c>
      <c r="CG21" s="168">
        <f t="shared" si="34"/>
        <v>1.656911599623881</v>
      </c>
      <c r="CH21" s="168">
        <f t="shared" si="34"/>
        <v>1.2059345763264706</v>
      </c>
      <c r="CI21" s="168">
        <f t="shared" si="34"/>
        <v>0.81748528660498099</v>
      </c>
      <c r="CJ21" s="168">
        <f t="shared" si="34"/>
        <v>1.1748936637313347</v>
      </c>
      <c r="CK21" s="169">
        <f t="shared" si="34"/>
        <v>1.5065069731375593</v>
      </c>
      <c r="CL21" s="177">
        <f t="shared" si="34"/>
        <v>0.54280396299648337</v>
      </c>
    </row>
    <row r="22" spans="1:90">
      <c r="A22" s="80">
        <f>ROWS($A$3:A20)</f>
        <v>18</v>
      </c>
      <c r="B22" s="59" t="s">
        <v>66</v>
      </c>
      <c r="C22" s="204">
        <v>2010</v>
      </c>
      <c r="D22" s="260"/>
      <c r="E22" s="435"/>
      <c r="F22" s="116"/>
      <c r="G22" s="137"/>
      <c r="H22" s="137"/>
      <c r="I22" s="138"/>
      <c r="J22" s="141"/>
      <c r="K22" s="116"/>
      <c r="L22" s="137"/>
      <c r="M22" s="137"/>
      <c r="N22" s="137"/>
      <c r="O22" s="137"/>
      <c r="P22" s="137"/>
      <c r="Q22" s="137">
        <f>'2013'!AU22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D23" s="260" t="s">
        <v>13</v>
      </c>
      <c r="E23" s="437">
        <v>40679</v>
      </c>
      <c r="F23" s="116">
        <v>14397</v>
      </c>
      <c r="G23" s="137">
        <v>4930</v>
      </c>
      <c r="H23" s="137">
        <v>13611</v>
      </c>
      <c r="I23" s="138">
        <v>11574</v>
      </c>
      <c r="J23" s="141"/>
      <c r="K23" s="116">
        <f t="shared" ref="K23:K33" si="35">BF23</f>
        <v>1827</v>
      </c>
      <c r="L23" s="137">
        <f t="shared" ref="L23:L33" si="36">AY23</f>
        <v>1288</v>
      </c>
      <c r="M23" s="137">
        <f t="shared" ref="M23:M33" si="37">BD23</f>
        <v>1552</v>
      </c>
      <c r="N23" s="137">
        <f t="shared" ref="N23:N33" si="38">AW23</f>
        <v>782</v>
      </c>
      <c r="O23" s="137">
        <f t="shared" ref="O23:O33" si="39">BE23</f>
        <v>581</v>
      </c>
      <c r="P23" s="137">
        <f>'2013'!AZ23+'2013'!BA23</f>
        <v>2309</v>
      </c>
      <c r="Q23" s="137">
        <f>'2013'!AU23</f>
        <v>604</v>
      </c>
      <c r="R23" s="137">
        <f t="shared" ref="R23:R29" si="40">AT23+AX23</f>
        <v>1535</v>
      </c>
      <c r="S23" s="137">
        <f t="shared" ref="S23:S33" si="41">AV23</f>
        <v>659</v>
      </c>
      <c r="T23" s="137">
        <f t="shared" ref="T23:U33" si="42">BB23</f>
        <v>1229</v>
      </c>
      <c r="U23" s="139">
        <f t="shared" si="42"/>
        <v>2031</v>
      </c>
      <c r="V23" s="137">
        <f t="shared" ref="V23:V29" si="43">BG23+BJ23</f>
        <v>661</v>
      </c>
      <c r="W23" s="137">
        <f t="shared" ref="W23:W33" si="44">BR23</f>
        <v>517</v>
      </c>
      <c r="X23" s="137">
        <f t="shared" ref="X23:X29" si="45">BH23+BI23</f>
        <v>828</v>
      </c>
      <c r="Y23" s="137">
        <f t="shared" ref="Y23:Y29" si="46">BK23+BL23+BN23</f>
        <v>1125</v>
      </c>
      <c r="Z23" s="137">
        <f t="shared" ref="Z23:Z33" si="47">BM23</f>
        <v>878</v>
      </c>
      <c r="AA23" s="137">
        <f t="shared" ref="AA23:AA29" si="48">BO23+BQ23</f>
        <v>457</v>
      </c>
      <c r="AB23" s="139">
        <f t="shared" ref="AB23:AB33" si="49">BP23</f>
        <v>464</v>
      </c>
      <c r="AC23" s="137">
        <f t="shared" ref="AC23:AC33" si="50">BX23</f>
        <v>1037</v>
      </c>
      <c r="AD23" s="137">
        <f t="shared" ref="AD23:AD33" si="51">BU23</f>
        <v>1422</v>
      </c>
      <c r="AE23" s="137">
        <f t="shared" ref="AE23:AE29" si="52">BS23+BT23</f>
        <v>3099</v>
      </c>
      <c r="AF23" s="137">
        <f t="shared" ref="AF23:AF33" si="53">CA23</f>
        <v>1074</v>
      </c>
      <c r="AG23" s="137">
        <f t="shared" ref="AG23:AG33" si="54">BV23</f>
        <v>3572</v>
      </c>
      <c r="AH23" s="137">
        <f t="shared" ref="AH23:AH33" si="55">BZ23</f>
        <v>900</v>
      </c>
      <c r="AI23" s="137">
        <f t="shared" ref="AI23:AI33" si="56">BW23</f>
        <v>800</v>
      </c>
      <c r="AJ23" s="137">
        <f t="shared" ref="AJ23:AJ33" si="57">BY23</f>
        <v>465</v>
      </c>
      <c r="AK23" s="139">
        <f t="shared" ref="AK23:AK33" si="58">CB23</f>
        <v>1242</v>
      </c>
      <c r="AL23" s="137">
        <f t="shared" ref="AL23:AL33" si="59">CE23</f>
        <v>755</v>
      </c>
      <c r="AM23" s="137">
        <f t="shared" ref="AM23:AM33" si="60">CH23</f>
        <v>1848</v>
      </c>
      <c r="AN23" s="137">
        <f t="shared" ref="AN23:AN33" si="61">CJ23</f>
        <v>2560</v>
      </c>
      <c r="AO23" s="137">
        <f t="shared" ref="AO23:AP33" si="62">CC23</f>
        <v>1058</v>
      </c>
      <c r="AP23" s="137">
        <f t="shared" si="62"/>
        <v>419</v>
      </c>
      <c r="AQ23" s="137">
        <f t="shared" ref="AQ23:AQ33" si="63">CK23</f>
        <v>1248</v>
      </c>
      <c r="AR23" s="137">
        <f t="shared" ref="AR23:AR33" si="64">CI23</f>
        <v>1677</v>
      </c>
      <c r="AS23" s="138">
        <f t="shared" ref="AS23:AS29" si="65">CF23+CG23</f>
        <v>2009</v>
      </c>
      <c r="AT23" s="137">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c r="A24" s="80">
        <f>ROWS($A$3:A22)</f>
        <v>20</v>
      </c>
      <c r="B24" s="52" t="s">
        <v>249</v>
      </c>
      <c r="C24" s="201"/>
      <c r="D24" s="260" t="s">
        <v>13</v>
      </c>
      <c r="E24" s="437">
        <v>40679</v>
      </c>
      <c r="F24" s="116">
        <v>2777</v>
      </c>
      <c r="G24" s="137">
        <v>850</v>
      </c>
      <c r="H24" s="137">
        <v>3557</v>
      </c>
      <c r="I24" s="138">
        <v>913</v>
      </c>
      <c r="J24" s="141"/>
      <c r="K24" s="116">
        <f t="shared" si="35"/>
        <v>84</v>
      </c>
      <c r="L24" s="137">
        <f t="shared" si="36"/>
        <v>428</v>
      </c>
      <c r="M24" s="137">
        <f t="shared" si="37"/>
        <v>173</v>
      </c>
      <c r="N24" s="137">
        <f t="shared" si="38"/>
        <v>84</v>
      </c>
      <c r="O24" s="137">
        <f t="shared" si="39"/>
        <v>22</v>
      </c>
      <c r="P24" s="137">
        <f>'2013'!AZ24+'2013'!BA24</f>
        <v>881</v>
      </c>
      <c r="Q24" s="137">
        <f>'2013'!AU24</f>
        <v>52</v>
      </c>
      <c r="R24" s="137">
        <f t="shared" si="40"/>
        <v>598</v>
      </c>
      <c r="S24" s="137">
        <f t="shared" si="41"/>
        <v>131</v>
      </c>
      <c r="T24" s="137">
        <f t="shared" si="42"/>
        <v>261</v>
      </c>
      <c r="U24" s="139">
        <f t="shared" si="42"/>
        <v>63</v>
      </c>
      <c r="V24" s="137">
        <f t="shared" si="43"/>
        <v>304</v>
      </c>
      <c r="W24" s="137">
        <f t="shared" si="44"/>
        <v>24</v>
      </c>
      <c r="X24" s="137">
        <f t="shared" si="45"/>
        <v>160</v>
      </c>
      <c r="Y24" s="137">
        <f t="shared" si="46"/>
        <v>225</v>
      </c>
      <c r="Z24" s="137">
        <f t="shared" si="47"/>
        <v>34</v>
      </c>
      <c r="AA24" s="137">
        <f t="shared" si="48"/>
        <v>78</v>
      </c>
      <c r="AB24" s="139">
        <f t="shared" si="49"/>
        <v>25</v>
      </c>
      <c r="AC24" s="137">
        <f t="shared" si="50"/>
        <v>16</v>
      </c>
      <c r="AD24" s="137">
        <f t="shared" si="51"/>
        <v>514</v>
      </c>
      <c r="AE24" s="137">
        <f t="shared" si="52"/>
        <v>1264</v>
      </c>
      <c r="AF24" s="137">
        <f t="shared" si="53"/>
        <v>215</v>
      </c>
      <c r="AG24" s="137">
        <f t="shared" si="54"/>
        <v>1291</v>
      </c>
      <c r="AH24" s="137">
        <f t="shared" si="55"/>
        <v>174</v>
      </c>
      <c r="AI24" s="137">
        <f t="shared" si="56"/>
        <v>21</v>
      </c>
      <c r="AJ24" s="137">
        <f t="shared" si="57"/>
        <v>11</v>
      </c>
      <c r="AK24" s="139">
        <f t="shared" si="58"/>
        <v>51</v>
      </c>
      <c r="AL24" s="137">
        <f t="shared" si="59"/>
        <v>23</v>
      </c>
      <c r="AM24" s="137">
        <f t="shared" si="60"/>
        <v>56</v>
      </c>
      <c r="AN24" s="137">
        <f t="shared" si="61"/>
        <v>152</v>
      </c>
      <c r="AO24" s="137">
        <f t="shared" si="62"/>
        <v>53</v>
      </c>
      <c r="AP24" s="137">
        <f t="shared" si="62"/>
        <v>41</v>
      </c>
      <c r="AQ24" s="137">
        <f t="shared" si="63"/>
        <v>40</v>
      </c>
      <c r="AR24" s="137">
        <f t="shared" si="64"/>
        <v>467</v>
      </c>
      <c r="AS24" s="138">
        <f t="shared" si="65"/>
        <v>81</v>
      </c>
      <c r="AT24" s="137">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c r="A25" s="80">
        <f>ROWS($A$3:A23)</f>
        <v>21</v>
      </c>
      <c r="B25" s="52" t="s">
        <v>250</v>
      </c>
      <c r="C25" s="201"/>
      <c r="D25" s="260" t="s">
        <v>13</v>
      </c>
      <c r="E25" s="437">
        <v>40679</v>
      </c>
      <c r="F25" s="116">
        <v>2154</v>
      </c>
      <c r="G25" s="137">
        <v>818</v>
      </c>
      <c r="H25" s="137">
        <v>2929</v>
      </c>
      <c r="I25" s="138">
        <v>1792</v>
      </c>
      <c r="J25" s="141"/>
      <c r="K25" s="116">
        <f t="shared" si="35"/>
        <v>347</v>
      </c>
      <c r="L25" s="137">
        <f t="shared" si="36"/>
        <v>246</v>
      </c>
      <c r="M25" s="137">
        <f t="shared" si="37"/>
        <v>183</v>
      </c>
      <c r="N25" s="137">
        <f t="shared" si="38"/>
        <v>115</v>
      </c>
      <c r="O25" s="137">
        <f t="shared" si="39"/>
        <v>78</v>
      </c>
      <c r="P25" s="137">
        <f>'2013'!AZ25+'2013'!BA25</f>
        <v>334</v>
      </c>
      <c r="Q25" s="137">
        <f>'2013'!AU25</f>
        <v>101</v>
      </c>
      <c r="R25" s="137">
        <f t="shared" si="40"/>
        <v>157</v>
      </c>
      <c r="S25" s="137">
        <f t="shared" si="41"/>
        <v>117</v>
      </c>
      <c r="T25" s="137">
        <f t="shared" si="42"/>
        <v>176</v>
      </c>
      <c r="U25" s="139">
        <f t="shared" si="42"/>
        <v>300</v>
      </c>
      <c r="V25" s="137">
        <f t="shared" si="43"/>
        <v>105</v>
      </c>
      <c r="W25" s="137">
        <f t="shared" si="44"/>
        <v>135</v>
      </c>
      <c r="X25" s="137">
        <f t="shared" si="45"/>
        <v>121</v>
      </c>
      <c r="Y25" s="137">
        <f t="shared" si="46"/>
        <v>133</v>
      </c>
      <c r="Z25" s="137">
        <f t="shared" si="47"/>
        <v>128</v>
      </c>
      <c r="AA25" s="137">
        <f t="shared" si="48"/>
        <v>64</v>
      </c>
      <c r="AB25" s="139">
        <f t="shared" si="49"/>
        <v>132</v>
      </c>
      <c r="AC25" s="137">
        <f t="shared" si="50"/>
        <v>215</v>
      </c>
      <c r="AD25" s="137">
        <f t="shared" si="51"/>
        <v>289</v>
      </c>
      <c r="AE25" s="137">
        <f t="shared" si="52"/>
        <v>516</v>
      </c>
      <c r="AF25" s="137">
        <f t="shared" si="53"/>
        <v>229</v>
      </c>
      <c r="AG25" s="137">
        <f t="shared" si="54"/>
        <v>928</v>
      </c>
      <c r="AH25" s="137">
        <f t="shared" si="55"/>
        <v>120</v>
      </c>
      <c r="AI25" s="137">
        <f t="shared" si="56"/>
        <v>198</v>
      </c>
      <c r="AJ25" s="137">
        <f t="shared" si="57"/>
        <v>86</v>
      </c>
      <c r="AK25" s="139">
        <f t="shared" si="58"/>
        <v>348</v>
      </c>
      <c r="AL25" s="137">
        <f t="shared" si="59"/>
        <v>173</v>
      </c>
      <c r="AM25" s="137">
        <f t="shared" si="60"/>
        <v>239</v>
      </c>
      <c r="AN25" s="137">
        <f t="shared" si="61"/>
        <v>311</v>
      </c>
      <c r="AO25" s="137">
        <f t="shared" si="62"/>
        <v>211</v>
      </c>
      <c r="AP25" s="137">
        <f t="shared" si="62"/>
        <v>71</v>
      </c>
      <c r="AQ25" s="137">
        <f t="shared" si="63"/>
        <v>218</v>
      </c>
      <c r="AR25" s="137">
        <f t="shared" si="64"/>
        <v>318</v>
      </c>
      <c r="AS25" s="138">
        <f t="shared" si="65"/>
        <v>251</v>
      </c>
      <c r="AT25" s="137">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c r="A26" s="80">
        <f>ROWS($A$3:A24)</f>
        <v>22</v>
      </c>
      <c r="B26" s="52" t="s">
        <v>251</v>
      </c>
      <c r="C26" s="201"/>
      <c r="D26" s="260" t="s">
        <v>13</v>
      </c>
      <c r="E26" s="437">
        <v>40679</v>
      </c>
      <c r="F26" s="116">
        <v>2758</v>
      </c>
      <c r="G26" s="137">
        <v>898</v>
      </c>
      <c r="H26" s="137">
        <v>2870</v>
      </c>
      <c r="I26" s="138">
        <v>2733</v>
      </c>
      <c r="J26" s="141"/>
      <c r="K26" s="116">
        <f t="shared" si="35"/>
        <v>495</v>
      </c>
      <c r="L26" s="137">
        <f t="shared" si="36"/>
        <v>245</v>
      </c>
      <c r="M26" s="137">
        <f t="shared" si="37"/>
        <v>303</v>
      </c>
      <c r="N26" s="137">
        <f t="shared" si="38"/>
        <v>160</v>
      </c>
      <c r="O26" s="137">
        <f t="shared" si="39"/>
        <v>123</v>
      </c>
      <c r="P26" s="137">
        <f>'2013'!AZ26+'2013'!BA26</f>
        <v>309</v>
      </c>
      <c r="Q26" s="137">
        <f>'2013'!AU26</f>
        <v>140</v>
      </c>
      <c r="R26" s="137">
        <f t="shared" si="40"/>
        <v>197</v>
      </c>
      <c r="S26" s="137">
        <f t="shared" si="41"/>
        <v>123</v>
      </c>
      <c r="T26" s="137">
        <f t="shared" si="42"/>
        <v>213</v>
      </c>
      <c r="U26" s="139">
        <f t="shared" si="42"/>
        <v>450</v>
      </c>
      <c r="V26" s="137">
        <f t="shared" si="43"/>
        <v>104</v>
      </c>
      <c r="W26" s="137">
        <f t="shared" si="44"/>
        <v>114</v>
      </c>
      <c r="X26" s="137">
        <f t="shared" si="45"/>
        <v>122</v>
      </c>
      <c r="Y26" s="137">
        <f t="shared" si="46"/>
        <v>175</v>
      </c>
      <c r="Z26" s="137">
        <f t="shared" si="47"/>
        <v>191</v>
      </c>
      <c r="AA26" s="137">
        <f t="shared" si="48"/>
        <v>85</v>
      </c>
      <c r="AB26" s="139">
        <f t="shared" si="49"/>
        <v>107</v>
      </c>
      <c r="AC26" s="137">
        <f t="shared" si="50"/>
        <v>228</v>
      </c>
      <c r="AD26" s="137">
        <f t="shared" si="51"/>
        <v>318</v>
      </c>
      <c r="AE26" s="137">
        <f t="shared" si="52"/>
        <v>534</v>
      </c>
      <c r="AF26" s="137">
        <f t="shared" si="53"/>
        <v>259</v>
      </c>
      <c r="AG26" s="137">
        <f t="shared" si="54"/>
        <v>707</v>
      </c>
      <c r="AH26" s="137">
        <f t="shared" si="55"/>
        <v>177</v>
      </c>
      <c r="AI26" s="137">
        <f t="shared" si="56"/>
        <v>207</v>
      </c>
      <c r="AJ26" s="137">
        <f t="shared" si="57"/>
        <v>113</v>
      </c>
      <c r="AK26" s="139">
        <f t="shared" si="58"/>
        <v>327</v>
      </c>
      <c r="AL26" s="137">
        <f t="shared" si="59"/>
        <v>183</v>
      </c>
      <c r="AM26" s="137">
        <f t="shared" si="60"/>
        <v>386</v>
      </c>
      <c r="AN26" s="137">
        <f t="shared" si="61"/>
        <v>617</v>
      </c>
      <c r="AO26" s="137">
        <f t="shared" si="62"/>
        <v>272</v>
      </c>
      <c r="AP26" s="137">
        <f t="shared" si="62"/>
        <v>91</v>
      </c>
      <c r="AQ26" s="137">
        <f t="shared" si="63"/>
        <v>306</v>
      </c>
      <c r="AR26" s="137">
        <f t="shared" si="64"/>
        <v>387</v>
      </c>
      <c r="AS26" s="138">
        <f t="shared" si="65"/>
        <v>491</v>
      </c>
      <c r="AT26" s="137">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c r="A27" s="80">
        <f>ROWS($A$3:A25)</f>
        <v>23</v>
      </c>
      <c r="B27" s="52" t="s">
        <v>252</v>
      </c>
      <c r="C27" s="201"/>
      <c r="D27" s="260" t="s">
        <v>13</v>
      </c>
      <c r="E27" s="437">
        <v>40679</v>
      </c>
      <c r="F27" s="116">
        <v>3588</v>
      </c>
      <c r="G27" s="137">
        <v>1000</v>
      </c>
      <c r="H27" s="137">
        <v>2416</v>
      </c>
      <c r="I27" s="138">
        <v>3349</v>
      </c>
      <c r="J27" s="141"/>
      <c r="K27" s="116">
        <f t="shared" si="35"/>
        <v>462</v>
      </c>
      <c r="L27" s="137">
        <f t="shared" si="36"/>
        <v>235</v>
      </c>
      <c r="M27" s="137">
        <f t="shared" si="37"/>
        <v>465</v>
      </c>
      <c r="N27" s="137">
        <f t="shared" si="38"/>
        <v>216</v>
      </c>
      <c r="O27" s="137">
        <f t="shared" si="39"/>
        <v>159</v>
      </c>
      <c r="P27" s="137">
        <f>'2013'!AZ27+'2013'!BA27</f>
        <v>418</v>
      </c>
      <c r="Q27" s="137">
        <f>'2013'!AU27</f>
        <v>153</v>
      </c>
      <c r="R27" s="137">
        <f t="shared" si="40"/>
        <v>371</v>
      </c>
      <c r="S27" s="137">
        <f t="shared" si="41"/>
        <v>155</v>
      </c>
      <c r="T27" s="137">
        <f t="shared" si="42"/>
        <v>298</v>
      </c>
      <c r="U27" s="139">
        <f t="shared" si="42"/>
        <v>656</v>
      </c>
      <c r="V27" s="137">
        <f t="shared" si="43"/>
        <v>58</v>
      </c>
      <c r="W27" s="137">
        <f t="shared" si="44"/>
        <v>129</v>
      </c>
      <c r="X27" s="137">
        <f t="shared" si="45"/>
        <v>147</v>
      </c>
      <c r="Y27" s="137">
        <f t="shared" si="46"/>
        <v>286</v>
      </c>
      <c r="Z27" s="137">
        <f t="shared" si="47"/>
        <v>210</v>
      </c>
      <c r="AA27" s="137">
        <f t="shared" si="48"/>
        <v>84</v>
      </c>
      <c r="AB27" s="139">
        <f t="shared" si="49"/>
        <v>86</v>
      </c>
      <c r="AC27" s="137">
        <f t="shared" si="50"/>
        <v>326</v>
      </c>
      <c r="AD27" s="137">
        <f t="shared" si="51"/>
        <v>210</v>
      </c>
      <c r="AE27" s="137">
        <f t="shared" si="52"/>
        <v>543</v>
      </c>
      <c r="AF27" s="137">
        <f t="shared" si="53"/>
        <v>255</v>
      </c>
      <c r="AG27" s="137">
        <f t="shared" si="54"/>
        <v>382</v>
      </c>
      <c r="AH27" s="137">
        <f t="shared" si="55"/>
        <v>190</v>
      </c>
      <c r="AI27" s="137">
        <f t="shared" si="56"/>
        <v>156</v>
      </c>
      <c r="AJ27" s="137">
        <f t="shared" si="57"/>
        <v>88</v>
      </c>
      <c r="AK27" s="139">
        <f t="shared" si="58"/>
        <v>266</v>
      </c>
      <c r="AL27" s="137">
        <f t="shared" si="59"/>
        <v>171</v>
      </c>
      <c r="AM27" s="137">
        <f t="shared" si="60"/>
        <v>605</v>
      </c>
      <c r="AN27" s="137">
        <f t="shared" si="61"/>
        <v>934</v>
      </c>
      <c r="AO27" s="137">
        <f t="shared" si="62"/>
        <v>256</v>
      </c>
      <c r="AP27" s="137">
        <f t="shared" si="62"/>
        <v>104</v>
      </c>
      <c r="AQ27" s="137">
        <f t="shared" si="63"/>
        <v>322</v>
      </c>
      <c r="AR27" s="137">
        <f t="shared" si="64"/>
        <v>351</v>
      </c>
      <c r="AS27" s="138">
        <f t="shared" si="65"/>
        <v>606</v>
      </c>
      <c r="AT27" s="137">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c r="A28" s="80">
        <f>ROWS($A$3:A26)</f>
        <v>24</v>
      </c>
      <c r="B28" s="52" t="s">
        <v>4</v>
      </c>
      <c r="C28" s="201"/>
      <c r="D28" s="260" t="s">
        <v>13</v>
      </c>
      <c r="E28" s="437">
        <v>40679</v>
      </c>
      <c r="F28" s="116">
        <v>2265</v>
      </c>
      <c r="G28" s="137">
        <v>809</v>
      </c>
      <c r="H28" s="137">
        <v>1258</v>
      </c>
      <c r="I28" s="138">
        <v>1995</v>
      </c>
      <c r="J28" s="141"/>
      <c r="K28" s="116">
        <f t="shared" si="35"/>
        <v>306</v>
      </c>
      <c r="L28" s="137">
        <f t="shared" si="36"/>
        <v>100</v>
      </c>
      <c r="M28" s="137">
        <f>BD28</f>
        <v>255</v>
      </c>
      <c r="N28" s="137">
        <f>AW28</f>
        <v>161</v>
      </c>
      <c r="O28" s="137">
        <f>BE28</f>
        <v>144</v>
      </c>
      <c r="P28" s="137">
        <f>'2013'!AZ28+'2013'!BA28</f>
        <v>252</v>
      </c>
      <c r="Q28" s="137">
        <f>'2013'!AU28</f>
        <v>110</v>
      </c>
      <c r="R28" s="137">
        <f>AT28+AX28</f>
        <v>179</v>
      </c>
      <c r="S28" s="137">
        <f>AV28</f>
        <v>103</v>
      </c>
      <c r="T28" s="137">
        <f>BB28</f>
        <v>198</v>
      </c>
      <c r="U28" s="139">
        <f>BC28</f>
        <v>457</v>
      </c>
      <c r="V28" s="137">
        <f>BG28+BJ28</f>
        <v>45</v>
      </c>
      <c r="W28" s="137">
        <f>BR28</f>
        <v>72</v>
      </c>
      <c r="X28" s="137">
        <f>BH28+BI28</f>
        <v>137</v>
      </c>
      <c r="Y28" s="137">
        <f>BK28+BL28+BN28</f>
        <v>218</v>
      </c>
      <c r="Z28" s="137">
        <f>BM28</f>
        <v>176</v>
      </c>
      <c r="AA28" s="137">
        <f>BO28+BQ28</f>
        <v>88</v>
      </c>
      <c r="AB28" s="139">
        <f>BP28</f>
        <v>73</v>
      </c>
      <c r="AC28" s="137">
        <f>BX28</f>
        <v>177</v>
      </c>
      <c r="AD28" s="137">
        <f>BU28</f>
        <v>65</v>
      </c>
      <c r="AE28" s="137">
        <f>BS28+BT28</f>
        <v>191</v>
      </c>
      <c r="AF28" s="137">
        <f>CA28</f>
        <v>97</v>
      </c>
      <c r="AG28" s="137">
        <f>BV28</f>
        <v>181</v>
      </c>
      <c r="AH28" s="137">
        <f>BZ28</f>
        <v>153</v>
      </c>
      <c r="AI28" s="137">
        <f>BW28</f>
        <v>140</v>
      </c>
      <c r="AJ28" s="137">
        <f>BY28</f>
        <v>80</v>
      </c>
      <c r="AK28" s="139">
        <f>CB28</f>
        <v>174</v>
      </c>
      <c r="AL28" s="137">
        <f>CE28</f>
        <v>100</v>
      </c>
      <c r="AM28" s="137">
        <f>CH28</f>
        <v>425</v>
      </c>
      <c r="AN28" s="137">
        <f>CJ28</f>
        <v>483</v>
      </c>
      <c r="AO28" s="137">
        <f>CC28</f>
        <v>163</v>
      </c>
      <c r="AP28" s="137">
        <f>CD28</f>
        <v>50</v>
      </c>
      <c r="AQ28" s="137">
        <f>CK28</f>
        <v>210</v>
      </c>
      <c r="AR28" s="137">
        <f>CI28</f>
        <v>125</v>
      </c>
      <c r="AS28" s="138">
        <f t="shared" si="65"/>
        <v>439</v>
      </c>
      <c r="AT28" s="137">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c r="A29" s="80">
        <f>ROWS($A$3:A27)</f>
        <v>25</v>
      </c>
      <c r="B29" s="52" t="s">
        <v>5</v>
      </c>
      <c r="C29" s="201"/>
      <c r="D29" s="260" t="s">
        <v>13</v>
      </c>
      <c r="E29" s="437">
        <v>40679</v>
      </c>
      <c r="F29" s="116">
        <v>855</v>
      </c>
      <c r="G29" s="137">
        <v>555</v>
      </c>
      <c r="H29" s="137">
        <v>581</v>
      </c>
      <c r="I29" s="138">
        <v>792</v>
      </c>
      <c r="J29" s="141"/>
      <c r="K29" s="116">
        <f t="shared" si="35"/>
        <v>133</v>
      </c>
      <c r="L29" s="137">
        <f t="shared" si="36"/>
        <v>34</v>
      </c>
      <c r="M29" s="137">
        <f t="shared" si="37"/>
        <v>173</v>
      </c>
      <c r="N29" s="137">
        <f t="shared" si="38"/>
        <v>46</v>
      </c>
      <c r="O29" s="137">
        <f t="shared" si="39"/>
        <v>55</v>
      </c>
      <c r="P29" s="137">
        <f>'2013'!AZ29+'2013'!BA29</f>
        <v>115</v>
      </c>
      <c r="Q29" s="137">
        <f>'2013'!AU29</f>
        <v>48</v>
      </c>
      <c r="R29" s="137">
        <f t="shared" si="40"/>
        <v>33</v>
      </c>
      <c r="S29" s="137">
        <f t="shared" si="41"/>
        <v>30</v>
      </c>
      <c r="T29" s="137">
        <f t="shared" si="42"/>
        <v>83</v>
      </c>
      <c r="U29" s="139">
        <f t="shared" si="42"/>
        <v>105</v>
      </c>
      <c r="V29" s="137">
        <f t="shared" si="43"/>
        <v>45</v>
      </c>
      <c r="W29" s="137">
        <f t="shared" si="44"/>
        <v>43</v>
      </c>
      <c r="X29" s="137">
        <f t="shared" si="45"/>
        <v>141</v>
      </c>
      <c r="Y29" s="137">
        <f t="shared" si="46"/>
        <v>88</v>
      </c>
      <c r="Z29" s="137">
        <f t="shared" si="47"/>
        <v>139</v>
      </c>
      <c r="AA29" s="137">
        <f t="shared" si="48"/>
        <v>58</v>
      </c>
      <c r="AB29" s="139">
        <f t="shared" si="49"/>
        <v>41</v>
      </c>
      <c r="AC29" s="137">
        <f t="shared" si="50"/>
        <v>75</v>
      </c>
      <c r="AD29" s="137">
        <f t="shared" si="51"/>
        <v>26</v>
      </c>
      <c r="AE29" s="137">
        <f t="shared" si="52"/>
        <v>51</v>
      </c>
      <c r="AF29" s="137">
        <f t="shared" si="53"/>
        <v>19</v>
      </c>
      <c r="AG29" s="137">
        <f t="shared" si="54"/>
        <v>83</v>
      </c>
      <c r="AH29" s="137">
        <f t="shared" si="55"/>
        <v>86</v>
      </c>
      <c r="AI29" s="137">
        <f t="shared" si="56"/>
        <v>78</v>
      </c>
      <c r="AJ29" s="137">
        <f t="shared" si="57"/>
        <v>87</v>
      </c>
      <c r="AK29" s="139">
        <f t="shared" si="58"/>
        <v>76</v>
      </c>
      <c r="AL29" s="137">
        <f t="shared" si="59"/>
        <v>105</v>
      </c>
      <c r="AM29" s="137">
        <f t="shared" si="60"/>
        <v>137</v>
      </c>
      <c r="AN29" s="137">
        <f t="shared" si="61"/>
        <v>63</v>
      </c>
      <c r="AO29" s="137">
        <f t="shared" si="62"/>
        <v>103</v>
      </c>
      <c r="AP29" s="137">
        <f t="shared" si="62"/>
        <v>62</v>
      </c>
      <c r="AQ29" s="137">
        <f t="shared" si="63"/>
        <v>152</v>
      </c>
      <c r="AR29" s="137">
        <f t="shared" si="64"/>
        <v>29</v>
      </c>
      <c r="AS29" s="138">
        <f t="shared" si="65"/>
        <v>141</v>
      </c>
      <c r="AT29" s="137">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c r="A30" s="80">
        <f>ROWS($A$3:A28)</f>
        <v>26</v>
      </c>
      <c r="B30" s="53" t="s">
        <v>256</v>
      </c>
      <c r="C30" s="261"/>
      <c r="D30" s="260" t="s">
        <v>1</v>
      </c>
      <c r="E30" s="435"/>
      <c r="F30" s="167">
        <f>F35/F23</f>
        <v>32.264638466347158</v>
      </c>
      <c r="G30" s="168">
        <f>G35/G23</f>
        <v>40.845436105476672</v>
      </c>
      <c r="H30" s="168">
        <f>H35/H23</f>
        <v>23.383219454852693</v>
      </c>
      <c r="I30" s="169">
        <f>I35/I23</f>
        <v>36.79255227233454</v>
      </c>
      <c r="J30" s="173"/>
      <c r="K30" s="178">
        <f t="shared" si="35"/>
        <v>35.38806787082649</v>
      </c>
      <c r="L30" s="179">
        <f t="shared" si="36"/>
        <v>19.795031055900623</v>
      </c>
      <c r="M30" s="179">
        <f t="shared" si="37"/>
        <v>43.84407216494845</v>
      </c>
      <c r="N30" s="179">
        <f t="shared" si="38"/>
        <v>35.966751918158565</v>
      </c>
      <c r="O30" s="179">
        <f t="shared" si="39"/>
        <v>45.077452667814114</v>
      </c>
      <c r="P30" s="168">
        <f>P35/P23</f>
        <v>25.152446946730187</v>
      </c>
      <c r="Q30" s="179">
        <f>'2013'!AU30</f>
        <v>36.519867549668874</v>
      </c>
      <c r="R30" s="168">
        <f>R35/R23</f>
        <v>22.584364820846904</v>
      </c>
      <c r="S30" s="179">
        <f t="shared" si="41"/>
        <v>29.792109256449166</v>
      </c>
      <c r="T30" s="179">
        <f t="shared" si="42"/>
        <v>33.543531326281531</v>
      </c>
      <c r="U30" s="180">
        <f t="shared" si="42"/>
        <v>37.588872476612508</v>
      </c>
      <c r="V30" s="168">
        <f>V35/V23</f>
        <v>24.246596066565811</v>
      </c>
      <c r="W30" s="179">
        <f t="shared" si="44"/>
        <v>36.584139264990327</v>
      </c>
      <c r="X30" s="168">
        <f>X35/X23</f>
        <v>48.205314009661834</v>
      </c>
      <c r="Y30" s="168">
        <f>Y35/Y23</f>
        <v>38.028444444444446</v>
      </c>
      <c r="Z30" s="179">
        <f t="shared" si="47"/>
        <v>52.759681093394079</v>
      </c>
      <c r="AA30" s="168">
        <f>AA35/AA23</f>
        <v>44.10503282275711</v>
      </c>
      <c r="AB30" s="180">
        <f t="shared" si="49"/>
        <v>37.181034482758619</v>
      </c>
      <c r="AC30" s="179">
        <f t="shared" si="50"/>
        <v>37.443587270973964</v>
      </c>
      <c r="AD30" s="179">
        <f t="shared" si="51"/>
        <v>15.685654008438819</v>
      </c>
      <c r="AE30" s="168">
        <f>AE35/AE23</f>
        <v>16.826072926750566</v>
      </c>
      <c r="AF30" s="179">
        <f t="shared" si="53"/>
        <v>21.553072625698324</v>
      </c>
      <c r="AG30" s="179">
        <f t="shared" si="54"/>
        <v>15.537513997760358</v>
      </c>
      <c r="AH30" s="179">
        <f t="shared" si="55"/>
        <v>37.394444444444446</v>
      </c>
      <c r="AI30" s="179">
        <f t="shared" si="56"/>
        <v>37.616250000000001</v>
      </c>
      <c r="AJ30" s="179">
        <f t="shared" si="57"/>
        <v>52.1505376344086</v>
      </c>
      <c r="AK30" s="180">
        <f t="shared" si="58"/>
        <v>30.872785829307567</v>
      </c>
      <c r="AL30" s="179">
        <f t="shared" si="59"/>
        <v>44.921854304635758</v>
      </c>
      <c r="AM30" s="179">
        <f t="shared" si="60"/>
        <v>41.305194805194802</v>
      </c>
      <c r="AN30" s="179">
        <f t="shared" si="61"/>
        <v>33.678125000000001</v>
      </c>
      <c r="AO30" s="179">
        <f t="shared" si="62"/>
        <v>40.339319470699429</v>
      </c>
      <c r="AP30" s="179">
        <f t="shared" si="62"/>
        <v>47.954653937947491</v>
      </c>
      <c r="AQ30" s="179">
        <f t="shared" si="63"/>
        <v>43.668269230769234</v>
      </c>
      <c r="AR30" s="179">
        <f t="shared" si="64"/>
        <v>19.904591532498511</v>
      </c>
      <c r="AS30" s="169">
        <f>AS35/AS23</f>
        <v>39.184171229467395</v>
      </c>
      <c r="AT30" s="168">
        <f>AT35/AT23</f>
        <v>12.631313131313131</v>
      </c>
      <c r="AU30" s="168">
        <f>AU35/AU23</f>
        <v>36.519867549668874</v>
      </c>
      <c r="AV30" s="168">
        <f t="shared" ref="AV30:CL30" si="66">AV35/AV23</f>
        <v>29.792109256449166</v>
      </c>
      <c r="AW30" s="168">
        <f t="shared" si="66"/>
        <v>35.966751918158565</v>
      </c>
      <c r="AX30" s="168">
        <f>AX35/AX23</f>
        <v>24.05833956619297</v>
      </c>
      <c r="AY30" s="168">
        <f t="shared" si="66"/>
        <v>19.795031055900623</v>
      </c>
      <c r="AZ30" s="168">
        <f t="shared" si="66"/>
        <v>22.846994535519126</v>
      </c>
      <c r="BA30" s="168">
        <f t="shared" si="66"/>
        <v>25.350893697083727</v>
      </c>
      <c r="BB30" s="168">
        <f t="shared" si="66"/>
        <v>33.543531326281531</v>
      </c>
      <c r="BC30" s="168">
        <f t="shared" si="66"/>
        <v>37.588872476612508</v>
      </c>
      <c r="BD30" s="168">
        <f t="shared" si="66"/>
        <v>43.84407216494845</v>
      </c>
      <c r="BE30" s="168">
        <f t="shared" si="66"/>
        <v>45.077452667814114</v>
      </c>
      <c r="BF30" s="176">
        <f t="shared" si="66"/>
        <v>35.38806787082649</v>
      </c>
      <c r="BG30" s="168">
        <f t="shared" si="66"/>
        <v>13.307017543859649</v>
      </c>
      <c r="BH30" s="168">
        <f>BH35/BH23</f>
        <v>38.738461538461536</v>
      </c>
      <c r="BI30" s="168">
        <f>BI35/BI23</f>
        <v>49.011795543905635</v>
      </c>
      <c r="BJ30" s="168">
        <f>BJ35/BJ23</f>
        <v>26.526508226691043</v>
      </c>
      <c r="BK30" s="168">
        <f t="shared" si="66"/>
        <v>20.573033707865168</v>
      </c>
      <c r="BL30" s="168">
        <f t="shared" si="66"/>
        <v>41.362318840579711</v>
      </c>
      <c r="BM30" s="168">
        <f>BM35/BM23</f>
        <v>52.759681093394079</v>
      </c>
      <c r="BN30" s="168">
        <f t="shared" si="66"/>
        <v>39.397104446742503</v>
      </c>
      <c r="BO30" s="168">
        <f t="shared" si="66"/>
        <v>42.458333333333336</v>
      </c>
      <c r="BP30" s="168">
        <f t="shared" si="66"/>
        <v>37.181034482758619</v>
      </c>
      <c r="BQ30" s="168">
        <f>BQ35/BQ23</f>
        <v>44.196304849884527</v>
      </c>
      <c r="BR30" s="176">
        <f t="shared" si="66"/>
        <v>36.584139264990327</v>
      </c>
      <c r="BS30" s="168">
        <f t="shared" si="66"/>
        <v>16.102803738317757</v>
      </c>
      <c r="BT30" s="168">
        <f t="shared" si="66"/>
        <v>16.879722703639516</v>
      </c>
      <c r="BU30" s="168">
        <f t="shared" si="66"/>
        <v>15.685654008438819</v>
      </c>
      <c r="BV30" s="168">
        <f t="shared" si="66"/>
        <v>15.537513997760358</v>
      </c>
      <c r="BW30" s="168">
        <f t="shared" si="66"/>
        <v>37.616250000000001</v>
      </c>
      <c r="BX30" s="168">
        <f t="shared" si="66"/>
        <v>37.443587270973964</v>
      </c>
      <c r="BY30" s="168">
        <f t="shared" si="66"/>
        <v>52.1505376344086</v>
      </c>
      <c r="BZ30" s="168">
        <f t="shared" si="66"/>
        <v>37.394444444444446</v>
      </c>
      <c r="CA30" s="168">
        <f t="shared" si="66"/>
        <v>21.553072625698324</v>
      </c>
      <c r="CB30" s="176">
        <f t="shared" si="66"/>
        <v>30.872785829307567</v>
      </c>
      <c r="CC30" s="168">
        <f t="shared" si="66"/>
        <v>40.339319470699429</v>
      </c>
      <c r="CD30" s="168">
        <f t="shared" si="66"/>
        <v>47.954653937947491</v>
      </c>
      <c r="CE30" s="168">
        <f t="shared" si="66"/>
        <v>44.921854304635758</v>
      </c>
      <c r="CF30" s="168">
        <f t="shared" si="66"/>
        <v>39.779661016949156</v>
      </c>
      <c r="CG30" s="168">
        <f t="shared" si="66"/>
        <v>39.147012162876784</v>
      </c>
      <c r="CH30" s="168">
        <f t="shared" si="66"/>
        <v>41.305194805194802</v>
      </c>
      <c r="CI30" s="168">
        <f t="shared" si="66"/>
        <v>19.904591532498511</v>
      </c>
      <c r="CJ30" s="168">
        <f t="shared" si="66"/>
        <v>33.678125000000001</v>
      </c>
      <c r="CK30" s="169">
        <f t="shared" si="66"/>
        <v>43.668269230769234</v>
      </c>
      <c r="CL30" s="177">
        <f t="shared" si="66"/>
        <v>31.67658159597412</v>
      </c>
    </row>
    <row r="31" spans="1:90">
      <c r="A31" s="80">
        <f>ROWS($A$3:A29)</f>
        <v>27</v>
      </c>
      <c r="B31" s="53" t="str">
        <f>"Entwicklung Betriebe ab 5 ha LF von 2001 / "&amp;C22</f>
        <v>Entwicklung Betriebe ab 5 ha LF von 2001 / 2010</v>
      </c>
      <c r="C31" s="261"/>
      <c r="D31" s="260" t="s">
        <v>3</v>
      </c>
      <c r="E31" s="435"/>
      <c r="F31" s="142">
        <f>(F23-F24)/('2001'!F23-'2001'!F24)%-100</f>
        <v>-21.145494028230189</v>
      </c>
      <c r="G31" s="143">
        <f>(G23-G24)/('2001'!G23-'2001'!G24)%-100</f>
        <v>-19.779787652379085</v>
      </c>
      <c r="H31" s="143">
        <f>(H23-H24)/('2001'!H23-'2001'!H24)%-100</f>
        <v>-18.794927711816499</v>
      </c>
      <c r="I31" s="144">
        <f>(I23-I24)/('2001'!I23-'2001'!I24)%-100</f>
        <v>-22.273257509477986</v>
      </c>
      <c r="J31" s="141"/>
      <c r="K31" s="116">
        <f t="shared" si="35"/>
        <v>-23.485513608428448</v>
      </c>
      <c r="L31" s="137">
        <f t="shared" si="36"/>
        <v>-17.068466730954668</v>
      </c>
      <c r="M31" s="137">
        <f t="shared" si="37"/>
        <v>-25.499729875742844</v>
      </c>
      <c r="N31" s="137">
        <f t="shared" si="38"/>
        <v>-18.266978922716618</v>
      </c>
      <c r="O31" s="137">
        <f t="shared" si="39"/>
        <v>-16.442451420029897</v>
      </c>
      <c r="P31" s="143">
        <f>100-(P23%/((AZ23%)/(100-AZ31)+(BA23%)/(100-BA31)))</f>
        <v>-18.548595714788078</v>
      </c>
      <c r="Q31" s="146">
        <f>'2013'!AU31</f>
        <v>-23.54570637119113</v>
      </c>
      <c r="R31" s="143">
        <f>100-(R23%/((AT23%)/(100-AT31)+(AX23%)/(100-AX31)))</f>
        <v>-14.41252553892528</v>
      </c>
      <c r="S31" s="146">
        <f t="shared" si="41"/>
        <v>-19.878603945371779</v>
      </c>
      <c r="T31" s="146">
        <f t="shared" si="42"/>
        <v>-25.193199381761971</v>
      </c>
      <c r="U31" s="147">
        <f t="shared" si="42"/>
        <v>-21.78060413354531</v>
      </c>
      <c r="V31" s="143">
        <f>100-(V23%/((BG23%)/(100-BG31)+(BJ23%)/(100-BJ31)))</f>
        <v>-10.70248002776637</v>
      </c>
      <c r="W31" s="146">
        <f t="shared" si="44"/>
        <v>-21.993670886075947</v>
      </c>
      <c r="X31" s="143">
        <f>100-(X23%/((BH23%)/(100-BH31)+(BI23%)/(100-BI31)))</f>
        <v>-16.486772896849217</v>
      </c>
      <c r="Y31" s="143">
        <f>100-(Y23%/((BK23%)/(100-BK31)+(BL23%)/(100-BL31)+(BN23%)/(100-BN31)))</f>
        <v>-19.588690181733554</v>
      </c>
      <c r="Z31" s="146">
        <f t="shared" si="47"/>
        <v>-23.272727272727266</v>
      </c>
      <c r="AA31" s="143">
        <f>100-(AA23%/((BO23%)/(100-BO31)+(BQ23%)/(100-BQ31)))</f>
        <v>-17.259985971940282</v>
      </c>
      <c r="AB31" s="147">
        <f t="shared" si="49"/>
        <v>-23.519163763066203</v>
      </c>
      <c r="AC31" s="146">
        <f t="shared" si="50"/>
        <v>-19.984326018808773</v>
      </c>
      <c r="AD31" s="146">
        <f t="shared" si="51"/>
        <v>-14.015151515151516</v>
      </c>
      <c r="AE31" s="143">
        <f>100-(AE23%/((BS23%)/(100-BS31)+(BT23%)/(100-BT31)))</f>
        <v>-15.770382419758363</v>
      </c>
      <c r="AF31" s="146">
        <f t="shared" si="53"/>
        <v>-19.944082013047534</v>
      </c>
      <c r="AG31" s="146">
        <f t="shared" si="54"/>
        <v>-16.385630498533729</v>
      </c>
      <c r="AH31" s="146">
        <f t="shared" si="55"/>
        <v>-21.001088139281819</v>
      </c>
      <c r="AI31" s="146">
        <f t="shared" si="56"/>
        <v>-21.233569261880689</v>
      </c>
      <c r="AJ31" s="146">
        <f t="shared" si="57"/>
        <v>-24.333333333333329</v>
      </c>
      <c r="AK31" s="147">
        <f t="shared" si="58"/>
        <v>-23.653846153846146</v>
      </c>
      <c r="AL31" s="146">
        <f t="shared" si="59"/>
        <v>-20.950323974082067</v>
      </c>
      <c r="AM31" s="146">
        <f t="shared" si="60"/>
        <v>-22.357019064124771</v>
      </c>
      <c r="AN31" s="146">
        <f t="shared" si="61"/>
        <v>-20.78947368421052</v>
      </c>
      <c r="AO31" s="146">
        <f t="shared" si="62"/>
        <v>-22.453703703703709</v>
      </c>
      <c r="AP31" s="146">
        <f t="shared" si="62"/>
        <v>-23.943661971830977</v>
      </c>
      <c r="AQ31" s="146">
        <f t="shared" si="63"/>
        <v>-25.56993222427603</v>
      </c>
      <c r="AR31" s="146">
        <f t="shared" si="64"/>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c r="A32" s="80">
        <f>ROWS($A$3:A30)</f>
        <v>28</v>
      </c>
      <c r="B32" s="53" t="s">
        <v>170</v>
      </c>
      <c r="C32" s="261"/>
      <c r="D32" s="260" t="s">
        <v>3</v>
      </c>
      <c r="E32" s="435"/>
      <c r="F32" s="116">
        <v>37</v>
      </c>
      <c r="G32" s="137">
        <v>31</v>
      </c>
      <c r="H32" s="137">
        <v>28</v>
      </c>
      <c r="I32" s="138">
        <v>42</v>
      </c>
      <c r="J32" s="141"/>
      <c r="K32" s="116">
        <f t="shared" si="35"/>
        <v>35</v>
      </c>
      <c r="L32" s="137">
        <f t="shared" si="36"/>
        <v>35</v>
      </c>
      <c r="M32" s="137">
        <f t="shared" si="37"/>
        <v>34</v>
      </c>
      <c r="N32" s="137">
        <f t="shared" si="38"/>
        <v>42</v>
      </c>
      <c r="O32" s="137">
        <f t="shared" si="39"/>
        <v>41</v>
      </c>
      <c r="P32" s="143">
        <f>(AZ23*AZ32+BA23*BA32)/P23</f>
        <v>40.664356864443484</v>
      </c>
      <c r="Q32" s="146">
        <f>'2013'!AU32</f>
        <v>30</v>
      </c>
      <c r="R32" s="143">
        <f>(AT23*AT32+AX23*AX32)/R23</f>
        <v>41.095765472312706</v>
      </c>
      <c r="S32" s="146">
        <f t="shared" si="41"/>
        <v>35</v>
      </c>
      <c r="T32" s="146">
        <f t="shared" si="42"/>
        <v>38</v>
      </c>
      <c r="U32" s="147">
        <f t="shared" si="42"/>
        <v>47</v>
      </c>
      <c r="V32" s="143">
        <f>(BG23*BG32+BJ23*BJ32)/V23</f>
        <v>16.827534039334342</v>
      </c>
      <c r="W32" s="146">
        <f t="shared" si="44"/>
        <v>25</v>
      </c>
      <c r="X32" s="143">
        <f>(BH23*BH32+BI23*BI32)/X23</f>
        <v>33.706521739130437</v>
      </c>
      <c r="Y32" s="143">
        <f>(BK23*BK32+BL23*BL32+BN23*BN32)/Y23</f>
        <v>43.694222222222223</v>
      </c>
      <c r="Z32" s="146">
        <f t="shared" si="47"/>
        <v>33</v>
      </c>
      <c r="AA32" s="143">
        <f>(BO23*BO32+BQ23*BQ32)/AA23</f>
        <v>31.997811816192559</v>
      </c>
      <c r="AB32" s="147">
        <f t="shared" si="49"/>
        <v>26</v>
      </c>
      <c r="AC32" s="146">
        <f t="shared" si="50"/>
        <v>36</v>
      </c>
      <c r="AD32" s="146">
        <f t="shared" si="51"/>
        <v>28</v>
      </c>
      <c r="AE32" s="143">
        <f>(BS23*BS32+BT23*BT32)/AE23</f>
        <v>32.138109067441107</v>
      </c>
      <c r="AF32" s="146">
        <f t="shared" si="53"/>
        <v>29</v>
      </c>
      <c r="AG32" s="146">
        <f t="shared" si="54"/>
        <v>30</v>
      </c>
      <c r="AH32" s="146">
        <f t="shared" si="55"/>
        <v>45</v>
      </c>
      <c r="AI32" s="146">
        <f t="shared" si="56"/>
        <v>26</v>
      </c>
      <c r="AJ32" s="146">
        <f t="shared" si="57"/>
        <v>26</v>
      </c>
      <c r="AK32" s="147">
        <f t="shared" si="58"/>
        <v>27</v>
      </c>
      <c r="AL32" s="146">
        <f t="shared" si="59"/>
        <v>23</v>
      </c>
      <c r="AM32" s="146">
        <f t="shared" si="60"/>
        <v>49</v>
      </c>
      <c r="AN32" s="146">
        <f t="shared" si="61"/>
        <v>59</v>
      </c>
      <c r="AO32" s="146">
        <f t="shared" si="62"/>
        <v>28</v>
      </c>
      <c r="AP32" s="146">
        <f t="shared" si="62"/>
        <v>24</v>
      </c>
      <c r="AQ32" s="146">
        <f t="shared" si="63"/>
        <v>34</v>
      </c>
      <c r="AR32" s="146">
        <f t="shared" si="64"/>
        <v>48</v>
      </c>
      <c r="AS32" s="144">
        <f>(CF23*CF32+CG23*CG32)/AS23</f>
        <v>41.411149825783973</v>
      </c>
      <c r="AT32" s="146">
        <v>62</v>
      </c>
      <c r="AU32" s="137">
        <v>30</v>
      </c>
      <c r="AV32" s="137">
        <v>35</v>
      </c>
      <c r="AW32" s="137">
        <v>42</v>
      </c>
      <c r="AX32" s="137">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c r="A33" s="80">
        <f>ROWS($A$3:A31)</f>
        <v>29</v>
      </c>
      <c r="B33" s="53" t="s">
        <v>68</v>
      </c>
      <c r="C33" s="261"/>
      <c r="D33" s="260" t="s">
        <v>3</v>
      </c>
      <c r="E33" s="435"/>
      <c r="F33" s="142">
        <f>100-F32</f>
        <v>63</v>
      </c>
      <c r="G33" s="143">
        <f>100-G32</f>
        <v>69</v>
      </c>
      <c r="H33" s="143">
        <f>100-H32</f>
        <v>72</v>
      </c>
      <c r="I33" s="144">
        <f>100-I32</f>
        <v>58</v>
      </c>
      <c r="J33" s="141"/>
      <c r="K33" s="145">
        <f t="shared" si="35"/>
        <v>65</v>
      </c>
      <c r="L33" s="146">
        <f t="shared" si="36"/>
        <v>65</v>
      </c>
      <c r="M33" s="146">
        <f t="shared" si="37"/>
        <v>66</v>
      </c>
      <c r="N33" s="146">
        <f t="shared" si="38"/>
        <v>58</v>
      </c>
      <c r="O33" s="146">
        <f t="shared" si="39"/>
        <v>59</v>
      </c>
      <c r="P33" s="143">
        <f>100-P32</f>
        <v>59.335643135556516</v>
      </c>
      <c r="Q33" s="146">
        <f>'2013'!AU33</f>
        <v>70</v>
      </c>
      <c r="R33" s="143">
        <f>100-R32</f>
        <v>58.904234527687294</v>
      </c>
      <c r="S33" s="146">
        <f t="shared" si="41"/>
        <v>65</v>
      </c>
      <c r="T33" s="146">
        <f t="shared" si="42"/>
        <v>62</v>
      </c>
      <c r="U33" s="147">
        <f t="shared" si="42"/>
        <v>53</v>
      </c>
      <c r="V33" s="143">
        <f>100-V32</f>
        <v>83.172465960665662</v>
      </c>
      <c r="W33" s="146">
        <f t="shared" si="44"/>
        <v>75</v>
      </c>
      <c r="X33" s="143">
        <f>100-X32</f>
        <v>66.293478260869563</v>
      </c>
      <c r="Y33" s="143">
        <f>100-Y32</f>
        <v>56.305777777777777</v>
      </c>
      <c r="Z33" s="146">
        <f t="shared" si="47"/>
        <v>67</v>
      </c>
      <c r="AA33" s="143">
        <f>100-AA32</f>
        <v>68.002188183807448</v>
      </c>
      <c r="AB33" s="147">
        <f t="shared" si="49"/>
        <v>74</v>
      </c>
      <c r="AC33" s="146">
        <f t="shared" si="50"/>
        <v>64</v>
      </c>
      <c r="AD33" s="146">
        <f t="shared" si="51"/>
        <v>72</v>
      </c>
      <c r="AE33" s="143">
        <f>100-AE32</f>
        <v>67.861890932558893</v>
      </c>
      <c r="AF33" s="146">
        <f t="shared" si="53"/>
        <v>71</v>
      </c>
      <c r="AG33" s="146">
        <f t="shared" si="54"/>
        <v>70</v>
      </c>
      <c r="AH33" s="146">
        <f t="shared" si="55"/>
        <v>55</v>
      </c>
      <c r="AI33" s="146">
        <f t="shared" si="56"/>
        <v>74</v>
      </c>
      <c r="AJ33" s="146">
        <f t="shared" si="57"/>
        <v>74</v>
      </c>
      <c r="AK33" s="147">
        <f t="shared" si="58"/>
        <v>73</v>
      </c>
      <c r="AL33" s="146">
        <f t="shared" si="59"/>
        <v>77</v>
      </c>
      <c r="AM33" s="146">
        <f t="shared" si="60"/>
        <v>51</v>
      </c>
      <c r="AN33" s="146">
        <f t="shared" si="61"/>
        <v>41</v>
      </c>
      <c r="AO33" s="146">
        <f t="shared" si="62"/>
        <v>72</v>
      </c>
      <c r="AP33" s="146">
        <f t="shared" si="62"/>
        <v>76</v>
      </c>
      <c r="AQ33" s="146">
        <f t="shared" si="63"/>
        <v>66</v>
      </c>
      <c r="AR33" s="146">
        <f t="shared" si="64"/>
        <v>52</v>
      </c>
      <c r="AS33" s="144">
        <f>100-AS32</f>
        <v>58.588850174216027</v>
      </c>
      <c r="AT33" s="143">
        <f>100-AT32</f>
        <v>38</v>
      </c>
      <c r="AU33" s="143">
        <f>100-AU32</f>
        <v>70</v>
      </c>
      <c r="AV33" s="143">
        <f t="shared" ref="AV33:CL33" si="67">100-AV32</f>
        <v>65</v>
      </c>
      <c r="AW33" s="143">
        <f t="shared" si="67"/>
        <v>58</v>
      </c>
      <c r="AX33" s="143">
        <f>100-AX32</f>
        <v>62</v>
      </c>
      <c r="AY33" s="143">
        <f t="shared" si="67"/>
        <v>65</v>
      </c>
      <c r="AZ33" s="143">
        <f t="shared" si="67"/>
        <v>40</v>
      </c>
      <c r="BA33" s="143">
        <f t="shared" si="67"/>
        <v>61</v>
      </c>
      <c r="BB33" s="143">
        <f t="shared" si="67"/>
        <v>62</v>
      </c>
      <c r="BC33" s="143">
        <f t="shared" si="67"/>
        <v>53</v>
      </c>
      <c r="BD33" s="143">
        <f t="shared" si="67"/>
        <v>66</v>
      </c>
      <c r="BE33" s="143">
        <f t="shared" si="67"/>
        <v>59</v>
      </c>
      <c r="BF33" s="148">
        <f t="shared" si="67"/>
        <v>65</v>
      </c>
      <c r="BG33" s="143">
        <f t="shared" si="67"/>
        <v>84</v>
      </c>
      <c r="BH33" s="143">
        <f>100-BH32</f>
        <v>58</v>
      </c>
      <c r="BI33" s="143">
        <f>100-BI32</f>
        <v>67</v>
      </c>
      <c r="BJ33" s="143">
        <f>100-BJ32</f>
        <v>83</v>
      </c>
      <c r="BK33" s="143">
        <f t="shared" si="67"/>
        <v>42</v>
      </c>
      <c r="BL33" s="143">
        <f t="shared" si="67"/>
        <v>37</v>
      </c>
      <c r="BM33" s="143">
        <f>100-BM32</f>
        <v>67</v>
      </c>
      <c r="BN33" s="143">
        <f t="shared" si="67"/>
        <v>59</v>
      </c>
      <c r="BO33" s="143">
        <f t="shared" si="67"/>
        <v>50</v>
      </c>
      <c r="BP33" s="143">
        <f t="shared" si="67"/>
        <v>74</v>
      </c>
      <c r="BQ33" s="143">
        <f>100-BQ32</f>
        <v>69</v>
      </c>
      <c r="BR33" s="148">
        <f t="shared" si="67"/>
        <v>75</v>
      </c>
      <c r="BS33" s="143">
        <f t="shared" si="67"/>
        <v>66</v>
      </c>
      <c r="BT33" s="143">
        <f t="shared" si="67"/>
        <v>68</v>
      </c>
      <c r="BU33" s="143">
        <f t="shared" si="67"/>
        <v>72</v>
      </c>
      <c r="BV33" s="143">
        <f t="shared" si="67"/>
        <v>70</v>
      </c>
      <c r="BW33" s="143">
        <f t="shared" si="67"/>
        <v>74</v>
      </c>
      <c r="BX33" s="143">
        <f t="shared" si="67"/>
        <v>64</v>
      </c>
      <c r="BY33" s="143">
        <f t="shared" si="67"/>
        <v>74</v>
      </c>
      <c r="BZ33" s="143">
        <f t="shared" si="67"/>
        <v>55</v>
      </c>
      <c r="CA33" s="143">
        <f t="shared" si="67"/>
        <v>71</v>
      </c>
      <c r="CB33" s="148">
        <f t="shared" si="67"/>
        <v>73</v>
      </c>
      <c r="CC33" s="143">
        <f t="shared" si="67"/>
        <v>72</v>
      </c>
      <c r="CD33" s="143">
        <f t="shared" si="67"/>
        <v>76</v>
      </c>
      <c r="CE33" s="143">
        <f t="shared" si="67"/>
        <v>77</v>
      </c>
      <c r="CF33" s="143">
        <f t="shared" si="67"/>
        <v>52</v>
      </c>
      <c r="CG33" s="143">
        <f t="shared" si="67"/>
        <v>59</v>
      </c>
      <c r="CH33" s="143">
        <f t="shared" si="67"/>
        <v>51</v>
      </c>
      <c r="CI33" s="143">
        <f t="shared" si="67"/>
        <v>52</v>
      </c>
      <c r="CJ33" s="143">
        <f t="shared" si="67"/>
        <v>41</v>
      </c>
      <c r="CK33" s="144">
        <f t="shared" si="67"/>
        <v>66</v>
      </c>
      <c r="CL33" s="149">
        <f t="shared" si="67"/>
        <v>64</v>
      </c>
    </row>
    <row r="34" spans="1:90">
      <c r="A34" s="80">
        <f>ROWS($A$3:A32)</f>
        <v>30</v>
      </c>
      <c r="B34" s="59" t="s">
        <v>69</v>
      </c>
      <c r="C34" s="395">
        <v>2010</v>
      </c>
      <c r="D34" s="260"/>
      <c r="E34" s="435"/>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92" t="s">
        <v>71</v>
      </c>
      <c r="C35" s="205"/>
      <c r="D35" s="259" t="s">
        <v>1</v>
      </c>
      <c r="E35" s="437">
        <v>40652</v>
      </c>
      <c r="F35" s="116">
        <v>464514</v>
      </c>
      <c r="G35" s="137">
        <v>201368</v>
      </c>
      <c r="H35" s="137">
        <v>318269</v>
      </c>
      <c r="I35" s="138">
        <v>425837</v>
      </c>
      <c r="J35" s="141"/>
      <c r="K35" s="116">
        <f>BF35</f>
        <v>64654</v>
      </c>
      <c r="L35" s="137">
        <f>AY35</f>
        <v>25496</v>
      </c>
      <c r="M35" s="137">
        <f>BD35</f>
        <v>68046</v>
      </c>
      <c r="N35" s="137">
        <f>AW35</f>
        <v>28126</v>
      </c>
      <c r="O35" s="137">
        <f>BE35</f>
        <v>26190</v>
      </c>
      <c r="P35" s="137">
        <f>'2013'!AZ35+'2013'!BA35</f>
        <v>58077</v>
      </c>
      <c r="Q35" s="137">
        <f>'2013'!AU35</f>
        <v>22058</v>
      </c>
      <c r="R35" s="137">
        <f t="shared" ref="R35:R41" si="68">AT35+AX35</f>
        <v>34667</v>
      </c>
      <c r="S35" s="137">
        <f>AV35</f>
        <v>19633</v>
      </c>
      <c r="T35" s="137">
        <f t="shared" ref="T35:U39" si="69">BB35</f>
        <v>41225</v>
      </c>
      <c r="U35" s="139">
        <f t="shared" si="69"/>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0">CC35</f>
        <v>42679</v>
      </c>
      <c r="AP35" s="137">
        <f t="shared" si="70"/>
        <v>20093</v>
      </c>
      <c r="AQ35" s="137">
        <f>CK35</f>
        <v>54498</v>
      </c>
      <c r="AR35" s="137">
        <f>CI35</f>
        <v>33380</v>
      </c>
      <c r="AS35" s="138">
        <f>CF35+CG35</f>
        <v>78721</v>
      </c>
      <c r="AT35" s="137">
        <v>2501</v>
      </c>
      <c r="AU35" s="137">
        <v>22058</v>
      </c>
      <c r="AV35" s="137">
        <v>19633</v>
      </c>
      <c r="AW35" s="137">
        <v>28126</v>
      </c>
      <c r="AX35" s="137">
        <v>32166</v>
      </c>
      <c r="AY35" s="137">
        <v>25496</v>
      </c>
      <c r="AZ35" s="137">
        <v>4181</v>
      </c>
      <c r="BA35" s="137">
        <v>53896</v>
      </c>
      <c r="BB35" s="137">
        <v>41225</v>
      </c>
      <c r="BC35" s="137">
        <v>76343</v>
      </c>
      <c r="BD35" s="137">
        <v>68046</v>
      </c>
      <c r="BE35" s="137">
        <v>26190</v>
      </c>
      <c r="BF35" s="139">
        <v>64654</v>
      </c>
      <c r="BG35" s="137">
        <v>1517</v>
      </c>
      <c r="BH35" s="137">
        <v>2518</v>
      </c>
      <c r="BI35" s="137">
        <v>37396</v>
      </c>
      <c r="BJ35" s="137">
        <v>14510</v>
      </c>
      <c r="BK35" s="137">
        <v>1831</v>
      </c>
      <c r="BL35" s="137">
        <v>2854</v>
      </c>
      <c r="BM35" s="137">
        <v>46323</v>
      </c>
      <c r="BN35" s="137">
        <v>38097</v>
      </c>
      <c r="BO35" s="137">
        <v>1019</v>
      </c>
      <c r="BP35" s="137">
        <v>17252</v>
      </c>
      <c r="BQ35" s="137">
        <v>19137</v>
      </c>
      <c r="BR35" s="139">
        <v>18914</v>
      </c>
      <c r="BS35" s="137">
        <v>3446</v>
      </c>
      <c r="BT35" s="137">
        <v>48698</v>
      </c>
      <c r="BU35" s="137">
        <v>22305</v>
      </c>
      <c r="BV35" s="137">
        <v>55500</v>
      </c>
      <c r="BW35" s="137">
        <v>30093</v>
      </c>
      <c r="BX35" s="137">
        <v>38829</v>
      </c>
      <c r="BY35" s="137">
        <v>24250</v>
      </c>
      <c r="BZ35" s="137">
        <v>33655</v>
      </c>
      <c r="CA35" s="137">
        <v>23148</v>
      </c>
      <c r="CB35" s="139">
        <v>38344</v>
      </c>
      <c r="CC35" s="137">
        <v>42679</v>
      </c>
      <c r="CD35" s="137">
        <v>20093</v>
      </c>
      <c r="CE35" s="137">
        <v>33916</v>
      </c>
      <c r="CF35" s="137">
        <v>4694</v>
      </c>
      <c r="CG35" s="137">
        <v>74027</v>
      </c>
      <c r="CH35" s="137">
        <v>76332</v>
      </c>
      <c r="CI35" s="137">
        <v>33380</v>
      </c>
      <c r="CJ35" s="137">
        <v>86216</v>
      </c>
      <c r="CK35" s="138">
        <v>54498</v>
      </c>
      <c r="CL35" s="140">
        <v>1409988</v>
      </c>
    </row>
    <row r="36" spans="1:90">
      <c r="A36" s="80">
        <f>ROWS($A$3:A34)</f>
        <v>32</v>
      </c>
      <c r="B36" s="92" t="s">
        <v>72</v>
      </c>
      <c r="C36" s="203"/>
      <c r="D36" s="259" t="s">
        <v>1</v>
      </c>
      <c r="E36" s="437">
        <v>40652</v>
      </c>
      <c r="F36" s="116">
        <v>311698</v>
      </c>
      <c r="G36" s="137">
        <v>141235</v>
      </c>
      <c r="H36" s="137">
        <v>142389</v>
      </c>
      <c r="I36" s="138">
        <v>233949</v>
      </c>
      <c r="J36" s="141"/>
      <c r="K36" s="116">
        <f>BF36</f>
        <v>34721</v>
      </c>
      <c r="L36" s="137">
        <f>AY36</f>
        <v>11730</v>
      </c>
      <c r="M36" s="137">
        <f>BD36</f>
        <v>59094</v>
      </c>
      <c r="N36" s="137">
        <f>AW36</f>
        <v>12509</v>
      </c>
      <c r="O36" s="137">
        <f>BE36</f>
        <v>16900</v>
      </c>
      <c r="P36" s="137">
        <f>'2013'!AZ36+'2013'!BA36</f>
        <v>44169</v>
      </c>
      <c r="Q36" s="137">
        <f>'2013'!AU36</f>
        <v>15243</v>
      </c>
      <c r="R36" s="137">
        <f t="shared" si="68"/>
        <v>25995</v>
      </c>
      <c r="S36" s="137">
        <f>AV36</f>
        <v>10169</v>
      </c>
      <c r="T36" s="137">
        <f t="shared" si="69"/>
        <v>30557</v>
      </c>
      <c r="U36" s="139">
        <f t="shared" si="69"/>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0"/>
        <v>20144</v>
      </c>
      <c r="AP36" s="137">
        <f t="shared" si="70"/>
        <v>13604</v>
      </c>
      <c r="AQ36" s="137">
        <f>CK36</f>
        <v>35032</v>
      </c>
      <c r="AR36" s="137">
        <f>CI36</f>
        <v>13924</v>
      </c>
      <c r="AS36" s="138">
        <f>CF36+CG36</f>
        <v>59389</v>
      </c>
      <c r="AT36" s="137">
        <v>1505</v>
      </c>
      <c r="AU36" s="137">
        <v>15243</v>
      </c>
      <c r="AV36" s="137">
        <v>10169</v>
      </c>
      <c r="AW36" s="137">
        <v>12509</v>
      </c>
      <c r="AX36" s="137">
        <v>24490</v>
      </c>
      <c r="AY36" s="137">
        <v>11730</v>
      </c>
      <c r="AZ36" s="137">
        <v>3228</v>
      </c>
      <c r="BA36" s="137">
        <v>40941</v>
      </c>
      <c r="BB36" s="137">
        <v>30557</v>
      </c>
      <c r="BC36" s="137">
        <v>50614</v>
      </c>
      <c r="BD36" s="137">
        <v>59094</v>
      </c>
      <c r="BE36" s="137">
        <v>16900</v>
      </c>
      <c r="BF36" s="139">
        <v>34721</v>
      </c>
      <c r="BG36" s="137">
        <v>574</v>
      </c>
      <c r="BH36" s="137">
        <v>1983</v>
      </c>
      <c r="BI36" s="137">
        <v>29516</v>
      </c>
      <c r="BJ36" s="137">
        <v>9747</v>
      </c>
      <c r="BK36" s="137">
        <v>1534</v>
      </c>
      <c r="BL36" s="137">
        <v>2446</v>
      </c>
      <c r="BM36" s="137">
        <v>35036</v>
      </c>
      <c r="BN36" s="137">
        <v>30039</v>
      </c>
      <c r="BO36" s="137">
        <v>530</v>
      </c>
      <c r="BP36" s="137">
        <v>8451</v>
      </c>
      <c r="BQ36" s="137">
        <v>11890</v>
      </c>
      <c r="BR36" s="139">
        <v>9490</v>
      </c>
      <c r="BS36" s="137">
        <v>1619</v>
      </c>
      <c r="BT36" s="137">
        <v>19255</v>
      </c>
      <c r="BU36" s="137">
        <v>10287</v>
      </c>
      <c r="BV36" s="137">
        <v>27684</v>
      </c>
      <c r="BW36" s="137">
        <v>16868</v>
      </c>
      <c r="BX36" s="137">
        <v>15862</v>
      </c>
      <c r="BY36" s="137">
        <v>9020</v>
      </c>
      <c r="BZ36" s="137">
        <v>19192</v>
      </c>
      <c r="CA36" s="137">
        <v>7269</v>
      </c>
      <c r="CB36" s="139">
        <v>15333</v>
      </c>
      <c r="CC36" s="137">
        <v>20144</v>
      </c>
      <c r="CD36" s="137">
        <v>13604</v>
      </c>
      <c r="CE36" s="137">
        <v>13101</v>
      </c>
      <c r="CF36" s="137">
        <v>4046</v>
      </c>
      <c r="CG36" s="137">
        <v>55343</v>
      </c>
      <c r="CH36" s="137">
        <v>51921</v>
      </c>
      <c r="CI36" s="137">
        <v>13924</v>
      </c>
      <c r="CJ36" s="137">
        <v>26833</v>
      </c>
      <c r="CK36" s="138">
        <v>35032</v>
      </c>
      <c r="CL36" s="140">
        <v>829272</v>
      </c>
    </row>
    <row r="37" spans="1:90">
      <c r="A37" s="80">
        <f>ROWS($A$3:A35)</f>
        <v>33</v>
      </c>
      <c r="B37" s="92" t="s">
        <v>6</v>
      </c>
      <c r="C37" s="203"/>
      <c r="D37" s="259" t="s">
        <v>1</v>
      </c>
      <c r="E37" s="437">
        <v>40652</v>
      </c>
      <c r="F37" s="116">
        <v>137597</v>
      </c>
      <c r="G37" s="137">
        <v>55922</v>
      </c>
      <c r="H37" s="137">
        <v>156404</v>
      </c>
      <c r="I37" s="138">
        <v>181770</v>
      </c>
      <c r="J37" s="141"/>
      <c r="K37" s="116">
        <f>BF37</f>
        <v>29497</v>
      </c>
      <c r="L37" s="137">
        <f>AY37</f>
        <v>12099</v>
      </c>
      <c r="M37" s="137">
        <f>BD37</f>
        <v>8022</v>
      </c>
      <c r="N37" s="137">
        <f>AW37</f>
        <v>15467</v>
      </c>
      <c r="O37" s="137">
        <f>BE37</f>
        <v>9260</v>
      </c>
      <c r="P37" s="137">
        <f>'2013'!AZ37+'2013'!BA37</f>
        <v>6934</v>
      </c>
      <c r="Q37" s="137">
        <f>'2013'!AU37</f>
        <v>6681</v>
      </c>
      <c r="R37" s="137">
        <f t="shared" si="68"/>
        <v>5997</v>
      </c>
      <c r="S37" s="137">
        <f>AV37</f>
        <v>9094</v>
      </c>
      <c r="T37" s="137">
        <f t="shared" si="69"/>
        <v>9049</v>
      </c>
      <c r="U37" s="139">
        <f t="shared" si="69"/>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0"/>
        <v>22343</v>
      </c>
      <c r="AP37" s="137">
        <f t="shared" si="70"/>
        <v>6418</v>
      </c>
      <c r="AQ37" s="137">
        <f>CK37</f>
        <v>19369</v>
      </c>
      <c r="AR37" s="137">
        <f>CI37</f>
        <v>11723</v>
      </c>
      <c r="AS37" s="138">
        <f>CF37+CG37</f>
        <v>19170</v>
      </c>
      <c r="AT37" s="137">
        <v>535</v>
      </c>
      <c r="AU37" s="137">
        <v>6681</v>
      </c>
      <c r="AV37" s="137">
        <v>9094</v>
      </c>
      <c r="AW37" s="137">
        <v>15467</v>
      </c>
      <c r="AX37" s="137">
        <v>5462</v>
      </c>
      <c r="AY37" s="137">
        <v>12099</v>
      </c>
      <c r="AZ37" s="137">
        <v>211</v>
      </c>
      <c r="BA37" s="137">
        <v>6723</v>
      </c>
      <c r="BB37" s="137">
        <v>9049</v>
      </c>
      <c r="BC37" s="137">
        <v>25496</v>
      </c>
      <c r="BD37" s="137">
        <v>8022</v>
      </c>
      <c r="BE37" s="137">
        <v>9260</v>
      </c>
      <c r="BF37" s="139">
        <v>29497</v>
      </c>
      <c r="BG37" s="137">
        <v>682</v>
      </c>
      <c r="BH37" s="137">
        <v>453</v>
      </c>
      <c r="BI37" s="137">
        <v>6930</v>
      </c>
      <c r="BJ37" s="137">
        <v>4004</v>
      </c>
      <c r="BK37" s="137">
        <v>220</v>
      </c>
      <c r="BL37" s="137">
        <v>400</v>
      </c>
      <c r="BM37" s="137">
        <v>10649</v>
      </c>
      <c r="BN37" s="137">
        <v>6932</v>
      </c>
      <c r="BO37" s="137">
        <v>489</v>
      </c>
      <c r="BP37" s="137">
        <v>8752</v>
      </c>
      <c r="BQ37" s="137">
        <v>7002</v>
      </c>
      <c r="BR37" s="139">
        <v>9409</v>
      </c>
      <c r="BS37" s="137">
        <v>1036</v>
      </c>
      <c r="BT37" s="137">
        <v>23403</v>
      </c>
      <c r="BU37" s="137">
        <v>9545</v>
      </c>
      <c r="BV37" s="137">
        <v>20564</v>
      </c>
      <c r="BW37" s="137">
        <v>13189</v>
      </c>
      <c r="BX37" s="137">
        <v>22942</v>
      </c>
      <c r="BY37" s="137">
        <v>15208</v>
      </c>
      <c r="BZ37" s="137">
        <v>13349</v>
      </c>
      <c r="CA37" s="137">
        <v>14435</v>
      </c>
      <c r="CB37" s="139">
        <v>22734</v>
      </c>
      <c r="CC37" s="137">
        <v>22343</v>
      </c>
      <c r="CD37" s="137">
        <v>6418</v>
      </c>
      <c r="CE37" s="137">
        <v>20667</v>
      </c>
      <c r="CF37" s="137">
        <v>628</v>
      </c>
      <c r="CG37" s="137">
        <v>18542</v>
      </c>
      <c r="CH37" s="137">
        <v>24245</v>
      </c>
      <c r="CI37" s="137">
        <v>11723</v>
      </c>
      <c r="CJ37" s="137">
        <v>57833</v>
      </c>
      <c r="CK37" s="138">
        <v>19369</v>
      </c>
      <c r="CL37" s="140">
        <v>531692</v>
      </c>
    </row>
    <row r="38" spans="1:90">
      <c r="A38" s="80">
        <f>ROWS($A$3:A36)</f>
        <v>34</v>
      </c>
      <c r="B38" s="92" t="s">
        <v>244</v>
      </c>
      <c r="C38" s="203"/>
      <c r="D38" s="259" t="s">
        <v>1</v>
      </c>
      <c r="E38" s="437">
        <v>40652</v>
      </c>
      <c r="F38" s="116">
        <v>3429</v>
      </c>
      <c r="G38" s="137">
        <v>1255</v>
      </c>
      <c r="H38" s="137">
        <v>7541</v>
      </c>
      <c r="I38" s="138">
        <v>8842</v>
      </c>
      <c r="J38" s="141"/>
      <c r="K38" s="116">
        <f>BF38</f>
        <v>10</v>
      </c>
      <c r="L38" s="137">
        <f>AY38</f>
        <v>505</v>
      </c>
      <c r="M38" s="137">
        <f>BD38</f>
        <v>77</v>
      </c>
      <c r="N38" s="137">
        <f>AW38</f>
        <v>100</v>
      </c>
      <c r="O38" s="137">
        <f>BE38</f>
        <v>2</v>
      </c>
      <c r="P38" s="137">
        <f>'2013'!AZ38+'2013'!BA38</f>
        <v>1038</v>
      </c>
      <c r="Q38" s="137">
        <f>'2013'!AU38</f>
        <v>83</v>
      </c>
      <c r="R38" s="137">
        <f t="shared" si="68"/>
        <v>530</v>
      </c>
      <c r="S38" s="137">
        <f>AV38</f>
        <v>163</v>
      </c>
      <c r="T38" s="137">
        <f t="shared" si="69"/>
        <v>761</v>
      </c>
      <c r="U38" s="139">
        <f t="shared" si="69"/>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0"/>
        <v>101</v>
      </c>
      <c r="AP38" s="137">
        <f t="shared" si="70"/>
        <v>52</v>
      </c>
      <c r="AQ38" s="137">
        <f>CK38</f>
        <v>29</v>
      </c>
      <c r="AR38" s="137">
        <f>CI38</f>
        <v>7179</v>
      </c>
      <c r="AS38" s="138">
        <f>CF38+CG38</f>
        <v>67</v>
      </c>
      <c r="AT38" s="137">
        <v>76</v>
      </c>
      <c r="AU38" s="137">
        <v>83</v>
      </c>
      <c r="AV38" s="137">
        <v>163</v>
      </c>
      <c r="AW38" s="137">
        <v>100</v>
      </c>
      <c r="AX38" s="137">
        <v>454</v>
      </c>
      <c r="AY38" s="137">
        <v>505</v>
      </c>
      <c r="AZ38" s="137">
        <v>59</v>
      </c>
      <c r="BA38" s="137">
        <v>979</v>
      </c>
      <c r="BB38" s="137">
        <v>761</v>
      </c>
      <c r="BC38" s="137">
        <v>159</v>
      </c>
      <c r="BD38" s="137">
        <v>77</v>
      </c>
      <c r="BE38" s="137">
        <v>2</v>
      </c>
      <c r="BF38" s="139">
        <v>10</v>
      </c>
      <c r="BG38" s="137">
        <v>40</v>
      </c>
      <c r="BH38" s="137">
        <v>54</v>
      </c>
      <c r="BI38" s="137">
        <v>177</v>
      </c>
      <c r="BJ38" s="137">
        <v>408</v>
      </c>
      <c r="BK38" s="137" t="s">
        <v>233</v>
      </c>
      <c r="BL38" s="137" t="s">
        <v>233</v>
      </c>
      <c r="BM38" s="137">
        <v>133</v>
      </c>
      <c r="BN38" s="137">
        <v>380</v>
      </c>
      <c r="BO38" s="137" t="s">
        <v>233</v>
      </c>
      <c r="BP38" s="137" t="s">
        <v>233</v>
      </c>
      <c r="BQ38" s="137">
        <v>31</v>
      </c>
      <c r="BR38" s="139">
        <v>2</v>
      </c>
      <c r="BS38" s="137">
        <v>76</v>
      </c>
      <c r="BT38" s="137">
        <v>813</v>
      </c>
      <c r="BU38" s="137">
        <v>629</v>
      </c>
      <c r="BV38" s="137">
        <v>4231</v>
      </c>
      <c r="BW38" s="137" t="s">
        <v>233</v>
      </c>
      <c r="BX38" s="137" t="s">
        <v>233</v>
      </c>
      <c r="BY38" s="137" t="s">
        <v>233</v>
      </c>
      <c r="BZ38" s="137">
        <v>971</v>
      </c>
      <c r="CA38" s="137">
        <v>646</v>
      </c>
      <c r="CB38" s="139">
        <v>155</v>
      </c>
      <c r="CC38" s="137">
        <v>101</v>
      </c>
      <c r="CD38" s="137">
        <v>52</v>
      </c>
      <c r="CE38" s="137">
        <v>10</v>
      </c>
      <c r="CF38" s="137">
        <v>7</v>
      </c>
      <c r="CG38" s="137">
        <v>60</v>
      </c>
      <c r="CH38" s="137">
        <v>40</v>
      </c>
      <c r="CI38" s="137">
        <v>7179</v>
      </c>
      <c r="CJ38" s="137">
        <v>1365</v>
      </c>
      <c r="CK38" s="138">
        <v>29</v>
      </c>
      <c r="CL38" s="140">
        <v>21067</v>
      </c>
    </row>
    <row r="39" spans="1:90">
      <c r="A39" s="80">
        <f>ROWS($A$3:A37)</f>
        <v>35</v>
      </c>
      <c r="B39" s="92" t="s">
        <v>245</v>
      </c>
      <c r="C39" s="203"/>
      <c r="D39" s="259" t="s">
        <v>1</v>
      </c>
      <c r="E39" s="437">
        <v>40652</v>
      </c>
      <c r="F39" s="116">
        <v>10197</v>
      </c>
      <c r="G39" s="137">
        <v>2082</v>
      </c>
      <c r="H39" s="137">
        <v>10885</v>
      </c>
      <c r="I39" s="138">
        <v>519</v>
      </c>
      <c r="J39" s="141"/>
      <c r="K39" s="116" t="str">
        <f>BF39</f>
        <v>-</v>
      </c>
      <c r="L39" s="137">
        <f>AY39</f>
        <v>1046</v>
      </c>
      <c r="M39" s="137">
        <f>BD39</f>
        <v>714</v>
      </c>
      <c r="N39" s="137" t="str">
        <f>AW39</f>
        <v>*</v>
      </c>
      <c r="O39" s="137" t="str">
        <f>BE39</f>
        <v>–</v>
      </c>
      <c r="P39" s="137">
        <f>'2013'!AZ39+'2013'!BA39</f>
        <v>5606</v>
      </c>
      <c r="Q39" s="137" t="str">
        <f>'2013'!AU39</f>
        <v>*</v>
      </c>
      <c r="R39" s="137">
        <f t="shared" si="68"/>
        <v>1963</v>
      </c>
      <c r="S39" s="137">
        <f>AV39</f>
        <v>115</v>
      </c>
      <c r="T39" s="137">
        <f t="shared" si="69"/>
        <v>751</v>
      </c>
      <c r="U39" s="139" t="str">
        <f t="shared" si="69"/>
        <v>*</v>
      </c>
      <c r="V39" s="137">
        <f>BG39+BJ39</f>
        <v>506</v>
      </c>
      <c r="W39" s="137" t="str">
        <f>BR39</f>
        <v>*</v>
      </c>
      <c r="X39" s="137">
        <f>BI39</f>
        <v>714</v>
      </c>
      <c r="Y39" s="137">
        <f>BN39</f>
        <v>611</v>
      </c>
      <c r="Z39" s="137" t="str">
        <f>BM39</f>
        <v>*</v>
      </c>
      <c r="AA39" s="137">
        <f>BQ39</f>
        <v>188</v>
      </c>
      <c r="AB39" s="139" t="str">
        <f>BP39</f>
        <v>-</v>
      </c>
      <c r="AC39" s="137" t="str">
        <f>BX39</f>
        <v xml:space="preserve"> -</v>
      </c>
      <c r="AD39" s="137">
        <f>BU39</f>
        <v>1705</v>
      </c>
      <c r="AE39" s="137">
        <f>BT39</f>
        <v>5142</v>
      </c>
      <c r="AF39" s="137">
        <f>CA39</f>
        <v>739</v>
      </c>
      <c r="AG39" s="137">
        <f>BV39</f>
        <v>2479</v>
      </c>
      <c r="AH39" s="137" t="str">
        <f>BZ39</f>
        <v>*</v>
      </c>
      <c r="AI39" s="137" t="str">
        <f>BW39</f>
        <v xml:space="preserve">      -</v>
      </c>
      <c r="AJ39" s="137" t="str">
        <f>BY39</f>
        <v>*</v>
      </c>
      <c r="AK39" s="139">
        <f>CB39</f>
        <v>56</v>
      </c>
      <c r="AL39" s="137" t="str">
        <f>CE39</f>
        <v>*</v>
      </c>
      <c r="AM39" s="137" t="str">
        <f>CH39</f>
        <v>*</v>
      </c>
      <c r="AN39" s="137" t="str">
        <f>CJ39</f>
        <v>*</v>
      </c>
      <c r="AO39" s="137">
        <f t="shared" si="70"/>
        <v>16</v>
      </c>
      <c r="AP39" s="137">
        <f t="shared" si="70"/>
        <v>9</v>
      </c>
      <c r="AQ39" s="137" t="str">
        <f>CK39</f>
        <v>*</v>
      </c>
      <c r="AR39" s="137">
        <f>CI39</f>
        <v>492</v>
      </c>
      <c r="AS39" s="138" t="str">
        <f>CG39</f>
        <v>*</v>
      </c>
      <c r="AT39" s="137">
        <v>354</v>
      </c>
      <c r="AU39" s="137" t="s">
        <v>233</v>
      </c>
      <c r="AV39" s="137">
        <v>115</v>
      </c>
      <c r="AW39" s="137" t="s">
        <v>233</v>
      </c>
      <c r="AX39" s="137">
        <v>1609</v>
      </c>
      <c r="AY39" s="137">
        <v>1046</v>
      </c>
      <c r="AZ39" s="137">
        <v>634</v>
      </c>
      <c r="BA39" s="137">
        <v>4972</v>
      </c>
      <c r="BB39" s="137">
        <v>751</v>
      </c>
      <c r="BC39" s="137" t="s">
        <v>233</v>
      </c>
      <c r="BD39" s="137">
        <v>714</v>
      </c>
      <c r="BE39" s="137" t="s">
        <v>41</v>
      </c>
      <c r="BF39" s="139" t="s">
        <v>58</v>
      </c>
      <c r="BG39" s="137">
        <v>187</v>
      </c>
      <c r="BH39" s="137" t="s">
        <v>233</v>
      </c>
      <c r="BI39" s="137">
        <v>714</v>
      </c>
      <c r="BJ39" s="137">
        <v>319</v>
      </c>
      <c r="BK39" s="137">
        <v>50</v>
      </c>
      <c r="BL39" s="137" t="s">
        <v>58</v>
      </c>
      <c r="BM39" s="137" t="s">
        <v>233</v>
      </c>
      <c r="BN39" s="137">
        <v>611</v>
      </c>
      <c r="BO39" s="137" t="s">
        <v>58</v>
      </c>
      <c r="BP39" s="137" t="s">
        <v>58</v>
      </c>
      <c r="BQ39" s="137">
        <v>188</v>
      </c>
      <c r="BR39" s="139" t="s">
        <v>233</v>
      </c>
      <c r="BS39" s="137">
        <v>703</v>
      </c>
      <c r="BT39" s="137">
        <v>5142</v>
      </c>
      <c r="BU39" s="137">
        <v>1705</v>
      </c>
      <c r="BV39" s="137">
        <v>2479</v>
      </c>
      <c r="BW39" s="137" t="s">
        <v>274</v>
      </c>
      <c r="BX39" s="137" t="s">
        <v>267</v>
      </c>
      <c r="BY39" s="137" t="s">
        <v>233</v>
      </c>
      <c r="BZ39" s="137" t="s">
        <v>233</v>
      </c>
      <c r="CA39" s="137">
        <v>739</v>
      </c>
      <c r="CB39" s="139">
        <v>56</v>
      </c>
      <c r="CC39" s="137">
        <v>16</v>
      </c>
      <c r="CD39" s="137">
        <v>9</v>
      </c>
      <c r="CE39" s="137" t="s">
        <v>233</v>
      </c>
      <c r="CF39" s="137" t="s">
        <v>267</v>
      </c>
      <c r="CG39" s="137" t="s">
        <v>233</v>
      </c>
      <c r="CH39" s="137" t="s">
        <v>233</v>
      </c>
      <c r="CI39" s="137">
        <v>492</v>
      </c>
      <c r="CJ39" s="137" t="s">
        <v>233</v>
      </c>
      <c r="CK39" s="138" t="s">
        <v>233</v>
      </c>
      <c r="CL39" s="140">
        <v>23682</v>
      </c>
    </row>
    <row r="40" spans="1:90">
      <c r="A40" s="80">
        <f>ROWS($A$3:A38)</f>
        <v>36</v>
      </c>
      <c r="B40" s="59" t="s">
        <v>98</v>
      </c>
      <c r="C40" s="201"/>
      <c r="D40" s="260"/>
      <c r="E40" s="435"/>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204">
        <v>2013</v>
      </c>
      <c r="D41" s="259" t="s">
        <v>7</v>
      </c>
      <c r="E41" s="437">
        <v>41677</v>
      </c>
      <c r="F41" s="116">
        <v>300899</v>
      </c>
      <c r="G41" s="137">
        <v>80682</v>
      </c>
      <c r="H41" s="137">
        <v>218921</v>
      </c>
      <c r="I41" s="138">
        <v>406593</v>
      </c>
      <c r="J41" s="141"/>
      <c r="K41" s="116">
        <f t="shared" ref="K41:K54" si="71">BF41</f>
        <v>74353</v>
      </c>
      <c r="L41" s="137">
        <f t="shared" ref="L41:L54" si="72">AY41</f>
        <v>21415</v>
      </c>
      <c r="M41" s="137">
        <f t="shared" ref="M41:M54" si="73">BD41</f>
        <v>20097</v>
      </c>
      <c r="N41" s="137">
        <f t="shared" ref="N41:N54" si="74">AW41</f>
        <v>30584</v>
      </c>
      <c r="O41" s="137">
        <f t="shared" ref="O41:O54" si="75">BE41</f>
        <v>21188</v>
      </c>
      <c r="P41" s="137">
        <f>'2013'!AZ41+'2013'!BA41</f>
        <v>12920</v>
      </c>
      <c r="Q41" s="137">
        <f>'2013'!AU41</f>
        <v>8700</v>
      </c>
      <c r="R41" s="137">
        <f t="shared" si="68"/>
        <v>13979</v>
      </c>
      <c r="S41" s="137">
        <f t="shared" ref="S41:S54" si="76">AV41</f>
        <v>8871</v>
      </c>
      <c r="T41" s="137">
        <f t="shared" ref="T41:U54" si="77">BB41</f>
        <v>22634</v>
      </c>
      <c r="U41" s="139">
        <f t="shared" si="77"/>
        <v>66158</v>
      </c>
      <c r="V41" s="137">
        <f>BG41+BJ41</f>
        <v>2922</v>
      </c>
      <c r="W41" s="137">
        <f t="shared" ref="W41:W54" si="78">BR41</f>
        <v>12249</v>
      </c>
      <c r="X41" s="137">
        <f>BH41+BI41</f>
        <v>5662</v>
      </c>
      <c r="Y41" s="137">
        <f>BK41+BL41+BN41</f>
        <v>12578</v>
      </c>
      <c r="Z41" s="137">
        <f t="shared" ref="Z41:Z54" si="79">BM41</f>
        <v>23977</v>
      </c>
      <c r="AA41" s="137">
        <f>BO41+BQ41</f>
        <v>10667</v>
      </c>
      <c r="AB41" s="139">
        <f t="shared" ref="AB41:AB54" si="80">BP41</f>
        <v>12627</v>
      </c>
      <c r="AC41" s="137">
        <f t="shared" ref="AC41:AC54" si="81">BX41</f>
        <v>32082</v>
      </c>
      <c r="AD41" s="137">
        <f t="shared" ref="AD41:AD54" si="82">BU41</f>
        <v>15430</v>
      </c>
      <c r="AE41" s="137">
        <f>BS41+BT41</f>
        <v>29404</v>
      </c>
      <c r="AF41" s="137">
        <f t="shared" ref="AF41:AF54" si="83">CA41</f>
        <v>15217</v>
      </c>
      <c r="AG41" s="137">
        <f t="shared" ref="AG41:AG54" si="84">BV41</f>
        <v>29916</v>
      </c>
      <c r="AH41" s="137">
        <f t="shared" ref="AH41:AH54" si="85">BZ41</f>
        <v>26503</v>
      </c>
      <c r="AI41" s="137">
        <f t="shared" ref="AI41:AI54" si="86">BW41</f>
        <v>18289</v>
      </c>
      <c r="AJ41" s="137">
        <f t="shared" ref="AJ41:AJ54" si="87">BY41</f>
        <v>16887</v>
      </c>
      <c r="AK41" s="139">
        <f t="shared" ref="AK41:AK54" si="88">CB41</f>
        <v>35193</v>
      </c>
      <c r="AL41" s="137">
        <f t="shared" ref="AL41:AL54" si="89">CE41</f>
        <v>14697</v>
      </c>
      <c r="AM41" s="137">
        <f t="shared" ref="AM41:AM54" si="90">CH41</f>
        <v>92263</v>
      </c>
      <c r="AN41" s="137">
        <f t="shared" ref="AN41:AN54" si="91">CJ41</f>
        <v>147850</v>
      </c>
      <c r="AO41" s="137">
        <f t="shared" ref="AO41:AP54" si="92">CC41</f>
        <v>29995</v>
      </c>
      <c r="AP41" s="137">
        <f t="shared" si="92"/>
        <v>5776</v>
      </c>
      <c r="AQ41" s="137">
        <f t="shared" ref="AQ41:AQ54" si="93">CK41</f>
        <v>38257</v>
      </c>
      <c r="AR41" s="137">
        <f t="shared" ref="AR41:AR54" si="94">CI41</f>
        <v>23744</v>
      </c>
      <c r="AS41" s="138">
        <f>CF41+CG41</f>
        <v>54011</v>
      </c>
      <c r="AT41" s="137">
        <v>897</v>
      </c>
      <c r="AU41" s="137">
        <v>8700</v>
      </c>
      <c r="AV41" s="137">
        <v>8871</v>
      </c>
      <c r="AW41" s="137">
        <v>30584</v>
      </c>
      <c r="AX41" s="137">
        <v>13082</v>
      </c>
      <c r="AY41" s="137">
        <v>21415</v>
      </c>
      <c r="AZ41" s="137">
        <v>102</v>
      </c>
      <c r="BA41" s="137">
        <v>12818</v>
      </c>
      <c r="BB41" s="137">
        <v>22634</v>
      </c>
      <c r="BC41" s="137">
        <v>66158</v>
      </c>
      <c r="BD41" s="137">
        <v>20097</v>
      </c>
      <c r="BE41" s="137">
        <v>21188</v>
      </c>
      <c r="BF41" s="139">
        <v>74353</v>
      </c>
      <c r="BG41" s="137">
        <v>228</v>
      </c>
      <c r="BH41" s="137">
        <v>353</v>
      </c>
      <c r="BI41" s="137">
        <v>5309</v>
      </c>
      <c r="BJ41" s="137">
        <v>2694</v>
      </c>
      <c r="BK41" s="137">
        <v>442</v>
      </c>
      <c r="BL41" s="137">
        <v>89</v>
      </c>
      <c r="BM41" s="137">
        <v>23977</v>
      </c>
      <c r="BN41" s="137">
        <v>12047</v>
      </c>
      <c r="BO41" s="137">
        <v>232</v>
      </c>
      <c r="BP41" s="137">
        <v>12627</v>
      </c>
      <c r="BQ41" s="137">
        <v>10435</v>
      </c>
      <c r="BR41" s="139">
        <v>12249</v>
      </c>
      <c r="BS41" s="137">
        <v>581</v>
      </c>
      <c r="BT41" s="137">
        <v>28823</v>
      </c>
      <c r="BU41" s="137">
        <v>15430</v>
      </c>
      <c r="BV41" s="137">
        <v>29916</v>
      </c>
      <c r="BW41" s="137">
        <v>18289</v>
      </c>
      <c r="BX41" s="137">
        <v>32082</v>
      </c>
      <c r="BY41" s="137">
        <v>16887</v>
      </c>
      <c r="BZ41" s="137">
        <v>26503</v>
      </c>
      <c r="CA41" s="137">
        <v>15217</v>
      </c>
      <c r="CB41" s="139">
        <v>35193</v>
      </c>
      <c r="CC41" s="137">
        <v>29995</v>
      </c>
      <c r="CD41" s="137">
        <v>5776</v>
      </c>
      <c r="CE41" s="137">
        <v>14697</v>
      </c>
      <c r="CF41" s="137">
        <v>2425</v>
      </c>
      <c r="CG41" s="137">
        <v>51586</v>
      </c>
      <c r="CH41" s="137">
        <v>92263</v>
      </c>
      <c r="CI41" s="137">
        <v>23744</v>
      </c>
      <c r="CJ41" s="137">
        <v>147850</v>
      </c>
      <c r="CK41" s="138">
        <v>38257</v>
      </c>
      <c r="CL41" s="140">
        <v>1007095</v>
      </c>
    </row>
    <row r="42" spans="1:90">
      <c r="A42" s="80">
        <f>ROWS($A$3:A40)</f>
        <v>38</v>
      </c>
      <c r="B42" s="92" t="s">
        <v>305</v>
      </c>
      <c r="C42" s="203"/>
      <c r="D42" s="259" t="s">
        <v>7</v>
      </c>
      <c r="E42" s="437">
        <v>41677</v>
      </c>
      <c r="F42" s="116">
        <v>115368</v>
      </c>
      <c r="G42" s="137">
        <v>30289</v>
      </c>
      <c r="H42" s="137">
        <v>89303</v>
      </c>
      <c r="I42" s="138">
        <v>173860</v>
      </c>
      <c r="J42" s="141"/>
      <c r="K42" s="116">
        <f t="shared" si="71"/>
        <v>29285</v>
      </c>
      <c r="L42" s="137">
        <f t="shared" si="72"/>
        <v>8631</v>
      </c>
      <c r="M42" s="137">
        <f t="shared" si="73"/>
        <v>7434</v>
      </c>
      <c r="N42" s="137">
        <f t="shared" si="74"/>
        <v>12181</v>
      </c>
      <c r="O42" s="137">
        <f t="shared" si="75"/>
        <v>7573</v>
      </c>
      <c r="P42" s="137">
        <f>'2013'!BA42</f>
        <v>4688</v>
      </c>
      <c r="Q42" s="137">
        <f>'2013'!AU42</f>
        <v>3449</v>
      </c>
      <c r="R42" s="137">
        <f>AX42</f>
        <v>4725</v>
      </c>
      <c r="S42" s="137">
        <f t="shared" si="76"/>
        <v>3112</v>
      </c>
      <c r="T42" s="137">
        <f t="shared" si="77"/>
        <v>8555</v>
      </c>
      <c r="U42" s="139">
        <f t="shared" si="77"/>
        <v>25250</v>
      </c>
      <c r="V42" s="137">
        <f>BJ42</f>
        <v>1087</v>
      </c>
      <c r="W42" s="137">
        <f t="shared" si="78"/>
        <v>4908</v>
      </c>
      <c r="X42" s="137">
        <f>BI42</f>
        <v>1906</v>
      </c>
      <c r="Y42" s="137">
        <f>BN42</f>
        <v>4217</v>
      </c>
      <c r="Z42" s="137">
        <f t="shared" si="79"/>
        <v>8799</v>
      </c>
      <c r="AA42" s="137">
        <f>BQ42</f>
        <v>4021</v>
      </c>
      <c r="AB42" s="139">
        <f t="shared" si="80"/>
        <v>4891</v>
      </c>
      <c r="AC42" s="137">
        <f t="shared" si="81"/>
        <v>14269</v>
      </c>
      <c r="AD42" s="137">
        <f t="shared" si="82"/>
        <v>5549</v>
      </c>
      <c r="AE42" s="137">
        <f>BS42+BT42</f>
        <v>13505</v>
      </c>
      <c r="AF42" s="137">
        <f t="shared" si="83"/>
        <v>6097</v>
      </c>
      <c r="AG42" s="137">
        <f t="shared" si="84"/>
        <v>11480</v>
      </c>
      <c r="AH42" s="137">
        <f t="shared" si="85"/>
        <v>10696</v>
      </c>
      <c r="AI42" s="137">
        <f t="shared" si="86"/>
        <v>6466</v>
      </c>
      <c r="AJ42" s="137">
        <f t="shared" si="87"/>
        <v>7028</v>
      </c>
      <c r="AK42" s="139">
        <f t="shared" si="88"/>
        <v>14213</v>
      </c>
      <c r="AL42" s="137">
        <f t="shared" si="89"/>
        <v>5620</v>
      </c>
      <c r="AM42" s="137">
        <f t="shared" si="90"/>
        <v>36269</v>
      </c>
      <c r="AN42" s="137">
        <f t="shared" si="91"/>
        <v>73027</v>
      </c>
      <c r="AO42" s="137">
        <f t="shared" si="92"/>
        <v>9714</v>
      </c>
      <c r="AP42" s="137">
        <f t="shared" si="92"/>
        <v>2149</v>
      </c>
      <c r="AQ42" s="137">
        <f t="shared" si="93"/>
        <v>15356</v>
      </c>
      <c r="AR42" s="137">
        <f t="shared" si="94"/>
        <v>10714</v>
      </c>
      <c r="AS42" s="138">
        <f>CF42+CG42</f>
        <v>21011</v>
      </c>
      <c r="AT42" s="155">
        <v>435</v>
      </c>
      <c r="AU42" s="137">
        <v>3449</v>
      </c>
      <c r="AV42" s="137">
        <v>3112</v>
      </c>
      <c r="AW42" s="137">
        <v>12181</v>
      </c>
      <c r="AX42" s="137">
        <v>4725</v>
      </c>
      <c r="AY42" s="137">
        <v>8631</v>
      </c>
      <c r="AZ42" s="155">
        <v>50</v>
      </c>
      <c r="BA42" s="137">
        <v>4688</v>
      </c>
      <c r="BB42" s="137">
        <v>8555</v>
      </c>
      <c r="BC42" s="137">
        <v>25250</v>
      </c>
      <c r="BD42" s="137">
        <v>7434</v>
      </c>
      <c r="BE42" s="137">
        <v>7573</v>
      </c>
      <c r="BF42" s="139">
        <v>29285</v>
      </c>
      <c r="BG42" s="137">
        <v>77</v>
      </c>
      <c r="BH42" s="137">
        <v>67</v>
      </c>
      <c r="BI42" s="137">
        <v>1906</v>
      </c>
      <c r="BJ42" s="137">
        <v>1087</v>
      </c>
      <c r="BK42" s="137">
        <v>193</v>
      </c>
      <c r="BL42" s="137">
        <v>36</v>
      </c>
      <c r="BM42" s="137">
        <v>8799</v>
      </c>
      <c r="BN42" s="137">
        <v>4217</v>
      </c>
      <c r="BO42" s="137">
        <v>87</v>
      </c>
      <c r="BP42" s="137">
        <v>4891</v>
      </c>
      <c r="BQ42" s="137">
        <v>4021</v>
      </c>
      <c r="BR42" s="139">
        <v>4908</v>
      </c>
      <c r="BS42" s="137">
        <v>228</v>
      </c>
      <c r="BT42" s="137">
        <v>13277</v>
      </c>
      <c r="BU42" s="137">
        <v>5549</v>
      </c>
      <c r="BV42" s="137">
        <v>11480</v>
      </c>
      <c r="BW42" s="137">
        <v>6466</v>
      </c>
      <c r="BX42" s="137">
        <v>14269</v>
      </c>
      <c r="BY42" s="137">
        <v>7028</v>
      </c>
      <c r="BZ42" s="137">
        <v>10696</v>
      </c>
      <c r="CA42" s="137">
        <v>6097</v>
      </c>
      <c r="CB42" s="139">
        <v>14213</v>
      </c>
      <c r="CC42" s="137">
        <v>9714</v>
      </c>
      <c r="CD42" s="137">
        <v>2149</v>
      </c>
      <c r="CE42" s="137">
        <v>5620</v>
      </c>
      <c r="CF42" s="137">
        <v>1008</v>
      </c>
      <c r="CG42" s="137">
        <v>20003</v>
      </c>
      <c r="CH42" s="137">
        <v>36269</v>
      </c>
      <c r="CI42" s="137">
        <v>10714</v>
      </c>
      <c r="CJ42" s="137">
        <v>73027</v>
      </c>
      <c r="CK42" s="138">
        <v>15356</v>
      </c>
      <c r="CL42" s="140">
        <v>408820</v>
      </c>
    </row>
    <row r="43" spans="1:90">
      <c r="A43" s="80">
        <f>ROWS($A$3:A41)</f>
        <v>39</v>
      </c>
      <c r="B43" s="92" t="s">
        <v>14</v>
      </c>
      <c r="C43" s="203"/>
      <c r="D43" s="259" t="s">
        <v>7</v>
      </c>
      <c r="E43" s="437">
        <v>41677</v>
      </c>
      <c r="F43" s="116">
        <v>97040</v>
      </c>
      <c r="G43" s="137">
        <v>22115</v>
      </c>
      <c r="H43" s="137">
        <v>66468</v>
      </c>
      <c r="I43" s="138">
        <v>157012</v>
      </c>
      <c r="J43" s="141"/>
      <c r="K43" s="116">
        <f>BF43</f>
        <v>24948</v>
      </c>
      <c r="L43" s="137">
        <f>AY43</f>
        <v>6647</v>
      </c>
      <c r="M43" s="137">
        <f>BD43</f>
        <v>6289</v>
      </c>
      <c r="N43" s="137">
        <f>AW43</f>
        <v>10549</v>
      </c>
      <c r="O43" s="137">
        <f>BE43</f>
        <v>6960</v>
      </c>
      <c r="P43" s="137">
        <f>'2013'!BA43</f>
        <v>3580</v>
      </c>
      <c r="Q43" s="137">
        <f>'2013'!AU43</f>
        <v>2803</v>
      </c>
      <c r="R43" s="137">
        <f>AX43</f>
        <v>4389</v>
      </c>
      <c r="S43" s="137">
        <f>AV43</f>
        <v>2330</v>
      </c>
      <c r="T43" s="137">
        <f>BB43</f>
        <v>6869</v>
      </c>
      <c r="U43" s="139">
        <f>BC43</f>
        <v>21230</v>
      </c>
      <c r="V43" s="137">
        <f>BJ43</f>
        <v>370</v>
      </c>
      <c r="W43" s="137">
        <f>BR43</f>
        <v>3810</v>
      </c>
      <c r="X43" s="137">
        <f>BI43</f>
        <v>1051</v>
      </c>
      <c r="Y43" s="137">
        <f>BN43</f>
        <v>3131</v>
      </c>
      <c r="Z43" s="137">
        <f>BM43</f>
        <v>7206</v>
      </c>
      <c r="AA43" s="137">
        <f>BQ43</f>
        <v>2987</v>
      </c>
      <c r="AB43" s="139">
        <f>BP43</f>
        <v>3353</v>
      </c>
      <c r="AC43" s="137">
        <f>BX43</f>
        <v>12253</v>
      </c>
      <c r="AD43" s="137">
        <f>BU43</f>
        <v>3432</v>
      </c>
      <c r="AE43" s="137">
        <f>BS43+BT43</f>
        <v>9842</v>
      </c>
      <c r="AF43" s="137">
        <f>CA43</f>
        <v>3388</v>
      </c>
      <c r="AG43" s="137">
        <f>BV43</f>
        <v>7558</v>
      </c>
      <c r="AH43" s="137">
        <f>BZ43</f>
        <v>9147</v>
      </c>
      <c r="AI43" s="137">
        <f>BW43</f>
        <v>4648</v>
      </c>
      <c r="AJ43" s="137">
        <f>BY43</f>
        <v>5685</v>
      </c>
      <c r="AK43" s="139">
        <f>CB43</f>
        <v>10515</v>
      </c>
      <c r="AL43" s="137">
        <f>CE43</f>
        <v>3530</v>
      </c>
      <c r="AM43" s="137">
        <f>CH43</f>
        <v>33225</v>
      </c>
      <c r="AN43" s="137">
        <f>CJ43</f>
        <v>69682</v>
      </c>
      <c r="AO43" s="137">
        <f>CC43</f>
        <v>7805</v>
      </c>
      <c r="AP43" s="137">
        <f>CD43</f>
        <v>1568</v>
      </c>
      <c r="AQ43" s="137">
        <f>CK43</f>
        <v>13197</v>
      </c>
      <c r="AR43" s="137">
        <f>CI43</f>
        <v>9722</v>
      </c>
      <c r="AS43" s="138">
        <f>CF43+CG43</f>
        <v>18283</v>
      </c>
      <c r="AT43" s="155" t="s">
        <v>233</v>
      </c>
      <c r="AU43" s="137">
        <v>2803</v>
      </c>
      <c r="AV43" s="137">
        <v>2330</v>
      </c>
      <c r="AW43" s="137">
        <v>10549</v>
      </c>
      <c r="AX43" s="137">
        <v>4389</v>
      </c>
      <c r="AY43" s="137">
        <v>6647</v>
      </c>
      <c r="AZ43" s="155" t="s">
        <v>233</v>
      </c>
      <c r="BA43" s="137">
        <v>3580</v>
      </c>
      <c r="BB43" s="137">
        <v>6869</v>
      </c>
      <c r="BC43" s="137">
        <v>21230</v>
      </c>
      <c r="BD43" s="137">
        <v>6289</v>
      </c>
      <c r="BE43" s="137">
        <v>6960</v>
      </c>
      <c r="BF43" s="139">
        <v>24948</v>
      </c>
      <c r="BG43" s="137" t="s">
        <v>58</v>
      </c>
      <c r="BH43" s="137" t="s">
        <v>233</v>
      </c>
      <c r="BI43" s="137">
        <v>1051</v>
      </c>
      <c r="BJ43" s="137">
        <v>370</v>
      </c>
      <c r="BK43" s="137">
        <v>110</v>
      </c>
      <c r="BL43" s="137" t="s">
        <v>233</v>
      </c>
      <c r="BM43" s="137">
        <v>7206</v>
      </c>
      <c r="BN43" s="137">
        <v>3131</v>
      </c>
      <c r="BO43" s="137" t="s">
        <v>233</v>
      </c>
      <c r="BP43" s="137">
        <v>3353</v>
      </c>
      <c r="BQ43" s="137">
        <v>2987</v>
      </c>
      <c r="BR43" s="139">
        <v>3810</v>
      </c>
      <c r="BS43" s="137">
        <v>100</v>
      </c>
      <c r="BT43" s="137">
        <v>9742</v>
      </c>
      <c r="BU43" s="137">
        <v>3432</v>
      </c>
      <c r="BV43" s="137">
        <v>7558</v>
      </c>
      <c r="BW43" s="137">
        <v>4648</v>
      </c>
      <c r="BX43" s="137">
        <v>12253</v>
      </c>
      <c r="BY43" s="137">
        <v>5685</v>
      </c>
      <c r="BZ43" s="137">
        <v>9147</v>
      </c>
      <c r="CA43" s="137">
        <v>3388</v>
      </c>
      <c r="CB43" s="139">
        <v>10515</v>
      </c>
      <c r="CC43" s="137">
        <v>7805</v>
      </c>
      <c r="CD43" s="137">
        <v>1568</v>
      </c>
      <c r="CE43" s="137">
        <v>3530</v>
      </c>
      <c r="CF43" s="137">
        <v>958</v>
      </c>
      <c r="CG43" s="137">
        <v>17325</v>
      </c>
      <c r="CH43" s="137">
        <v>33225</v>
      </c>
      <c r="CI43" s="137">
        <v>9722</v>
      </c>
      <c r="CJ43" s="137">
        <v>69682</v>
      </c>
      <c r="CK43" s="138">
        <v>13197</v>
      </c>
      <c r="CL43" s="140">
        <v>342635</v>
      </c>
    </row>
    <row r="44" spans="1:90">
      <c r="A44" s="80">
        <f>ROWS($A$3:A42)</f>
        <v>40</v>
      </c>
      <c r="B44" s="54" t="s">
        <v>20</v>
      </c>
      <c r="C44" s="252"/>
      <c r="D44" s="259" t="s">
        <v>241</v>
      </c>
      <c r="E44" s="437">
        <v>41677</v>
      </c>
      <c r="F44" s="142">
        <f>IF(ISERROR(F43/F123)=TRUE,"*",F43/F123)</f>
        <v>37.950723504106378</v>
      </c>
      <c r="G44" s="143">
        <f t="shared" ref="G44:BR44" si="95">IF(ISERROR(G43/G123)=TRUE,"*",G43/G123)</f>
        <v>39.210992907801419</v>
      </c>
      <c r="H44" s="143">
        <f t="shared" si="95"/>
        <v>27.196399345335514</v>
      </c>
      <c r="I44" s="144">
        <f t="shared" si="95"/>
        <v>43.711581291759465</v>
      </c>
      <c r="J44" s="141"/>
      <c r="K44" s="116">
        <f t="shared" si="95"/>
        <v>40.044943820224717</v>
      </c>
      <c r="L44" s="137">
        <f t="shared" si="95"/>
        <v>33.234999999999999</v>
      </c>
      <c r="M44" s="137">
        <f t="shared" si="95"/>
        <v>32.251282051282054</v>
      </c>
      <c r="N44" s="137">
        <f t="shared" si="95"/>
        <v>42.195999999999998</v>
      </c>
      <c r="O44" s="137">
        <f t="shared" si="95"/>
        <v>41.183431952662723</v>
      </c>
      <c r="P44" s="143">
        <f t="shared" si="95"/>
        <v>39.340659340659343</v>
      </c>
      <c r="Q44" s="137">
        <f t="shared" si="95"/>
        <v>40.623188405797102</v>
      </c>
      <c r="R44" s="143">
        <f t="shared" si="95"/>
        <v>37.836206896551722</v>
      </c>
      <c r="S44" s="137">
        <f t="shared" si="95"/>
        <v>28.765432098765434</v>
      </c>
      <c r="T44" s="137">
        <f t="shared" si="95"/>
        <v>37.950276243093924</v>
      </c>
      <c r="U44" s="139">
        <f t="shared" si="95"/>
        <v>37.641843971631204</v>
      </c>
      <c r="V44" s="143">
        <f t="shared" si="95"/>
        <v>21.764705882352942</v>
      </c>
      <c r="W44" s="137">
        <f t="shared" si="95"/>
        <v>36.285714285714285</v>
      </c>
      <c r="X44" s="143">
        <f t="shared" si="95"/>
        <v>42.04</v>
      </c>
      <c r="Y44" s="143">
        <f t="shared" si="95"/>
        <v>43.486111111111114</v>
      </c>
      <c r="Z44" s="137">
        <f t="shared" si="95"/>
        <v>41.895348837209305</v>
      </c>
      <c r="AA44" s="143">
        <f t="shared" si="95"/>
        <v>49.783333333333331</v>
      </c>
      <c r="AB44" s="139">
        <f t="shared" si="95"/>
        <v>32.553398058252426</v>
      </c>
      <c r="AC44" s="137">
        <f t="shared" si="95"/>
        <v>28.495348837209303</v>
      </c>
      <c r="AD44" s="137">
        <f t="shared" si="95"/>
        <v>20.307692307692307</v>
      </c>
      <c r="AE44" s="143">
        <f t="shared" si="95"/>
        <v>23.377672209026127</v>
      </c>
      <c r="AF44" s="137">
        <f t="shared" si="95"/>
        <v>21.043478260869566</v>
      </c>
      <c r="AG44" s="137">
        <f t="shared" si="95"/>
        <v>17.060948081264108</v>
      </c>
      <c r="AH44" s="137">
        <f t="shared" si="95"/>
        <v>45.28217821782178</v>
      </c>
      <c r="AI44" s="137">
        <f t="shared" si="95"/>
        <v>23.958762886597938</v>
      </c>
      <c r="AJ44" s="137">
        <f t="shared" si="95"/>
        <v>53.13084112149533</v>
      </c>
      <c r="AK44" s="139">
        <f t="shared" si="95"/>
        <v>33.810289389067528</v>
      </c>
      <c r="AL44" s="137">
        <f t="shared" si="95"/>
        <v>50.428571428571431</v>
      </c>
      <c r="AM44" s="137">
        <f t="shared" si="95"/>
        <v>43.488219895287955</v>
      </c>
      <c r="AN44" s="137">
        <f t="shared" si="95"/>
        <v>46.797850906648755</v>
      </c>
      <c r="AO44" s="137">
        <f t="shared" si="95"/>
        <v>40.440414507772019</v>
      </c>
      <c r="AP44" s="137">
        <f t="shared" si="95"/>
        <v>52.266666666666666</v>
      </c>
      <c r="AQ44" s="137">
        <f t="shared" si="95"/>
        <v>42.434083601286176</v>
      </c>
      <c r="AR44" s="137">
        <f t="shared" si="95"/>
        <v>36.548872180451127</v>
      </c>
      <c r="AS44" s="144">
        <f t="shared" si="95"/>
        <v>40.538802660753881</v>
      </c>
      <c r="AT44" s="137" t="str">
        <f t="shared" si="95"/>
        <v>*</v>
      </c>
      <c r="AU44" s="137">
        <f t="shared" si="95"/>
        <v>40.623188405797102</v>
      </c>
      <c r="AV44" s="137">
        <f t="shared" si="95"/>
        <v>28.765432098765434</v>
      </c>
      <c r="AW44" s="137">
        <f t="shared" si="95"/>
        <v>42.195999999999998</v>
      </c>
      <c r="AX44" s="137">
        <f t="shared" si="95"/>
        <v>37.836206896551722</v>
      </c>
      <c r="AY44" s="137">
        <f t="shared" si="95"/>
        <v>33.234999999999999</v>
      </c>
      <c r="AZ44" s="137" t="str">
        <f t="shared" si="95"/>
        <v>*</v>
      </c>
      <c r="BA44" s="137">
        <f t="shared" si="95"/>
        <v>39.340659340659343</v>
      </c>
      <c r="BB44" s="137">
        <f t="shared" si="95"/>
        <v>37.950276243093924</v>
      </c>
      <c r="BC44" s="137">
        <f t="shared" si="95"/>
        <v>37.641843971631204</v>
      </c>
      <c r="BD44" s="137">
        <f t="shared" si="95"/>
        <v>32.251282051282054</v>
      </c>
      <c r="BE44" s="137">
        <f t="shared" si="95"/>
        <v>41.183431952662723</v>
      </c>
      <c r="BF44" s="139">
        <f t="shared" si="95"/>
        <v>40.044943820224717</v>
      </c>
      <c r="BG44" s="137" t="str">
        <f t="shared" si="95"/>
        <v>*</v>
      </c>
      <c r="BH44" s="137" t="str">
        <f t="shared" si="95"/>
        <v>*</v>
      </c>
      <c r="BI44" s="137">
        <f t="shared" si="95"/>
        <v>42.04</v>
      </c>
      <c r="BJ44" s="137">
        <f t="shared" si="95"/>
        <v>21.764705882352942</v>
      </c>
      <c r="BK44" s="137">
        <f t="shared" si="95"/>
        <v>22</v>
      </c>
      <c r="BL44" s="137" t="str">
        <f t="shared" si="95"/>
        <v>*</v>
      </c>
      <c r="BM44" s="137">
        <f t="shared" si="95"/>
        <v>41.895348837209305</v>
      </c>
      <c r="BN44" s="137">
        <f t="shared" si="95"/>
        <v>43.486111111111114</v>
      </c>
      <c r="BO44" s="137" t="str">
        <f t="shared" si="95"/>
        <v>*</v>
      </c>
      <c r="BP44" s="137">
        <f t="shared" si="95"/>
        <v>32.553398058252426</v>
      </c>
      <c r="BQ44" s="137">
        <f t="shared" si="95"/>
        <v>49.783333333333331</v>
      </c>
      <c r="BR44" s="139">
        <f t="shared" si="95"/>
        <v>36.285714285714285</v>
      </c>
      <c r="BS44" s="137">
        <f t="shared" ref="BS44:CL44" si="96">IF(ISERROR(BS43/BS123)=TRUE,"*",BS43/BS123)</f>
        <v>16.666666666666668</v>
      </c>
      <c r="BT44" s="137">
        <f t="shared" si="96"/>
        <v>23.140142517814727</v>
      </c>
      <c r="BU44" s="137">
        <f t="shared" si="96"/>
        <v>20.307692307692307</v>
      </c>
      <c r="BV44" s="137">
        <f t="shared" si="96"/>
        <v>17.060948081264108</v>
      </c>
      <c r="BW44" s="137">
        <f t="shared" si="96"/>
        <v>23.958762886597938</v>
      </c>
      <c r="BX44" s="137">
        <f t="shared" si="96"/>
        <v>28.495348837209303</v>
      </c>
      <c r="BY44" s="137">
        <f t="shared" si="96"/>
        <v>53.13084112149533</v>
      </c>
      <c r="BZ44" s="137">
        <f t="shared" si="96"/>
        <v>45.28217821782178</v>
      </c>
      <c r="CA44" s="137">
        <f t="shared" si="96"/>
        <v>21.043478260869566</v>
      </c>
      <c r="CB44" s="139">
        <f t="shared" si="96"/>
        <v>33.810289389067528</v>
      </c>
      <c r="CC44" s="137">
        <f t="shared" si="96"/>
        <v>40.440414507772019</v>
      </c>
      <c r="CD44" s="137">
        <f t="shared" si="96"/>
        <v>52.266666666666666</v>
      </c>
      <c r="CE44" s="137">
        <f t="shared" si="96"/>
        <v>50.428571428571431</v>
      </c>
      <c r="CF44" s="137">
        <f t="shared" si="96"/>
        <v>53.222222222222221</v>
      </c>
      <c r="CG44" s="137">
        <f t="shared" si="96"/>
        <v>38.414634146341463</v>
      </c>
      <c r="CH44" s="137">
        <f t="shared" si="96"/>
        <v>43.488219895287955</v>
      </c>
      <c r="CI44" s="137">
        <f t="shared" si="96"/>
        <v>36.548872180451127</v>
      </c>
      <c r="CJ44" s="137">
        <f t="shared" si="96"/>
        <v>46.797850906648755</v>
      </c>
      <c r="CK44" s="138">
        <f t="shared" si="96"/>
        <v>42.434083601286176</v>
      </c>
      <c r="CL44" s="140">
        <f t="shared" si="96"/>
        <v>37.41782243092716</v>
      </c>
    </row>
    <row r="45" spans="1:90">
      <c r="A45" s="80">
        <f>ROWS($A$3:A43)</f>
        <v>41</v>
      </c>
      <c r="B45" s="92" t="s">
        <v>74</v>
      </c>
      <c r="C45" s="393">
        <v>2010</v>
      </c>
      <c r="D45" s="259" t="s">
        <v>7</v>
      </c>
      <c r="E45" s="437">
        <v>40652</v>
      </c>
      <c r="F45" s="116">
        <v>1148077</v>
      </c>
      <c r="G45" s="137">
        <v>109564</v>
      </c>
      <c r="H45" s="137">
        <v>151726</v>
      </c>
      <c r="I45" s="138">
        <v>723432</v>
      </c>
      <c r="J45" s="141"/>
      <c r="K45" s="116">
        <f t="shared" si="71"/>
        <v>143135</v>
      </c>
      <c r="L45" s="137">
        <f t="shared" si="72"/>
        <v>16426</v>
      </c>
      <c r="M45" s="137">
        <f t="shared" si="73"/>
        <v>150540</v>
      </c>
      <c r="N45" s="137">
        <f t="shared" si="74"/>
        <v>25725</v>
      </c>
      <c r="O45" s="137">
        <f t="shared" si="75"/>
        <v>49736</v>
      </c>
      <c r="P45" s="808">
        <f>IF(ISERROR(AZ45+BA45),BA45,AZ45+BA45)</f>
        <v>35071</v>
      </c>
      <c r="Q45" s="137">
        <f>'2013'!AU45</f>
        <v>21372</v>
      </c>
      <c r="R45" s="808">
        <f>IF(ISERROR(AT45+AX45),AX45,AT45+AX45)</f>
        <v>42652</v>
      </c>
      <c r="S45" s="137">
        <f t="shared" si="76"/>
        <v>7266</v>
      </c>
      <c r="T45" s="137">
        <f t="shared" si="77"/>
        <v>180470</v>
      </c>
      <c r="U45" s="139">
        <f t="shared" si="77"/>
        <v>475187</v>
      </c>
      <c r="V45" s="808">
        <f>IF(ISERROR(BG45+BJ45),BJ45,(BG45+BJ45))</f>
        <v>7039</v>
      </c>
      <c r="W45" s="137">
        <f t="shared" si="78"/>
        <v>14067</v>
      </c>
      <c r="X45" s="808">
        <f>IF(ISERROR(BH45+BI45),BI45,(BH45+BI45))</f>
        <v>7841</v>
      </c>
      <c r="Y45" s="808">
        <f>IF(ISERROR(BK45+BL45+BN45),BK45+BN45,(BK45+BL45+BN45))</f>
        <v>28028</v>
      </c>
      <c r="Z45" s="137">
        <f t="shared" si="79"/>
        <v>37706</v>
      </c>
      <c r="AA45" s="808">
        <f>IF(ISERROR(BO45+BQ45),BQ45,(BO45+BQ45))</f>
        <v>7823</v>
      </c>
      <c r="AB45" s="139">
        <f t="shared" si="80"/>
        <v>6980</v>
      </c>
      <c r="AC45" s="137">
        <f t="shared" si="81"/>
        <v>22148</v>
      </c>
      <c r="AD45" s="137">
        <f t="shared" si="82"/>
        <v>5024</v>
      </c>
      <c r="AE45" s="808">
        <f>BS45+BT45</f>
        <v>8955</v>
      </c>
      <c r="AF45" s="137">
        <f t="shared" si="83"/>
        <v>3562</v>
      </c>
      <c r="AG45" s="137">
        <f t="shared" si="84"/>
        <v>30888</v>
      </c>
      <c r="AH45" s="137">
        <f t="shared" si="85"/>
        <v>18417</v>
      </c>
      <c r="AI45" s="137">
        <f t="shared" si="86"/>
        <v>38725</v>
      </c>
      <c r="AJ45" s="137">
        <f t="shared" si="87"/>
        <v>10936</v>
      </c>
      <c r="AK45" s="139">
        <f t="shared" si="88"/>
        <v>13071</v>
      </c>
      <c r="AL45" s="137">
        <f t="shared" si="89"/>
        <v>9721</v>
      </c>
      <c r="AM45" s="137">
        <f t="shared" si="90"/>
        <v>173896</v>
      </c>
      <c r="AN45" s="137">
        <f t="shared" si="91"/>
        <v>56880</v>
      </c>
      <c r="AO45" s="137">
        <f t="shared" si="92"/>
        <v>30040</v>
      </c>
      <c r="AP45" s="137">
        <f t="shared" si="92"/>
        <v>17102</v>
      </c>
      <c r="AQ45" s="137">
        <f t="shared" si="93"/>
        <v>107463</v>
      </c>
      <c r="AR45" s="137">
        <f t="shared" si="94"/>
        <v>20295</v>
      </c>
      <c r="AS45" s="138">
        <f>CF45+CG45</f>
        <v>308035</v>
      </c>
      <c r="AT45" s="137">
        <v>0</v>
      </c>
      <c r="AU45" s="137">
        <v>21372</v>
      </c>
      <c r="AV45" s="137">
        <v>7266</v>
      </c>
      <c r="AW45" s="137">
        <v>25725</v>
      </c>
      <c r="AX45" s="137">
        <v>42652</v>
      </c>
      <c r="AY45" s="137">
        <v>16426</v>
      </c>
      <c r="AZ45" s="137">
        <v>0</v>
      </c>
      <c r="BA45" s="137">
        <v>35071</v>
      </c>
      <c r="BB45" s="137">
        <v>180470</v>
      </c>
      <c r="BC45" s="137">
        <v>475187</v>
      </c>
      <c r="BD45" s="137">
        <v>150540</v>
      </c>
      <c r="BE45" s="137">
        <v>49736</v>
      </c>
      <c r="BF45" s="139">
        <v>143135</v>
      </c>
      <c r="BG45" s="137">
        <v>0</v>
      </c>
      <c r="BH45" s="137">
        <v>1211</v>
      </c>
      <c r="BI45" s="137">
        <v>6630</v>
      </c>
      <c r="BJ45" s="137">
        <v>7039</v>
      </c>
      <c r="BK45" s="137">
        <v>765</v>
      </c>
      <c r="BL45" s="137" t="s">
        <v>233</v>
      </c>
      <c r="BM45" s="137">
        <v>37706</v>
      </c>
      <c r="BN45" s="137">
        <v>27263</v>
      </c>
      <c r="BO45" s="137">
        <v>95</v>
      </c>
      <c r="BP45" s="137">
        <v>6980</v>
      </c>
      <c r="BQ45" s="137">
        <v>7728</v>
      </c>
      <c r="BR45" s="139">
        <v>14067</v>
      </c>
      <c r="BS45" s="137">
        <v>400</v>
      </c>
      <c r="BT45" s="137">
        <v>8555</v>
      </c>
      <c r="BU45" s="137">
        <v>5024</v>
      </c>
      <c r="BV45" s="137">
        <v>30888</v>
      </c>
      <c r="BW45" s="137">
        <v>38725</v>
      </c>
      <c r="BX45" s="137">
        <v>22148</v>
      </c>
      <c r="BY45" s="137">
        <v>10936</v>
      </c>
      <c r="BZ45" s="137">
        <v>18417</v>
      </c>
      <c r="CA45" s="137">
        <v>3562</v>
      </c>
      <c r="CB45" s="139">
        <v>13071</v>
      </c>
      <c r="CC45" s="137">
        <v>30040</v>
      </c>
      <c r="CD45" s="137">
        <v>17102</v>
      </c>
      <c r="CE45" s="137">
        <v>9721</v>
      </c>
      <c r="CF45" s="137">
        <v>19867</v>
      </c>
      <c r="CG45" s="137">
        <v>288168</v>
      </c>
      <c r="CH45" s="137">
        <v>173896</v>
      </c>
      <c r="CI45" s="137">
        <v>20295</v>
      </c>
      <c r="CJ45" s="137">
        <v>56880</v>
      </c>
      <c r="CK45" s="138">
        <v>107463</v>
      </c>
      <c r="CL45" s="140">
        <v>2132799</v>
      </c>
    </row>
    <row r="46" spans="1:90">
      <c r="A46" s="80">
        <f>ROWS($A$3:A44)</f>
        <v>42</v>
      </c>
      <c r="B46" s="92" t="s">
        <v>8</v>
      </c>
      <c r="C46" s="203"/>
      <c r="D46" s="259" t="s">
        <v>7</v>
      </c>
      <c r="E46" s="437">
        <v>40652</v>
      </c>
      <c r="F46" s="116">
        <v>138422</v>
      </c>
      <c r="G46" s="137">
        <v>8774</v>
      </c>
      <c r="H46" s="137">
        <v>13335</v>
      </c>
      <c r="I46" s="138">
        <v>71363</v>
      </c>
      <c r="J46" s="141"/>
      <c r="K46" s="116">
        <f t="shared" si="71"/>
        <v>19542</v>
      </c>
      <c r="L46" s="137" t="str">
        <f t="shared" si="72"/>
        <v>*</v>
      </c>
      <c r="M46" s="137">
        <f t="shared" si="73"/>
        <v>19664</v>
      </c>
      <c r="N46" s="137">
        <f t="shared" si="74"/>
        <v>1477</v>
      </c>
      <c r="O46" s="137">
        <f t="shared" si="75"/>
        <v>4383</v>
      </c>
      <c r="P46" s="808">
        <f>IF(ISERROR(AZ46+BA46),BA46,AZ46+BA46)</f>
        <v>3335</v>
      </c>
      <c r="Q46" s="137">
        <f>'2013'!AU46</f>
        <v>2233</v>
      </c>
      <c r="R46" s="808">
        <f>IF(ISERROR(AT46+AX46),AX46,AT46+AX46)</f>
        <v>2945</v>
      </c>
      <c r="S46" s="137" t="str">
        <f t="shared" si="76"/>
        <v>*</v>
      </c>
      <c r="T46" s="137">
        <f t="shared" si="77"/>
        <v>24236</v>
      </c>
      <c r="U46" s="139">
        <f t="shared" si="77"/>
        <v>58271</v>
      </c>
      <c r="V46" s="808">
        <f>IF(ISERROR(BG46+BJ46),BJ46,(BG46+BJ46))</f>
        <v>532</v>
      </c>
      <c r="W46" s="137">
        <f t="shared" si="78"/>
        <v>1444</v>
      </c>
      <c r="X46" s="808">
        <f>IF(ISERROR(BH46+BI46),BI46,(BH46+BI46))</f>
        <v>180</v>
      </c>
      <c r="Y46" s="808">
        <f>IF(ISERROR(BK46+BL46+BN46),BN46,(BK46+BL46+BN46))</f>
        <v>1863</v>
      </c>
      <c r="Z46" s="137">
        <f t="shared" si="79"/>
        <v>2878</v>
      </c>
      <c r="AA46" s="808" t="str">
        <f>IF(ISERROR(BO46+BQ46),BQ46,(BO46+BQ46))</f>
        <v>*</v>
      </c>
      <c r="AB46" s="139">
        <f t="shared" si="80"/>
        <v>466</v>
      </c>
      <c r="AC46" s="137">
        <f t="shared" si="81"/>
        <v>1634</v>
      </c>
      <c r="AD46" s="137">
        <f t="shared" si="82"/>
        <v>471</v>
      </c>
      <c r="AE46" s="808">
        <f>BS46+BT46</f>
        <v>692</v>
      </c>
      <c r="AF46" s="137">
        <f t="shared" si="83"/>
        <v>190</v>
      </c>
      <c r="AG46" s="137">
        <f t="shared" si="84"/>
        <v>3655</v>
      </c>
      <c r="AH46" s="137">
        <f t="shared" si="85"/>
        <v>1386</v>
      </c>
      <c r="AI46" s="137">
        <f t="shared" si="86"/>
        <v>2660</v>
      </c>
      <c r="AJ46" s="137">
        <f t="shared" si="87"/>
        <v>1032</v>
      </c>
      <c r="AK46" s="139">
        <f t="shared" si="88"/>
        <v>1615</v>
      </c>
      <c r="AL46" s="137">
        <f t="shared" si="89"/>
        <v>778</v>
      </c>
      <c r="AM46" s="137">
        <f t="shared" si="90"/>
        <v>17329</v>
      </c>
      <c r="AN46" s="137">
        <f t="shared" si="91"/>
        <v>6991</v>
      </c>
      <c r="AO46" s="137">
        <f t="shared" si="92"/>
        <v>3831</v>
      </c>
      <c r="AP46" s="137">
        <f t="shared" si="92"/>
        <v>941</v>
      </c>
      <c r="AQ46" s="137">
        <f t="shared" si="93"/>
        <v>10639</v>
      </c>
      <c r="AR46" s="137">
        <f t="shared" si="94"/>
        <v>1591</v>
      </c>
      <c r="AS46" s="138">
        <f>CF46+CG46</f>
        <v>29263</v>
      </c>
      <c r="AT46" s="137">
        <v>0</v>
      </c>
      <c r="AU46" s="137">
        <v>2233</v>
      </c>
      <c r="AV46" s="137" t="s">
        <v>233</v>
      </c>
      <c r="AW46" s="137">
        <v>1477</v>
      </c>
      <c r="AX46" s="137">
        <v>2945</v>
      </c>
      <c r="AY46" s="137" t="s">
        <v>233</v>
      </c>
      <c r="AZ46" s="137">
        <v>0</v>
      </c>
      <c r="BA46" s="137">
        <v>3335</v>
      </c>
      <c r="BB46" s="137">
        <v>24236</v>
      </c>
      <c r="BC46" s="137">
        <v>58271</v>
      </c>
      <c r="BD46" s="137">
        <v>19664</v>
      </c>
      <c r="BE46" s="137">
        <v>4383</v>
      </c>
      <c r="BF46" s="139">
        <v>19542</v>
      </c>
      <c r="BG46" s="137" t="s">
        <v>233</v>
      </c>
      <c r="BH46" s="137" t="s">
        <v>233</v>
      </c>
      <c r="BI46" s="137">
        <v>180</v>
      </c>
      <c r="BJ46" s="137">
        <v>532</v>
      </c>
      <c r="BK46" s="137" t="s">
        <v>233</v>
      </c>
      <c r="BL46" s="137">
        <v>0</v>
      </c>
      <c r="BM46" s="137">
        <v>2878</v>
      </c>
      <c r="BN46" s="137">
        <v>1863</v>
      </c>
      <c r="BO46" s="137" t="s">
        <v>233</v>
      </c>
      <c r="BP46" s="137">
        <v>466</v>
      </c>
      <c r="BQ46" s="137" t="s">
        <v>233</v>
      </c>
      <c r="BR46" s="139">
        <v>1444</v>
      </c>
      <c r="BS46" s="137">
        <v>83</v>
      </c>
      <c r="BT46" s="137">
        <v>609</v>
      </c>
      <c r="BU46" s="137">
        <v>471</v>
      </c>
      <c r="BV46" s="137">
        <v>3655</v>
      </c>
      <c r="BW46" s="137">
        <v>2660</v>
      </c>
      <c r="BX46" s="137">
        <v>1634</v>
      </c>
      <c r="BY46" s="137">
        <v>1032</v>
      </c>
      <c r="BZ46" s="137">
        <v>1386</v>
      </c>
      <c r="CA46" s="137">
        <v>190</v>
      </c>
      <c r="CB46" s="139">
        <v>1615</v>
      </c>
      <c r="CC46" s="137">
        <v>3831</v>
      </c>
      <c r="CD46" s="137">
        <v>941</v>
      </c>
      <c r="CE46" s="137">
        <v>778</v>
      </c>
      <c r="CF46" s="137">
        <v>1439</v>
      </c>
      <c r="CG46" s="137">
        <v>27824</v>
      </c>
      <c r="CH46" s="137">
        <v>17329</v>
      </c>
      <c r="CI46" s="137">
        <v>1591</v>
      </c>
      <c r="CJ46" s="137">
        <v>6991</v>
      </c>
      <c r="CK46" s="138">
        <v>10639</v>
      </c>
      <c r="CL46" s="140">
        <v>231894</v>
      </c>
    </row>
    <row r="47" spans="1:90">
      <c r="A47" s="80">
        <f>ROWS($A$3:A45)</f>
        <v>43</v>
      </c>
      <c r="B47" s="54" t="s">
        <v>19</v>
      </c>
      <c r="C47" s="252"/>
      <c r="D47" s="259" t="s">
        <v>241</v>
      </c>
      <c r="E47" s="437">
        <v>40652</v>
      </c>
      <c r="F47" s="116">
        <f>F125/F124</f>
        <v>174.11972065181243</v>
      </c>
      <c r="G47" s="137">
        <f>G125/G124</f>
        <v>101.33630952380952</v>
      </c>
      <c r="H47" s="137">
        <f>H125/H124</f>
        <v>48.009674134419555</v>
      </c>
      <c r="I47" s="138">
        <f>I125/I124</f>
        <v>168.79459002535927</v>
      </c>
      <c r="J47" s="141"/>
      <c r="K47" s="116">
        <f t="shared" si="71"/>
        <v>112.86274509803921</v>
      </c>
      <c r="L47" s="137">
        <f t="shared" si="72"/>
        <v>73.268656716417908</v>
      </c>
      <c r="M47" s="137">
        <f t="shared" si="73"/>
        <v>139.1906976744186</v>
      </c>
      <c r="N47" s="137">
        <f t="shared" si="74"/>
        <v>127.40163934426229</v>
      </c>
      <c r="O47" s="137">
        <f t="shared" si="75"/>
        <v>186.52071005917159</v>
      </c>
      <c r="P47" s="808">
        <f>IF(ISERROR((BA45*BA47+AZ45*AZ47)/P45),BA47,(BA45*BA47+AZ45*AZ47)/P45)</f>
        <v>177.03007518796991</v>
      </c>
      <c r="Q47" s="137">
        <f>'2013'!AU47</f>
        <v>143.6</v>
      </c>
      <c r="R47" s="808">
        <f>IF(ISERROR((AT47*AT45+AX45*AX47)/R45),AX47,(AT47*AT45+AX45*AX47)/R45)</f>
        <v>215.48872180451127</v>
      </c>
      <c r="S47" s="137">
        <f t="shared" si="76"/>
        <v>65.145161290322577</v>
      </c>
      <c r="T47" s="137">
        <f t="shared" si="77"/>
        <v>216.87465181058496</v>
      </c>
      <c r="U47" s="139">
        <f t="shared" si="77"/>
        <v>227.08178844056707</v>
      </c>
      <c r="V47" s="808">
        <f>IF(ISERROR((BG47*BG45+BJ45*BJ47)/V45),BJ47,(BG47*BG45+BJ45*BJ47)/V45)</f>
        <v>90.093023255813947</v>
      </c>
      <c r="W47" s="137">
        <f t="shared" si="78"/>
        <v>69.509433962264154</v>
      </c>
      <c r="X47" s="808">
        <f>IF(ISERROR((BH45*BH47+BI45*BI47)/X45),BI47,(BH45*BH47+BI45*BI47)/X45)</f>
        <v>92.466251115929097</v>
      </c>
      <c r="Y47" s="808">
        <f>(BK47*BK45+BN47*BN45)/Y45</f>
        <v>129.75415071941046</v>
      </c>
      <c r="Z47" s="137">
        <f t="shared" si="79"/>
        <v>147.13186813186815</v>
      </c>
      <c r="AA47" s="808">
        <f>IF(ISERROR((BO47*BO45+BQ47*BQ45)/AA45),BQ47,(BO47*BO45+BQ47*BQ45)/AA45)</f>
        <v>85.91379310344827</v>
      </c>
      <c r="AB47" s="139">
        <f t="shared" si="80"/>
        <v>44.670329670329672</v>
      </c>
      <c r="AC47" s="137">
        <f t="shared" si="81"/>
        <v>55.530364372469634</v>
      </c>
      <c r="AD47" s="137">
        <f t="shared" si="82"/>
        <v>22.611111111111111</v>
      </c>
      <c r="AE47" s="808">
        <f>(BS45*BS47+BT45*BT47)/AE45</f>
        <v>21.937068584681651</v>
      </c>
      <c r="AF47" s="137">
        <f t="shared" si="83"/>
        <v>28.010416666666668</v>
      </c>
      <c r="AG47" s="137">
        <f t="shared" si="84"/>
        <v>31.215291750503017</v>
      </c>
      <c r="AH47" s="137">
        <f t="shared" si="85"/>
        <v>101.36134453781513</v>
      </c>
      <c r="AI47" s="137">
        <f t="shared" si="86"/>
        <v>116.59641255605381</v>
      </c>
      <c r="AJ47" s="137">
        <f t="shared" si="87"/>
        <v>69.136842105263156</v>
      </c>
      <c r="AK47" s="139">
        <f t="shared" si="88"/>
        <v>33.845794392523366</v>
      </c>
      <c r="AL47" s="137">
        <f t="shared" si="89"/>
        <v>74.096385542168676</v>
      </c>
      <c r="AM47" s="137">
        <f t="shared" si="90"/>
        <v>197.72</v>
      </c>
      <c r="AN47" s="137">
        <f t="shared" si="91"/>
        <v>117.89873417721519</v>
      </c>
      <c r="AO47" s="137">
        <f t="shared" si="92"/>
        <v>68.572727272727278</v>
      </c>
      <c r="AP47" s="137">
        <f t="shared" si="92"/>
        <v>154.06153846153848</v>
      </c>
      <c r="AQ47" s="137">
        <f t="shared" si="93"/>
        <v>150.2755905511811</v>
      </c>
      <c r="AR47" s="137">
        <f t="shared" si="94"/>
        <v>113.36974789915966</v>
      </c>
      <c r="AS47" s="144">
        <f>(CF45*CF47+CG45*CG47)/AS45</f>
        <v>229.46243470402328</v>
      </c>
      <c r="AT47" s="137" t="s">
        <v>58</v>
      </c>
      <c r="AU47" s="137">
        <f t="shared" ref="AU47:CJ47" si="97">AU125/AU124</f>
        <v>143.6</v>
      </c>
      <c r="AV47" s="137">
        <f t="shared" si="97"/>
        <v>65.145161290322577</v>
      </c>
      <c r="AW47" s="137">
        <f t="shared" si="97"/>
        <v>127.40163934426229</v>
      </c>
      <c r="AX47" s="137">
        <f t="shared" si="97"/>
        <v>215.48872180451127</v>
      </c>
      <c r="AY47" s="137">
        <f t="shared" si="97"/>
        <v>73.268656716417908</v>
      </c>
      <c r="AZ47" s="137" t="s">
        <v>58</v>
      </c>
      <c r="BA47" s="137">
        <f t="shared" si="97"/>
        <v>177.03007518796991</v>
      </c>
      <c r="BB47" s="137">
        <f t="shared" si="97"/>
        <v>216.87465181058496</v>
      </c>
      <c r="BC47" s="137">
        <f t="shared" si="97"/>
        <v>227.08178844056707</v>
      </c>
      <c r="BD47" s="137">
        <f t="shared" si="97"/>
        <v>139.1906976744186</v>
      </c>
      <c r="BE47" s="137">
        <f t="shared" si="97"/>
        <v>186.52071005917159</v>
      </c>
      <c r="BF47" s="139">
        <f t="shared" si="97"/>
        <v>112.86274509803921</v>
      </c>
      <c r="BG47" s="137" t="s">
        <v>58</v>
      </c>
      <c r="BH47" s="137">
        <f t="shared" si="97"/>
        <v>99.125</v>
      </c>
      <c r="BI47" s="137">
        <f t="shared" si="97"/>
        <v>91.25</v>
      </c>
      <c r="BJ47" s="137">
        <f t="shared" si="97"/>
        <v>90.093023255813947</v>
      </c>
      <c r="BK47" s="137">
        <f t="shared" si="97"/>
        <v>63</v>
      </c>
      <c r="BL47" s="137" t="s">
        <v>58</v>
      </c>
      <c r="BM47" s="137">
        <f t="shared" si="97"/>
        <v>147.13186813186815</v>
      </c>
      <c r="BN47" s="137">
        <f t="shared" si="97"/>
        <v>131.62727272727273</v>
      </c>
      <c r="BO47" s="137" t="s">
        <v>58</v>
      </c>
      <c r="BP47" s="137">
        <f t="shared" si="97"/>
        <v>44.670329670329672</v>
      </c>
      <c r="BQ47" s="137">
        <f t="shared" si="97"/>
        <v>85.91379310344827</v>
      </c>
      <c r="BR47" s="139">
        <f t="shared" si="97"/>
        <v>69.509433962264154</v>
      </c>
      <c r="BS47" s="137">
        <f t="shared" si="97"/>
        <v>17.153846153846153</v>
      </c>
      <c r="BT47" s="137">
        <f t="shared" si="97"/>
        <v>22.160714285714285</v>
      </c>
      <c r="BU47" s="137">
        <f t="shared" si="97"/>
        <v>22.611111111111111</v>
      </c>
      <c r="BV47" s="137">
        <f t="shared" si="97"/>
        <v>31.215291750503017</v>
      </c>
      <c r="BW47" s="137">
        <f t="shared" si="97"/>
        <v>116.59641255605381</v>
      </c>
      <c r="BX47" s="137">
        <f t="shared" si="97"/>
        <v>55.530364372469634</v>
      </c>
      <c r="BY47" s="137">
        <f t="shared" si="97"/>
        <v>69.136842105263156</v>
      </c>
      <c r="BZ47" s="137">
        <f t="shared" si="97"/>
        <v>101.36134453781513</v>
      </c>
      <c r="CA47" s="137">
        <f t="shared" si="97"/>
        <v>28.010416666666668</v>
      </c>
      <c r="CB47" s="139">
        <f t="shared" si="97"/>
        <v>33.845794392523366</v>
      </c>
      <c r="CC47" s="137">
        <f t="shared" si="97"/>
        <v>68.572727272727278</v>
      </c>
      <c r="CD47" s="137">
        <f t="shared" si="97"/>
        <v>154.06153846153848</v>
      </c>
      <c r="CE47" s="137">
        <f t="shared" si="97"/>
        <v>74.096385542168676</v>
      </c>
      <c r="CF47" s="137">
        <f t="shared" si="97"/>
        <v>428.06666666666666</v>
      </c>
      <c r="CG47" s="137">
        <f t="shared" si="97"/>
        <v>215.7701778385773</v>
      </c>
      <c r="CH47" s="137">
        <f t="shared" si="97"/>
        <v>197.72</v>
      </c>
      <c r="CI47" s="137">
        <f t="shared" si="97"/>
        <v>113.36974789915966</v>
      </c>
      <c r="CJ47" s="137">
        <f t="shared" si="97"/>
        <v>117.89873417721519</v>
      </c>
      <c r="CK47" s="138">
        <f>CK125/CK124</f>
        <v>150.2755905511811</v>
      </c>
      <c r="CL47" s="140">
        <f>CL125/CL124</f>
        <v>135.51442127606444</v>
      </c>
    </row>
    <row r="48" spans="1:90">
      <c r="A48" s="80">
        <f>ROWS($A$3:A46)</f>
        <v>44</v>
      </c>
      <c r="B48" s="196" t="s">
        <v>239</v>
      </c>
      <c r="C48" s="393">
        <v>2010</v>
      </c>
      <c r="D48" s="259" t="s">
        <v>7</v>
      </c>
      <c r="E48" s="437">
        <v>40652</v>
      </c>
      <c r="F48" s="116">
        <v>18657</v>
      </c>
      <c r="G48" s="137">
        <v>11690</v>
      </c>
      <c r="H48" s="137">
        <v>13322</v>
      </c>
      <c r="I48" s="138">
        <v>16072</v>
      </c>
      <c r="J48" s="141"/>
      <c r="K48" s="116">
        <f t="shared" si="71"/>
        <v>3102</v>
      </c>
      <c r="L48" s="137">
        <f t="shared" si="72"/>
        <v>1882</v>
      </c>
      <c r="M48" s="137">
        <f t="shared" si="73"/>
        <v>817</v>
      </c>
      <c r="N48" s="137">
        <f t="shared" si="74"/>
        <v>1667</v>
      </c>
      <c r="O48" s="137">
        <f t="shared" si="75"/>
        <v>739</v>
      </c>
      <c r="P48" s="137">
        <f>'2013'!AZ48+'2013'!BA48</f>
        <v>1429</v>
      </c>
      <c r="Q48" s="137">
        <f>'2013'!AU48</f>
        <v>2195</v>
      </c>
      <c r="R48" s="137">
        <f>AT48+AX48</f>
        <v>2352</v>
      </c>
      <c r="S48" s="137">
        <f t="shared" si="76"/>
        <v>2310</v>
      </c>
      <c r="T48" s="137">
        <f t="shared" si="77"/>
        <v>715</v>
      </c>
      <c r="U48" s="139">
        <f t="shared" si="77"/>
        <v>1449</v>
      </c>
      <c r="V48" s="137">
        <f>BG48+BJ48</f>
        <v>823</v>
      </c>
      <c r="W48" s="137">
        <f t="shared" si="78"/>
        <v>919</v>
      </c>
      <c r="X48" s="137">
        <f>BH48+BI48</f>
        <v>2585</v>
      </c>
      <c r="Y48" s="137">
        <f>BK48+BL48+BN48</f>
        <v>2816</v>
      </c>
      <c r="Z48" s="137">
        <f t="shared" si="79"/>
        <v>1619</v>
      </c>
      <c r="AA48" s="137">
        <f>BO48+BQ48</f>
        <v>1517</v>
      </c>
      <c r="AB48" s="139">
        <f t="shared" si="80"/>
        <v>1411</v>
      </c>
      <c r="AC48" s="137">
        <f t="shared" si="81"/>
        <v>1145</v>
      </c>
      <c r="AD48" s="137">
        <f t="shared" si="82"/>
        <v>998</v>
      </c>
      <c r="AE48" s="137">
        <f>BS48+BT48</f>
        <v>2422</v>
      </c>
      <c r="AF48" s="137">
        <f t="shared" si="83"/>
        <v>1691</v>
      </c>
      <c r="AG48" s="137">
        <f t="shared" si="84"/>
        <v>1682</v>
      </c>
      <c r="AH48" s="137">
        <f t="shared" si="85"/>
        <v>1607</v>
      </c>
      <c r="AI48" s="137">
        <f t="shared" si="86"/>
        <v>906</v>
      </c>
      <c r="AJ48" s="137">
        <f t="shared" si="87"/>
        <v>688</v>
      </c>
      <c r="AK48" s="139">
        <f t="shared" si="88"/>
        <v>2183</v>
      </c>
      <c r="AL48" s="137">
        <f t="shared" si="89"/>
        <v>1639</v>
      </c>
      <c r="AM48" s="137">
        <f t="shared" si="90"/>
        <v>2054</v>
      </c>
      <c r="AN48" s="137">
        <f t="shared" si="91"/>
        <v>3481</v>
      </c>
      <c r="AO48" s="137">
        <f t="shared" si="92"/>
        <v>2729</v>
      </c>
      <c r="AP48" s="137">
        <f t="shared" si="92"/>
        <v>920</v>
      </c>
      <c r="AQ48" s="137">
        <f t="shared" si="93"/>
        <v>1506</v>
      </c>
      <c r="AR48" s="137">
        <f t="shared" si="94"/>
        <v>1586</v>
      </c>
      <c r="AS48" s="138">
        <f>CF48+CG48</f>
        <v>2157</v>
      </c>
      <c r="AT48" s="137">
        <v>176</v>
      </c>
      <c r="AU48" s="137">
        <v>2195</v>
      </c>
      <c r="AV48" s="137">
        <v>2310</v>
      </c>
      <c r="AW48" s="137">
        <v>1667</v>
      </c>
      <c r="AX48" s="137">
        <v>2176</v>
      </c>
      <c r="AY48" s="137">
        <v>1882</v>
      </c>
      <c r="AZ48" s="137">
        <v>55</v>
      </c>
      <c r="BA48" s="137">
        <v>1374</v>
      </c>
      <c r="BB48" s="137">
        <v>715</v>
      </c>
      <c r="BC48" s="137">
        <v>1449</v>
      </c>
      <c r="BD48" s="137">
        <v>817</v>
      </c>
      <c r="BE48" s="137">
        <v>739</v>
      </c>
      <c r="BF48" s="139">
        <v>3102</v>
      </c>
      <c r="BG48" s="137">
        <v>50</v>
      </c>
      <c r="BH48" s="137">
        <v>168</v>
      </c>
      <c r="BI48" s="137">
        <v>2417</v>
      </c>
      <c r="BJ48" s="137">
        <v>773</v>
      </c>
      <c r="BK48" s="137">
        <v>116</v>
      </c>
      <c r="BL48" s="137">
        <v>469</v>
      </c>
      <c r="BM48" s="137">
        <v>1619</v>
      </c>
      <c r="BN48" s="137">
        <v>2231</v>
      </c>
      <c r="BO48" s="137">
        <v>95</v>
      </c>
      <c r="BP48" s="137">
        <v>1411</v>
      </c>
      <c r="BQ48" s="137">
        <v>1422</v>
      </c>
      <c r="BR48" s="139">
        <v>919</v>
      </c>
      <c r="BS48" s="137">
        <v>249</v>
      </c>
      <c r="BT48" s="137">
        <v>2173</v>
      </c>
      <c r="BU48" s="137">
        <v>998</v>
      </c>
      <c r="BV48" s="137">
        <v>1682</v>
      </c>
      <c r="BW48" s="137">
        <v>906</v>
      </c>
      <c r="BX48" s="137">
        <v>1145</v>
      </c>
      <c r="BY48" s="137">
        <v>688</v>
      </c>
      <c r="BZ48" s="137">
        <v>1607</v>
      </c>
      <c r="CA48" s="137">
        <v>1691</v>
      </c>
      <c r="CB48" s="139">
        <v>2183</v>
      </c>
      <c r="CC48" s="137">
        <v>2729</v>
      </c>
      <c r="CD48" s="137">
        <v>920</v>
      </c>
      <c r="CE48" s="137">
        <v>1639</v>
      </c>
      <c r="CF48" s="137">
        <v>220</v>
      </c>
      <c r="CG48" s="137">
        <v>1937</v>
      </c>
      <c r="CH48" s="137">
        <v>2054</v>
      </c>
      <c r="CI48" s="137">
        <v>1586</v>
      </c>
      <c r="CJ48" s="137">
        <v>3481</v>
      </c>
      <c r="CK48" s="138">
        <v>1506</v>
      </c>
      <c r="CL48" s="140">
        <v>59741</v>
      </c>
    </row>
    <row r="49" spans="1:90">
      <c r="A49" s="80">
        <f>ROWS($A$3:A47)</f>
        <v>45</v>
      </c>
      <c r="B49" s="92" t="s">
        <v>75</v>
      </c>
      <c r="C49" s="393">
        <v>2010</v>
      </c>
      <c r="D49" s="259" t="s">
        <v>7</v>
      </c>
      <c r="E49" s="437">
        <v>40652</v>
      </c>
      <c r="F49" s="116">
        <v>89942</v>
      </c>
      <c r="G49" s="137">
        <v>37333</v>
      </c>
      <c r="H49" s="137">
        <v>58301</v>
      </c>
      <c r="I49" s="138">
        <v>80552</v>
      </c>
      <c r="J49" s="141"/>
      <c r="K49" s="116">
        <f t="shared" si="71"/>
        <v>11026</v>
      </c>
      <c r="L49" s="137">
        <f t="shared" si="72"/>
        <v>7998</v>
      </c>
      <c r="M49" s="137">
        <f t="shared" si="73"/>
        <v>3629</v>
      </c>
      <c r="N49" s="137">
        <f t="shared" si="74"/>
        <v>11011</v>
      </c>
      <c r="O49" s="137">
        <f t="shared" si="75"/>
        <v>9759</v>
      </c>
      <c r="P49" s="137">
        <f>'2013'!AZ49+'2013'!BA49</f>
        <v>8316</v>
      </c>
      <c r="Q49" s="137">
        <f>'2013'!AU49</f>
        <v>5002</v>
      </c>
      <c r="R49" s="137">
        <f>AT49+AX49</f>
        <v>3480</v>
      </c>
      <c r="S49" s="137">
        <f t="shared" si="76"/>
        <v>12878</v>
      </c>
      <c r="T49" s="137">
        <f t="shared" si="77"/>
        <v>6146</v>
      </c>
      <c r="U49" s="139">
        <f t="shared" si="77"/>
        <v>11329</v>
      </c>
      <c r="V49" s="137">
        <f>BG49+BJ49</f>
        <v>4079</v>
      </c>
      <c r="W49" s="137">
        <f t="shared" si="78"/>
        <v>8075</v>
      </c>
      <c r="X49" s="137">
        <f>BH49+BI49</f>
        <v>5162</v>
      </c>
      <c r="Y49" s="137">
        <f>BN49</f>
        <v>4778</v>
      </c>
      <c r="Z49" s="137">
        <f t="shared" si="79"/>
        <v>2872</v>
      </c>
      <c r="AA49" s="137">
        <f>BQ49</f>
        <v>1648</v>
      </c>
      <c r="AB49" s="139">
        <f t="shared" si="80"/>
        <v>9701</v>
      </c>
      <c r="AC49" s="137">
        <f t="shared" si="81"/>
        <v>3492</v>
      </c>
      <c r="AD49" s="137">
        <f t="shared" si="82"/>
        <v>2712</v>
      </c>
      <c r="AE49" s="137">
        <f>BS49+BT49</f>
        <v>9536</v>
      </c>
      <c r="AF49" s="137">
        <f t="shared" si="83"/>
        <v>4480</v>
      </c>
      <c r="AG49" s="137">
        <f t="shared" si="84"/>
        <v>5909</v>
      </c>
      <c r="AH49" s="137">
        <f t="shared" si="85"/>
        <v>4775</v>
      </c>
      <c r="AI49" s="137">
        <f t="shared" si="86"/>
        <v>7827</v>
      </c>
      <c r="AJ49" s="137">
        <f t="shared" si="87"/>
        <v>4733</v>
      </c>
      <c r="AK49" s="139">
        <f t="shared" si="88"/>
        <v>5174</v>
      </c>
      <c r="AL49" s="137">
        <f t="shared" si="89"/>
        <v>16486</v>
      </c>
      <c r="AM49" s="137">
        <f t="shared" si="90"/>
        <v>4167</v>
      </c>
      <c r="AN49" s="137">
        <f t="shared" si="91"/>
        <v>5606</v>
      </c>
      <c r="AO49" s="137">
        <f t="shared" si="92"/>
        <v>20120</v>
      </c>
      <c r="AP49" s="137" t="str">
        <f t="shared" si="92"/>
        <v>*</v>
      </c>
      <c r="AQ49" s="137">
        <f t="shared" si="93"/>
        <v>4076</v>
      </c>
      <c r="AR49" s="137">
        <f t="shared" si="94"/>
        <v>4623</v>
      </c>
      <c r="AS49" s="138">
        <f>CG49</f>
        <v>10366</v>
      </c>
      <c r="AT49" s="137">
        <v>387</v>
      </c>
      <c r="AU49" s="137">
        <v>5002</v>
      </c>
      <c r="AV49" s="137">
        <v>12878</v>
      </c>
      <c r="AW49" s="137">
        <v>11011</v>
      </c>
      <c r="AX49" s="137">
        <v>3093</v>
      </c>
      <c r="AY49" s="137">
        <v>7998</v>
      </c>
      <c r="AZ49" s="137">
        <v>0</v>
      </c>
      <c r="BA49" s="137">
        <v>8316</v>
      </c>
      <c r="BB49" s="137">
        <v>6146</v>
      </c>
      <c r="BC49" s="137">
        <v>11329</v>
      </c>
      <c r="BD49" s="137">
        <v>3629</v>
      </c>
      <c r="BE49" s="137">
        <v>9759</v>
      </c>
      <c r="BF49" s="139">
        <v>11026</v>
      </c>
      <c r="BG49" s="137">
        <v>1526</v>
      </c>
      <c r="BH49" s="137">
        <v>881</v>
      </c>
      <c r="BI49" s="137">
        <v>4281</v>
      </c>
      <c r="BJ49" s="137">
        <v>2553</v>
      </c>
      <c r="BK49" s="137" t="s">
        <v>233</v>
      </c>
      <c r="BL49" s="137" t="s">
        <v>233</v>
      </c>
      <c r="BM49" s="137">
        <v>2872</v>
      </c>
      <c r="BN49" s="137">
        <v>4778</v>
      </c>
      <c r="BO49" s="137" t="s">
        <v>233</v>
      </c>
      <c r="BP49" s="137">
        <v>9701</v>
      </c>
      <c r="BQ49" s="137">
        <v>1648</v>
      </c>
      <c r="BR49" s="139">
        <v>8075</v>
      </c>
      <c r="BS49" s="137">
        <v>3491</v>
      </c>
      <c r="BT49" s="137">
        <v>6045</v>
      </c>
      <c r="BU49" s="137">
        <v>2712</v>
      </c>
      <c r="BV49" s="137">
        <v>5909</v>
      </c>
      <c r="BW49" s="137">
        <v>7827</v>
      </c>
      <c r="BX49" s="137">
        <v>3492</v>
      </c>
      <c r="BY49" s="137">
        <v>4733</v>
      </c>
      <c r="BZ49" s="137">
        <v>4775</v>
      </c>
      <c r="CA49" s="137">
        <v>4480</v>
      </c>
      <c r="CB49" s="139">
        <v>5174</v>
      </c>
      <c r="CC49" s="137">
        <v>20120</v>
      </c>
      <c r="CD49" s="137" t="s">
        <v>233</v>
      </c>
      <c r="CE49" s="137">
        <v>16486</v>
      </c>
      <c r="CF49" s="137" t="s">
        <v>233</v>
      </c>
      <c r="CG49" s="137">
        <v>10366</v>
      </c>
      <c r="CH49" s="137">
        <v>4167</v>
      </c>
      <c r="CI49" s="137">
        <v>4623</v>
      </c>
      <c r="CJ49" s="137">
        <v>5606</v>
      </c>
      <c r="CK49" s="138">
        <v>4076</v>
      </c>
      <c r="CL49" s="140">
        <v>274311</v>
      </c>
    </row>
    <row r="50" spans="1:90">
      <c r="A50" s="80">
        <f>ROWS($A$3:A48)</f>
        <v>46</v>
      </c>
      <c r="B50" s="52" t="s">
        <v>76</v>
      </c>
      <c r="C50" s="392">
        <v>2010</v>
      </c>
      <c r="D50" s="260" t="s">
        <v>21</v>
      </c>
      <c r="E50" s="435"/>
      <c r="F50" s="116">
        <v>81</v>
      </c>
      <c r="G50" s="137">
        <v>45</v>
      </c>
      <c r="H50" s="137">
        <v>63</v>
      </c>
      <c r="I50" s="138">
        <v>95</v>
      </c>
      <c r="J50" s="141"/>
      <c r="K50" s="116">
        <f t="shared" si="71"/>
        <v>111</v>
      </c>
      <c r="L50" s="137">
        <f t="shared" si="72"/>
        <v>81</v>
      </c>
      <c r="M50" s="137">
        <f t="shared" si="73"/>
        <v>48</v>
      </c>
      <c r="N50" s="137">
        <f t="shared" si="74"/>
        <v>98</v>
      </c>
      <c r="O50" s="137">
        <f t="shared" si="75"/>
        <v>91</v>
      </c>
      <c r="P50" s="143">
        <f>(AZ50*AZ35+BA50*BA35)/P35</f>
        <v>30.632177970625204</v>
      </c>
      <c r="Q50" s="137">
        <f>'2013'!AU50</f>
        <v>53</v>
      </c>
      <c r="R50" s="143">
        <f>(AT50*AT35+AX50*AX35)/R35</f>
        <v>53.917846943779388</v>
      </c>
      <c r="S50" s="137">
        <f t="shared" si="76"/>
        <v>58</v>
      </c>
      <c r="T50" s="137">
        <f t="shared" si="77"/>
        <v>94</v>
      </c>
      <c r="U50" s="139">
        <f t="shared" si="77"/>
        <v>130</v>
      </c>
      <c r="V50" s="143">
        <f>(BG50*BG35+BJ50*BJ35)/V35</f>
        <v>23.90534722655519</v>
      </c>
      <c r="W50" s="137">
        <f t="shared" si="78"/>
        <v>66</v>
      </c>
      <c r="X50" s="143">
        <f>(BH50*BH35+BI50*BI35)/X35</f>
        <v>23</v>
      </c>
      <c r="Y50" s="143">
        <f>(BK50*BK35+BL50*BL35+BN50*BN35)/Y35</f>
        <v>41.732504324248517</v>
      </c>
      <c r="Z50" s="137">
        <f t="shared" si="79"/>
        <v>55</v>
      </c>
      <c r="AA50" s="143">
        <f>(BO50*BO35+BQ50*BQ35)/AA35</f>
        <v>51.696666005159756</v>
      </c>
      <c r="AB50" s="139">
        <f t="shared" si="80"/>
        <v>67</v>
      </c>
      <c r="AC50" s="137">
        <f t="shared" si="81"/>
        <v>73</v>
      </c>
      <c r="AD50" s="137">
        <f t="shared" si="82"/>
        <v>61</v>
      </c>
      <c r="AE50" s="143">
        <f>(BS50*BS35+BT50*BT35)/AE35</f>
        <v>54.149585762503833</v>
      </c>
      <c r="AF50" s="137">
        <f t="shared" si="83"/>
        <v>64</v>
      </c>
      <c r="AG50" s="137">
        <f t="shared" si="84"/>
        <v>52</v>
      </c>
      <c r="AH50" s="137">
        <f t="shared" si="85"/>
        <v>69</v>
      </c>
      <c r="AI50" s="137">
        <f t="shared" si="86"/>
        <v>65</v>
      </c>
      <c r="AJ50" s="137">
        <f t="shared" si="87"/>
        <v>60</v>
      </c>
      <c r="AK50" s="139">
        <f t="shared" si="88"/>
        <v>80</v>
      </c>
      <c r="AL50" s="137">
        <f t="shared" si="89"/>
        <v>42</v>
      </c>
      <c r="AM50" s="137">
        <f t="shared" si="90"/>
        <v>115</v>
      </c>
      <c r="AN50" s="137">
        <f t="shared" si="91"/>
        <v>142</v>
      </c>
      <c r="AO50" s="137">
        <f t="shared" si="92"/>
        <v>67</v>
      </c>
      <c r="AP50" s="137">
        <f t="shared" si="92"/>
        <v>39</v>
      </c>
      <c r="AQ50" s="137">
        <f t="shared" si="93"/>
        <v>79</v>
      </c>
      <c r="AR50" s="137">
        <f t="shared" si="94"/>
        <v>72</v>
      </c>
      <c r="AS50" s="144">
        <f>(CF50*CF35+CG50*CG35)/AS35</f>
        <v>98.344088616760459</v>
      </c>
      <c r="AT50" s="137">
        <v>40</v>
      </c>
      <c r="AU50" s="137">
        <v>53</v>
      </c>
      <c r="AV50" s="137">
        <v>58</v>
      </c>
      <c r="AW50" s="137">
        <v>98</v>
      </c>
      <c r="AX50" s="137">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c r="A51" s="80">
        <f>ROWS($A$3:A49)</f>
        <v>47</v>
      </c>
      <c r="B51" s="54" t="s">
        <v>92</v>
      </c>
      <c r="C51" s="252">
        <v>2010</v>
      </c>
      <c r="D51" s="259" t="s">
        <v>9</v>
      </c>
      <c r="E51" s="437">
        <v>40441</v>
      </c>
      <c r="F51" s="142">
        <f>IF(ISERROR(F95/F42)=TRUE,0,ROUND(F95/F42*1000,0))</f>
        <v>5351</v>
      </c>
      <c r="G51" s="143">
        <f>IF(ISERROR(G95/G42)=TRUE,0,ROUND(G95/G42*1000,0))</f>
        <v>4672</v>
      </c>
      <c r="H51" s="143">
        <f>IF(ISERROR(H95/H42)=TRUE,0,ROUND(H95/H42*1000,0))</f>
        <v>4148</v>
      </c>
      <c r="I51" s="144">
        <f>IF(ISERROR(I95/I42)=TRUE,0,ROUND(I95/I42*1000,0))</f>
        <v>5779</v>
      </c>
      <c r="J51" s="141"/>
      <c r="K51" s="145">
        <f t="shared" si="71"/>
        <v>5662</v>
      </c>
      <c r="L51" s="146">
        <f t="shared" si="72"/>
        <v>4866</v>
      </c>
      <c r="M51" s="146">
        <f t="shared" si="73"/>
        <v>5636</v>
      </c>
      <c r="N51" s="146">
        <f t="shared" si="74"/>
        <v>4729</v>
      </c>
      <c r="O51" s="146">
        <f t="shared" si="75"/>
        <v>5810</v>
      </c>
      <c r="P51" s="143">
        <f>IF(ISERROR(P95/P42)=TRUE,0,ROUND(P95/P42*1000,0))</f>
        <v>5845</v>
      </c>
      <c r="Q51" s="146">
        <f>'2010'!AU51</f>
        <v>4651</v>
      </c>
      <c r="R51" s="143">
        <f>IF(ISERROR(R95/R42)=TRUE,0,ROUND(R95/R42*1000,0))</f>
        <v>6095</v>
      </c>
      <c r="S51" s="146">
        <f t="shared" si="76"/>
        <v>3952</v>
      </c>
      <c r="T51" s="146">
        <f t="shared" si="77"/>
        <v>5050</v>
      </c>
      <c r="U51" s="147">
        <f t="shared" si="77"/>
        <v>5350</v>
      </c>
      <c r="V51" s="143">
        <f>IF(ISERROR(V95/V42)=TRUE,0,ROUND(V95/V42*1000,0))</f>
        <v>1748</v>
      </c>
      <c r="W51" s="146">
        <f t="shared" si="78"/>
        <v>4686</v>
      </c>
      <c r="X51" s="143">
        <f>IF(ISERROR(X95/X42)=TRUE,0,ROUND(X95/X42*1000,0))</f>
        <v>3358</v>
      </c>
      <c r="Y51" s="143">
        <f>IF(ISERROR(Y95/Y42)=TRUE,0,ROUND(Y95/Y42*1000,0))</f>
        <v>5383</v>
      </c>
      <c r="Z51" s="146">
        <f t="shared" si="79"/>
        <v>5444</v>
      </c>
      <c r="AA51" s="143">
        <f>IF(ISERROR(AA95/AA42)=TRUE,0,ROUND(AA95/AA42*1000,0))</f>
        <v>4626</v>
      </c>
      <c r="AB51" s="147">
        <f t="shared" si="80"/>
        <v>4294</v>
      </c>
      <c r="AC51" s="146">
        <f t="shared" si="81"/>
        <v>4548</v>
      </c>
      <c r="AD51" s="146">
        <f t="shared" si="82"/>
        <v>3298</v>
      </c>
      <c r="AE51" s="143">
        <f>IF(ISERROR(AE95/AE42)=TRUE,0,ROUND(AE95/AE42*1000,0))</f>
        <v>4169</v>
      </c>
      <c r="AF51" s="146">
        <f t="shared" si="83"/>
        <v>2936</v>
      </c>
      <c r="AG51" s="146">
        <f t="shared" si="84"/>
        <v>3380</v>
      </c>
      <c r="AH51" s="146">
        <f t="shared" si="85"/>
        <v>5273</v>
      </c>
      <c r="AI51" s="146">
        <f t="shared" si="86"/>
        <v>4160</v>
      </c>
      <c r="AJ51" s="146">
        <f t="shared" si="87"/>
        <v>4681</v>
      </c>
      <c r="AK51" s="147">
        <f t="shared" si="88"/>
        <v>4081</v>
      </c>
      <c r="AL51" s="146">
        <f t="shared" si="89"/>
        <v>3772</v>
      </c>
      <c r="AM51" s="146">
        <f t="shared" si="90"/>
        <v>5986</v>
      </c>
      <c r="AN51" s="146">
        <f t="shared" si="91"/>
        <v>6079</v>
      </c>
      <c r="AO51" s="146">
        <f t="shared" si="92"/>
        <v>5127</v>
      </c>
      <c r="AP51" s="146">
        <f t="shared" si="92"/>
        <v>4281</v>
      </c>
      <c r="AQ51" s="146">
        <f t="shared" si="93"/>
        <v>5079</v>
      </c>
      <c r="AR51" s="146">
        <f t="shared" si="94"/>
        <v>5787</v>
      </c>
      <c r="AS51" s="144">
        <f t="shared" ref="AS51:CL51" si="98">IF(ISERROR(AS95/AS42)=TRUE,0,ROUND(AS95/AS42*1000,0))</f>
        <v>5883</v>
      </c>
      <c r="AT51" s="143">
        <f t="shared" si="98"/>
        <v>4828</v>
      </c>
      <c r="AU51" s="143">
        <f t="shared" si="98"/>
        <v>4958</v>
      </c>
      <c r="AV51" s="143">
        <f t="shared" si="98"/>
        <v>3952</v>
      </c>
      <c r="AW51" s="143">
        <f t="shared" si="98"/>
        <v>4729</v>
      </c>
      <c r="AX51" s="143">
        <f t="shared" si="98"/>
        <v>6095</v>
      </c>
      <c r="AY51" s="143">
        <f t="shared" si="98"/>
        <v>4866</v>
      </c>
      <c r="AZ51" s="143">
        <f t="shared" si="98"/>
        <v>0</v>
      </c>
      <c r="BA51" s="143">
        <f t="shared" si="98"/>
        <v>5845</v>
      </c>
      <c r="BB51" s="143">
        <f t="shared" si="98"/>
        <v>5050</v>
      </c>
      <c r="BC51" s="143">
        <f t="shared" si="98"/>
        <v>5350</v>
      </c>
      <c r="BD51" s="143">
        <f t="shared" si="98"/>
        <v>5636</v>
      </c>
      <c r="BE51" s="143">
        <f t="shared" si="98"/>
        <v>5810</v>
      </c>
      <c r="BF51" s="148">
        <f t="shared" si="98"/>
        <v>5662</v>
      </c>
      <c r="BG51" s="143">
        <f t="shared" si="98"/>
        <v>0</v>
      </c>
      <c r="BH51" s="143">
        <f t="shared" si="98"/>
        <v>0</v>
      </c>
      <c r="BI51" s="143">
        <f t="shared" si="98"/>
        <v>3358</v>
      </c>
      <c r="BJ51" s="143">
        <f t="shared" si="98"/>
        <v>1748</v>
      </c>
      <c r="BK51" s="143">
        <f t="shared" si="98"/>
        <v>0</v>
      </c>
      <c r="BL51" s="143">
        <f t="shared" si="98"/>
        <v>0</v>
      </c>
      <c r="BM51" s="143">
        <f t="shared" si="98"/>
        <v>5444</v>
      </c>
      <c r="BN51" s="143">
        <f t="shared" si="98"/>
        <v>5383</v>
      </c>
      <c r="BO51" s="143">
        <f t="shared" si="98"/>
        <v>0</v>
      </c>
      <c r="BP51" s="143">
        <f t="shared" si="98"/>
        <v>4294</v>
      </c>
      <c r="BQ51" s="143">
        <f t="shared" si="98"/>
        <v>4626</v>
      </c>
      <c r="BR51" s="148">
        <f t="shared" si="98"/>
        <v>4686</v>
      </c>
      <c r="BS51" s="143">
        <f t="shared" si="98"/>
        <v>0</v>
      </c>
      <c r="BT51" s="143">
        <f t="shared" si="98"/>
        <v>4240</v>
      </c>
      <c r="BU51" s="143">
        <f t="shared" si="98"/>
        <v>3298</v>
      </c>
      <c r="BV51" s="143">
        <f t="shared" si="98"/>
        <v>3380</v>
      </c>
      <c r="BW51" s="143">
        <f t="shared" si="98"/>
        <v>4160</v>
      </c>
      <c r="BX51" s="143">
        <f t="shared" si="98"/>
        <v>4548</v>
      </c>
      <c r="BY51" s="143">
        <f t="shared" si="98"/>
        <v>4681</v>
      </c>
      <c r="BZ51" s="143">
        <f t="shared" si="98"/>
        <v>5273</v>
      </c>
      <c r="CA51" s="143">
        <f t="shared" si="98"/>
        <v>2936</v>
      </c>
      <c r="CB51" s="148">
        <f t="shared" si="98"/>
        <v>4081</v>
      </c>
      <c r="CC51" s="143">
        <f t="shared" si="98"/>
        <v>5127</v>
      </c>
      <c r="CD51" s="143">
        <f t="shared" si="98"/>
        <v>4281</v>
      </c>
      <c r="CE51" s="143">
        <f t="shared" si="98"/>
        <v>3772</v>
      </c>
      <c r="CF51" s="143">
        <f t="shared" si="98"/>
        <v>0</v>
      </c>
      <c r="CG51" s="143">
        <f t="shared" si="98"/>
        <v>6179</v>
      </c>
      <c r="CH51" s="143">
        <f t="shared" si="98"/>
        <v>5986</v>
      </c>
      <c r="CI51" s="143">
        <f t="shared" si="98"/>
        <v>5787</v>
      </c>
      <c r="CJ51" s="143">
        <f t="shared" si="98"/>
        <v>6079</v>
      </c>
      <c r="CK51" s="144">
        <f t="shared" si="98"/>
        <v>5079</v>
      </c>
      <c r="CL51" s="149">
        <f t="shared" si="98"/>
        <v>5460</v>
      </c>
    </row>
    <row r="52" spans="1:90">
      <c r="A52" s="80">
        <f>ROWS($A$3:A50)</f>
        <v>48</v>
      </c>
      <c r="B52" s="388" t="str">
        <f>'Stand der Daten'!B53</f>
        <v>Milcherzeugung</v>
      </c>
      <c r="C52" s="204">
        <v>2011</v>
      </c>
      <c r="D52" s="259" t="s">
        <v>358</v>
      </c>
      <c r="E52" s="437">
        <v>42919</v>
      </c>
      <c r="F52" s="389">
        <v>667</v>
      </c>
      <c r="G52" s="390">
        <v>154.6</v>
      </c>
      <c r="H52" s="390">
        <v>401.1</v>
      </c>
      <c r="I52" s="391">
        <v>1056</v>
      </c>
      <c r="J52" s="141"/>
      <c r="K52" s="178">
        <f t="shared" si="71"/>
        <v>181.7</v>
      </c>
      <c r="L52" s="179">
        <f t="shared" si="72"/>
        <v>46.2</v>
      </c>
      <c r="M52" s="179">
        <f t="shared" si="73"/>
        <v>44.6</v>
      </c>
      <c r="N52" s="179">
        <f t="shared" si="74"/>
        <v>62.6</v>
      </c>
      <c r="O52" s="179">
        <f t="shared" si="75"/>
        <v>45.9</v>
      </c>
      <c r="P52" s="179">
        <f>AZ52+BA52</f>
        <v>28.9</v>
      </c>
      <c r="Q52" s="179">
        <f>'2009'!AU52</f>
        <v>18.2</v>
      </c>
      <c r="R52" s="179">
        <f>AT52+AX52</f>
        <v>33.200000000000003</v>
      </c>
      <c r="S52" s="179">
        <f t="shared" si="76"/>
        <v>13.3</v>
      </c>
      <c r="T52" s="179">
        <f t="shared" si="77"/>
        <v>46.1</v>
      </c>
      <c r="U52" s="180">
        <f t="shared" si="77"/>
        <v>146.30000000000001</v>
      </c>
      <c r="V52" s="179">
        <f>BG52+BJ52</f>
        <v>2.1</v>
      </c>
      <c r="W52" s="179">
        <f t="shared" si="78"/>
        <v>25.7</v>
      </c>
      <c r="X52" s="179">
        <f>BH52+BI52</f>
        <v>6.9</v>
      </c>
      <c r="Y52" s="179">
        <f>BK52+BL52+BN52</f>
        <v>24.6</v>
      </c>
      <c r="Z52" s="179">
        <f t="shared" si="79"/>
        <v>52.3</v>
      </c>
      <c r="AA52" s="179">
        <f>BO52+BQ52</f>
        <v>20.3</v>
      </c>
      <c r="AB52" s="180">
        <f t="shared" si="80"/>
        <v>22.8</v>
      </c>
      <c r="AC52" s="179">
        <f t="shared" si="81"/>
        <v>71.5</v>
      </c>
      <c r="AD52" s="179">
        <f t="shared" si="82"/>
        <v>20.399999999999999</v>
      </c>
      <c r="AE52" s="179">
        <f>BS52+BT52</f>
        <v>60.1</v>
      </c>
      <c r="AF52" s="179">
        <f t="shared" si="83"/>
        <v>19.2</v>
      </c>
      <c r="AG52" s="179">
        <f t="shared" si="84"/>
        <v>41</v>
      </c>
      <c r="AH52" s="179">
        <f t="shared" si="85"/>
        <v>60.8</v>
      </c>
      <c r="AI52" s="179">
        <f t="shared" si="86"/>
        <v>28.1</v>
      </c>
      <c r="AJ52" s="179">
        <f t="shared" si="87"/>
        <v>36.700000000000003</v>
      </c>
      <c r="AK52" s="180">
        <f t="shared" si="88"/>
        <v>63.3</v>
      </c>
      <c r="AL52" s="179">
        <f t="shared" si="89"/>
        <v>22.9</v>
      </c>
      <c r="AM52" s="179">
        <f t="shared" si="90"/>
        <v>227.8</v>
      </c>
      <c r="AN52" s="179">
        <f t="shared" si="91"/>
        <v>473</v>
      </c>
      <c r="AO52" s="179">
        <f t="shared" si="92"/>
        <v>52.8</v>
      </c>
      <c r="AP52" s="179">
        <f t="shared" si="92"/>
        <v>10.3</v>
      </c>
      <c r="AQ52" s="179">
        <f t="shared" si="93"/>
        <v>85.5</v>
      </c>
      <c r="AR52" s="179">
        <f t="shared" si="94"/>
        <v>65</v>
      </c>
      <c r="AS52" s="391">
        <f>CF52+CG52</f>
        <v>118.9</v>
      </c>
      <c r="AT52" s="390">
        <v>2.1</v>
      </c>
      <c r="AU52" s="390">
        <v>18.2</v>
      </c>
      <c r="AV52" s="390">
        <v>13.3</v>
      </c>
      <c r="AW52" s="390">
        <v>62.6</v>
      </c>
      <c r="AX52" s="390">
        <v>31.1</v>
      </c>
      <c r="AY52" s="390">
        <v>46.2</v>
      </c>
      <c r="AZ52" s="390">
        <v>0</v>
      </c>
      <c r="BA52" s="390">
        <v>28.9</v>
      </c>
      <c r="BB52" s="390">
        <v>46.1</v>
      </c>
      <c r="BC52" s="390">
        <v>146.30000000000001</v>
      </c>
      <c r="BD52" s="390">
        <v>44.6</v>
      </c>
      <c r="BE52" s="390">
        <v>45.9</v>
      </c>
      <c r="BF52" s="514">
        <v>181.7</v>
      </c>
      <c r="BG52" s="390">
        <v>0</v>
      </c>
      <c r="BH52" s="390">
        <f>BH96</f>
        <v>0</v>
      </c>
      <c r="BI52" s="390">
        <v>6.9</v>
      </c>
      <c r="BJ52" s="390">
        <v>2.1</v>
      </c>
      <c r="BK52" s="390">
        <v>0</v>
      </c>
      <c r="BL52" s="390">
        <v>0</v>
      </c>
      <c r="BM52" s="390">
        <v>52.3</v>
      </c>
      <c r="BN52" s="390">
        <v>24.6</v>
      </c>
      <c r="BO52" s="390">
        <v>0</v>
      </c>
      <c r="BP52" s="390">
        <v>22.8</v>
      </c>
      <c r="BQ52" s="390">
        <v>20.3</v>
      </c>
      <c r="BR52" s="514">
        <v>25.7</v>
      </c>
      <c r="BS52" s="390">
        <f>BS96</f>
        <v>0</v>
      </c>
      <c r="BT52" s="390">
        <v>60.1</v>
      </c>
      <c r="BU52" s="390">
        <v>20.399999999999999</v>
      </c>
      <c r="BV52" s="390">
        <v>41</v>
      </c>
      <c r="BW52" s="390">
        <v>28.1</v>
      </c>
      <c r="BX52" s="390">
        <v>71.5</v>
      </c>
      <c r="BY52" s="390">
        <v>36.700000000000003</v>
      </c>
      <c r="BZ52" s="390">
        <v>60.8</v>
      </c>
      <c r="CA52" s="390">
        <v>19.2</v>
      </c>
      <c r="CB52" s="514">
        <v>63.3</v>
      </c>
      <c r="CC52" s="390">
        <v>52.8</v>
      </c>
      <c r="CD52" s="390">
        <v>10.3</v>
      </c>
      <c r="CE52" s="390">
        <v>22.9</v>
      </c>
      <c r="CF52" s="390">
        <v>0</v>
      </c>
      <c r="CG52" s="390">
        <v>118.9</v>
      </c>
      <c r="CH52" s="390">
        <v>227.8</v>
      </c>
      <c r="CI52" s="390">
        <v>65</v>
      </c>
      <c r="CJ52" s="390">
        <v>473</v>
      </c>
      <c r="CK52" s="391">
        <v>85.5</v>
      </c>
      <c r="CL52" s="515">
        <v>2285.4</v>
      </c>
    </row>
    <row r="53" spans="1:90">
      <c r="A53" s="80">
        <f>ROWS($A$3:A51)</f>
        <v>49</v>
      </c>
      <c r="B53" s="54" t="str">
        <f>"Änderung der Milcherzeugung "&amp;C52&amp;"/"&amp;"2010"</f>
        <v>Änderung der Milcherzeugung 2011/2010</v>
      </c>
      <c r="C53" s="252"/>
      <c r="D53" s="259" t="s">
        <v>3</v>
      </c>
      <c r="E53" s="483">
        <v>42919</v>
      </c>
      <c r="F53" s="167">
        <f>F52/'2010'!F52%-100</f>
        <v>3.0593325092707033</v>
      </c>
      <c r="G53" s="168">
        <f>G52/'2010'!G52%-100</f>
        <v>3.2732130928523731</v>
      </c>
      <c r="H53" s="168">
        <f>H52/'2010'!H52%-100</f>
        <v>3.2964202935874312</v>
      </c>
      <c r="I53" s="169">
        <f>I52/'2010'!I52%-100</f>
        <v>0.27537745703163807</v>
      </c>
      <c r="J53" s="173"/>
      <c r="K53" s="178">
        <f>K52/'2010'!K52%-100</f>
        <v>4.5454545454545325</v>
      </c>
      <c r="L53" s="179">
        <f>L52/'2010'!L52%-100</f>
        <v>5</v>
      </c>
      <c r="M53" s="179">
        <f>M52/'2010'!M52%-100</f>
        <v>1.5945330296127622</v>
      </c>
      <c r="N53" s="179">
        <f>N52/'2010'!N52%-100</f>
        <v>3.8142620232172533</v>
      </c>
      <c r="O53" s="179">
        <f>O52/'2010'!O52%-100</f>
        <v>-0.43383947939263123</v>
      </c>
      <c r="P53" s="168">
        <f>P52/'2010'!P52%-100</f>
        <v>0.69686411149825744</v>
      </c>
      <c r="Q53" s="179">
        <f>Q52/'2010'!Q52%-100</f>
        <v>0</v>
      </c>
      <c r="R53" s="168">
        <f>R52/'2010'!R52%-100</f>
        <v>2.4691358024691397</v>
      </c>
      <c r="S53" s="179">
        <f>S52/'2010'!S52%-100</f>
        <v>3.1007751937984551</v>
      </c>
      <c r="T53" s="179">
        <f>T52/'2010'!T52%-100</f>
        <v>1.7660044150110537</v>
      </c>
      <c r="U53" s="180">
        <f>U52/'2010'!U52%-100</f>
        <v>3.246294989414281</v>
      </c>
      <c r="V53" s="168">
        <f>V52/'2010'!V52%-100</f>
        <v>5</v>
      </c>
      <c r="W53" s="179">
        <f>W52/'2010'!W52%-100</f>
        <v>6.639004149377584</v>
      </c>
      <c r="X53" s="168">
        <f>X52/'2010'!X52%-100</f>
        <v>2.9850746268656678</v>
      </c>
      <c r="Y53" s="168">
        <f>Y52/'2010'!Y52%-100</f>
        <v>-1.5999999999999943</v>
      </c>
      <c r="Z53" s="179">
        <f>Z52/'2010'!Z52%-100</f>
        <v>3.9761431411530737</v>
      </c>
      <c r="AA53" s="168">
        <f>AA52/'2010'!AA52%-100</f>
        <v>-47.948717948717949</v>
      </c>
      <c r="AB53" s="180">
        <f>AB52/'2010'!AB52%-100</f>
        <v>3.167420814479641</v>
      </c>
      <c r="AC53" s="179">
        <f>AC52/'2010'!AC52%-100</f>
        <v>4.9926578560939845</v>
      </c>
      <c r="AD53" s="179">
        <f>AD52/'2010'!AD52%-100</f>
        <v>6.2499999999999858</v>
      </c>
      <c r="AE53" s="168">
        <f>AE52/'2010'!AE52%-100</f>
        <v>1.8644067796610244</v>
      </c>
      <c r="AF53" s="179">
        <f>AF52/'2010'!AF52%-100</f>
        <v>2.1276595744680833</v>
      </c>
      <c r="AG53" s="179">
        <f>AG52/'2010'!AG52%-100</f>
        <v>0.73710073710073232</v>
      </c>
      <c r="AH53" s="179">
        <f>AH52/'2010'!AH52%-100</f>
        <v>2.7027027027026804</v>
      </c>
      <c r="AI53" s="179">
        <f>AI52/'2010'!AI52%-100</f>
        <v>-0.35460992907799493</v>
      </c>
      <c r="AJ53" s="179">
        <f>AJ52/'2010'!AJ52%-100</f>
        <v>6.3768115942029198</v>
      </c>
      <c r="AK53" s="180">
        <f>AK52/'2010'!AK52%-100</f>
        <v>4.1118421052631504</v>
      </c>
      <c r="AL53" s="179">
        <f>AL52/'2010'!AL52%-100</f>
        <v>3.1531531531531414</v>
      </c>
      <c r="AM53" s="179">
        <f>AM52/'2010'!AM52%-100</f>
        <v>8.7873462214417941E-2</v>
      </c>
      <c r="AN53" s="179">
        <f>AN52/'2010'!AN52%-100</f>
        <v>1.6548463356973855</v>
      </c>
      <c r="AO53" s="179">
        <f>AO52/'2010'!AO52%-100</f>
        <v>1.1494252873563084</v>
      </c>
      <c r="AP53" s="179">
        <f>AP52/'2010'!AP52%-100</f>
        <v>7.2916666666666714</v>
      </c>
      <c r="AQ53" s="179">
        <f>AQ52/'2010'!AQ52%-100</f>
        <v>4.5232273838630874</v>
      </c>
      <c r="AR53" s="179">
        <f>AR52/'2010'!AR52%-100</f>
        <v>0.1540832049306573</v>
      </c>
      <c r="AS53" s="169">
        <f>AS52/'2010'!AS52%-100</f>
        <v>-8.1853281853281743</v>
      </c>
      <c r="AT53" s="168">
        <f>AT52/'2010'!AT52%-100</f>
        <v>-4.5454545454545467</v>
      </c>
      <c r="AU53" s="168">
        <f>AU52/'2010'!AU52%-100</f>
        <v>1.1111111111111143</v>
      </c>
      <c r="AV53" s="168">
        <f>AV52/'2010'!AV52%-100</f>
        <v>3.1007751937984551</v>
      </c>
      <c r="AW53" s="168">
        <f>AW52/'2010'!AW52%-100</f>
        <v>3.8142620232172533</v>
      </c>
      <c r="AX53" s="168">
        <f>AX52/'2010'!AX52%-100</f>
        <v>2.9801324503311406</v>
      </c>
      <c r="AY53" s="168">
        <f>AY52/'2010'!AY52%-100</f>
        <v>5</v>
      </c>
      <c r="AZ53" s="521" t="s">
        <v>233</v>
      </c>
      <c r="BA53" s="168">
        <f>BA52/'2010'!BA52%-100</f>
        <v>0.69686411149825744</v>
      </c>
      <c r="BB53" s="168">
        <f>BB52/'2010'!BB52%-100</f>
        <v>1.7660044150110537</v>
      </c>
      <c r="BC53" s="168">
        <f>BC52/'2010'!BC52%-100</f>
        <v>3.246294989414281</v>
      </c>
      <c r="BD53" s="168">
        <f>BD52/'2010'!BD52%-100</f>
        <v>1.5945330296127622</v>
      </c>
      <c r="BE53" s="168">
        <f>BE52/'2010'!BE52%-100</f>
        <v>-0.43383947939263123</v>
      </c>
      <c r="BF53" s="176">
        <f>BF52/'2010'!BF52%-100</f>
        <v>4.5454545454545325</v>
      </c>
      <c r="BG53" s="521" t="s">
        <v>233</v>
      </c>
      <c r="BH53" s="521" t="s">
        <v>233</v>
      </c>
      <c r="BI53" s="168">
        <f>BI52/'2010'!BI52%-100</f>
        <v>2.9850746268656678</v>
      </c>
      <c r="BJ53" s="168">
        <f>BJ52/'2010'!BJ52%-100</f>
        <v>5</v>
      </c>
      <c r="BK53" s="521" t="s">
        <v>233</v>
      </c>
      <c r="BL53" s="521" t="s">
        <v>233</v>
      </c>
      <c r="BM53" s="168">
        <f>BM52/'2010'!BM52%-100</f>
        <v>3.9761431411530737</v>
      </c>
      <c r="BN53" s="168">
        <f>BN52/'2010'!BN52%-100</f>
        <v>-1.5999999999999943</v>
      </c>
      <c r="BO53" s="521" t="s">
        <v>233</v>
      </c>
      <c r="BP53" s="168">
        <f>BP52/'2010'!BP52%-100</f>
        <v>3.167420814479641</v>
      </c>
      <c r="BQ53" s="168">
        <f>BQ52/'2010'!BQ52%-100</f>
        <v>4.1025641025641022</v>
      </c>
      <c r="BR53" s="176">
        <f>BR52/'2010'!BR52%-100</f>
        <v>6.639004149377584</v>
      </c>
      <c r="BS53" s="521" t="s">
        <v>233</v>
      </c>
      <c r="BT53" s="168">
        <f>BT52/'2010'!BT52%-100</f>
        <v>1.8644067796610244</v>
      </c>
      <c r="BU53" s="168">
        <f>BU52/'2010'!BU52%-100</f>
        <v>6.2499999999999858</v>
      </c>
      <c r="BV53" s="168">
        <f>BV52/'2010'!BV52%-100</f>
        <v>0.73710073710073232</v>
      </c>
      <c r="BW53" s="168">
        <f>BW52/'2010'!BW52%-100</f>
        <v>-0.35460992907799493</v>
      </c>
      <c r="BX53" s="168">
        <f>BX52/'2010'!BX52%-100</f>
        <v>4.9926578560939845</v>
      </c>
      <c r="BY53" s="168">
        <f>BY52/'2010'!BY52%-100</f>
        <v>6.3768115942029198</v>
      </c>
      <c r="BZ53" s="168">
        <f>BZ52/'2010'!BZ52%-100</f>
        <v>2.7027027027026804</v>
      </c>
      <c r="CA53" s="168">
        <f>CA52/'2010'!CA52%-100</f>
        <v>2.1276595744680833</v>
      </c>
      <c r="CB53" s="176">
        <f>CB52/'2010'!CB52%-100</f>
        <v>4.1118421052631504</v>
      </c>
      <c r="CC53" s="168">
        <f>CC52/'2010'!CC52%-100</f>
        <v>1.1494252873563084</v>
      </c>
      <c r="CD53" s="168">
        <f>CD52/'2010'!CD52%-100</f>
        <v>7.2916666666666714</v>
      </c>
      <c r="CE53" s="168">
        <f>CE52/'2010'!CE52%-100</f>
        <v>3.1531531531531414</v>
      </c>
      <c r="CF53" s="521" t="s">
        <v>233</v>
      </c>
      <c r="CG53" s="168">
        <f>CG52/'2010'!CG52%-100</f>
        <v>-8.1853281853281743</v>
      </c>
      <c r="CH53" s="168">
        <f>CH52/'2010'!CH52%-100</f>
        <v>8.7873462214417941E-2</v>
      </c>
      <c r="CI53" s="168">
        <f>CI52/'2010'!CI52%-100</f>
        <v>0.1540832049306573</v>
      </c>
      <c r="CJ53" s="168">
        <f>CJ52/'2010'!CJ52%-100</f>
        <v>1.6548463356973855</v>
      </c>
      <c r="CK53" s="169">
        <f>CK52/'2010'!CK52%-100</f>
        <v>4.5232273838630874</v>
      </c>
      <c r="CL53" s="177">
        <f>CL52/'2010'!CL52%-100</f>
        <v>2.4154156397042357</v>
      </c>
    </row>
    <row r="54" spans="1:90">
      <c r="A54" s="80">
        <f>ROWS($A$3:A52)</f>
        <v>50</v>
      </c>
      <c r="B54" s="93" t="str">
        <f>"Änderung der Milchkühe "&amp;C51&amp;"/"&amp;C97</f>
        <v>Änderung der Milchkühe 2010/2001</v>
      </c>
      <c r="C54" s="253"/>
      <c r="D54" s="262" t="s">
        <v>3</v>
      </c>
      <c r="E54" s="438">
        <v>40441</v>
      </c>
      <c r="F54" s="181">
        <f>IF(ISERROR(F42/F97)=FALSE,ROUND((F42-F97)/F97%,3)," -")</f>
        <v>-6.0039999999999996</v>
      </c>
      <c r="G54" s="182">
        <f>IF(ISERROR(G42/G97)=FALSE,ROUND((G42-G97)/G97%,3)," -")</f>
        <v>0.16500000000000001</v>
      </c>
      <c r="H54" s="182">
        <f>IF(ISERROR(H42/H97)=FALSE,ROUND((H42-H97)/H97%,3)," -")</f>
        <v>8.7880000000000003</v>
      </c>
      <c r="I54" s="183">
        <f>IF(ISERROR(I42/I97)=FALSE,ROUND((I42-I97)/I97%,3)," -")</f>
        <v>-6.9429999999999996</v>
      </c>
      <c r="J54" s="279"/>
      <c r="K54" s="184">
        <f t="shared" si="71"/>
        <v>0.83699999999999997</v>
      </c>
      <c r="L54" s="185">
        <f t="shared" si="72"/>
        <v>-0.46100000000000002</v>
      </c>
      <c r="M54" s="185">
        <f t="shared" si="73"/>
        <v>-22.94</v>
      </c>
      <c r="N54" s="185">
        <f t="shared" si="74"/>
        <v>0.214</v>
      </c>
      <c r="O54" s="185">
        <f t="shared" si="75"/>
        <v>-14.738</v>
      </c>
      <c r="P54" s="182">
        <f>IF(ISERROR(P42/P97)=FALSE,ROUND((P42-P97)/P97%,3)," -")</f>
        <v>-30.547999999999998</v>
      </c>
      <c r="Q54" s="185">
        <f>'2010'!AU54</f>
        <v>2.2530000000000001</v>
      </c>
      <c r="R54" s="182">
        <f>IF(ISERROR(R42/R97)=FALSE,ROUND((R42-R97)/R97%,3)," -")</f>
        <v>-25.696000000000002</v>
      </c>
      <c r="S54" s="185">
        <f t="shared" si="76"/>
        <v>-13.483000000000001</v>
      </c>
      <c r="T54" s="185">
        <f t="shared" si="77"/>
        <v>-5.4489999999999998</v>
      </c>
      <c r="U54" s="186">
        <f t="shared" si="77"/>
        <v>0.96</v>
      </c>
      <c r="V54" s="182">
        <f>IF(ISERROR(V42/V97)=FALSE,ROUND((V42-V97)/V97%,3)," -")</f>
        <v>48.295000000000002</v>
      </c>
      <c r="W54" s="185">
        <f t="shared" si="78"/>
        <v>3.4569999999999999</v>
      </c>
      <c r="X54" s="182">
        <f>IF(ISERROR(X42/X97)=FALSE,ROUND((X42-X97)/X97%,3)," -")</f>
        <v>-9.3239999999999998</v>
      </c>
      <c r="Y54" s="182">
        <f>IF(ISERROR(Y42/Y97)=FALSE,ROUND((Y42-Y97)/Y97%,3)," -")</f>
        <v>-18.512</v>
      </c>
      <c r="Z54" s="185">
        <f t="shared" si="79"/>
        <v>-9.41</v>
      </c>
      <c r="AA54" s="182">
        <f>IF(ISERROR(AA42/AA97)=FALSE,ROUND((AA42-AA97)/AA97%,3)," -")</f>
        <v>21.774999999999999</v>
      </c>
      <c r="AB54" s="186">
        <f t="shared" si="80"/>
        <v>9.4179999999999993</v>
      </c>
      <c r="AC54" s="185">
        <f t="shared" si="81"/>
        <v>4.0469999999999997</v>
      </c>
      <c r="AD54" s="185">
        <f t="shared" si="82"/>
        <v>21.236999999999998</v>
      </c>
      <c r="AE54" s="182">
        <f>IF(ISERROR(AE42/AE97)=FALSE,ROUND((AE42-AE97)/AE97%,3)," -")</f>
        <v>7.3959999999999999</v>
      </c>
      <c r="AF54" s="185">
        <f t="shared" si="83"/>
        <v>20.042999999999999</v>
      </c>
      <c r="AG54" s="185">
        <f t="shared" si="84"/>
        <v>0.91400000000000003</v>
      </c>
      <c r="AH54" s="185">
        <f t="shared" si="85"/>
        <v>3.9660000000000002</v>
      </c>
      <c r="AI54" s="185">
        <f t="shared" si="86"/>
        <v>-7.1779999999999999</v>
      </c>
      <c r="AJ54" s="185">
        <f t="shared" si="87"/>
        <v>23.972000000000001</v>
      </c>
      <c r="AK54" s="186">
        <f t="shared" si="88"/>
        <v>19.981000000000002</v>
      </c>
      <c r="AL54" s="185">
        <f t="shared" si="89"/>
        <v>52.634</v>
      </c>
      <c r="AM54" s="185">
        <f t="shared" si="90"/>
        <v>-9.4339999999999993</v>
      </c>
      <c r="AN54" s="185">
        <f t="shared" si="91"/>
        <v>-6.2160000000000002</v>
      </c>
      <c r="AO54" s="185">
        <f t="shared" si="92"/>
        <v>-7.1589999999999998</v>
      </c>
      <c r="AP54" s="185">
        <f t="shared" si="92"/>
        <v>-1.782</v>
      </c>
      <c r="AQ54" s="185">
        <f t="shared" si="93"/>
        <v>-4.3239999999999998</v>
      </c>
      <c r="AR54" s="185">
        <f t="shared" si="94"/>
        <v>-19.065999999999999</v>
      </c>
      <c r="AS54" s="183">
        <f>IF(ISERROR(AS42/AS97)=FALSE,ROUND((AS42-AS97)/AS97%,3)," -")</f>
        <v>-9.8119999999999994</v>
      </c>
      <c r="AT54" s="182">
        <f>IF(ISERROR(AT42/AT97)=FALSE,ROUND((AT42-AT97)/AT97%,3)," -")</f>
        <v>-10.861000000000001</v>
      </c>
      <c r="AU54" s="182">
        <f t="shared" ref="AU54:CL54" si="99">IF(ISERROR(AU42/AU97)=FALSE,ROUND((AU42-AU97)/AU97%,3)," -")</f>
        <v>-4.0880000000000001</v>
      </c>
      <c r="AV54" s="182">
        <f t="shared" si="99"/>
        <v>-13.483000000000001</v>
      </c>
      <c r="AW54" s="182">
        <f t="shared" si="99"/>
        <v>0.214</v>
      </c>
      <c r="AX54" s="182">
        <f t="shared" si="99"/>
        <v>-19.52</v>
      </c>
      <c r="AY54" s="182">
        <f t="shared" si="99"/>
        <v>-0.46100000000000002</v>
      </c>
      <c r="AZ54" s="182">
        <f t="shared" si="99"/>
        <v>-81.203000000000003</v>
      </c>
      <c r="BA54" s="182">
        <f t="shared" si="99"/>
        <v>-27.699000000000002</v>
      </c>
      <c r="BB54" s="182">
        <f t="shared" si="99"/>
        <v>-5.4489999999999998</v>
      </c>
      <c r="BC54" s="182">
        <f t="shared" si="99"/>
        <v>0.96</v>
      </c>
      <c r="BD54" s="182">
        <f t="shared" si="99"/>
        <v>-22.94</v>
      </c>
      <c r="BE54" s="182">
        <f t="shared" si="99"/>
        <v>-14.738</v>
      </c>
      <c r="BF54" s="187">
        <f t="shared" si="99"/>
        <v>0.83699999999999997</v>
      </c>
      <c r="BG54" s="182" t="str">
        <f t="shared" si="99"/>
        <v xml:space="preserve"> -</v>
      </c>
      <c r="BH54" s="182">
        <f t="shared" si="99"/>
        <v>-40.707999999999998</v>
      </c>
      <c r="BI54" s="182">
        <f t="shared" si="99"/>
        <v>-4.173</v>
      </c>
      <c r="BJ54" s="182">
        <f t="shared" si="99"/>
        <v>48.295000000000002</v>
      </c>
      <c r="BK54" s="182">
        <f t="shared" si="99"/>
        <v>-24.609000000000002</v>
      </c>
      <c r="BL54" s="182">
        <f t="shared" si="99"/>
        <v>-7.6920000000000002</v>
      </c>
      <c r="BM54" s="182">
        <f t="shared" si="99"/>
        <v>-9.41</v>
      </c>
      <c r="BN54" s="182">
        <f t="shared" si="99"/>
        <v>-13.586</v>
      </c>
      <c r="BO54" s="182">
        <f t="shared" si="99"/>
        <v>-23.009</v>
      </c>
      <c r="BP54" s="182">
        <f t="shared" si="99"/>
        <v>9.4179999999999993</v>
      </c>
      <c r="BQ54" s="182">
        <f t="shared" si="99"/>
        <v>26.09</v>
      </c>
      <c r="BR54" s="187">
        <f t="shared" si="99"/>
        <v>3.4569999999999999</v>
      </c>
      <c r="BS54" s="182" t="str">
        <f t="shared" si="99"/>
        <v xml:space="preserve"> -</v>
      </c>
      <c r="BT54" s="182">
        <f t="shared" si="99"/>
        <v>5.5830000000000002</v>
      </c>
      <c r="BU54" s="182">
        <f t="shared" si="99"/>
        <v>21.236999999999998</v>
      </c>
      <c r="BV54" s="182">
        <f t="shared" si="99"/>
        <v>0.91400000000000003</v>
      </c>
      <c r="BW54" s="182">
        <f t="shared" si="99"/>
        <v>-7.1779999999999999</v>
      </c>
      <c r="BX54" s="182">
        <f t="shared" si="99"/>
        <v>4.0469999999999997</v>
      </c>
      <c r="BY54" s="182">
        <f t="shared" si="99"/>
        <v>23.972000000000001</v>
      </c>
      <c r="BZ54" s="182">
        <f t="shared" si="99"/>
        <v>3.9660000000000002</v>
      </c>
      <c r="CA54" s="182">
        <f t="shared" si="99"/>
        <v>20.042999999999999</v>
      </c>
      <c r="CB54" s="187">
        <f t="shared" si="99"/>
        <v>19.981000000000002</v>
      </c>
      <c r="CC54" s="182">
        <f t="shared" si="99"/>
        <v>-7.1589999999999998</v>
      </c>
      <c r="CD54" s="182">
        <f t="shared" si="99"/>
        <v>-1.782</v>
      </c>
      <c r="CE54" s="182">
        <f t="shared" si="99"/>
        <v>52.634</v>
      </c>
      <c r="CF54" s="182">
        <f t="shared" si="99"/>
        <v>0.59899999999999998</v>
      </c>
      <c r="CG54" s="182">
        <f t="shared" si="99"/>
        <v>-10.28</v>
      </c>
      <c r="CH54" s="182">
        <f t="shared" si="99"/>
        <v>-9.4339999999999993</v>
      </c>
      <c r="CI54" s="182">
        <f t="shared" si="99"/>
        <v>-19.065999999999999</v>
      </c>
      <c r="CJ54" s="182">
        <f t="shared" si="99"/>
        <v>-6.2160000000000002</v>
      </c>
      <c r="CK54" s="183">
        <f t="shared" si="99"/>
        <v>-4.3239999999999998</v>
      </c>
      <c r="CL54" s="188">
        <f t="shared" si="99"/>
        <v>-3.0990000000000002</v>
      </c>
    </row>
    <row r="55" spans="1:90" ht="14.25">
      <c r="A55" s="80">
        <f>ROWS($A$3:A53)</f>
        <v>51</v>
      </c>
      <c r="B55" s="59" t="s">
        <v>208</v>
      </c>
      <c r="C55" s="201"/>
      <c r="D55" s="260"/>
      <c r="E55" s="435"/>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4">
        <v>2013</v>
      </c>
      <c r="D56" s="259" t="s">
        <v>13</v>
      </c>
      <c r="E56" s="436">
        <v>42184</v>
      </c>
      <c r="F56" s="116">
        <v>274</v>
      </c>
      <c r="G56" s="137">
        <v>251</v>
      </c>
      <c r="H56" s="137">
        <v>283</v>
      </c>
      <c r="I56" s="138">
        <v>316</v>
      </c>
      <c r="J56" s="141"/>
      <c r="K56" s="116">
        <f t="shared" ref="K56:K63" si="100">BF56</f>
        <v>42</v>
      </c>
      <c r="L56" s="137">
        <f t="shared" ref="L56:L63" si="101">AY56</f>
        <v>26</v>
      </c>
      <c r="M56" s="137">
        <f t="shared" ref="M56:M63" si="102">BD56</f>
        <v>35</v>
      </c>
      <c r="N56" s="137">
        <f t="shared" ref="N56:N63" si="103">AW56</f>
        <v>19</v>
      </c>
      <c r="O56" s="137">
        <f t="shared" ref="O56:O63" si="104">BE56</f>
        <v>12</v>
      </c>
      <c r="P56" s="137">
        <f>'2013'!AZ56+'2013'!BA56</f>
        <v>25</v>
      </c>
      <c r="Q56" s="137">
        <f>'2013'!AU56</f>
        <v>20</v>
      </c>
      <c r="R56" s="137">
        <f t="shared" ref="R56:R63" si="105">AT56+AX56</f>
        <v>27</v>
      </c>
      <c r="S56" s="137">
        <f t="shared" ref="S56:S63" si="106">AV56</f>
        <v>29</v>
      </c>
      <c r="T56" s="137">
        <f t="shared" ref="T56:U63" si="107">BB56</f>
        <v>21</v>
      </c>
      <c r="U56" s="139">
        <f t="shared" si="107"/>
        <v>18</v>
      </c>
      <c r="V56" s="137">
        <f t="shared" ref="V56:V63" si="108">BG56+BJ56</f>
        <v>37</v>
      </c>
      <c r="W56" s="137">
        <f t="shared" ref="W56:W63" si="109">BR56</f>
        <v>18</v>
      </c>
      <c r="X56" s="137">
        <f t="shared" ref="X56:X63" si="110">BH56+BI56</f>
        <v>50</v>
      </c>
      <c r="Y56" s="137">
        <f t="shared" ref="Y56:Y63" si="111">BK56+BL56+BN56</f>
        <v>62</v>
      </c>
      <c r="Z56" s="137">
        <f t="shared" ref="Z56:Z63" si="112">BM56</f>
        <v>26</v>
      </c>
      <c r="AA56" s="137">
        <f t="shared" ref="AA56:AA63" si="113">BO56+BQ56</f>
        <v>32</v>
      </c>
      <c r="AB56" s="139">
        <f t="shared" ref="AB56:AB63" si="114">BP56</f>
        <v>26</v>
      </c>
      <c r="AC56" s="137">
        <f t="shared" ref="AC56:AC63" si="115">BX56</f>
        <v>26</v>
      </c>
      <c r="AD56" s="137">
        <f t="shared" ref="AD56:AD63" si="116">BU56</f>
        <v>19</v>
      </c>
      <c r="AE56" s="137">
        <f t="shared" ref="AE56:AE63" si="117">BS56+BT56</f>
        <v>54</v>
      </c>
      <c r="AF56" s="137">
        <f t="shared" ref="AF56:AF63" si="118">CA56</f>
        <v>26</v>
      </c>
      <c r="AG56" s="137">
        <f t="shared" ref="AG56:AG63" si="119">BV56</f>
        <v>23</v>
      </c>
      <c r="AH56" s="137">
        <f t="shared" ref="AH56:AH63" si="120">BZ56</f>
        <v>65</v>
      </c>
      <c r="AI56" s="137">
        <f t="shared" ref="AI56:AI63" si="121">BW56</f>
        <v>10</v>
      </c>
      <c r="AJ56" s="137">
        <f t="shared" ref="AJ56:AJ63" si="122">BY56</f>
        <v>23</v>
      </c>
      <c r="AK56" s="139">
        <f t="shared" ref="AK56:AK63" si="123">CB56</f>
        <v>37</v>
      </c>
      <c r="AL56" s="137">
        <f t="shared" ref="AL56:AL63" si="124">CE56</f>
        <v>53</v>
      </c>
      <c r="AM56" s="137">
        <f t="shared" ref="AM56:AM63" si="125">CH56</f>
        <v>31</v>
      </c>
      <c r="AN56" s="137">
        <f t="shared" ref="AN56:AN63" si="126">CJ56</f>
        <v>76</v>
      </c>
      <c r="AO56" s="137">
        <f t="shared" ref="AO56:AP63" si="127">CC56</f>
        <v>42</v>
      </c>
      <c r="AP56" s="137">
        <f t="shared" si="127"/>
        <v>22</v>
      </c>
      <c r="AQ56" s="137">
        <f t="shared" ref="AQ56:AQ63" si="128">CK56</f>
        <v>25</v>
      </c>
      <c r="AR56" s="137">
        <f t="shared" ref="AR56:AR63" si="129">CI56</f>
        <v>33</v>
      </c>
      <c r="AS56" s="138">
        <f t="shared" ref="AS56:AS63" si="130">CF56+CG56</f>
        <v>34</v>
      </c>
      <c r="AT56" s="137">
        <v>7</v>
      </c>
      <c r="AU56" s="137">
        <v>20</v>
      </c>
      <c r="AV56" s="137">
        <v>29</v>
      </c>
      <c r="AW56" s="137">
        <v>19</v>
      </c>
      <c r="AX56" s="137">
        <v>20</v>
      </c>
      <c r="AY56" s="137">
        <v>26</v>
      </c>
      <c r="AZ56" s="137">
        <v>5</v>
      </c>
      <c r="BA56" s="137">
        <v>20</v>
      </c>
      <c r="BB56" s="137">
        <v>21</v>
      </c>
      <c r="BC56" s="137">
        <v>18</v>
      </c>
      <c r="BD56" s="137">
        <v>35</v>
      </c>
      <c r="BE56" s="137">
        <v>12</v>
      </c>
      <c r="BF56" s="139">
        <v>42</v>
      </c>
      <c r="BG56" s="137">
        <v>7</v>
      </c>
      <c r="BH56" s="137">
        <v>9</v>
      </c>
      <c r="BI56" s="137">
        <v>41</v>
      </c>
      <c r="BJ56" s="137">
        <v>30</v>
      </c>
      <c r="BK56" s="137">
        <v>5</v>
      </c>
      <c r="BL56" s="137">
        <v>9</v>
      </c>
      <c r="BM56" s="137">
        <v>26</v>
      </c>
      <c r="BN56" s="137">
        <v>48</v>
      </c>
      <c r="BO56" s="137">
        <v>3</v>
      </c>
      <c r="BP56" s="137">
        <v>26</v>
      </c>
      <c r="BQ56" s="137">
        <v>29</v>
      </c>
      <c r="BR56" s="139">
        <v>18</v>
      </c>
      <c r="BS56" s="137">
        <v>7</v>
      </c>
      <c r="BT56" s="137">
        <v>47</v>
      </c>
      <c r="BU56" s="137">
        <v>19</v>
      </c>
      <c r="BV56" s="137">
        <v>23</v>
      </c>
      <c r="BW56" s="137">
        <v>10</v>
      </c>
      <c r="BX56" s="137">
        <v>26</v>
      </c>
      <c r="BY56" s="137">
        <v>23</v>
      </c>
      <c r="BZ56" s="137">
        <v>65</v>
      </c>
      <c r="CA56" s="137">
        <v>26</v>
      </c>
      <c r="CB56" s="139">
        <v>37</v>
      </c>
      <c r="CC56" s="137">
        <v>42</v>
      </c>
      <c r="CD56" s="137">
        <v>22</v>
      </c>
      <c r="CE56" s="137">
        <v>53</v>
      </c>
      <c r="CF56" s="137">
        <v>1</v>
      </c>
      <c r="CG56" s="137">
        <v>33</v>
      </c>
      <c r="CH56" s="137">
        <v>31</v>
      </c>
      <c r="CI56" s="137">
        <v>33</v>
      </c>
      <c r="CJ56" s="137">
        <v>76</v>
      </c>
      <c r="CK56" s="138">
        <v>25</v>
      </c>
      <c r="CL56" s="140">
        <v>1124</v>
      </c>
    </row>
    <row r="57" spans="1:90">
      <c r="A57" s="80">
        <f>ROWS($A$3:A55)</f>
        <v>53</v>
      </c>
      <c r="B57" s="92"/>
      <c r="C57" s="203"/>
      <c r="D57" s="259" t="s">
        <v>1</v>
      </c>
      <c r="E57" s="435"/>
      <c r="F57" s="116">
        <v>14972</v>
      </c>
      <c r="G57" s="137">
        <v>20139</v>
      </c>
      <c r="H57" s="137">
        <v>31925</v>
      </c>
      <c r="I57" s="138">
        <v>19193</v>
      </c>
      <c r="J57" s="141"/>
      <c r="K57" s="116">
        <f t="shared" si="100"/>
        <v>2051.1999999999998</v>
      </c>
      <c r="L57" s="137">
        <f t="shared" si="101"/>
        <v>833.37</v>
      </c>
      <c r="M57" s="137">
        <f t="shared" si="102"/>
        <v>1029.49</v>
      </c>
      <c r="N57" s="137">
        <f t="shared" si="103"/>
        <v>2876.77</v>
      </c>
      <c r="O57" s="137">
        <f t="shared" si="104"/>
        <v>771.29</v>
      </c>
      <c r="P57" s="137">
        <f>'2013'!AZ57+'2013'!BA57</f>
        <v>489.18999999999994</v>
      </c>
      <c r="Q57" s="137">
        <f>'2013'!AU57</f>
        <v>732.59</v>
      </c>
      <c r="R57" s="137">
        <f t="shared" si="105"/>
        <v>1999.5900000000001</v>
      </c>
      <c r="S57" s="137">
        <f t="shared" si="106"/>
        <v>2320.5700000000002</v>
      </c>
      <c r="T57" s="137">
        <f t="shared" si="107"/>
        <v>486.16</v>
      </c>
      <c r="U57" s="139">
        <f t="shared" si="107"/>
        <v>1383.29</v>
      </c>
      <c r="V57" s="137">
        <f t="shared" si="108"/>
        <v>4697.8899999999994</v>
      </c>
      <c r="W57" s="137">
        <f t="shared" si="109"/>
        <v>2899.35</v>
      </c>
      <c r="X57" s="137">
        <f t="shared" si="110"/>
        <v>3916.9399999999996</v>
      </c>
      <c r="Y57" s="137">
        <f t="shared" si="111"/>
        <v>3798</v>
      </c>
      <c r="Z57" s="137">
        <f t="shared" si="112"/>
        <v>925.83</v>
      </c>
      <c r="AA57" s="137">
        <f t="shared" si="113"/>
        <v>1669.94</v>
      </c>
      <c r="AB57" s="139">
        <f t="shared" si="114"/>
        <v>2231.04</v>
      </c>
      <c r="AC57" s="137">
        <f t="shared" si="115"/>
        <v>2085.39</v>
      </c>
      <c r="AD57" s="137">
        <f t="shared" si="116"/>
        <v>3872.7</v>
      </c>
      <c r="AE57" s="137">
        <f t="shared" si="117"/>
        <v>6286.65</v>
      </c>
      <c r="AF57" s="137">
        <f t="shared" si="118"/>
        <v>6162.84</v>
      </c>
      <c r="AG57" s="137">
        <f t="shared" si="119"/>
        <v>3504.74</v>
      </c>
      <c r="AH57" s="137">
        <f t="shared" si="120"/>
        <v>3673.15</v>
      </c>
      <c r="AI57" s="137">
        <f t="shared" si="121"/>
        <v>437.31</v>
      </c>
      <c r="AJ57" s="137">
        <f t="shared" si="122"/>
        <v>2250.79</v>
      </c>
      <c r="AK57" s="139">
        <f t="shared" si="123"/>
        <v>3650.72</v>
      </c>
      <c r="AL57" s="137">
        <f t="shared" si="124"/>
        <v>1560.76</v>
      </c>
      <c r="AM57" s="137">
        <f t="shared" si="125"/>
        <v>3574.28</v>
      </c>
      <c r="AN57" s="137">
        <f t="shared" si="126"/>
        <v>5877.6</v>
      </c>
      <c r="AO57" s="137">
        <f t="shared" si="127"/>
        <v>1974.11</v>
      </c>
      <c r="AP57" s="137">
        <f t="shared" si="127"/>
        <v>1187.6199999999999</v>
      </c>
      <c r="AQ57" s="137">
        <f t="shared" si="128"/>
        <v>2003</v>
      </c>
      <c r="AR57" s="137">
        <f t="shared" si="129"/>
        <v>1217.26</v>
      </c>
      <c r="AS57" s="138">
        <f t="shared" si="130"/>
        <v>1798.7800000000002</v>
      </c>
      <c r="AT57" s="137">
        <v>1353.19</v>
      </c>
      <c r="AU57" s="137">
        <v>732.59</v>
      </c>
      <c r="AV57" s="137">
        <v>2320.5700000000002</v>
      </c>
      <c r="AW57" s="137">
        <v>2876.77</v>
      </c>
      <c r="AX57" s="137">
        <v>646.4</v>
      </c>
      <c r="AY57" s="137">
        <v>833.37</v>
      </c>
      <c r="AZ57" s="137">
        <v>97.91</v>
      </c>
      <c r="BA57" s="137">
        <v>391.28</v>
      </c>
      <c r="BB57" s="137">
        <v>486.16</v>
      </c>
      <c r="BC57" s="137">
        <v>1383.29</v>
      </c>
      <c r="BD57" s="137">
        <v>1029.49</v>
      </c>
      <c r="BE57" s="137">
        <v>771.29</v>
      </c>
      <c r="BF57" s="139">
        <v>2051.1999999999998</v>
      </c>
      <c r="BG57" s="137">
        <v>693</v>
      </c>
      <c r="BH57" s="137">
        <v>728.74</v>
      </c>
      <c r="BI57" s="137">
        <v>3188.2</v>
      </c>
      <c r="BJ57" s="137">
        <v>4004.89</v>
      </c>
      <c r="BK57" s="137">
        <v>85.43</v>
      </c>
      <c r="BL57" s="137">
        <v>699.57</v>
      </c>
      <c r="BM57" s="137">
        <v>925.83</v>
      </c>
      <c r="BN57" s="137">
        <v>3013</v>
      </c>
      <c r="BO57" s="137">
        <v>196.8</v>
      </c>
      <c r="BP57" s="137">
        <v>2231.04</v>
      </c>
      <c r="BQ57" s="137">
        <v>1473.14</v>
      </c>
      <c r="BR57" s="139">
        <v>2899.35</v>
      </c>
      <c r="BS57" s="137">
        <v>683.11</v>
      </c>
      <c r="BT57" s="137">
        <v>5603.54</v>
      </c>
      <c r="BU57" s="137">
        <v>3872.7</v>
      </c>
      <c r="BV57" s="137">
        <v>3504.74</v>
      </c>
      <c r="BW57" s="137">
        <v>437.31</v>
      </c>
      <c r="BX57" s="137">
        <v>2085.39</v>
      </c>
      <c r="BY57" s="137">
        <v>2250.79</v>
      </c>
      <c r="BZ57" s="137">
        <v>3673.15</v>
      </c>
      <c r="CA57" s="137">
        <v>6162.84</v>
      </c>
      <c r="CB57" s="139">
        <v>3650.72</v>
      </c>
      <c r="CC57" s="137">
        <v>1974.11</v>
      </c>
      <c r="CD57" s="137">
        <v>1187.6199999999999</v>
      </c>
      <c r="CE57" s="137">
        <v>1560.76</v>
      </c>
      <c r="CF57" s="137">
        <v>39.4</v>
      </c>
      <c r="CG57" s="137">
        <v>1759.38</v>
      </c>
      <c r="CH57" s="137">
        <v>3574.28</v>
      </c>
      <c r="CI57" s="137">
        <v>1217.26</v>
      </c>
      <c r="CJ57" s="137">
        <v>5877.6</v>
      </c>
      <c r="CK57" s="138">
        <v>2003</v>
      </c>
      <c r="CL57" s="140">
        <v>86229</v>
      </c>
    </row>
    <row r="58" spans="1:90">
      <c r="A58" s="80">
        <f>ROWS($A$3:A56)</f>
        <v>54</v>
      </c>
      <c r="B58" s="92" t="s">
        <v>231</v>
      </c>
      <c r="C58" s="204">
        <v>2013</v>
      </c>
      <c r="D58" s="260" t="s">
        <v>13</v>
      </c>
      <c r="E58" s="437">
        <v>41675</v>
      </c>
      <c r="F58" s="116">
        <v>66</v>
      </c>
      <c r="G58" s="137">
        <v>69</v>
      </c>
      <c r="H58" s="137">
        <v>75</v>
      </c>
      <c r="I58" s="138">
        <v>83</v>
      </c>
      <c r="J58" s="141"/>
      <c r="K58" s="116">
        <f t="shared" si="100"/>
        <v>15</v>
      </c>
      <c r="L58" s="137">
        <f t="shared" si="101"/>
        <v>5</v>
      </c>
      <c r="M58" s="137">
        <f t="shared" si="102"/>
        <v>12</v>
      </c>
      <c r="N58" s="137">
        <f t="shared" si="103"/>
        <v>11</v>
      </c>
      <c r="O58" s="137">
        <f t="shared" si="104"/>
        <v>7</v>
      </c>
      <c r="P58" s="137">
        <f>'2013'!AZ58+'2013'!BA58</f>
        <v>13</v>
      </c>
      <c r="Q58" s="137">
        <f>'2013'!AU58</f>
        <v>5</v>
      </c>
      <c r="R58" s="137">
        <f t="shared" si="105"/>
        <v>12</v>
      </c>
      <c r="S58" s="137">
        <f t="shared" si="106"/>
        <v>9</v>
      </c>
      <c r="T58" s="137">
        <f t="shared" si="107"/>
        <v>8</v>
      </c>
      <c r="U58" s="139">
        <f t="shared" si="107"/>
        <v>13</v>
      </c>
      <c r="V58" s="137">
        <f t="shared" si="108"/>
        <v>21</v>
      </c>
      <c r="W58" s="137">
        <f t="shared" si="109"/>
        <v>10</v>
      </c>
      <c r="X58" s="137">
        <f t="shared" si="110"/>
        <v>29</v>
      </c>
      <c r="Y58" s="137">
        <f t="shared" si="111"/>
        <v>24</v>
      </c>
      <c r="Z58" s="137">
        <f t="shared" si="112"/>
        <v>12</v>
      </c>
      <c r="AA58" s="137">
        <f t="shared" si="113"/>
        <v>12</v>
      </c>
      <c r="AB58" s="139">
        <f t="shared" si="114"/>
        <v>8</v>
      </c>
      <c r="AC58" s="137">
        <f t="shared" si="115"/>
        <v>10</v>
      </c>
      <c r="AD58" s="137">
        <f t="shared" si="116"/>
        <v>9</v>
      </c>
      <c r="AE58" s="137">
        <f t="shared" si="117"/>
        <v>23</v>
      </c>
      <c r="AF58" s="137">
        <f t="shared" si="118"/>
        <v>11</v>
      </c>
      <c r="AG58" s="137">
        <f t="shared" si="119"/>
        <v>14</v>
      </c>
      <c r="AH58" s="137">
        <f t="shared" si="120"/>
        <v>10</v>
      </c>
      <c r="AI58" s="137">
        <f t="shared" si="121"/>
        <v>8</v>
      </c>
      <c r="AJ58" s="137">
        <f t="shared" si="122"/>
        <v>10</v>
      </c>
      <c r="AK58" s="139">
        <f t="shared" si="123"/>
        <v>14</v>
      </c>
      <c r="AL58" s="137">
        <f t="shared" si="124"/>
        <v>20</v>
      </c>
      <c r="AM58" s="137">
        <f t="shared" si="125"/>
        <v>12</v>
      </c>
      <c r="AN58" s="137">
        <f t="shared" si="126"/>
        <v>21</v>
      </c>
      <c r="AO58" s="137">
        <f t="shared" si="127"/>
        <v>18</v>
      </c>
      <c r="AP58" s="137">
        <f t="shared" si="127"/>
        <v>6</v>
      </c>
      <c r="AQ58" s="137">
        <f t="shared" si="128"/>
        <v>14</v>
      </c>
      <c r="AR58" s="137">
        <f t="shared" si="129"/>
        <v>11</v>
      </c>
      <c r="AS58" s="138">
        <f t="shared" si="130"/>
        <v>19</v>
      </c>
      <c r="AT58" s="137">
        <v>4</v>
      </c>
      <c r="AU58" s="137">
        <v>5</v>
      </c>
      <c r="AV58" s="141">
        <v>9</v>
      </c>
      <c r="AW58" s="141">
        <v>11</v>
      </c>
      <c r="AX58" s="141">
        <v>8</v>
      </c>
      <c r="AY58" s="141">
        <v>5</v>
      </c>
      <c r="AZ58" s="141">
        <v>3</v>
      </c>
      <c r="BA58" s="141">
        <v>10</v>
      </c>
      <c r="BB58" s="141">
        <v>8</v>
      </c>
      <c r="BC58" s="141">
        <v>13</v>
      </c>
      <c r="BD58" s="141">
        <v>12</v>
      </c>
      <c r="BE58" s="141">
        <v>7</v>
      </c>
      <c r="BF58" s="139">
        <v>15</v>
      </c>
      <c r="BG58" s="141">
        <v>6</v>
      </c>
      <c r="BH58" s="141">
        <v>9</v>
      </c>
      <c r="BI58" s="141">
        <v>20</v>
      </c>
      <c r="BJ58" s="141">
        <v>15</v>
      </c>
      <c r="BK58" s="141">
        <v>4</v>
      </c>
      <c r="BL58" s="141">
        <v>3</v>
      </c>
      <c r="BM58" s="141">
        <v>12</v>
      </c>
      <c r="BN58" s="141">
        <v>17</v>
      </c>
      <c r="BO58" s="141">
        <v>3</v>
      </c>
      <c r="BP58" s="141">
        <v>8</v>
      </c>
      <c r="BQ58" s="141">
        <v>9</v>
      </c>
      <c r="BR58" s="139">
        <v>10</v>
      </c>
      <c r="BS58" s="141">
        <v>5</v>
      </c>
      <c r="BT58" s="141">
        <v>18</v>
      </c>
      <c r="BU58" s="141">
        <v>9</v>
      </c>
      <c r="BV58" s="141">
        <v>14</v>
      </c>
      <c r="BW58" s="141">
        <v>8</v>
      </c>
      <c r="BX58" s="141">
        <v>10</v>
      </c>
      <c r="BY58" s="141">
        <v>10</v>
      </c>
      <c r="BZ58" s="141">
        <v>10</v>
      </c>
      <c r="CA58" s="141">
        <v>11</v>
      </c>
      <c r="CB58" s="139">
        <v>14</v>
      </c>
      <c r="CC58" s="141">
        <v>18</v>
      </c>
      <c r="CD58" s="141">
        <v>6</v>
      </c>
      <c r="CE58" s="141">
        <v>20</v>
      </c>
      <c r="CF58" s="141">
        <v>3</v>
      </c>
      <c r="CG58" s="141">
        <v>16</v>
      </c>
      <c r="CH58" s="141">
        <v>12</v>
      </c>
      <c r="CI58" s="141">
        <v>11</v>
      </c>
      <c r="CJ58" s="141">
        <v>21</v>
      </c>
      <c r="CK58" s="138">
        <v>14</v>
      </c>
      <c r="CL58" s="140">
        <v>293</v>
      </c>
    </row>
    <row r="59" spans="1:90">
      <c r="A59" s="80">
        <f>ROWS($A$3:A57)</f>
        <v>55</v>
      </c>
      <c r="B59" s="92"/>
      <c r="C59" s="201"/>
      <c r="D59" s="260" t="s">
        <v>1</v>
      </c>
      <c r="E59" s="435"/>
      <c r="F59" s="116">
        <v>92588.06</v>
      </c>
      <c r="G59" s="137">
        <v>96444.66</v>
      </c>
      <c r="H59" s="137">
        <v>131460.31</v>
      </c>
      <c r="I59" s="138">
        <v>94200.88</v>
      </c>
      <c r="J59" s="141"/>
      <c r="K59" s="116">
        <f t="shared" si="100"/>
        <v>10549.94</v>
      </c>
      <c r="L59" s="137">
        <f t="shared" si="101"/>
        <v>3117.95</v>
      </c>
      <c r="M59" s="137">
        <f t="shared" si="102"/>
        <v>8191.18</v>
      </c>
      <c r="N59" s="137">
        <f t="shared" si="103"/>
        <v>9448.42</v>
      </c>
      <c r="O59" s="137">
        <f t="shared" si="104"/>
        <v>7322.74</v>
      </c>
      <c r="P59" s="137">
        <f>'2013'!AZ59+'2013'!BA59</f>
        <v>11722.849999999999</v>
      </c>
      <c r="Q59" s="137">
        <f>'2013'!AU59</f>
        <v>6912.5</v>
      </c>
      <c r="R59" s="137">
        <f t="shared" si="105"/>
        <v>10435.799999999999</v>
      </c>
      <c r="S59" s="137">
        <f t="shared" si="106"/>
        <v>8990.43</v>
      </c>
      <c r="T59" s="137">
        <f t="shared" si="107"/>
        <v>8599.31</v>
      </c>
      <c r="U59" s="139">
        <f t="shared" si="107"/>
        <v>7296.94</v>
      </c>
      <c r="V59" s="137">
        <f t="shared" si="108"/>
        <v>14250.23</v>
      </c>
      <c r="W59" s="137">
        <f t="shared" si="109"/>
        <v>5690.64</v>
      </c>
      <c r="X59" s="137">
        <f t="shared" si="110"/>
        <v>30134.86</v>
      </c>
      <c r="Y59" s="137">
        <f t="shared" si="111"/>
        <v>19478.87</v>
      </c>
      <c r="Z59" s="137">
        <f t="shared" si="112"/>
        <v>9712.59</v>
      </c>
      <c r="AA59" s="137">
        <f t="shared" si="113"/>
        <v>11771.720000000001</v>
      </c>
      <c r="AB59" s="139">
        <f t="shared" si="114"/>
        <v>5405.75</v>
      </c>
      <c r="AC59" s="137">
        <f t="shared" si="115"/>
        <v>8363.06</v>
      </c>
      <c r="AD59" s="137">
        <f t="shared" si="116"/>
        <v>10472.209999999999</v>
      </c>
      <c r="AE59" s="137">
        <f t="shared" si="117"/>
        <v>22722.66</v>
      </c>
      <c r="AF59" s="137">
        <f t="shared" si="118"/>
        <v>15969.19</v>
      </c>
      <c r="AG59" s="137">
        <f t="shared" si="119"/>
        <v>18217.45</v>
      </c>
      <c r="AH59" s="137">
        <f t="shared" si="120"/>
        <v>14706.07</v>
      </c>
      <c r="AI59" s="137">
        <f t="shared" si="121"/>
        <v>6051.28</v>
      </c>
      <c r="AJ59" s="137">
        <f t="shared" si="122"/>
        <v>12282.31</v>
      </c>
      <c r="AK59" s="139">
        <f t="shared" si="123"/>
        <v>22676.09</v>
      </c>
      <c r="AL59" s="137">
        <f t="shared" si="124"/>
        <v>12293.42</v>
      </c>
      <c r="AM59" s="137">
        <f t="shared" si="125"/>
        <v>8204.7999999999993</v>
      </c>
      <c r="AN59" s="137">
        <f t="shared" si="126"/>
        <v>12891.94</v>
      </c>
      <c r="AO59" s="137">
        <f t="shared" si="127"/>
        <v>22503.79</v>
      </c>
      <c r="AP59" s="137">
        <f t="shared" si="127"/>
        <v>13089.41</v>
      </c>
      <c r="AQ59" s="137">
        <f t="shared" si="128"/>
        <v>9775.99</v>
      </c>
      <c r="AR59" s="137">
        <f t="shared" si="129"/>
        <v>3971.9</v>
      </c>
      <c r="AS59" s="138">
        <f t="shared" si="130"/>
        <v>11469.730000000001</v>
      </c>
      <c r="AT59" s="137">
        <v>2318.44</v>
      </c>
      <c r="AU59" s="137">
        <v>6912.5</v>
      </c>
      <c r="AV59" s="137">
        <v>8990.43</v>
      </c>
      <c r="AW59" s="137">
        <v>9448.42</v>
      </c>
      <c r="AX59" s="137">
        <v>8117.36</v>
      </c>
      <c r="AY59" s="137">
        <v>3117.95</v>
      </c>
      <c r="AZ59" s="137">
        <v>1078.72</v>
      </c>
      <c r="BA59" s="137">
        <v>10644.13</v>
      </c>
      <c r="BB59" s="137">
        <v>8599.31</v>
      </c>
      <c r="BC59" s="137">
        <v>7296.94</v>
      </c>
      <c r="BD59" s="137">
        <v>8191.18</v>
      </c>
      <c r="BE59" s="137">
        <v>7322.74</v>
      </c>
      <c r="BF59" s="139">
        <v>10549.94</v>
      </c>
      <c r="BG59" s="137">
        <v>1427.27</v>
      </c>
      <c r="BH59" s="137">
        <v>4273.46</v>
      </c>
      <c r="BI59" s="137">
        <v>25861.4</v>
      </c>
      <c r="BJ59" s="137">
        <v>12822.96</v>
      </c>
      <c r="BK59" s="137">
        <v>2339.3000000000002</v>
      </c>
      <c r="BL59" s="137">
        <v>1635.41</v>
      </c>
      <c r="BM59" s="137">
        <v>9712.59</v>
      </c>
      <c r="BN59" s="137">
        <v>15504.16</v>
      </c>
      <c r="BO59" s="137">
        <v>1436.27</v>
      </c>
      <c r="BP59" s="137">
        <v>5405.75</v>
      </c>
      <c r="BQ59" s="137">
        <v>10335.450000000001</v>
      </c>
      <c r="BR59" s="139">
        <v>5690.64</v>
      </c>
      <c r="BS59" s="137">
        <v>3160.35</v>
      </c>
      <c r="BT59" s="137">
        <v>19562.310000000001</v>
      </c>
      <c r="BU59" s="137">
        <v>10472.209999999999</v>
      </c>
      <c r="BV59" s="137">
        <v>18217.45</v>
      </c>
      <c r="BW59" s="137">
        <v>6051.28</v>
      </c>
      <c r="BX59" s="137">
        <v>8363.06</v>
      </c>
      <c r="BY59" s="137">
        <v>12282.31</v>
      </c>
      <c r="BZ59" s="137">
        <v>14706.07</v>
      </c>
      <c r="CA59" s="137">
        <v>15969.19</v>
      </c>
      <c r="CB59" s="139">
        <v>22676.09</v>
      </c>
      <c r="CC59" s="137">
        <v>22503.79</v>
      </c>
      <c r="CD59" s="137">
        <v>13089.41</v>
      </c>
      <c r="CE59" s="137">
        <v>12293.42</v>
      </c>
      <c r="CF59" s="137">
        <v>513.94000000000005</v>
      </c>
      <c r="CG59" s="137">
        <v>10955.79</v>
      </c>
      <c r="CH59" s="137">
        <v>8204.7999999999993</v>
      </c>
      <c r="CI59" s="137">
        <v>3971.9</v>
      </c>
      <c r="CJ59" s="137">
        <v>12891.94</v>
      </c>
      <c r="CK59" s="138">
        <v>9775.99</v>
      </c>
      <c r="CL59" s="140">
        <v>426948.31</v>
      </c>
    </row>
    <row r="60" spans="1:90">
      <c r="A60" s="80">
        <f>ROWS($A$3:A58)</f>
        <v>56</v>
      </c>
      <c r="B60" s="92" t="s">
        <v>232</v>
      </c>
      <c r="C60" s="204">
        <v>2013</v>
      </c>
      <c r="D60" s="260" t="s">
        <v>13</v>
      </c>
      <c r="E60" s="437">
        <v>41675</v>
      </c>
      <c r="F60" s="116">
        <v>21</v>
      </c>
      <c r="G60" s="141">
        <v>23</v>
      </c>
      <c r="H60" s="141">
        <v>34</v>
      </c>
      <c r="I60" s="138">
        <v>23</v>
      </c>
      <c r="J60" s="141"/>
      <c r="K60" s="116">
        <f t="shared" si="100"/>
        <v>6</v>
      </c>
      <c r="L60" s="137">
        <f t="shared" si="101"/>
        <v>2</v>
      </c>
      <c r="M60" s="137">
        <f t="shared" si="102"/>
        <v>2</v>
      </c>
      <c r="N60" s="137">
        <f t="shared" si="103"/>
        <v>3</v>
      </c>
      <c r="O60" s="137">
        <f t="shared" si="104"/>
        <v>3</v>
      </c>
      <c r="P60" s="137">
        <f>'2013'!AZ60+'2013'!BA60</f>
        <v>3</v>
      </c>
      <c r="Q60" s="137">
        <f>'2013'!AU60</f>
        <v>1</v>
      </c>
      <c r="R60" s="137">
        <f t="shared" si="105"/>
        <v>5</v>
      </c>
      <c r="S60" s="137">
        <f t="shared" si="106"/>
        <v>4</v>
      </c>
      <c r="T60" s="137">
        <f t="shared" si="107"/>
        <v>2</v>
      </c>
      <c r="U60" s="139">
        <f t="shared" si="107"/>
        <v>3</v>
      </c>
      <c r="V60" s="137">
        <f t="shared" si="108"/>
        <v>6</v>
      </c>
      <c r="W60" s="137">
        <f t="shared" si="109"/>
        <v>1</v>
      </c>
      <c r="X60" s="137">
        <f t="shared" si="110"/>
        <v>9</v>
      </c>
      <c r="Y60" s="137">
        <f t="shared" si="111"/>
        <v>9</v>
      </c>
      <c r="Z60" s="137">
        <f t="shared" si="112"/>
        <v>3</v>
      </c>
      <c r="AA60" s="137">
        <f t="shared" si="113"/>
        <v>3</v>
      </c>
      <c r="AB60" s="139">
        <f t="shared" si="114"/>
        <v>2</v>
      </c>
      <c r="AC60" s="137">
        <f t="shared" si="115"/>
        <v>3</v>
      </c>
      <c r="AD60" s="137">
        <f t="shared" si="116"/>
        <v>7</v>
      </c>
      <c r="AE60" s="137">
        <f t="shared" si="117"/>
        <v>14</v>
      </c>
      <c r="AF60" s="137">
        <f t="shared" si="118"/>
        <v>3</v>
      </c>
      <c r="AG60" s="137">
        <f t="shared" si="119"/>
        <v>12</v>
      </c>
      <c r="AH60" s="137">
        <f t="shared" si="120"/>
        <v>6</v>
      </c>
      <c r="AI60" s="137">
        <f t="shared" si="121"/>
        <v>6</v>
      </c>
      <c r="AJ60" s="137">
        <f t="shared" si="122"/>
        <v>3</v>
      </c>
      <c r="AK60" s="139">
        <f t="shared" si="123"/>
        <v>2</v>
      </c>
      <c r="AL60" s="137">
        <f t="shared" si="124"/>
        <v>3</v>
      </c>
      <c r="AM60" s="137">
        <f t="shared" si="125"/>
        <v>3</v>
      </c>
      <c r="AN60" s="137">
        <f t="shared" si="126"/>
        <v>7</v>
      </c>
      <c r="AO60" s="137">
        <f t="shared" si="127"/>
        <v>3</v>
      </c>
      <c r="AP60" s="137">
        <f t="shared" si="127"/>
        <v>5</v>
      </c>
      <c r="AQ60" s="137">
        <f t="shared" si="128"/>
        <v>3</v>
      </c>
      <c r="AR60" s="137">
        <f t="shared" si="129"/>
        <v>3</v>
      </c>
      <c r="AS60" s="138">
        <f t="shared" si="130"/>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3</v>
      </c>
      <c r="BI60" s="141">
        <v>6</v>
      </c>
      <c r="BJ60" s="141">
        <v>5</v>
      </c>
      <c r="BK60" s="141">
        <v>1</v>
      </c>
      <c r="BL60" s="141">
        <v>1</v>
      </c>
      <c r="BM60" s="141">
        <v>3</v>
      </c>
      <c r="BN60" s="141">
        <v>7</v>
      </c>
      <c r="BO60" s="141">
        <v>0</v>
      </c>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c r="A61" s="80">
        <f>ROWS($A$3:A59)</f>
        <v>57</v>
      </c>
      <c r="B61" s="52"/>
      <c r="C61" s="201"/>
      <c r="D61" s="260" t="s">
        <v>1</v>
      </c>
      <c r="E61" s="435"/>
      <c r="F61" s="116">
        <v>69092.44</v>
      </c>
      <c r="G61" s="137">
        <v>56207.8</v>
      </c>
      <c r="H61" s="137">
        <v>181809.84</v>
      </c>
      <c r="I61" s="138">
        <v>83635.16</v>
      </c>
      <c r="J61" s="141"/>
      <c r="K61" s="116">
        <f t="shared" si="100"/>
        <v>3640.5994290985</v>
      </c>
      <c r="L61" s="137">
        <f t="shared" si="101"/>
        <v>2435.46</v>
      </c>
      <c r="M61" s="137">
        <f t="shared" si="102"/>
        <v>2670.3195366896002</v>
      </c>
      <c r="N61" s="137">
        <f t="shared" si="103"/>
        <v>18759.650000000001</v>
      </c>
      <c r="O61" s="137">
        <f t="shared" si="104"/>
        <v>7507.4710391156004</v>
      </c>
      <c r="P61" s="137">
        <f>'2013'!AZ61+'2013'!BA61</f>
        <v>2511.9478698377002</v>
      </c>
      <c r="Q61" s="137">
        <f>'2013'!AU61</f>
        <v>5384.5298784226998</v>
      </c>
      <c r="R61" s="137">
        <f t="shared" si="105"/>
        <v>6609.3052492992001</v>
      </c>
      <c r="S61" s="137">
        <f t="shared" si="106"/>
        <v>17652.689999999999</v>
      </c>
      <c r="T61" s="137">
        <f t="shared" si="107"/>
        <v>713.74209477930003</v>
      </c>
      <c r="U61" s="139">
        <f t="shared" si="107"/>
        <v>1207.4505157019</v>
      </c>
      <c r="V61" s="137">
        <f t="shared" si="108"/>
        <v>14511.3994995348</v>
      </c>
      <c r="W61" s="137">
        <f t="shared" si="109"/>
        <v>17414.11</v>
      </c>
      <c r="X61" s="137">
        <f t="shared" si="110"/>
        <v>12525.99</v>
      </c>
      <c r="Y61" s="137">
        <f t="shared" si="111"/>
        <v>6488.9607463743996</v>
      </c>
      <c r="Z61" s="137">
        <f t="shared" si="112"/>
        <v>218.49048465249999</v>
      </c>
      <c r="AA61" s="137">
        <f t="shared" si="113"/>
        <v>2405</v>
      </c>
      <c r="AB61" s="139">
        <f t="shared" si="114"/>
        <v>2643.84</v>
      </c>
      <c r="AC61" s="137">
        <f t="shared" si="115"/>
        <v>50256.04</v>
      </c>
      <c r="AD61" s="137">
        <f t="shared" si="116"/>
        <v>12541.48</v>
      </c>
      <c r="AE61" s="137">
        <f t="shared" si="117"/>
        <v>29089.230000000003</v>
      </c>
      <c r="AF61" s="137">
        <f t="shared" si="118"/>
        <v>11378.64</v>
      </c>
      <c r="AG61" s="137">
        <f t="shared" si="119"/>
        <v>27556.19</v>
      </c>
      <c r="AH61" s="137">
        <f t="shared" si="120"/>
        <v>9555.6299999999992</v>
      </c>
      <c r="AI61" s="137">
        <f t="shared" si="121"/>
        <v>3414.5</v>
      </c>
      <c r="AJ61" s="137">
        <f t="shared" si="122"/>
        <v>20602.939999999999</v>
      </c>
      <c r="AK61" s="139">
        <f t="shared" si="123"/>
        <v>17415.176874928398</v>
      </c>
      <c r="AL61" s="137">
        <f t="shared" si="124"/>
        <v>19750.628003054801</v>
      </c>
      <c r="AM61" s="137">
        <f t="shared" si="125"/>
        <v>2982.4588136552002</v>
      </c>
      <c r="AN61" s="137">
        <f t="shared" si="126"/>
        <v>8762.4028419921997</v>
      </c>
      <c r="AO61" s="137">
        <f t="shared" si="127"/>
        <v>21889.07</v>
      </c>
      <c r="AP61" s="137">
        <f t="shared" si="127"/>
        <v>13694.94</v>
      </c>
      <c r="AQ61" s="137">
        <f t="shared" si="128"/>
        <v>8540.17</v>
      </c>
      <c r="AR61" s="137">
        <f t="shared" si="129"/>
        <v>882.97538220659999</v>
      </c>
      <c r="AS61" s="138">
        <f t="shared" si="130"/>
        <v>7132.5229704204003</v>
      </c>
      <c r="AT61" s="137">
        <v>3.0137999999999998</v>
      </c>
      <c r="AU61" s="137">
        <v>5384.5298784226998</v>
      </c>
      <c r="AV61" s="137">
        <v>17652.689999999999</v>
      </c>
      <c r="AW61" s="137">
        <v>18759.650000000001</v>
      </c>
      <c r="AX61" s="137">
        <v>6606.2914492992004</v>
      </c>
      <c r="AY61" s="137">
        <v>2435.46</v>
      </c>
      <c r="AZ61" s="137">
        <v>0</v>
      </c>
      <c r="BA61" s="137">
        <v>2511.9478698377002</v>
      </c>
      <c r="BB61" s="137">
        <v>713.74209477930003</v>
      </c>
      <c r="BC61" s="137">
        <v>1207.4505157019</v>
      </c>
      <c r="BD61" s="137">
        <v>2670.3195366896002</v>
      </c>
      <c r="BE61" s="137">
        <v>7507.4710391156004</v>
      </c>
      <c r="BF61" s="139">
        <v>3640.5994290985</v>
      </c>
      <c r="BG61" s="137">
        <v>365.5694995348</v>
      </c>
      <c r="BH61" s="137">
        <v>2893.58</v>
      </c>
      <c r="BI61" s="137">
        <v>9632.41</v>
      </c>
      <c r="BJ61" s="137">
        <v>14145.83</v>
      </c>
      <c r="BK61" s="137">
        <v>3.9557544061000001</v>
      </c>
      <c r="BL61" s="137">
        <v>418.254256134</v>
      </c>
      <c r="BM61" s="137">
        <v>218.49048465249999</v>
      </c>
      <c r="BN61" s="137">
        <v>6066.7507358343</v>
      </c>
      <c r="BO61" s="137">
        <v>0</v>
      </c>
      <c r="BP61" s="137">
        <v>2643.84</v>
      </c>
      <c r="BQ61" s="137">
        <v>2405</v>
      </c>
      <c r="BR61" s="139">
        <v>17414.11</v>
      </c>
      <c r="BS61" s="137">
        <v>2995.67</v>
      </c>
      <c r="BT61" s="137">
        <v>26093.56</v>
      </c>
      <c r="BU61" s="137">
        <v>12541.48</v>
      </c>
      <c r="BV61" s="137">
        <v>27556.19</v>
      </c>
      <c r="BW61" s="137">
        <v>3414.5</v>
      </c>
      <c r="BX61" s="137">
        <v>50256.04</v>
      </c>
      <c r="BY61" s="137">
        <v>20602.939999999999</v>
      </c>
      <c r="BZ61" s="137">
        <v>9555.6299999999992</v>
      </c>
      <c r="CA61" s="137">
        <v>11378.64</v>
      </c>
      <c r="CB61" s="139">
        <v>17415.176874928398</v>
      </c>
      <c r="CC61" s="137">
        <v>21889.07</v>
      </c>
      <c r="CD61" s="137">
        <v>13694.94</v>
      </c>
      <c r="CE61" s="137">
        <v>19750.628003054801</v>
      </c>
      <c r="CF61" s="137">
        <v>132.02297042039999</v>
      </c>
      <c r="CG61" s="137">
        <v>7000.5</v>
      </c>
      <c r="CH61" s="137">
        <v>2982.4588136552002</v>
      </c>
      <c r="CI61" s="137">
        <v>882.97538220659999</v>
      </c>
      <c r="CJ61" s="137">
        <v>8762.4028419921997</v>
      </c>
      <c r="CK61" s="138">
        <v>8540.17</v>
      </c>
      <c r="CL61" s="140">
        <v>397044.05</v>
      </c>
    </row>
    <row r="62" spans="1:90">
      <c r="A62" s="80">
        <f>ROWS($A$3:A60)</f>
        <v>58</v>
      </c>
      <c r="B62" s="92" t="s">
        <v>56</v>
      </c>
      <c r="C62" s="204">
        <v>2013</v>
      </c>
      <c r="D62" s="259" t="s">
        <v>13</v>
      </c>
      <c r="E62" s="436">
        <v>42184</v>
      </c>
      <c r="F62" s="116">
        <v>778</v>
      </c>
      <c r="G62" s="137">
        <v>407</v>
      </c>
      <c r="H62" s="137">
        <v>1000</v>
      </c>
      <c r="I62" s="138">
        <v>386</v>
      </c>
      <c r="J62" s="141"/>
      <c r="K62" s="116">
        <f t="shared" si="100"/>
        <v>80</v>
      </c>
      <c r="L62" s="137">
        <f t="shared" si="101"/>
        <v>180</v>
      </c>
      <c r="M62" s="137">
        <f t="shared" si="102"/>
        <v>51</v>
      </c>
      <c r="N62" s="137">
        <f t="shared" si="103"/>
        <v>41</v>
      </c>
      <c r="O62" s="137">
        <f t="shared" si="104"/>
        <v>17</v>
      </c>
      <c r="P62" s="137">
        <f>'2013'!AZ62+'2013'!BA62</f>
        <v>119</v>
      </c>
      <c r="Q62" s="137">
        <f>'2013'!AU62</f>
        <v>32</v>
      </c>
      <c r="R62" s="137">
        <f t="shared" si="105"/>
        <v>51</v>
      </c>
      <c r="S62" s="137">
        <f t="shared" si="106"/>
        <v>41</v>
      </c>
      <c r="T62" s="137">
        <f t="shared" si="107"/>
        <v>73</v>
      </c>
      <c r="U62" s="139">
        <f t="shared" si="107"/>
        <v>93</v>
      </c>
      <c r="V62" s="137">
        <f t="shared" si="108"/>
        <v>80</v>
      </c>
      <c r="W62" s="137">
        <f t="shared" si="109"/>
        <v>50</v>
      </c>
      <c r="X62" s="137">
        <f t="shared" si="110"/>
        <v>55</v>
      </c>
      <c r="Y62" s="137">
        <f t="shared" si="111"/>
        <v>67</v>
      </c>
      <c r="Z62" s="137">
        <f t="shared" si="112"/>
        <v>41</v>
      </c>
      <c r="AA62" s="137">
        <f t="shared" si="113"/>
        <v>49</v>
      </c>
      <c r="AB62" s="139">
        <f t="shared" si="114"/>
        <v>65</v>
      </c>
      <c r="AC62" s="137">
        <f t="shared" si="115"/>
        <v>123</v>
      </c>
      <c r="AD62" s="137">
        <f t="shared" si="116"/>
        <v>77</v>
      </c>
      <c r="AE62" s="137">
        <f t="shared" si="117"/>
        <v>134</v>
      </c>
      <c r="AF62" s="137">
        <f t="shared" si="118"/>
        <v>134</v>
      </c>
      <c r="AG62" s="137">
        <f t="shared" si="119"/>
        <v>139</v>
      </c>
      <c r="AH62" s="137">
        <f t="shared" si="120"/>
        <v>103</v>
      </c>
      <c r="AI62" s="137">
        <f t="shared" si="121"/>
        <v>44</v>
      </c>
      <c r="AJ62" s="137">
        <f t="shared" si="122"/>
        <v>62</v>
      </c>
      <c r="AK62" s="139">
        <f t="shared" si="123"/>
        <v>184</v>
      </c>
      <c r="AL62" s="137">
        <f t="shared" si="124"/>
        <v>41</v>
      </c>
      <c r="AM62" s="137">
        <f t="shared" si="125"/>
        <v>50</v>
      </c>
      <c r="AN62" s="137">
        <f t="shared" si="126"/>
        <v>81</v>
      </c>
      <c r="AO62" s="137">
        <f t="shared" si="127"/>
        <v>45</v>
      </c>
      <c r="AP62" s="137">
        <f t="shared" si="127"/>
        <v>15</v>
      </c>
      <c r="AQ62" s="137">
        <f t="shared" si="128"/>
        <v>67</v>
      </c>
      <c r="AR62" s="137">
        <f t="shared" si="129"/>
        <v>45</v>
      </c>
      <c r="AS62" s="138">
        <f t="shared" si="130"/>
        <v>42</v>
      </c>
      <c r="AT62" s="137">
        <v>4</v>
      </c>
      <c r="AU62" s="137">
        <v>32</v>
      </c>
      <c r="AV62" s="137">
        <v>41</v>
      </c>
      <c r="AW62" s="137">
        <v>41</v>
      </c>
      <c r="AX62" s="137">
        <v>47</v>
      </c>
      <c r="AY62" s="137">
        <v>180</v>
      </c>
      <c r="AZ62" s="137">
        <v>9</v>
      </c>
      <c r="BA62" s="137">
        <v>110</v>
      </c>
      <c r="BB62" s="137">
        <v>73</v>
      </c>
      <c r="BC62" s="137">
        <v>93</v>
      </c>
      <c r="BD62" s="137">
        <v>51</v>
      </c>
      <c r="BE62" s="137">
        <v>17</v>
      </c>
      <c r="BF62" s="139">
        <v>80</v>
      </c>
      <c r="BG62" s="137">
        <v>10</v>
      </c>
      <c r="BH62" s="137">
        <v>4</v>
      </c>
      <c r="BI62" s="137">
        <v>51</v>
      </c>
      <c r="BJ62" s="137">
        <v>70</v>
      </c>
      <c r="BK62" s="137">
        <v>9</v>
      </c>
      <c r="BL62" s="137">
        <v>3</v>
      </c>
      <c r="BM62" s="137">
        <v>41</v>
      </c>
      <c r="BN62" s="137">
        <v>55</v>
      </c>
      <c r="BO62" s="137">
        <v>7</v>
      </c>
      <c r="BP62" s="137">
        <v>65</v>
      </c>
      <c r="BQ62" s="137">
        <v>42</v>
      </c>
      <c r="BR62" s="139">
        <v>50</v>
      </c>
      <c r="BS62" s="137">
        <v>9</v>
      </c>
      <c r="BT62" s="137">
        <v>125</v>
      </c>
      <c r="BU62" s="137">
        <v>77</v>
      </c>
      <c r="BV62" s="137">
        <v>139</v>
      </c>
      <c r="BW62" s="137">
        <v>44</v>
      </c>
      <c r="BX62" s="137">
        <v>123</v>
      </c>
      <c r="BY62" s="137">
        <v>62</v>
      </c>
      <c r="BZ62" s="137">
        <v>103</v>
      </c>
      <c r="CA62" s="137">
        <v>134</v>
      </c>
      <c r="CB62" s="139">
        <v>184</v>
      </c>
      <c r="CC62" s="137">
        <v>45</v>
      </c>
      <c r="CD62" s="137">
        <v>15</v>
      </c>
      <c r="CE62" s="137">
        <v>41</v>
      </c>
      <c r="CF62" s="137">
        <v>3</v>
      </c>
      <c r="CG62" s="137">
        <v>39</v>
      </c>
      <c r="CH62" s="137">
        <v>50</v>
      </c>
      <c r="CI62" s="137">
        <v>45</v>
      </c>
      <c r="CJ62" s="137">
        <v>81</v>
      </c>
      <c r="CK62" s="138">
        <v>67</v>
      </c>
      <c r="CL62" s="140">
        <v>2571</v>
      </c>
    </row>
    <row r="63" spans="1:90">
      <c r="A63" s="80">
        <f>ROWS($A$3:A61)</f>
        <v>59</v>
      </c>
      <c r="B63" s="92"/>
      <c r="C63" s="203"/>
      <c r="D63" s="259" t="s">
        <v>1</v>
      </c>
      <c r="E63" s="435"/>
      <c r="F63" s="116">
        <v>278834</v>
      </c>
      <c r="G63" s="137">
        <v>203713</v>
      </c>
      <c r="H63" s="137">
        <v>155459</v>
      </c>
      <c r="I63" s="138">
        <v>304351</v>
      </c>
      <c r="J63" s="141"/>
      <c r="K63" s="116">
        <f t="shared" si="100"/>
        <v>39897</v>
      </c>
      <c r="L63" s="137">
        <f t="shared" si="101"/>
        <v>8175</v>
      </c>
      <c r="M63" s="137">
        <f t="shared" si="102"/>
        <v>51750</v>
      </c>
      <c r="N63" s="137">
        <f t="shared" si="103"/>
        <v>21182</v>
      </c>
      <c r="O63" s="137">
        <f t="shared" si="104"/>
        <v>57933</v>
      </c>
      <c r="P63" s="137">
        <f>'2013'!AZ63+'2013'!BA63</f>
        <v>27339</v>
      </c>
      <c r="Q63" s="137">
        <f>'2013'!AU63</f>
        <v>27130</v>
      </c>
      <c r="R63" s="137">
        <f t="shared" si="105"/>
        <v>16746</v>
      </c>
      <c r="S63" s="137">
        <f t="shared" si="106"/>
        <v>9237</v>
      </c>
      <c r="T63" s="137">
        <f t="shared" si="107"/>
        <v>13014</v>
      </c>
      <c r="U63" s="139">
        <f t="shared" si="107"/>
        <v>6432</v>
      </c>
      <c r="V63" s="137">
        <f t="shared" si="108"/>
        <v>21520</v>
      </c>
      <c r="W63" s="137">
        <f t="shared" si="109"/>
        <v>16240</v>
      </c>
      <c r="X63" s="137">
        <f t="shared" si="110"/>
        <v>42666</v>
      </c>
      <c r="Y63" s="137">
        <f t="shared" si="111"/>
        <v>41035</v>
      </c>
      <c r="Z63" s="137">
        <f t="shared" si="112"/>
        <v>29382</v>
      </c>
      <c r="AA63" s="137">
        <f t="shared" si="113"/>
        <v>26425</v>
      </c>
      <c r="AB63" s="139">
        <f t="shared" si="114"/>
        <v>26447</v>
      </c>
      <c r="AC63" s="137">
        <f t="shared" si="115"/>
        <v>20118</v>
      </c>
      <c r="AD63" s="137">
        <f t="shared" si="116"/>
        <v>8256</v>
      </c>
      <c r="AE63" s="137">
        <f t="shared" si="117"/>
        <v>19212</v>
      </c>
      <c r="AF63" s="137">
        <f t="shared" si="118"/>
        <v>10140</v>
      </c>
      <c r="AG63" s="137">
        <f t="shared" si="119"/>
        <v>18925</v>
      </c>
      <c r="AH63" s="137">
        <f t="shared" si="120"/>
        <v>25607</v>
      </c>
      <c r="AI63" s="137">
        <f t="shared" si="121"/>
        <v>17892</v>
      </c>
      <c r="AJ63" s="137">
        <f t="shared" si="122"/>
        <v>14426</v>
      </c>
      <c r="AK63" s="139">
        <f t="shared" si="123"/>
        <v>20884</v>
      </c>
      <c r="AL63" s="137">
        <f t="shared" si="124"/>
        <v>30425</v>
      </c>
      <c r="AM63" s="137">
        <f t="shared" si="125"/>
        <v>28174</v>
      </c>
      <c r="AN63" s="137">
        <f t="shared" si="126"/>
        <v>21544</v>
      </c>
      <c r="AO63" s="137">
        <f t="shared" si="127"/>
        <v>65216</v>
      </c>
      <c r="AP63" s="137">
        <f t="shared" si="127"/>
        <v>12098</v>
      </c>
      <c r="AQ63" s="137">
        <f t="shared" si="128"/>
        <v>43946</v>
      </c>
      <c r="AR63" s="137">
        <f t="shared" si="129"/>
        <v>8569</v>
      </c>
      <c r="AS63" s="138">
        <f t="shared" si="130"/>
        <v>94379</v>
      </c>
      <c r="AT63" s="137">
        <v>1265</v>
      </c>
      <c r="AU63" s="137">
        <v>27130</v>
      </c>
      <c r="AV63" s="137">
        <v>9237</v>
      </c>
      <c r="AW63" s="137">
        <v>21182</v>
      </c>
      <c r="AX63" s="137">
        <v>15481</v>
      </c>
      <c r="AY63" s="137">
        <v>8175</v>
      </c>
      <c r="AZ63" s="137">
        <v>2754</v>
      </c>
      <c r="BA63" s="137">
        <v>24585</v>
      </c>
      <c r="BB63" s="137">
        <v>13014</v>
      </c>
      <c r="BC63" s="137">
        <v>6432</v>
      </c>
      <c r="BD63" s="137">
        <v>51750</v>
      </c>
      <c r="BE63" s="137">
        <v>57933</v>
      </c>
      <c r="BF63" s="139">
        <v>39897</v>
      </c>
      <c r="BG63" s="137">
        <v>3662</v>
      </c>
      <c r="BH63" s="137">
        <v>6757</v>
      </c>
      <c r="BI63" s="137">
        <v>35909</v>
      </c>
      <c r="BJ63" s="137">
        <v>17858</v>
      </c>
      <c r="BK63" s="137">
        <v>4244</v>
      </c>
      <c r="BL63" s="137">
        <v>2329</v>
      </c>
      <c r="BM63" s="137">
        <v>29382</v>
      </c>
      <c r="BN63" s="137">
        <v>34462</v>
      </c>
      <c r="BO63" s="137">
        <v>3392</v>
      </c>
      <c r="BP63" s="137">
        <v>26447</v>
      </c>
      <c r="BQ63" s="137">
        <v>23033</v>
      </c>
      <c r="BR63" s="139">
        <v>16240</v>
      </c>
      <c r="BS63" s="137">
        <v>1785</v>
      </c>
      <c r="BT63" s="137">
        <v>17427</v>
      </c>
      <c r="BU63" s="137">
        <v>8256</v>
      </c>
      <c r="BV63" s="137">
        <v>18925</v>
      </c>
      <c r="BW63" s="137">
        <v>17892</v>
      </c>
      <c r="BX63" s="137">
        <v>20118</v>
      </c>
      <c r="BY63" s="137">
        <v>14426</v>
      </c>
      <c r="BZ63" s="137">
        <v>25607</v>
      </c>
      <c r="CA63" s="137">
        <v>10140</v>
      </c>
      <c r="CB63" s="139">
        <v>20884</v>
      </c>
      <c r="CC63" s="137">
        <v>65216</v>
      </c>
      <c r="CD63" s="137">
        <v>12098</v>
      </c>
      <c r="CE63" s="137">
        <v>30425</v>
      </c>
      <c r="CF63" s="137">
        <v>827</v>
      </c>
      <c r="CG63" s="137">
        <v>93552</v>
      </c>
      <c r="CH63" s="137">
        <v>28174</v>
      </c>
      <c r="CI63" s="137">
        <v>8569</v>
      </c>
      <c r="CJ63" s="137">
        <v>21544</v>
      </c>
      <c r="CK63" s="138">
        <v>43946</v>
      </c>
      <c r="CL63" s="140">
        <v>942357</v>
      </c>
    </row>
    <row r="64" spans="1:90">
      <c r="A64" s="80">
        <f>ROWS($A$3:A62)</f>
        <v>60</v>
      </c>
      <c r="B64" s="59" t="s">
        <v>80</v>
      </c>
      <c r="C64" s="201"/>
      <c r="D64" s="260"/>
      <c r="E64" s="435"/>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2012</v>
      </c>
      <c r="D65" s="260" t="s">
        <v>59</v>
      </c>
      <c r="E65" s="483">
        <v>42909</v>
      </c>
      <c r="F65" s="496">
        <f>SUM(AT65:BF65)</f>
        <v>314479.37931325939</v>
      </c>
      <c r="G65" s="494">
        <f>SUM(BG65:BR65)</f>
        <v>89897.598673236018</v>
      </c>
      <c r="H65" s="494">
        <f>SUM(BS65:CB65)</f>
        <v>243038.02430056274</v>
      </c>
      <c r="I65" s="495">
        <f>SUM(CC65:CK65)</f>
        <v>253397.00401661822</v>
      </c>
      <c r="J65" s="141"/>
      <c r="K65" s="145">
        <f>BF65</f>
        <v>67088.18121349439</v>
      </c>
      <c r="L65" s="146">
        <f>AY65</f>
        <v>21694.709696189002</v>
      </c>
      <c r="M65" s="146">
        <f>BD65</f>
        <v>50743.632540982115</v>
      </c>
      <c r="N65" s="146">
        <f>AW65</f>
        <v>23858.964067028599</v>
      </c>
      <c r="O65" s="146">
        <f>BE65</f>
        <v>13645.5788599189</v>
      </c>
      <c r="P65" s="146">
        <f>'2016'!AZ65+'2016'!BA65</f>
        <v>7281.3166639667988</v>
      </c>
      <c r="Q65" s="146">
        <f>'2016'!AU65</f>
        <v>13241.415086714902</v>
      </c>
      <c r="R65" s="146">
        <f>AT65+AX65</f>
        <v>298.92548990300003</v>
      </c>
      <c r="S65" s="146">
        <f>AV65</f>
        <v>16464.466047333601</v>
      </c>
      <c r="T65" s="146">
        <f>BB65</f>
        <v>24314.555380037702</v>
      </c>
      <c r="U65" s="147">
        <f>BC65</f>
        <v>75847.634267690344</v>
      </c>
      <c r="V65" s="146">
        <f>BG65+BJ65</f>
        <v>4782.2159732278005</v>
      </c>
      <c r="W65" s="146">
        <f>BR65</f>
        <v>19006.765023481599</v>
      </c>
      <c r="X65" s="146">
        <f>BH65+BI65</f>
        <v>2395.2442394348</v>
      </c>
      <c r="Y65" s="146">
        <f>BK65+BL65+BN65</f>
        <v>3495.0278979200002</v>
      </c>
      <c r="Z65" s="146">
        <f>BM65</f>
        <v>33553.801581314015</v>
      </c>
      <c r="AA65" s="146">
        <f>BO65+BQ65</f>
        <v>11118.094937060299</v>
      </c>
      <c r="AB65" s="147">
        <f>BP65</f>
        <v>15546.4490207975</v>
      </c>
      <c r="AC65" s="146">
        <f>BX65</f>
        <v>41771.511534796999</v>
      </c>
      <c r="AD65" s="146">
        <f>BU65</f>
        <v>11015.238704522701</v>
      </c>
      <c r="AE65" s="146">
        <f>BS65+BT65</f>
        <v>27698.816682424698</v>
      </c>
      <c r="AF65" s="146">
        <f>CA65</f>
        <v>15108.251329657398</v>
      </c>
      <c r="AG65" s="146">
        <f>BV65</f>
        <v>22911.120215382292</v>
      </c>
      <c r="AH65" s="146">
        <f>BZ65</f>
        <v>21429.034589089897</v>
      </c>
      <c r="AI65" s="146">
        <f>BW65</f>
        <v>32481.177064181302</v>
      </c>
      <c r="AJ65" s="146">
        <f>BY65</f>
        <v>27337.876733838995</v>
      </c>
      <c r="AK65" s="147">
        <f>CB65</f>
        <v>43284.997446668494</v>
      </c>
      <c r="AL65" s="146">
        <f>CE65</f>
        <v>37587.49923149489</v>
      </c>
      <c r="AM65" s="146">
        <f>CH65</f>
        <v>11780.271234555999</v>
      </c>
      <c r="AN65" s="146">
        <f>CJ65</f>
        <v>53315.547431706007</v>
      </c>
      <c r="AO65" s="146">
        <f>CC65</f>
        <v>48696.591738932875</v>
      </c>
      <c r="AP65" s="146">
        <f>CD65</f>
        <v>13425.063013786003</v>
      </c>
      <c r="AQ65" s="146">
        <f>CK65</f>
        <v>43548.144464026969</v>
      </c>
      <c r="AR65" s="146">
        <f>CI65</f>
        <v>10746.678063158999</v>
      </c>
      <c r="AS65" s="150">
        <f>CF65+CG65</f>
        <v>34297.208838956503</v>
      </c>
      <c r="AT65" s="493">
        <v>0</v>
      </c>
      <c r="AU65" s="493">
        <v>13241.415086714902</v>
      </c>
      <c r="AV65" s="493">
        <v>16464.466047333601</v>
      </c>
      <c r="AW65" s="493">
        <v>23858.964067028599</v>
      </c>
      <c r="AX65" s="493">
        <v>298.92548990300003</v>
      </c>
      <c r="AY65" s="493">
        <v>21694.709696189002</v>
      </c>
      <c r="AZ65" s="493">
        <v>0</v>
      </c>
      <c r="BA65" s="493">
        <v>7281.3166639667988</v>
      </c>
      <c r="BB65" s="493">
        <v>24314.555380037702</v>
      </c>
      <c r="BC65" s="493">
        <v>75847.634267690344</v>
      </c>
      <c r="BD65" s="493">
        <v>50743.632540982115</v>
      </c>
      <c r="BE65" s="493">
        <v>13645.5788599189</v>
      </c>
      <c r="BF65" s="510">
        <v>67088.18121349439</v>
      </c>
      <c r="BG65" s="493">
        <v>1368.2561210222</v>
      </c>
      <c r="BH65" s="493">
        <v>0</v>
      </c>
      <c r="BI65" s="493">
        <v>2395.2442394348</v>
      </c>
      <c r="BJ65" s="493">
        <v>3413.9598522056003</v>
      </c>
      <c r="BK65" s="493">
        <v>0</v>
      </c>
      <c r="BL65" s="493">
        <v>0</v>
      </c>
      <c r="BM65" s="493">
        <v>33553.801581314015</v>
      </c>
      <c r="BN65" s="493">
        <v>3495.0278979200002</v>
      </c>
      <c r="BO65" s="493">
        <v>408.51585075379995</v>
      </c>
      <c r="BP65" s="493">
        <v>15546.4490207975</v>
      </c>
      <c r="BQ65" s="493">
        <v>10709.579086306499</v>
      </c>
      <c r="BR65" s="510">
        <v>19006.765023481599</v>
      </c>
      <c r="BS65" s="493">
        <v>1030.3934755529999</v>
      </c>
      <c r="BT65" s="493">
        <v>26668.423206871699</v>
      </c>
      <c r="BU65" s="493">
        <v>11015.238704522701</v>
      </c>
      <c r="BV65" s="493">
        <v>22911.120215382292</v>
      </c>
      <c r="BW65" s="493">
        <v>32481.177064181302</v>
      </c>
      <c r="BX65" s="493">
        <v>41771.511534796999</v>
      </c>
      <c r="BY65" s="493">
        <v>27337.876733838995</v>
      </c>
      <c r="BZ65" s="493">
        <v>21429.034589089897</v>
      </c>
      <c r="CA65" s="493">
        <v>15108.251329657398</v>
      </c>
      <c r="CB65" s="510">
        <v>43284.997446668494</v>
      </c>
      <c r="CC65" s="493">
        <v>48696.591738932875</v>
      </c>
      <c r="CD65" s="493">
        <v>13425.063013786003</v>
      </c>
      <c r="CE65" s="493">
        <v>37587.49923149489</v>
      </c>
      <c r="CF65" s="493">
        <v>438.39042787099999</v>
      </c>
      <c r="CG65" s="493">
        <v>33858.8184110855</v>
      </c>
      <c r="CH65" s="493">
        <v>11780.271234555999</v>
      </c>
      <c r="CI65" s="493">
        <v>10746.678063158999</v>
      </c>
      <c r="CJ65" s="493">
        <v>53315.547431706007</v>
      </c>
      <c r="CK65" s="509">
        <v>43548.144464026969</v>
      </c>
      <c r="CL65" s="511">
        <v>900812.00630367652</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2013</v>
      </c>
      <c r="D67" s="260" t="s">
        <v>3</v>
      </c>
      <c r="E67" s="483">
        <v>42909</v>
      </c>
      <c r="F67" s="526">
        <f>IF(F65/F35%&gt;100,100,F65/F35%)</f>
        <v>67.700732230516053</v>
      </c>
      <c r="G67" s="523">
        <f t="shared" ref="G67:BR67" si="131">IF(G65/G35%&gt;100,100,G65/G35%)</f>
        <v>44.643438219198686</v>
      </c>
      <c r="H67" s="523">
        <f t="shared" si="131"/>
        <v>76.362455753014814</v>
      </c>
      <c r="I67" s="525">
        <f t="shared" si="131"/>
        <v>59.505633380053453</v>
      </c>
      <c r="J67" s="173"/>
      <c r="K67" s="170">
        <f t="shared" si="131"/>
        <v>100</v>
      </c>
      <c r="L67" s="171">
        <f t="shared" si="131"/>
        <v>85.090640477678861</v>
      </c>
      <c r="M67" s="171">
        <f t="shared" si="131"/>
        <v>74.572542898895037</v>
      </c>
      <c r="N67" s="171">
        <f t="shared" si="131"/>
        <v>84.828856101218093</v>
      </c>
      <c r="O67" s="171">
        <f t="shared" si="131"/>
        <v>52.10224841511608</v>
      </c>
      <c r="P67" s="171">
        <f t="shared" si="131"/>
        <v>12.537349835505964</v>
      </c>
      <c r="Q67" s="171">
        <f t="shared" si="131"/>
        <v>60.029989512716028</v>
      </c>
      <c r="R67" s="171">
        <f t="shared" si="131"/>
        <v>0.86227677590503937</v>
      </c>
      <c r="S67" s="171">
        <f t="shared" si="131"/>
        <v>83.861182943684611</v>
      </c>
      <c r="T67" s="171">
        <f t="shared" si="131"/>
        <v>58.980122207489877</v>
      </c>
      <c r="U67" s="172">
        <f t="shared" si="131"/>
        <v>99.351131430111934</v>
      </c>
      <c r="V67" s="171">
        <f t="shared" si="131"/>
        <v>29.838497368364635</v>
      </c>
      <c r="W67" s="171">
        <f t="shared" si="131"/>
        <v>100</v>
      </c>
      <c r="X67" s="171">
        <f t="shared" si="131"/>
        <v>6.0010127760555196</v>
      </c>
      <c r="Y67" s="171">
        <f t="shared" si="131"/>
        <v>8.1693887567668657</v>
      </c>
      <c r="Z67" s="171">
        <f t="shared" si="131"/>
        <v>72.434431235701524</v>
      </c>
      <c r="AA67" s="171">
        <f t="shared" si="131"/>
        <v>55.16022493084094</v>
      </c>
      <c r="AB67" s="172">
        <f t="shared" si="131"/>
        <v>90.113894161821804</v>
      </c>
      <c r="AC67" s="171">
        <f t="shared" si="131"/>
        <v>100</v>
      </c>
      <c r="AD67" s="171">
        <f t="shared" si="131"/>
        <v>49.384616473986547</v>
      </c>
      <c r="AE67" s="171">
        <f t="shared" si="131"/>
        <v>53.119854024287925</v>
      </c>
      <c r="AF67" s="171">
        <f t="shared" si="131"/>
        <v>65.268063459726108</v>
      </c>
      <c r="AG67" s="171">
        <f t="shared" si="131"/>
        <v>41.281297685373502</v>
      </c>
      <c r="AH67" s="171">
        <f t="shared" si="131"/>
        <v>63.672662573436028</v>
      </c>
      <c r="AI67" s="171">
        <f t="shared" si="131"/>
        <v>100</v>
      </c>
      <c r="AJ67" s="171">
        <f t="shared" si="131"/>
        <v>100</v>
      </c>
      <c r="AK67" s="172">
        <f t="shared" si="131"/>
        <v>100</v>
      </c>
      <c r="AL67" s="171">
        <f t="shared" si="131"/>
        <v>100</v>
      </c>
      <c r="AM67" s="171">
        <f t="shared" si="131"/>
        <v>15.432939310585336</v>
      </c>
      <c r="AN67" s="171">
        <f t="shared" si="131"/>
        <v>61.839504769075354</v>
      </c>
      <c r="AO67" s="171">
        <f t="shared" si="131"/>
        <v>100</v>
      </c>
      <c r="AP67" s="171">
        <f t="shared" si="131"/>
        <v>66.814627053132938</v>
      </c>
      <c r="AQ67" s="171">
        <f t="shared" si="131"/>
        <v>79.907784623338415</v>
      </c>
      <c r="AR67" s="171">
        <f t="shared" si="131"/>
        <v>32.194961243735769</v>
      </c>
      <c r="AS67" s="174">
        <f t="shared" si="131"/>
        <v>43.568055333337355</v>
      </c>
      <c r="AT67" s="523">
        <f t="shared" si="131"/>
        <v>0</v>
      </c>
      <c r="AU67" s="523">
        <f t="shared" si="131"/>
        <v>60.029989512716028</v>
      </c>
      <c r="AV67" s="523">
        <f t="shared" si="131"/>
        <v>83.861182943684611</v>
      </c>
      <c r="AW67" s="523">
        <f t="shared" si="131"/>
        <v>84.828856101218093</v>
      </c>
      <c r="AX67" s="523">
        <f t="shared" si="131"/>
        <v>0.92932130169433569</v>
      </c>
      <c r="AY67" s="523">
        <f t="shared" si="131"/>
        <v>85.090640477678861</v>
      </c>
      <c r="AZ67" s="523">
        <f t="shared" si="131"/>
        <v>0</v>
      </c>
      <c r="BA67" s="523">
        <f t="shared" si="131"/>
        <v>13.509938889651918</v>
      </c>
      <c r="BB67" s="523">
        <f t="shared" si="131"/>
        <v>58.980122207489877</v>
      </c>
      <c r="BC67" s="523">
        <f t="shared" si="131"/>
        <v>99.351131430111934</v>
      </c>
      <c r="BD67" s="523">
        <f t="shared" si="131"/>
        <v>74.572542898895037</v>
      </c>
      <c r="BE67" s="523">
        <f t="shared" si="131"/>
        <v>52.10224841511608</v>
      </c>
      <c r="BF67" s="524">
        <f t="shared" si="131"/>
        <v>100</v>
      </c>
      <c r="BG67" s="523">
        <f t="shared" si="131"/>
        <v>90.194866250639421</v>
      </c>
      <c r="BH67" s="523">
        <f t="shared" si="131"/>
        <v>0</v>
      </c>
      <c r="BI67" s="523">
        <f t="shared" si="131"/>
        <v>6.4050813975687237</v>
      </c>
      <c r="BJ67" s="523">
        <f t="shared" si="131"/>
        <v>23.528324274332189</v>
      </c>
      <c r="BK67" s="523">
        <f t="shared" si="131"/>
        <v>0</v>
      </c>
      <c r="BL67" s="523">
        <f t="shared" si="131"/>
        <v>0</v>
      </c>
      <c r="BM67" s="523">
        <f t="shared" si="131"/>
        <v>72.434431235701524</v>
      </c>
      <c r="BN67" s="523">
        <f t="shared" si="131"/>
        <v>9.1740239334330784</v>
      </c>
      <c r="BO67" s="523">
        <f t="shared" si="131"/>
        <v>40.089877404690874</v>
      </c>
      <c r="BP67" s="523">
        <f t="shared" si="131"/>
        <v>90.113894161821804</v>
      </c>
      <c r="BQ67" s="523">
        <f t="shared" si="131"/>
        <v>55.962685302327948</v>
      </c>
      <c r="BR67" s="524">
        <f t="shared" si="131"/>
        <v>100</v>
      </c>
      <c r="BS67" s="523">
        <f t="shared" ref="BS67:CL67" si="132">IF(BS65/BS35%&gt;100,100,BS65/BS35%)</f>
        <v>29.901145547098082</v>
      </c>
      <c r="BT67" s="523">
        <f t="shared" si="132"/>
        <v>54.762871589945583</v>
      </c>
      <c r="BU67" s="523">
        <f t="shared" si="132"/>
        <v>49.384616473986547</v>
      </c>
      <c r="BV67" s="523">
        <f t="shared" si="132"/>
        <v>41.281297685373502</v>
      </c>
      <c r="BW67" s="523">
        <f t="shared" si="132"/>
        <v>100</v>
      </c>
      <c r="BX67" s="523">
        <f t="shared" si="132"/>
        <v>100</v>
      </c>
      <c r="BY67" s="523">
        <f t="shared" si="132"/>
        <v>100</v>
      </c>
      <c r="BZ67" s="523">
        <f t="shared" si="132"/>
        <v>63.672662573436028</v>
      </c>
      <c r="CA67" s="523">
        <f t="shared" si="132"/>
        <v>65.268063459726108</v>
      </c>
      <c r="CB67" s="524">
        <f t="shared" si="132"/>
        <v>100</v>
      </c>
      <c r="CC67" s="523">
        <f t="shared" si="132"/>
        <v>100</v>
      </c>
      <c r="CD67" s="523">
        <f t="shared" si="132"/>
        <v>66.814627053132938</v>
      </c>
      <c r="CE67" s="523">
        <f t="shared" si="132"/>
        <v>100</v>
      </c>
      <c r="CF67" s="523">
        <f t="shared" si="132"/>
        <v>9.3393785230293993</v>
      </c>
      <c r="CG67" s="523">
        <f t="shared" si="132"/>
        <v>45.738471653701353</v>
      </c>
      <c r="CH67" s="523">
        <f t="shared" si="132"/>
        <v>15.432939310585336</v>
      </c>
      <c r="CI67" s="523">
        <f t="shared" si="132"/>
        <v>32.194961243735769</v>
      </c>
      <c r="CJ67" s="523">
        <f t="shared" si="132"/>
        <v>61.839504769075354</v>
      </c>
      <c r="CK67" s="525">
        <f t="shared" si="132"/>
        <v>79.907784623338415</v>
      </c>
      <c r="CL67" s="478">
        <f t="shared" si="132"/>
        <v>63.887920060573322</v>
      </c>
    </row>
    <row r="68" spans="1:90">
      <c r="A68" s="80">
        <f>ROWS($A$3:A66)</f>
        <v>64</v>
      </c>
      <c r="B68" s="59" t="s">
        <v>81</v>
      </c>
      <c r="C68" s="201"/>
      <c r="D68" s="260"/>
      <c r="E68" s="436">
        <v>42572</v>
      </c>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306</v>
      </c>
      <c r="C69" s="202">
        <v>2013</v>
      </c>
      <c r="D69" s="259" t="s">
        <v>13</v>
      </c>
      <c r="E69" s="435"/>
      <c r="F69" s="116">
        <v>714</v>
      </c>
      <c r="G69" s="137">
        <v>219</v>
      </c>
      <c r="H69" s="137">
        <v>1053</v>
      </c>
      <c r="I69" s="138">
        <v>842</v>
      </c>
      <c r="J69" s="141"/>
      <c r="K69" s="116">
        <f>BF69</f>
        <v>105</v>
      </c>
      <c r="L69" s="137">
        <f>AY69</f>
        <v>74</v>
      </c>
      <c r="M69" s="137">
        <f>BD69</f>
        <v>89</v>
      </c>
      <c r="N69" s="137">
        <f>AW69</f>
        <v>35</v>
      </c>
      <c r="O69" s="137">
        <f>BE69</f>
        <v>51</v>
      </c>
      <c r="P69" s="137">
        <f>SUM(AZ69,BA69)</f>
        <v>68</v>
      </c>
      <c r="Q69" s="137">
        <f>'2010'!AU69</f>
        <v>29</v>
      </c>
      <c r="R69" s="137">
        <f>SUM(AT69+AX69)</f>
        <v>44</v>
      </c>
      <c r="S69" s="137">
        <f>AV69</f>
        <v>39</v>
      </c>
      <c r="T69" s="137">
        <f>BB69</f>
        <v>40</v>
      </c>
      <c r="U69" s="139">
        <f>BC69</f>
        <v>141</v>
      </c>
      <c r="V69" s="137">
        <f>SUM(BG69,BJ69)</f>
        <v>11</v>
      </c>
      <c r="W69" s="137">
        <f>BR69</f>
        <v>37</v>
      </c>
      <c r="X69" s="137">
        <f>SUM(BH69,BI69)</f>
        <v>34</v>
      </c>
      <c r="Y69" s="137">
        <f>SUM(BK69,BL69,BN69)</f>
        <v>31</v>
      </c>
      <c r="Z69" s="137">
        <f>BM69</f>
        <v>39</v>
      </c>
      <c r="AA69" s="137">
        <f>SUM(BO69,BQ69)</f>
        <v>36</v>
      </c>
      <c r="AB69" s="139">
        <f>BP69</f>
        <v>31</v>
      </c>
      <c r="AC69" s="137">
        <f>BX69</f>
        <v>118</v>
      </c>
      <c r="AD69" s="137">
        <f>BU69</f>
        <v>78</v>
      </c>
      <c r="AE69" s="137">
        <f>SUM(BS69+BT69)</f>
        <v>278</v>
      </c>
      <c r="AF69" s="137">
        <f>CA69</f>
        <v>103</v>
      </c>
      <c r="AG69" s="137">
        <f>BV69</f>
        <v>124</v>
      </c>
      <c r="AH69" s="137">
        <f>BZ69</f>
        <v>66</v>
      </c>
      <c r="AI69" s="137">
        <f>BW69</f>
        <v>51</v>
      </c>
      <c r="AJ69" s="137">
        <f>BY69</f>
        <v>48</v>
      </c>
      <c r="AK69" s="139">
        <f>CB69</f>
        <v>187</v>
      </c>
      <c r="AL69" s="137">
        <f>CE69</f>
        <v>71</v>
      </c>
      <c r="AM69" s="137">
        <f>CH69</f>
        <v>87</v>
      </c>
      <c r="AN69" s="137">
        <f>CJ69</f>
        <v>295</v>
      </c>
      <c r="AO69" s="137">
        <f>CC69</f>
        <v>87</v>
      </c>
      <c r="AP69" s="137">
        <f>CD69</f>
        <v>41</v>
      </c>
      <c r="AQ69" s="137">
        <f>CK69</f>
        <v>66</v>
      </c>
      <c r="AR69" s="137">
        <f>CI69</f>
        <v>109</v>
      </c>
      <c r="AS69" s="138">
        <f>SUM(CF69:CG69)</f>
        <v>86</v>
      </c>
      <c r="AT69" s="137">
        <v>0</v>
      </c>
      <c r="AU69" s="137">
        <v>28</v>
      </c>
      <c r="AV69" s="137">
        <v>39</v>
      </c>
      <c r="AW69" s="137">
        <v>35</v>
      </c>
      <c r="AX69" s="137">
        <v>44</v>
      </c>
      <c r="AY69" s="137">
        <v>74</v>
      </c>
      <c r="AZ69" s="137">
        <v>0</v>
      </c>
      <c r="BA69" s="137">
        <v>68</v>
      </c>
      <c r="BB69" s="137">
        <v>40</v>
      </c>
      <c r="BC69" s="137">
        <v>141</v>
      </c>
      <c r="BD69" s="137">
        <v>89</v>
      </c>
      <c r="BE69" s="137">
        <v>51</v>
      </c>
      <c r="BF69" s="139">
        <v>105</v>
      </c>
      <c r="BG69" s="137">
        <v>0</v>
      </c>
      <c r="BH69" s="137">
        <v>0</v>
      </c>
      <c r="BI69" s="137">
        <v>34</v>
      </c>
      <c r="BJ69" s="137">
        <v>11</v>
      </c>
      <c r="BK69" s="137">
        <v>0</v>
      </c>
      <c r="BL69" s="137">
        <v>0</v>
      </c>
      <c r="BM69" s="137">
        <v>39</v>
      </c>
      <c r="BN69" s="137">
        <v>31</v>
      </c>
      <c r="BO69" s="137">
        <v>0</v>
      </c>
      <c r="BP69" s="137">
        <v>31</v>
      </c>
      <c r="BQ69" s="137">
        <v>36</v>
      </c>
      <c r="BR69" s="139">
        <v>37</v>
      </c>
      <c r="BS69" s="137">
        <v>0</v>
      </c>
      <c r="BT69" s="137">
        <v>278</v>
      </c>
      <c r="BU69" s="137">
        <v>78</v>
      </c>
      <c r="BV69" s="137">
        <v>124</v>
      </c>
      <c r="BW69" s="137">
        <v>51</v>
      </c>
      <c r="BX69" s="137">
        <v>118</v>
      </c>
      <c r="BY69" s="137">
        <v>48</v>
      </c>
      <c r="BZ69" s="137">
        <v>66</v>
      </c>
      <c r="CA69" s="137">
        <v>103</v>
      </c>
      <c r="CB69" s="139">
        <v>187</v>
      </c>
      <c r="CC69" s="137">
        <v>87</v>
      </c>
      <c r="CD69" s="137">
        <v>41</v>
      </c>
      <c r="CE69" s="137">
        <v>71</v>
      </c>
      <c r="CF69" s="137">
        <v>0</v>
      </c>
      <c r="CG69" s="137">
        <v>86</v>
      </c>
      <c r="CH69" s="137">
        <v>87</v>
      </c>
      <c r="CI69" s="137">
        <v>109</v>
      </c>
      <c r="CJ69" s="137">
        <v>295</v>
      </c>
      <c r="CK69" s="138">
        <v>66</v>
      </c>
      <c r="CL69" s="140">
        <f>SUM(AT69:CK69)</f>
        <v>2828</v>
      </c>
    </row>
    <row r="70" spans="1:90">
      <c r="A70" s="80">
        <f>ROWS($A$3:A68)</f>
        <v>66</v>
      </c>
      <c r="B70" s="92" t="s">
        <v>70</v>
      </c>
      <c r="C70" s="252"/>
      <c r="D70" s="259" t="s">
        <v>1</v>
      </c>
      <c r="E70" s="435"/>
      <c r="F70" s="302">
        <v>27321</v>
      </c>
      <c r="G70" s="141">
        <v>10825</v>
      </c>
      <c r="H70" s="141">
        <v>34866</v>
      </c>
      <c r="I70" s="298">
        <v>35394</v>
      </c>
      <c r="J70" s="141"/>
      <c r="K70" s="116">
        <f>BF70</f>
        <v>3386</v>
      </c>
      <c r="L70" s="137">
        <f>AY70</f>
        <v>2568</v>
      </c>
      <c r="M70" s="137">
        <f>BD70</f>
        <v>4089</v>
      </c>
      <c r="N70" s="137">
        <f>AW70</f>
        <v>1556</v>
      </c>
      <c r="O70" s="137">
        <f>BE70</f>
        <v>2591</v>
      </c>
      <c r="P70" s="137">
        <f>SUM(AZ70,BA70)</f>
        <v>2031</v>
      </c>
      <c r="Q70" s="137">
        <f>'2010'!AU70</f>
        <v>1115</v>
      </c>
      <c r="R70" s="137">
        <f>SUM(AT70+AX70)</f>
        <v>1450</v>
      </c>
      <c r="S70" s="137">
        <f>AV70</f>
        <v>1348</v>
      </c>
      <c r="T70" s="137">
        <f>BB70</f>
        <v>1947</v>
      </c>
      <c r="U70" s="139">
        <f>BC70</f>
        <v>5216</v>
      </c>
      <c r="V70" s="137">
        <f>SUM(BG70,BJ70)</f>
        <v>264</v>
      </c>
      <c r="W70" s="137">
        <f>BR70</f>
        <v>1593</v>
      </c>
      <c r="X70" s="137">
        <f>SUM(BH70,BI70)</f>
        <v>2018</v>
      </c>
      <c r="Y70" s="137">
        <f>SUM(BK70,BL70,BN70)</f>
        <v>1447</v>
      </c>
      <c r="Z70" s="137">
        <f>BM70</f>
        <v>1919</v>
      </c>
      <c r="AA70" s="137">
        <f>SUM(BO70,BQ70)</f>
        <v>2214</v>
      </c>
      <c r="AB70" s="139">
        <f>BP70</f>
        <v>1370</v>
      </c>
      <c r="AC70" s="137">
        <f>BX70</f>
        <v>4246</v>
      </c>
      <c r="AD70" s="137">
        <f>BU70</f>
        <v>1553</v>
      </c>
      <c r="AE70" s="137">
        <f>SUM(BS70+BT70)</f>
        <v>7554</v>
      </c>
      <c r="AF70" s="137">
        <f>CA70</f>
        <v>3182</v>
      </c>
      <c r="AG70" s="137">
        <f>BV70</f>
        <v>3288</v>
      </c>
      <c r="AH70" s="137">
        <f>BZ70</f>
        <v>3318</v>
      </c>
      <c r="AI70" s="137">
        <f>BW70</f>
        <v>1702</v>
      </c>
      <c r="AJ70" s="137">
        <f>BY70</f>
        <v>2836</v>
      </c>
      <c r="AK70" s="139">
        <f>CB70</f>
        <v>7187</v>
      </c>
      <c r="AL70" s="137">
        <f>CE70</f>
        <v>4476</v>
      </c>
      <c r="AM70" s="137">
        <f>CH70</f>
        <v>4092</v>
      </c>
      <c r="AN70" s="137">
        <f>CJ70</f>
        <v>9878</v>
      </c>
      <c r="AO70" s="137">
        <f>CC70</f>
        <v>3671</v>
      </c>
      <c r="AP70" s="137">
        <f>CD70</f>
        <v>2797</v>
      </c>
      <c r="AQ70" s="137">
        <f>CK70</f>
        <v>3463</v>
      </c>
      <c r="AR70" s="137">
        <f>CI70</f>
        <v>3159</v>
      </c>
      <c r="AS70" s="138">
        <f>SUM(CF70:CG70)</f>
        <v>3292</v>
      </c>
      <c r="AT70" s="141">
        <v>0</v>
      </c>
      <c r="AU70" s="141">
        <v>1139</v>
      </c>
      <c r="AV70" s="141">
        <v>1348</v>
      </c>
      <c r="AW70" s="141">
        <v>1556</v>
      </c>
      <c r="AX70" s="141">
        <v>1450</v>
      </c>
      <c r="AY70" s="141">
        <v>2568</v>
      </c>
      <c r="AZ70" s="141">
        <v>0</v>
      </c>
      <c r="BA70" s="141">
        <v>2031</v>
      </c>
      <c r="BB70" s="141">
        <v>1947</v>
      </c>
      <c r="BC70" s="141">
        <v>5216</v>
      </c>
      <c r="BD70" s="141">
        <v>4089</v>
      </c>
      <c r="BE70" s="141">
        <v>2591</v>
      </c>
      <c r="BF70" s="297">
        <v>3386</v>
      </c>
      <c r="BG70" s="141">
        <v>0</v>
      </c>
      <c r="BH70" s="141">
        <v>0</v>
      </c>
      <c r="BI70" s="141">
        <v>2018</v>
      </c>
      <c r="BJ70" s="141">
        <v>264</v>
      </c>
      <c r="BK70" s="141">
        <v>0</v>
      </c>
      <c r="BL70" s="141">
        <v>0</v>
      </c>
      <c r="BM70" s="141">
        <v>1919</v>
      </c>
      <c r="BN70" s="141">
        <v>1447</v>
      </c>
      <c r="BO70" s="141">
        <v>0</v>
      </c>
      <c r="BP70" s="141">
        <v>1370</v>
      </c>
      <c r="BQ70" s="141">
        <v>2214</v>
      </c>
      <c r="BR70" s="297">
        <v>1593</v>
      </c>
      <c r="BS70" s="141">
        <v>0</v>
      </c>
      <c r="BT70" s="141">
        <v>7554</v>
      </c>
      <c r="BU70" s="141">
        <v>1553</v>
      </c>
      <c r="BV70" s="141">
        <v>3288</v>
      </c>
      <c r="BW70" s="141">
        <v>1702</v>
      </c>
      <c r="BX70" s="141">
        <v>4246</v>
      </c>
      <c r="BY70" s="141">
        <v>2836</v>
      </c>
      <c r="BZ70" s="141">
        <v>3318</v>
      </c>
      <c r="CA70" s="141">
        <v>3182</v>
      </c>
      <c r="CB70" s="297">
        <v>7187</v>
      </c>
      <c r="CC70" s="141">
        <v>3671</v>
      </c>
      <c r="CD70" s="141">
        <v>2797</v>
      </c>
      <c r="CE70" s="141">
        <v>4476</v>
      </c>
      <c r="CF70" s="137">
        <v>0</v>
      </c>
      <c r="CG70" s="141">
        <v>3292</v>
      </c>
      <c r="CH70" s="141">
        <v>4092</v>
      </c>
      <c r="CI70" s="141">
        <v>3159</v>
      </c>
      <c r="CJ70" s="141">
        <v>9878</v>
      </c>
      <c r="CK70" s="298">
        <v>3463</v>
      </c>
      <c r="CL70" s="140">
        <f>SUM(AT70:CK70)</f>
        <v>107840</v>
      </c>
    </row>
    <row r="71" spans="1:90">
      <c r="A71" s="80">
        <f>ROWS($A$3:A69)</f>
        <v>67</v>
      </c>
      <c r="B71" s="54" t="s">
        <v>307</v>
      </c>
      <c r="C71" s="252"/>
      <c r="D71" s="259" t="s">
        <v>1</v>
      </c>
      <c r="E71" s="435"/>
      <c r="F71" s="167">
        <f>IF(ISERROR(F70/F69)=FALSE,F70/F69," -")</f>
        <v>38.264705882352942</v>
      </c>
      <c r="G71" s="168">
        <f>IF(ISERROR(G70/G69)=FALSE,G70/G69," -")</f>
        <v>49.429223744292237</v>
      </c>
      <c r="H71" s="168">
        <f>IF(ISERROR(H70/H69)=FALSE,H70/H69," -")</f>
        <v>33.111111111111114</v>
      </c>
      <c r="I71" s="169">
        <f>IF(ISERROR(I70/I69)=FALSE,I70/I69," -")</f>
        <v>42.035629453681707</v>
      </c>
      <c r="J71" s="173"/>
      <c r="K71" s="167">
        <f t="shared" ref="K71:BV71" si="133">IF(ISERROR(K70/K69)=FALSE,K70/K69," -")</f>
        <v>32.247619047619047</v>
      </c>
      <c r="L71" s="168">
        <f t="shared" si="133"/>
        <v>34.702702702702702</v>
      </c>
      <c r="M71" s="168">
        <f t="shared" si="133"/>
        <v>45.943820224719104</v>
      </c>
      <c r="N71" s="168">
        <f t="shared" si="133"/>
        <v>44.457142857142856</v>
      </c>
      <c r="O71" s="168">
        <f t="shared" si="133"/>
        <v>50.803921568627452</v>
      </c>
      <c r="P71" s="168">
        <f t="shared" si="133"/>
        <v>29.867647058823529</v>
      </c>
      <c r="Q71" s="168">
        <f t="shared" si="133"/>
        <v>38.448275862068968</v>
      </c>
      <c r="R71" s="168">
        <f t="shared" si="133"/>
        <v>32.954545454545453</v>
      </c>
      <c r="S71" s="168">
        <f t="shared" si="133"/>
        <v>34.564102564102562</v>
      </c>
      <c r="T71" s="168">
        <f t="shared" si="133"/>
        <v>48.674999999999997</v>
      </c>
      <c r="U71" s="176">
        <f t="shared" si="133"/>
        <v>36.99290780141844</v>
      </c>
      <c r="V71" s="168">
        <f t="shared" si="133"/>
        <v>24</v>
      </c>
      <c r="W71" s="168">
        <f t="shared" si="133"/>
        <v>43.054054054054056</v>
      </c>
      <c r="X71" s="168">
        <f t="shared" si="133"/>
        <v>59.352941176470587</v>
      </c>
      <c r="Y71" s="168">
        <f t="shared" si="133"/>
        <v>46.677419354838712</v>
      </c>
      <c r="Z71" s="168">
        <f t="shared" si="133"/>
        <v>49.205128205128204</v>
      </c>
      <c r="AA71" s="168">
        <f t="shared" si="133"/>
        <v>61.5</v>
      </c>
      <c r="AB71" s="176">
        <f t="shared" si="133"/>
        <v>44.193548387096776</v>
      </c>
      <c r="AC71" s="168">
        <f t="shared" si="133"/>
        <v>35.983050847457626</v>
      </c>
      <c r="AD71" s="168">
        <f t="shared" si="133"/>
        <v>19.910256410256409</v>
      </c>
      <c r="AE71" s="168">
        <f t="shared" si="133"/>
        <v>27.172661870503596</v>
      </c>
      <c r="AF71" s="168">
        <f t="shared" si="133"/>
        <v>30.893203883495147</v>
      </c>
      <c r="AG71" s="168">
        <f t="shared" si="133"/>
        <v>26.516129032258064</v>
      </c>
      <c r="AH71" s="168">
        <f t="shared" si="133"/>
        <v>50.272727272727273</v>
      </c>
      <c r="AI71" s="168">
        <f t="shared" si="133"/>
        <v>33.372549019607845</v>
      </c>
      <c r="AJ71" s="168">
        <f t="shared" si="133"/>
        <v>59.083333333333336</v>
      </c>
      <c r="AK71" s="176">
        <f t="shared" si="133"/>
        <v>38.433155080213901</v>
      </c>
      <c r="AL71" s="168">
        <f t="shared" si="133"/>
        <v>63.04225352112676</v>
      </c>
      <c r="AM71" s="168">
        <f t="shared" si="133"/>
        <v>47.03448275862069</v>
      </c>
      <c r="AN71" s="168">
        <f t="shared" si="133"/>
        <v>33.484745762711867</v>
      </c>
      <c r="AO71" s="168">
        <f t="shared" si="133"/>
        <v>42.195402298850574</v>
      </c>
      <c r="AP71" s="168">
        <f t="shared" si="133"/>
        <v>68.219512195121951</v>
      </c>
      <c r="AQ71" s="168">
        <f t="shared" si="133"/>
        <v>52.469696969696969</v>
      </c>
      <c r="AR71" s="168">
        <f t="shared" si="133"/>
        <v>28.98165137614679</v>
      </c>
      <c r="AS71" s="169">
        <f t="shared" si="133"/>
        <v>38.279069767441861</v>
      </c>
      <c r="AT71" s="168" t="str">
        <f t="shared" si="133"/>
        <v xml:space="preserve"> -</v>
      </c>
      <c r="AU71" s="168">
        <f t="shared" si="133"/>
        <v>40.678571428571431</v>
      </c>
      <c r="AV71" s="168">
        <f t="shared" si="133"/>
        <v>34.564102564102562</v>
      </c>
      <c r="AW71" s="168">
        <f t="shared" si="133"/>
        <v>44.457142857142856</v>
      </c>
      <c r="AX71" s="168">
        <f t="shared" si="133"/>
        <v>32.954545454545453</v>
      </c>
      <c r="AY71" s="168">
        <f t="shared" si="133"/>
        <v>34.702702702702702</v>
      </c>
      <c r="AZ71" s="168" t="str">
        <f t="shared" si="133"/>
        <v xml:space="preserve"> -</v>
      </c>
      <c r="BA71" s="168">
        <f t="shared" si="133"/>
        <v>29.867647058823529</v>
      </c>
      <c r="BB71" s="168">
        <f t="shared" si="133"/>
        <v>48.674999999999997</v>
      </c>
      <c r="BC71" s="168">
        <f t="shared" si="133"/>
        <v>36.99290780141844</v>
      </c>
      <c r="BD71" s="168">
        <f t="shared" si="133"/>
        <v>45.943820224719104</v>
      </c>
      <c r="BE71" s="168">
        <f t="shared" si="133"/>
        <v>50.803921568627452</v>
      </c>
      <c r="BF71" s="176">
        <f t="shared" si="133"/>
        <v>32.247619047619047</v>
      </c>
      <c r="BG71" s="168" t="str">
        <f t="shared" si="133"/>
        <v xml:space="preserve"> -</v>
      </c>
      <c r="BH71" s="168" t="str">
        <f t="shared" si="133"/>
        <v xml:space="preserve"> -</v>
      </c>
      <c r="BI71" s="168">
        <f t="shared" si="133"/>
        <v>59.352941176470587</v>
      </c>
      <c r="BJ71" s="168">
        <f t="shared" si="133"/>
        <v>24</v>
      </c>
      <c r="BK71" s="168" t="str">
        <f t="shared" si="133"/>
        <v xml:space="preserve"> -</v>
      </c>
      <c r="BL71" s="168" t="str">
        <f t="shared" si="133"/>
        <v xml:space="preserve"> -</v>
      </c>
      <c r="BM71" s="168">
        <f t="shared" si="133"/>
        <v>49.205128205128204</v>
      </c>
      <c r="BN71" s="168">
        <f t="shared" si="133"/>
        <v>46.677419354838712</v>
      </c>
      <c r="BO71" s="168" t="str">
        <f t="shared" si="133"/>
        <v xml:space="preserve"> -</v>
      </c>
      <c r="BP71" s="168">
        <f t="shared" si="133"/>
        <v>44.193548387096776</v>
      </c>
      <c r="BQ71" s="168">
        <f t="shared" si="133"/>
        <v>61.5</v>
      </c>
      <c r="BR71" s="176">
        <f t="shared" si="133"/>
        <v>43.054054054054056</v>
      </c>
      <c r="BS71" s="168" t="str">
        <f t="shared" si="133"/>
        <v xml:space="preserve"> -</v>
      </c>
      <c r="BT71" s="168">
        <f t="shared" si="133"/>
        <v>27.172661870503596</v>
      </c>
      <c r="BU71" s="168">
        <f t="shared" si="133"/>
        <v>19.910256410256409</v>
      </c>
      <c r="BV71" s="168">
        <f t="shared" si="133"/>
        <v>26.516129032258064</v>
      </c>
      <c r="BW71" s="168">
        <f t="shared" ref="BW71:CK71" si="134">IF(ISERROR(BW70/BW69)=FALSE,BW70/BW69," -")</f>
        <v>33.372549019607845</v>
      </c>
      <c r="BX71" s="168">
        <f t="shared" si="134"/>
        <v>35.983050847457626</v>
      </c>
      <c r="BY71" s="168">
        <f t="shared" si="134"/>
        <v>59.083333333333336</v>
      </c>
      <c r="BZ71" s="168">
        <f t="shared" si="134"/>
        <v>50.272727272727273</v>
      </c>
      <c r="CA71" s="168">
        <f t="shared" si="134"/>
        <v>30.893203883495147</v>
      </c>
      <c r="CB71" s="176">
        <f t="shared" si="134"/>
        <v>38.433155080213901</v>
      </c>
      <c r="CC71" s="168">
        <f t="shared" si="134"/>
        <v>42.195402298850574</v>
      </c>
      <c r="CD71" s="168">
        <f t="shared" si="134"/>
        <v>68.219512195121951</v>
      </c>
      <c r="CE71" s="168">
        <f t="shared" si="134"/>
        <v>63.04225352112676</v>
      </c>
      <c r="CF71" s="168" t="str">
        <f t="shared" si="134"/>
        <v xml:space="preserve"> -</v>
      </c>
      <c r="CG71" s="168">
        <f t="shared" si="134"/>
        <v>38.279069767441861</v>
      </c>
      <c r="CH71" s="168">
        <f t="shared" si="134"/>
        <v>47.03448275862069</v>
      </c>
      <c r="CI71" s="168">
        <f t="shared" si="134"/>
        <v>28.98165137614679</v>
      </c>
      <c r="CJ71" s="168">
        <f t="shared" si="134"/>
        <v>33.484745762711867</v>
      </c>
      <c r="CK71" s="168">
        <f t="shared" si="134"/>
        <v>52.469696969696969</v>
      </c>
      <c r="CL71" s="177">
        <f>IF(OR(CL69&lt;0.1,CL70&lt;0.1),0,CL70/CL69)</f>
        <v>38.132956152758133</v>
      </c>
    </row>
    <row r="72" spans="1:90">
      <c r="A72" s="80">
        <f>ROWS($A$3:A70)</f>
        <v>68</v>
      </c>
      <c r="B72" s="59" t="s">
        <v>83</v>
      </c>
      <c r="C72" s="201"/>
      <c r="D72" s="260"/>
      <c r="E72" s="435"/>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202">
        <v>2010</v>
      </c>
      <c r="D73" s="259" t="s">
        <v>13</v>
      </c>
      <c r="E73" s="435"/>
      <c r="F73" s="116">
        <v>2934</v>
      </c>
      <c r="G73" s="137">
        <v>1628</v>
      </c>
      <c r="H73" s="137">
        <v>1925</v>
      </c>
      <c r="I73" s="138">
        <v>2407</v>
      </c>
      <c r="J73" s="141"/>
      <c r="K73" s="116">
        <f t="shared" ref="K73:K78" si="135">BF73</f>
        <v>261</v>
      </c>
      <c r="L73" s="137">
        <f t="shared" ref="L73:L78" si="136">AY73</f>
        <v>128</v>
      </c>
      <c r="M73" s="137">
        <f t="shared" ref="M73:M78" si="137">BD73</f>
        <v>692</v>
      </c>
      <c r="N73" s="137">
        <f t="shared" ref="N73:N78" si="138">AW73</f>
        <v>93</v>
      </c>
      <c r="O73" s="137">
        <f t="shared" ref="O73:O78" si="139">BE73</f>
        <v>141</v>
      </c>
      <c r="P73" s="137">
        <f t="shared" ref="P73:P78" si="140">SUM(AZ73,BA73)</f>
        <v>467</v>
      </c>
      <c r="Q73" s="137">
        <f>'2010'!AU73</f>
        <v>256</v>
      </c>
      <c r="R73" s="137">
        <f t="shared" ref="R73:R78" si="141">SUM(AT73,AX73)</f>
        <v>320</v>
      </c>
      <c r="S73" s="137">
        <f t="shared" ref="S73:S78" si="142">AV73</f>
        <v>167</v>
      </c>
      <c r="T73" s="137">
        <f t="shared" ref="T73:U78" si="143">BB73</f>
        <v>195</v>
      </c>
      <c r="U73" s="139">
        <f t="shared" si="143"/>
        <v>214</v>
      </c>
      <c r="V73" s="137">
        <f t="shared" ref="V73:V78" si="144">SUM(BG73,BJ73)</f>
        <v>118</v>
      </c>
      <c r="W73" s="137">
        <f t="shared" ref="W73:W78" si="145">BR73</f>
        <v>139</v>
      </c>
      <c r="X73" s="137">
        <f t="shared" ref="X73:X78" si="146">SUM(BH73,BI73)</f>
        <v>350</v>
      </c>
      <c r="Y73" s="137">
        <f t="shared" ref="Y73:Y78" si="147">SUM(BK73,BL73,BN73)</f>
        <v>461</v>
      </c>
      <c r="Z73" s="137">
        <f t="shared" ref="Z73:Z78" si="148">BM73</f>
        <v>333</v>
      </c>
      <c r="AA73" s="137">
        <f t="shared" ref="AA73:AA78" si="149">SUM(BO73,BQ73)</f>
        <v>125</v>
      </c>
      <c r="AB73" s="139">
        <f t="shared" ref="AB73:AB78" si="150">BP73</f>
        <v>92</v>
      </c>
      <c r="AC73" s="137">
        <f t="shared" ref="AC73:AC78" si="151">BX73</f>
        <v>196</v>
      </c>
      <c r="AD73" s="137">
        <f t="shared" ref="AD73:AD78" si="152">BU73</f>
        <v>154</v>
      </c>
      <c r="AE73" s="137">
        <f t="shared" ref="AE73:AE78" si="153">SUM(BS73,BT73)</f>
        <v>313</v>
      </c>
      <c r="AF73" s="137">
        <f t="shared" ref="AF73:AF78" si="154">CA73</f>
        <v>95</v>
      </c>
      <c r="AG73" s="137">
        <f t="shared" ref="AG73:AG78" si="155">BV73</f>
        <v>426</v>
      </c>
      <c r="AH73" s="137">
        <f t="shared" ref="AH73:AH78" si="156">BZ73</f>
        <v>194</v>
      </c>
      <c r="AI73" s="137">
        <f t="shared" ref="AI73:AI78" si="157">BW73</f>
        <v>199</v>
      </c>
      <c r="AJ73" s="137">
        <f t="shared" ref="AJ73:AJ78" si="158">BY73</f>
        <v>150</v>
      </c>
      <c r="AK73" s="139">
        <f t="shared" ref="AK73:AK78" si="159">CB73</f>
        <v>198</v>
      </c>
      <c r="AL73" s="137">
        <f t="shared" ref="AL73:AL78" si="160">CE73</f>
        <v>317</v>
      </c>
      <c r="AM73" s="137">
        <f t="shared" ref="AM73:AM78" si="161">CH73</f>
        <v>348</v>
      </c>
      <c r="AN73" s="137">
        <f t="shared" ref="AN73:AN78" si="162">CJ73</f>
        <v>190</v>
      </c>
      <c r="AO73" s="137">
        <f t="shared" ref="AO73:AP78" si="163">CC73</f>
        <v>306</v>
      </c>
      <c r="AP73" s="137">
        <f t="shared" si="163"/>
        <v>195</v>
      </c>
      <c r="AQ73" s="137">
        <f t="shared" ref="AQ73:AQ78" si="164">CK73</f>
        <v>347</v>
      </c>
      <c r="AR73" s="137">
        <f t="shared" ref="AR73:AR78" si="165">CI73</f>
        <v>181</v>
      </c>
      <c r="AS73" s="138">
        <f t="shared" ref="AS73:AS78" si="166">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c r="A74" s="80">
        <f>ROWS($A$3:A72)</f>
        <v>70</v>
      </c>
      <c r="B74" s="92" t="s">
        <v>85</v>
      </c>
      <c r="C74" s="203"/>
      <c r="D74" s="259" t="s">
        <v>13</v>
      </c>
      <c r="E74" s="435"/>
      <c r="F74" s="116">
        <v>465</v>
      </c>
      <c r="G74" s="137">
        <v>243</v>
      </c>
      <c r="H74" s="137">
        <v>314</v>
      </c>
      <c r="I74" s="138">
        <v>188</v>
      </c>
      <c r="J74" s="141"/>
      <c r="K74" s="116">
        <f t="shared" si="135"/>
        <v>46</v>
      </c>
      <c r="L74" s="137">
        <f t="shared" si="136"/>
        <v>76</v>
      </c>
      <c r="M74" s="137">
        <f t="shared" si="137"/>
        <v>12</v>
      </c>
      <c r="N74" s="137">
        <f t="shared" si="138"/>
        <v>30</v>
      </c>
      <c r="O74" s="137">
        <f t="shared" si="139"/>
        <v>12</v>
      </c>
      <c r="P74" s="137">
        <f t="shared" si="140"/>
        <v>50</v>
      </c>
      <c r="Q74" s="137">
        <f>'2010'!AU74</f>
        <v>20</v>
      </c>
      <c r="R74" s="137">
        <f t="shared" si="141"/>
        <v>137</v>
      </c>
      <c r="S74" s="137">
        <f t="shared" si="142"/>
        <v>47</v>
      </c>
      <c r="T74" s="137">
        <f t="shared" si="143"/>
        <v>16</v>
      </c>
      <c r="U74" s="139">
        <f t="shared" si="143"/>
        <v>19</v>
      </c>
      <c r="V74" s="137">
        <f t="shared" si="144"/>
        <v>27</v>
      </c>
      <c r="W74" s="137">
        <f t="shared" si="145"/>
        <v>10</v>
      </c>
      <c r="X74" s="137">
        <f t="shared" si="146"/>
        <v>51</v>
      </c>
      <c r="Y74" s="137">
        <f t="shared" si="147"/>
        <v>86</v>
      </c>
      <c r="Z74" s="137">
        <f t="shared" si="148"/>
        <v>18</v>
      </c>
      <c r="AA74" s="137">
        <f t="shared" si="149"/>
        <v>29</v>
      </c>
      <c r="AB74" s="139">
        <f t="shared" si="150"/>
        <v>22</v>
      </c>
      <c r="AC74" s="137">
        <f t="shared" si="151"/>
        <v>9</v>
      </c>
      <c r="AD74" s="137">
        <f t="shared" si="152"/>
        <v>29</v>
      </c>
      <c r="AE74" s="137">
        <f t="shared" si="153"/>
        <v>56</v>
      </c>
      <c r="AF74" s="137">
        <f t="shared" si="154"/>
        <v>29</v>
      </c>
      <c r="AG74" s="137">
        <f t="shared" si="155"/>
        <v>63</v>
      </c>
      <c r="AH74" s="137">
        <f t="shared" si="156"/>
        <v>98</v>
      </c>
      <c r="AI74" s="137">
        <f t="shared" si="157"/>
        <v>11</v>
      </c>
      <c r="AJ74" s="137">
        <f t="shared" si="158"/>
        <v>6</v>
      </c>
      <c r="AK74" s="139">
        <f t="shared" si="159"/>
        <v>13</v>
      </c>
      <c r="AL74" s="137">
        <f t="shared" si="160"/>
        <v>16</v>
      </c>
      <c r="AM74" s="137">
        <f t="shared" si="161"/>
        <v>27</v>
      </c>
      <c r="AN74" s="137">
        <f t="shared" si="162"/>
        <v>29</v>
      </c>
      <c r="AO74" s="137">
        <f t="shared" si="163"/>
        <v>26</v>
      </c>
      <c r="AP74" s="137">
        <f t="shared" si="163"/>
        <v>24</v>
      </c>
      <c r="AQ74" s="137">
        <f t="shared" si="164"/>
        <v>13</v>
      </c>
      <c r="AR74" s="137">
        <f t="shared" si="165"/>
        <v>22</v>
      </c>
      <c r="AS74" s="138">
        <f t="shared" si="166"/>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c r="A75" s="80">
        <f>ROWS($A$3:A73)</f>
        <v>71</v>
      </c>
      <c r="B75" s="92" t="s">
        <v>86</v>
      </c>
      <c r="C75" s="203"/>
      <c r="D75" s="259" t="s">
        <v>13</v>
      </c>
      <c r="E75" s="435"/>
      <c r="F75" s="116">
        <v>3016</v>
      </c>
      <c r="G75" s="137">
        <v>779</v>
      </c>
      <c r="H75" s="137">
        <v>4390</v>
      </c>
      <c r="I75" s="138">
        <v>1072</v>
      </c>
      <c r="J75" s="141"/>
      <c r="K75" s="116">
        <f t="shared" si="135"/>
        <v>12</v>
      </c>
      <c r="L75" s="137">
        <f t="shared" si="136"/>
        <v>446</v>
      </c>
      <c r="M75" s="137">
        <f t="shared" si="137"/>
        <v>200</v>
      </c>
      <c r="N75" s="137">
        <f t="shared" si="138"/>
        <v>33</v>
      </c>
      <c r="O75" s="137" t="str">
        <f t="shared" si="139"/>
        <v>*</v>
      </c>
      <c r="P75" s="137">
        <f t="shared" si="140"/>
        <v>1287</v>
      </c>
      <c r="Q75" s="137">
        <f>'2010'!AU75</f>
        <v>31</v>
      </c>
      <c r="R75" s="137">
        <f t="shared" si="141"/>
        <v>600</v>
      </c>
      <c r="S75" s="137">
        <f t="shared" si="142"/>
        <v>81</v>
      </c>
      <c r="T75" s="137">
        <f t="shared" si="143"/>
        <v>316</v>
      </c>
      <c r="U75" s="139" t="str">
        <f t="shared" si="143"/>
        <v>*</v>
      </c>
      <c r="V75" s="137">
        <f t="shared" si="144"/>
        <v>334</v>
      </c>
      <c r="W75" s="137" t="str">
        <f t="shared" si="145"/>
        <v>*</v>
      </c>
      <c r="X75" s="137">
        <f t="shared" si="146"/>
        <v>145</v>
      </c>
      <c r="Y75" s="137">
        <f t="shared" si="147"/>
        <v>197</v>
      </c>
      <c r="Z75" s="137">
        <f t="shared" si="148"/>
        <v>32</v>
      </c>
      <c r="AA75" s="137">
        <f t="shared" si="149"/>
        <v>63</v>
      </c>
      <c r="AB75" s="139" t="str">
        <f t="shared" si="150"/>
        <v xml:space="preserve"> -</v>
      </c>
      <c r="AC75" s="137" t="str">
        <f t="shared" si="151"/>
        <v xml:space="preserve"> -</v>
      </c>
      <c r="AD75" s="137">
        <f t="shared" si="152"/>
        <v>602</v>
      </c>
      <c r="AE75" s="137">
        <f t="shared" si="153"/>
        <v>1615</v>
      </c>
      <c r="AF75" s="137">
        <f t="shared" si="154"/>
        <v>249</v>
      </c>
      <c r="AG75" s="137">
        <f t="shared" si="155"/>
        <v>1758</v>
      </c>
      <c r="AH75" s="137">
        <f t="shared" si="156"/>
        <v>116</v>
      </c>
      <c r="AI75" s="137" t="str">
        <f t="shared" si="157"/>
        <v>*</v>
      </c>
      <c r="AJ75" s="137" t="str">
        <f t="shared" si="158"/>
        <v>*</v>
      </c>
      <c r="AK75" s="139">
        <f t="shared" si="159"/>
        <v>43</v>
      </c>
      <c r="AL75" s="137" t="str">
        <f t="shared" si="160"/>
        <v>*</v>
      </c>
      <c r="AM75" s="137">
        <f t="shared" si="161"/>
        <v>6</v>
      </c>
      <c r="AN75" s="137">
        <f t="shared" si="162"/>
        <v>137</v>
      </c>
      <c r="AO75" s="137">
        <f t="shared" si="163"/>
        <v>29</v>
      </c>
      <c r="AP75" s="137">
        <f t="shared" si="163"/>
        <v>13</v>
      </c>
      <c r="AQ75" s="137">
        <f t="shared" si="164"/>
        <v>13</v>
      </c>
      <c r="AR75" s="137">
        <f t="shared" si="165"/>
        <v>859</v>
      </c>
      <c r="AS75" s="138">
        <f t="shared" si="166"/>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c r="A76" s="80">
        <f>ROWS($A$3:A74)</f>
        <v>72</v>
      </c>
      <c r="B76" s="92" t="s">
        <v>87</v>
      </c>
      <c r="C76" s="203"/>
      <c r="D76" s="259" t="s">
        <v>13</v>
      </c>
      <c r="E76" s="435"/>
      <c r="F76" s="116">
        <v>4205</v>
      </c>
      <c r="G76" s="137">
        <v>1272</v>
      </c>
      <c r="H76" s="137">
        <v>5289</v>
      </c>
      <c r="I76" s="138">
        <v>5348</v>
      </c>
      <c r="J76" s="141"/>
      <c r="K76" s="116">
        <f t="shared" si="135"/>
        <v>1123</v>
      </c>
      <c r="L76" s="137">
        <f t="shared" si="136"/>
        <v>428</v>
      </c>
      <c r="M76" s="137">
        <f t="shared" si="137"/>
        <v>179</v>
      </c>
      <c r="N76" s="137">
        <f t="shared" si="138"/>
        <v>491</v>
      </c>
      <c r="O76" s="137">
        <f t="shared" si="139"/>
        <v>233</v>
      </c>
      <c r="P76" s="137">
        <f t="shared" si="140"/>
        <v>125</v>
      </c>
      <c r="Q76" s="137">
        <f>'2010'!AU76</f>
        <v>122</v>
      </c>
      <c r="R76" s="137">
        <f t="shared" si="141"/>
        <v>107</v>
      </c>
      <c r="S76" s="137">
        <f t="shared" si="142"/>
        <v>207</v>
      </c>
      <c r="T76" s="137">
        <f t="shared" si="143"/>
        <v>253</v>
      </c>
      <c r="U76" s="139">
        <f t="shared" si="143"/>
        <v>923</v>
      </c>
      <c r="V76" s="137">
        <f t="shared" si="144"/>
        <v>105</v>
      </c>
      <c r="W76" s="137">
        <f t="shared" si="145"/>
        <v>272</v>
      </c>
      <c r="X76" s="137">
        <f t="shared" si="146"/>
        <v>121</v>
      </c>
      <c r="Y76" s="137">
        <f t="shared" si="147"/>
        <v>179</v>
      </c>
      <c r="Z76" s="137">
        <f t="shared" si="148"/>
        <v>235</v>
      </c>
      <c r="AA76" s="137">
        <f t="shared" si="149"/>
        <v>123</v>
      </c>
      <c r="AB76" s="139">
        <f t="shared" si="150"/>
        <v>237</v>
      </c>
      <c r="AC76" s="137">
        <f t="shared" si="151"/>
        <v>688</v>
      </c>
      <c r="AD76" s="137">
        <f t="shared" si="152"/>
        <v>513</v>
      </c>
      <c r="AE76" s="137">
        <f t="shared" si="153"/>
        <v>870</v>
      </c>
      <c r="AF76" s="137">
        <f t="shared" si="154"/>
        <v>551</v>
      </c>
      <c r="AG76" s="137">
        <f t="shared" si="155"/>
        <v>898</v>
      </c>
      <c r="AH76" s="137">
        <f t="shared" si="156"/>
        <v>322</v>
      </c>
      <c r="AI76" s="137">
        <f t="shared" si="157"/>
        <v>392</v>
      </c>
      <c r="AJ76" s="137">
        <f t="shared" si="158"/>
        <v>225</v>
      </c>
      <c r="AK76" s="139">
        <f t="shared" si="159"/>
        <v>830</v>
      </c>
      <c r="AL76" s="137">
        <f t="shared" si="160"/>
        <v>327</v>
      </c>
      <c r="AM76" s="137">
        <f t="shared" si="161"/>
        <v>1026</v>
      </c>
      <c r="AN76" s="137">
        <f t="shared" si="162"/>
        <v>1983</v>
      </c>
      <c r="AO76" s="137">
        <f t="shared" si="163"/>
        <v>441</v>
      </c>
      <c r="AP76" s="137">
        <f t="shared" si="163"/>
        <v>99</v>
      </c>
      <c r="AQ76" s="137">
        <f t="shared" si="164"/>
        <v>498</v>
      </c>
      <c r="AR76" s="137">
        <f t="shared" si="165"/>
        <v>328</v>
      </c>
      <c r="AS76" s="138">
        <f t="shared" si="166"/>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c r="A77" s="80">
        <f>ROWS($A$3:A75)</f>
        <v>73</v>
      </c>
      <c r="B77" s="92" t="s">
        <v>88</v>
      </c>
      <c r="C77" s="203"/>
      <c r="D77" s="259" t="s">
        <v>13</v>
      </c>
      <c r="E77" s="435"/>
      <c r="F77" s="116">
        <v>1140</v>
      </c>
      <c r="G77" s="137">
        <v>76</v>
      </c>
      <c r="H77" s="137">
        <v>119</v>
      </c>
      <c r="I77" s="138">
        <v>662</v>
      </c>
      <c r="J77" s="141"/>
      <c r="K77" s="116">
        <f t="shared" si="135"/>
        <v>123</v>
      </c>
      <c r="L77" s="137">
        <f t="shared" si="136"/>
        <v>22</v>
      </c>
      <c r="M77" s="137">
        <f t="shared" si="137"/>
        <v>132</v>
      </c>
      <c r="N77" s="137">
        <f t="shared" si="138"/>
        <v>21</v>
      </c>
      <c r="O77" s="137">
        <f t="shared" si="139"/>
        <v>46</v>
      </c>
      <c r="P77" s="137">
        <f t="shared" si="140"/>
        <v>29</v>
      </c>
      <c r="Q77" s="137">
        <f>'2010'!AU77</f>
        <v>14</v>
      </c>
      <c r="R77" s="137">
        <f t="shared" si="141"/>
        <v>39</v>
      </c>
      <c r="S77" s="137" t="str">
        <f t="shared" si="142"/>
        <v>*</v>
      </c>
      <c r="T77" s="137">
        <f t="shared" si="143"/>
        <v>168</v>
      </c>
      <c r="U77" s="139">
        <f t="shared" si="143"/>
        <v>538</v>
      </c>
      <c r="V77" s="137">
        <f t="shared" si="144"/>
        <v>0</v>
      </c>
      <c r="W77" s="137">
        <f t="shared" si="145"/>
        <v>10</v>
      </c>
      <c r="X77" s="137">
        <f t="shared" si="146"/>
        <v>0</v>
      </c>
      <c r="Y77" s="137">
        <f t="shared" si="147"/>
        <v>24</v>
      </c>
      <c r="Z77" s="137">
        <f t="shared" si="148"/>
        <v>24</v>
      </c>
      <c r="AA77" s="137">
        <f t="shared" si="149"/>
        <v>6</v>
      </c>
      <c r="AB77" s="139">
        <f t="shared" si="150"/>
        <v>3</v>
      </c>
      <c r="AC77" s="137">
        <f t="shared" si="151"/>
        <v>17</v>
      </c>
      <c r="AD77" s="137">
        <f t="shared" si="152"/>
        <v>6</v>
      </c>
      <c r="AE77" s="137">
        <f t="shared" si="153"/>
        <v>8</v>
      </c>
      <c r="AF77" s="137" t="str">
        <f t="shared" si="154"/>
        <v>*</v>
      </c>
      <c r="AG77" s="137">
        <f t="shared" si="155"/>
        <v>25</v>
      </c>
      <c r="AH77" s="137">
        <f t="shared" si="156"/>
        <v>16</v>
      </c>
      <c r="AI77" s="137">
        <f t="shared" si="157"/>
        <v>21</v>
      </c>
      <c r="AJ77" s="137" t="str">
        <f t="shared" si="158"/>
        <v>*</v>
      </c>
      <c r="AK77" s="139">
        <f t="shared" si="159"/>
        <v>19</v>
      </c>
      <c r="AL77" s="137">
        <f t="shared" si="160"/>
        <v>7</v>
      </c>
      <c r="AM77" s="137">
        <f t="shared" si="161"/>
        <v>156</v>
      </c>
      <c r="AN77" s="137">
        <f t="shared" si="162"/>
        <v>55</v>
      </c>
      <c r="AO77" s="137">
        <f t="shared" si="163"/>
        <v>28</v>
      </c>
      <c r="AP77" s="137">
        <f t="shared" si="163"/>
        <v>7</v>
      </c>
      <c r="AQ77" s="137">
        <f t="shared" si="164"/>
        <v>84</v>
      </c>
      <c r="AR77" s="137">
        <f t="shared" si="165"/>
        <v>13</v>
      </c>
      <c r="AS77" s="138">
        <f t="shared" si="166"/>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c r="A78" s="80">
        <f>ROWS($A$3:A76)</f>
        <v>74</v>
      </c>
      <c r="B78" s="92" t="s">
        <v>89</v>
      </c>
      <c r="C78" s="203"/>
      <c r="D78" s="259" t="s">
        <v>13</v>
      </c>
      <c r="E78" s="435"/>
      <c r="F78" s="116">
        <v>2637</v>
      </c>
      <c r="G78" s="137">
        <v>932</v>
      </c>
      <c r="H78" s="137">
        <v>1574</v>
      </c>
      <c r="I78" s="138">
        <v>1897</v>
      </c>
      <c r="J78" s="141"/>
      <c r="K78" s="116">
        <f t="shared" si="135"/>
        <v>262</v>
      </c>
      <c r="L78" s="137">
        <f t="shared" si="136"/>
        <v>188</v>
      </c>
      <c r="M78" s="137">
        <f t="shared" si="137"/>
        <v>337</v>
      </c>
      <c r="N78" s="137">
        <f t="shared" si="138"/>
        <v>114</v>
      </c>
      <c r="O78" s="137">
        <f t="shared" si="139"/>
        <v>143</v>
      </c>
      <c r="P78" s="137">
        <f t="shared" si="140"/>
        <v>348</v>
      </c>
      <c r="Q78" s="137">
        <f>'2010'!AU78</f>
        <v>161</v>
      </c>
      <c r="R78" s="137">
        <f t="shared" si="141"/>
        <v>319</v>
      </c>
      <c r="S78" s="137">
        <f t="shared" si="142"/>
        <v>138</v>
      </c>
      <c r="T78" s="137">
        <f t="shared" si="143"/>
        <v>281</v>
      </c>
      <c r="U78" s="139">
        <f t="shared" si="143"/>
        <v>323</v>
      </c>
      <c r="V78" s="137">
        <f t="shared" si="144"/>
        <v>66</v>
      </c>
      <c r="W78" s="137">
        <f t="shared" si="145"/>
        <v>63</v>
      </c>
      <c r="X78" s="137">
        <f t="shared" si="146"/>
        <v>131</v>
      </c>
      <c r="Y78" s="137">
        <f t="shared" si="147"/>
        <v>159</v>
      </c>
      <c r="Z78" s="137">
        <f t="shared" si="148"/>
        <v>236</v>
      </c>
      <c r="AA78" s="137">
        <f t="shared" si="149"/>
        <v>107</v>
      </c>
      <c r="AB78" s="139">
        <f t="shared" si="150"/>
        <v>110</v>
      </c>
      <c r="AC78" s="137">
        <f t="shared" si="151"/>
        <v>127</v>
      </c>
      <c r="AD78" s="137">
        <f t="shared" si="152"/>
        <v>118</v>
      </c>
      <c r="AE78" s="137">
        <f t="shared" si="153"/>
        <v>215</v>
      </c>
      <c r="AF78" s="137">
        <f t="shared" si="154"/>
        <v>141</v>
      </c>
      <c r="AG78" s="137">
        <f t="shared" si="155"/>
        <v>402</v>
      </c>
      <c r="AH78" s="137">
        <f t="shared" si="156"/>
        <v>154</v>
      </c>
      <c r="AI78" s="137">
        <f t="shared" si="157"/>
        <v>171</v>
      </c>
      <c r="AJ78" s="137">
        <f t="shared" si="158"/>
        <v>33</v>
      </c>
      <c r="AK78" s="139">
        <f t="shared" si="159"/>
        <v>139</v>
      </c>
      <c r="AL78" s="137">
        <f t="shared" si="160"/>
        <v>67</v>
      </c>
      <c r="AM78" s="137">
        <f t="shared" si="161"/>
        <v>285</v>
      </c>
      <c r="AN78" s="137">
        <f t="shared" si="162"/>
        <v>166</v>
      </c>
      <c r="AO78" s="137">
        <f t="shared" si="163"/>
        <v>228</v>
      </c>
      <c r="AP78" s="137">
        <f t="shared" si="163"/>
        <v>81</v>
      </c>
      <c r="AQ78" s="137">
        <f t="shared" si="164"/>
        <v>293</v>
      </c>
      <c r="AR78" s="137">
        <f t="shared" si="165"/>
        <v>274</v>
      </c>
      <c r="AS78" s="138">
        <f t="shared" si="166"/>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c r="A79" s="80">
        <f>ROWS($A$3:A77)</f>
        <v>75</v>
      </c>
      <c r="B79" s="59" t="s">
        <v>79</v>
      </c>
      <c r="C79" s="202">
        <v>2013</v>
      </c>
      <c r="D79" s="260"/>
      <c r="E79" s="435"/>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c r="A80" s="80">
        <f>ROWS($A$3:A78)</f>
        <v>76</v>
      </c>
      <c r="B80" s="92" t="s">
        <v>90</v>
      </c>
      <c r="C80" s="205">
        <v>2013</v>
      </c>
      <c r="D80" s="259" t="s">
        <v>13</v>
      </c>
      <c r="E80" s="435"/>
      <c r="F80" s="116">
        <f>SUM(AT80:BF80)</f>
        <v>15166</v>
      </c>
      <c r="G80" s="137">
        <f>SUM(BG80:BR80)</f>
        <v>5192</v>
      </c>
      <c r="H80" s="137">
        <f>SUM(BS80:CB80)</f>
        <v>13690</v>
      </c>
      <c r="I80" s="138">
        <f>SUM(CC80:CK80)</f>
        <v>12904</v>
      </c>
      <c r="J80" s="141"/>
      <c r="K80" s="116">
        <f>BF80</f>
        <v>2320</v>
      </c>
      <c r="L80" s="137">
        <f>AY80</f>
        <v>1117</v>
      </c>
      <c r="M80" s="137">
        <f>BD80</f>
        <v>1726</v>
      </c>
      <c r="N80" s="137">
        <f>AW80</f>
        <v>829</v>
      </c>
      <c r="O80" s="137">
        <f>BE80</f>
        <v>608</v>
      </c>
      <c r="P80" s="137">
        <f>AZ80+BA80</f>
        <v>2066</v>
      </c>
      <c r="Q80" s="137">
        <f>AU80</f>
        <v>658</v>
      </c>
      <c r="R80" s="137">
        <f>AT80+AX80</f>
        <v>1264</v>
      </c>
      <c r="S80" s="137">
        <f>AV80</f>
        <v>602</v>
      </c>
      <c r="T80" s="137">
        <f>BB80</f>
        <v>1451</v>
      </c>
      <c r="U80" s="139">
        <f>BC80</f>
        <v>2525</v>
      </c>
      <c r="V80" s="137">
        <f>BG80+BJ80</f>
        <v>607</v>
      </c>
      <c r="W80" s="137">
        <f>BR80</f>
        <v>756</v>
      </c>
      <c r="X80" s="137">
        <f>BH80+BI80</f>
        <v>778</v>
      </c>
      <c r="Y80" s="137">
        <f>BK80+BL80+BN80</f>
        <v>966</v>
      </c>
      <c r="Z80" s="137">
        <f>BM80</f>
        <v>1041</v>
      </c>
      <c r="AA80" s="137">
        <f>BO80+BQ80</f>
        <v>469</v>
      </c>
      <c r="AB80" s="139">
        <f>BP80</f>
        <v>575</v>
      </c>
      <c r="AC80" s="137">
        <f>BX80</f>
        <v>1265</v>
      </c>
      <c r="AD80" s="137">
        <f>BU80</f>
        <v>1294</v>
      </c>
      <c r="AE80" s="137">
        <f>BS80+BT80</f>
        <v>2379</v>
      </c>
      <c r="AF80" s="137">
        <f>CA80</f>
        <v>1117</v>
      </c>
      <c r="AG80" s="137">
        <f>BV80</f>
        <v>3541</v>
      </c>
      <c r="AH80" s="137">
        <f>BZ80</f>
        <v>983</v>
      </c>
      <c r="AI80" s="137">
        <f>BW80</f>
        <v>1040</v>
      </c>
      <c r="AJ80" s="137">
        <f>BY80</f>
        <v>529</v>
      </c>
      <c r="AK80" s="139">
        <f>CB80</f>
        <v>1542</v>
      </c>
      <c r="AL80" s="137">
        <f>CE80</f>
        <v>890</v>
      </c>
      <c r="AM80" s="137">
        <f>CH80</f>
        <v>2090</v>
      </c>
      <c r="AN80" s="137">
        <f>CJ80</f>
        <v>3024</v>
      </c>
      <c r="AO80" s="137">
        <f>CC80</f>
        <v>1178</v>
      </c>
      <c r="AP80" s="137">
        <f>CD80</f>
        <v>459</v>
      </c>
      <c r="AQ80" s="137">
        <f>CK80</f>
        <v>1532</v>
      </c>
      <c r="AR80" s="137">
        <f>CI80</f>
        <v>1498</v>
      </c>
      <c r="AS80" s="138">
        <f>CF80+CG80</f>
        <v>2233</v>
      </c>
      <c r="AT80" s="137">
        <v>188</v>
      </c>
      <c r="AU80" s="137">
        <v>658</v>
      </c>
      <c r="AV80" s="137">
        <v>602</v>
      </c>
      <c r="AW80" s="137">
        <v>829</v>
      </c>
      <c r="AX80" s="137">
        <v>1076</v>
      </c>
      <c r="AY80" s="137">
        <v>1117</v>
      </c>
      <c r="AZ80" s="137">
        <v>260</v>
      </c>
      <c r="BA80" s="137">
        <v>1806</v>
      </c>
      <c r="BB80" s="137">
        <v>1451</v>
      </c>
      <c r="BC80" s="137">
        <v>2525</v>
      </c>
      <c r="BD80" s="137">
        <v>1726</v>
      </c>
      <c r="BE80" s="137">
        <v>608</v>
      </c>
      <c r="BF80" s="139">
        <v>2320</v>
      </c>
      <c r="BG80" s="137">
        <v>161</v>
      </c>
      <c r="BH80" s="137">
        <v>69</v>
      </c>
      <c r="BI80" s="137">
        <v>709</v>
      </c>
      <c r="BJ80" s="137">
        <v>446</v>
      </c>
      <c r="BK80" s="137">
        <v>139</v>
      </c>
      <c r="BL80" s="137">
        <v>71</v>
      </c>
      <c r="BM80" s="137">
        <v>1041</v>
      </c>
      <c r="BN80" s="137">
        <v>756</v>
      </c>
      <c r="BO80" s="137">
        <v>38</v>
      </c>
      <c r="BP80" s="137">
        <v>575</v>
      </c>
      <c r="BQ80" s="137">
        <v>431</v>
      </c>
      <c r="BR80" s="139">
        <v>756</v>
      </c>
      <c r="BS80" s="137">
        <v>240</v>
      </c>
      <c r="BT80" s="137">
        <v>2139</v>
      </c>
      <c r="BU80" s="137">
        <v>1294</v>
      </c>
      <c r="BV80" s="137">
        <v>3541</v>
      </c>
      <c r="BW80" s="137">
        <v>1040</v>
      </c>
      <c r="BX80" s="137">
        <v>1265</v>
      </c>
      <c r="BY80" s="137">
        <v>529</v>
      </c>
      <c r="BZ80" s="137">
        <v>983</v>
      </c>
      <c r="CA80" s="137">
        <v>1117</v>
      </c>
      <c r="CB80" s="139">
        <v>1542</v>
      </c>
      <c r="CC80" s="137">
        <v>1178</v>
      </c>
      <c r="CD80" s="137">
        <v>459</v>
      </c>
      <c r="CE80" s="137">
        <v>890</v>
      </c>
      <c r="CF80" s="137">
        <v>167</v>
      </c>
      <c r="CG80" s="137">
        <v>2066</v>
      </c>
      <c r="CH80" s="137">
        <v>2090</v>
      </c>
      <c r="CI80" s="137">
        <v>1498</v>
      </c>
      <c r="CJ80" s="137">
        <v>3024</v>
      </c>
      <c r="CK80" s="138">
        <v>1532</v>
      </c>
      <c r="CL80" s="465">
        <v>46952</v>
      </c>
    </row>
    <row r="81" spans="1:90">
      <c r="A81" s="80">
        <f>ROWS($A$3:A79)</f>
        <v>77</v>
      </c>
      <c r="B81" s="602" t="s">
        <v>365</v>
      </c>
      <c r="C81" s="590">
        <v>2013</v>
      </c>
      <c r="D81" s="603" t="s">
        <v>13</v>
      </c>
      <c r="E81" s="522">
        <v>43320</v>
      </c>
      <c r="F81" s="154">
        <f>SUM(AT81:BF81)</f>
        <v>1005556</v>
      </c>
      <c r="G81" s="155">
        <f>SUM(BG81:BR81)</f>
        <v>656650</v>
      </c>
      <c r="H81" s="155">
        <f>SUM(BS81:CB81)</f>
        <v>660487</v>
      </c>
      <c r="I81" s="156">
        <f>SUM(CC81:CK81)</f>
        <v>573686</v>
      </c>
      <c r="J81" s="141"/>
      <c r="K81" s="154">
        <f>BF81</f>
        <v>79802</v>
      </c>
      <c r="L81" s="155">
        <f>AY81</f>
        <v>118188</v>
      </c>
      <c r="M81" s="155">
        <f>BD81</f>
        <v>98739</v>
      </c>
      <c r="N81" s="155">
        <f>AW81</f>
        <v>50764</v>
      </c>
      <c r="O81" s="155">
        <f>BE81</f>
        <v>28679</v>
      </c>
      <c r="P81" s="155">
        <f>AZ81+BA81</f>
        <v>150393</v>
      </c>
      <c r="Q81" s="155">
        <f>AU81</f>
        <v>100154</v>
      </c>
      <c r="R81" s="155">
        <f>AT81+AX81</f>
        <v>143894</v>
      </c>
      <c r="S81" s="155">
        <f>AV81</f>
        <v>102384</v>
      </c>
      <c r="T81" s="155">
        <f>BB81</f>
        <v>50750</v>
      </c>
      <c r="U81" s="552">
        <f>BC81</f>
        <v>81809</v>
      </c>
      <c r="V81" s="155">
        <f>BG81+BJ81</f>
        <v>89813</v>
      </c>
      <c r="W81" s="155">
        <f>BR81</f>
        <v>49932</v>
      </c>
      <c r="X81" s="155">
        <f>BH81+BI81</f>
        <v>174491</v>
      </c>
      <c r="Y81" s="155">
        <f>BK81+BL81+BN81</f>
        <v>98933</v>
      </c>
      <c r="Z81" s="155">
        <f>BM81</f>
        <v>78963</v>
      </c>
      <c r="AA81" s="155">
        <f>BO81+BQ81</f>
        <v>108165</v>
      </c>
      <c r="AB81" s="552">
        <f>BP81</f>
        <v>56353</v>
      </c>
      <c r="AC81" s="155">
        <f>BX81</f>
        <v>36321</v>
      </c>
      <c r="AD81" s="155">
        <f>BU81</f>
        <v>57272</v>
      </c>
      <c r="AE81" s="155">
        <f>BS81+BT81</f>
        <v>100681</v>
      </c>
      <c r="AF81" s="155">
        <f>CA81</f>
        <v>71647</v>
      </c>
      <c r="AG81" s="155">
        <f>BV81</f>
        <v>137358</v>
      </c>
      <c r="AH81" s="155">
        <f>BZ81</f>
        <v>57331</v>
      </c>
      <c r="AI81" s="155">
        <f>BW81</f>
        <v>60688</v>
      </c>
      <c r="AJ81" s="155">
        <f>BY81</f>
        <v>75626</v>
      </c>
      <c r="AK81" s="552">
        <f>CB81</f>
        <v>63563</v>
      </c>
      <c r="AL81" s="155">
        <f>CE81</f>
        <v>100740</v>
      </c>
      <c r="AM81" s="155">
        <f>CH81</f>
        <v>73457</v>
      </c>
      <c r="AN81" s="155">
        <f>CJ81</f>
        <v>32237</v>
      </c>
      <c r="AO81" s="155">
        <f>CC81</f>
        <v>78609</v>
      </c>
      <c r="AP81" s="155">
        <f>CD81</f>
        <v>90032</v>
      </c>
      <c r="AQ81" s="155">
        <f>CK81</f>
        <v>68994</v>
      </c>
      <c r="AR81" s="155">
        <f>CI81</f>
        <v>58455</v>
      </c>
      <c r="AS81" s="156">
        <f>CF81+CG81</f>
        <v>71162</v>
      </c>
      <c r="AT81" s="155">
        <v>12347</v>
      </c>
      <c r="AU81" s="155">
        <v>100154</v>
      </c>
      <c r="AV81" s="155">
        <v>102384</v>
      </c>
      <c r="AW81" s="155">
        <v>50764</v>
      </c>
      <c r="AX81" s="155">
        <v>131547</v>
      </c>
      <c r="AY81" s="155">
        <v>118188</v>
      </c>
      <c r="AZ81" s="155">
        <v>15616</v>
      </c>
      <c r="BA81" s="155">
        <v>134777</v>
      </c>
      <c r="BB81" s="155">
        <v>50750</v>
      </c>
      <c r="BC81" s="155">
        <v>81809</v>
      </c>
      <c r="BD81" s="155">
        <v>98739</v>
      </c>
      <c r="BE81" s="155">
        <v>28679</v>
      </c>
      <c r="BF81" s="552">
        <v>79802</v>
      </c>
      <c r="BG81" s="155">
        <v>11233</v>
      </c>
      <c r="BH81" s="155">
        <v>9367</v>
      </c>
      <c r="BI81" s="155">
        <v>165124</v>
      </c>
      <c r="BJ81" s="155">
        <v>78580</v>
      </c>
      <c r="BK81" s="155">
        <v>3423</v>
      </c>
      <c r="BL81" s="155">
        <v>5166</v>
      </c>
      <c r="BM81" s="155">
        <v>78963</v>
      </c>
      <c r="BN81" s="155">
        <v>90344</v>
      </c>
      <c r="BO81" s="155">
        <v>4150</v>
      </c>
      <c r="BP81" s="155">
        <v>56353</v>
      </c>
      <c r="BQ81" s="155">
        <v>104015</v>
      </c>
      <c r="BR81" s="552">
        <v>49932</v>
      </c>
      <c r="BS81" s="155">
        <v>8925</v>
      </c>
      <c r="BT81" s="155">
        <v>91756</v>
      </c>
      <c r="BU81" s="155">
        <v>57272</v>
      </c>
      <c r="BV81" s="155">
        <v>137358</v>
      </c>
      <c r="BW81" s="155">
        <v>60688</v>
      </c>
      <c r="BX81" s="155">
        <v>36321</v>
      </c>
      <c r="BY81" s="155">
        <v>75626</v>
      </c>
      <c r="BZ81" s="155">
        <v>57331</v>
      </c>
      <c r="CA81" s="155">
        <v>71647</v>
      </c>
      <c r="CB81" s="552">
        <v>63563</v>
      </c>
      <c r="CC81" s="155">
        <v>78609</v>
      </c>
      <c r="CD81" s="155">
        <v>90032</v>
      </c>
      <c r="CE81" s="155">
        <v>100740</v>
      </c>
      <c r="CF81" s="155">
        <v>5506</v>
      </c>
      <c r="CG81" s="155">
        <v>65656</v>
      </c>
      <c r="CH81" s="155">
        <v>73457</v>
      </c>
      <c r="CI81" s="155">
        <v>58455</v>
      </c>
      <c r="CJ81" s="155">
        <v>32237</v>
      </c>
      <c r="CK81" s="156">
        <v>68994</v>
      </c>
      <c r="CL81" s="553">
        <f>SUM(AT81:CK81)</f>
        <v>2896379</v>
      </c>
    </row>
    <row r="82" spans="1:90">
      <c r="A82" s="80">
        <f>ROWS($A$3:A80)</f>
        <v>78</v>
      </c>
      <c r="B82" s="610" t="s">
        <v>367</v>
      </c>
      <c r="C82" s="590">
        <v>2013</v>
      </c>
      <c r="D82" s="603" t="s">
        <v>13</v>
      </c>
      <c r="E82" s="522">
        <v>43320</v>
      </c>
      <c r="F82" s="530">
        <f t="shared" ref="F82:AQ82" si="167">F81/F80</f>
        <v>66.303310035605961</v>
      </c>
      <c r="G82" s="531">
        <f t="shared" si="167"/>
        <v>126.47342064714947</v>
      </c>
      <c r="H82" s="531">
        <f t="shared" si="167"/>
        <v>48.245945945945948</v>
      </c>
      <c r="I82" s="532">
        <f t="shared" si="167"/>
        <v>44.457997520148794</v>
      </c>
      <c r="J82" s="141"/>
      <c r="K82" s="530">
        <f t="shared" si="167"/>
        <v>34.397413793103446</v>
      </c>
      <c r="L82" s="531">
        <f t="shared" si="167"/>
        <v>105.80841539838855</v>
      </c>
      <c r="M82" s="531">
        <f t="shared" si="167"/>
        <v>57.206836616454233</v>
      </c>
      <c r="N82" s="531">
        <f t="shared" si="167"/>
        <v>61.235223160434259</v>
      </c>
      <c r="O82" s="531">
        <f t="shared" si="167"/>
        <v>47.169407894736842</v>
      </c>
      <c r="P82" s="531">
        <f t="shared" si="167"/>
        <v>72.79428848015489</v>
      </c>
      <c r="Q82" s="531">
        <f t="shared" si="167"/>
        <v>152.209726443769</v>
      </c>
      <c r="R82" s="531">
        <f t="shared" si="167"/>
        <v>113.84018987341773</v>
      </c>
      <c r="S82" s="531">
        <f t="shared" si="167"/>
        <v>170.07308970099669</v>
      </c>
      <c r="T82" s="531">
        <f t="shared" si="167"/>
        <v>34.975878704341831</v>
      </c>
      <c r="U82" s="555">
        <f t="shared" si="167"/>
        <v>32.399603960396043</v>
      </c>
      <c r="V82" s="531">
        <f t="shared" si="167"/>
        <v>147.96210873146623</v>
      </c>
      <c r="W82" s="531">
        <f t="shared" si="167"/>
        <v>66.047619047619051</v>
      </c>
      <c r="X82" s="531">
        <f t="shared" si="167"/>
        <v>224.2814910025707</v>
      </c>
      <c r="Y82" s="531">
        <f t="shared" si="167"/>
        <v>102.41511387163561</v>
      </c>
      <c r="Z82" s="531">
        <f t="shared" si="167"/>
        <v>75.853025936599423</v>
      </c>
      <c r="AA82" s="531">
        <f t="shared" si="167"/>
        <v>230.62899786780383</v>
      </c>
      <c r="AB82" s="555">
        <f t="shared" si="167"/>
        <v>98.005217391304342</v>
      </c>
      <c r="AC82" s="531">
        <f t="shared" si="167"/>
        <v>28.712252964426877</v>
      </c>
      <c r="AD82" s="531">
        <f t="shared" si="167"/>
        <v>44.259659969088098</v>
      </c>
      <c r="AE82" s="531">
        <f t="shared" si="167"/>
        <v>42.320722992854144</v>
      </c>
      <c r="AF82" s="531">
        <f t="shared" si="167"/>
        <v>64.142345568487016</v>
      </c>
      <c r="AG82" s="531">
        <f t="shared" si="167"/>
        <v>38.790737079920923</v>
      </c>
      <c r="AH82" s="531">
        <f t="shared" si="167"/>
        <v>58.322482197355036</v>
      </c>
      <c r="AI82" s="531">
        <f t="shared" si="167"/>
        <v>58.353846153846156</v>
      </c>
      <c r="AJ82" s="531">
        <f t="shared" si="167"/>
        <v>142.96030245746692</v>
      </c>
      <c r="AK82" s="555">
        <f t="shared" si="167"/>
        <v>41.22114137483787</v>
      </c>
      <c r="AL82" s="531">
        <f t="shared" si="167"/>
        <v>113.19101123595506</v>
      </c>
      <c r="AM82" s="531">
        <f t="shared" si="167"/>
        <v>35.14688995215311</v>
      </c>
      <c r="AN82" s="531">
        <f t="shared" si="167"/>
        <v>10.660383597883598</v>
      </c>
      <c r="AO82" s="531">
        <f t="shared" si="167"/>
        <v>66.730899830220707</v>
      </c>
      <c r="AP82" s="531">
        <f t="shared" si="167"/>
        <v>196.14814814814815</v>
      </c>
      <c r="AQ82" s="531">
        <f t="shared" si="167"/>
        <v>45.035248041775453</v>
      </c>
      <c r="AR82" s="531">
        <f>AR81/AR80</f>
        <v>39.022029372496661</v>
      </c>
      <c r="AS82" s="532">
        <f>AS81/AS80</f>
        <v>31.868338557993731</v>
      </c>
      <c r="AT82" s="531">
        <f>IF(OR(AT80&lt;0.1,AT81&lt;0.1),0,AT81/AT80)</f>
        <v>65.675531914893611</v>
      </c>
      <c r="AU82" s="531">
        <f>IF(OR(AU80&lt;0.1,AU81&lt;0.1),0,AU81/AU80)</f>
        <v>152.209726443769</v>
      </c>
      <c r="AV82" s="531">
        <f t="shared" ref="AV82:CK82" si="168">IF(OR(AV80&lt;0.1,AV81&lt;0.1),0,AV81/AV80)</f>
        <v>170.07308970099669</v>
      </c>
      <c r="AW82" s="531">
        <f t="shared" si="168"/>
        <v>61.235223160434259</v>
      </c>
      <c r="AX82" s="531">
        <f>IF(OR(AX80&lt;0.1,AX81&lt;0.1),0,AX81/AX80)</f>
        <v>122.25557620817844</v>
      </c>
      <c r="AY82" s="531">
        <f t="shared" si="168"/>
        <v>105.80841539838855</v>
      </c>
      <c r="AZ82" s="531">
        <f t="shared" si="168"/>
        <v>60.061538461538461</v>
      </c>
      <c r="BA82" s="531">
        <f t="shared" si="168"/>
        <v>74.62735326688815</v>
      </c>
      <c r="BB82" s="531">
        <f t="shared" si="168"/>
        <v>34.975878704341831</v>
      </c>
      <c r="BC82" s="531">
        <f t="shared" si="168"/>
        <v>32.399603960396043</v>
      </c>
      <c r="BD82" s="531">
        <f t="shared" si="168"/>
        <v>57.206836616454233</v>
      </c>
      <c r="BE82" s="531">
        <f t="shared" si="168"/>
        <v>47.169407894736842</v>
      </c>
      <c r="BF82" s="555">
        <f t="shared" si="168"/>
        <v>34.397413793103446</v>
      </c>
      <c r="BG82" s="531">
        <f t="shared" si="168"/>
        <v>69.770186335403722</v>
      </c>
      <c r="BH82" s="531">
        <f>IF(OR(BH80&lt;0.1,BH81&lt;0.1),0,BH81/BH80)</f>
        <v>135.75362318840581</v>
      </c>
      <c r="BI82" s="531">
        <f>IF(OR(BI80&lt;0.1,BI81&lt;0.1),0,BI81/BI80)</f>
        <v>232.89703808180536</v>
      </c>
      <c r="BJ82" s="531">
        <f>IF(OR(BJ80&lt;0.1,BJ81&lt;0.1),0,BJ81/BJ80)</f>
        <v>176.18834080717488</v>
      </c>
      <c r="BK82" s="531">
        <f t="shared" si="168"/>
        <v>24.625899280575538</v>
      </c>
      <c r="BL82" s="531">
        <f t="shared" si="168"/>
        <v>72.760563380281695</v>
      </c>
      <c r="BM82" s="531">
        <f>IF(OR(BM80&lt;0.1,BM81&lt;0.1),0,BM81/BM80)</f>
        <v>75.853025936599423</v>
      </c>
      <c r="BN82" s="531">
        <f t="shared" si="168"/>
        <v>119.50264550264551</v>
      </c>
      <c r="BO82" s="531">
        <f t="shared" si="168"/>
        <v>109.21052631578948</v>
      </c>
      <c r="BP82" s="531">
        <f t="shared" si="168"/>
        <v>98.005217391304342</v>
      </c>
      <c r="BQ82" s="531">
        <f>IF(OR(BQ80&lt;0.1,BQ81&lt;0.1),0,BQ81/BQ80)</f>
        <v>241.33410672853827</v>
      </c>
      <c r="BR82" s="555">
        <f t="shared" si="168"/>
        <v>66.047619047619051</v>
      </c>
      <c r="BS82" s="531">
        <f t="shared" si="168"/>
        <v>37.1875</v>
      </c>
      <c r="BT82" s="531">
        <f t="shared" si="168"/>
        <v>42.89668069191211</v>
      </c>
      <c r="BU82" s="531">
        <f t="shared" si="168"/>
        <v>44.259659969088098</v>
      </c>
      <c r="BV82" s="531">
        <f t="shared" si="168"/>
        <v>38.790737079920923</v>
      </c>
      <c r="BW82" s="531">
        <f t="shared" si="168"/>
        <v>58.353846153846156</v>
      </c>
      <c r="BX82" s="531">
        <f t="shared" si="168"/>
        <v>28.712252964426877</v>
      </c>
      <c r="BY82" s="531">
        <f t="shared" si="168"/>
        <v>142.96030245746692</v>
      </c>
      <c r="BZ82" s="531">
        <f t="shared" si="168"/>
        <v>58.322482197355036</v>
      </c>
      <c r="CA82" s="531">
        <f t="shared" si="168"/>
        <v>64.142345568487016</v>
      </c>
      <c r="CB82" s="555">
        <f t="shared" si="168"/>
        <v>41.22114137483787</v>
      </c>
      <c r="CC82" s="531">
        <f t="shared" si="168"/>
        <v>66.730899830220707</v>
      </c>
      <c r="CD82" s="531">
        <f t="shared" si="168"/>
        <v>196.14814814814815</v>
      </c>
      <c r="CE82" s="531">
        <f t="shared" si="168"/>
        <v>113.19101123595506</v>
      </c>
      <c r="CF82" s="531">
        <f t="shared" si="168"/>
        <v>32.970059880239518</v>
      </c>
      <c r="CG82" s="531">
        <f t="shared" si="168"/>
        <v>31.779283639883833</v>
      </c>
      <c r="CH82" s="531">
        <f t="shared" si="168"/>
        <v>35.14688995215311</v>
      </c>
      <c r="CI82" s="531">
        <f t="shared" si="168"/>
        <v>39.022029372496661</v>
      </c>
      <c r="CJ82" s="531">
        <f t="shared" si="168"/>
        <v>10.660383597883598</v>
      </c>
      <c r="CK82" s="532">
        <f t="shared" si="168"/>
        <v>45.035248041775453</v>
      </c>
      <c r="CL82" s="556">
        <f>IF(OR(CL80&lt;0.1,CL81&lt;0.1),0,CL81/CL80)</f>
        <v>61.68808570454933</v>
      </c>
    </row>
    <row r="83" spans="1:90">
      <c r="A83" s="80">
        <f>ROWS($A$3:A81)</f>
        <v>79</v>
      </c>
      <c r="B83" s="602" t="s">
        <v>366</v>
      </c>
      <c r="C83" s="590">
        <v>2013</v>
      </c>
      <c r="D83" s="603" t="s">
        <v>13</v>
      </c>
      <c r="E83" s="522">
        <v>43320</v>
      </c>
      <c r="F83" s="154">
        <f>SUM(AT83:BF83)</f>
        <v>1158721</v>
      </c>
      <c r="G83" s="155">
        <f>SUM(BG83:BR83)</f>
        <v>735398</v>
      </c>
      <c r="H83" s="155">
        <f>SUM(BS83:CB83)</f>
        <v>838770</v>
      </c>
      <c r="I83" s="156">
        <f>SUM(CC83:CK83)</f>
        <v>712371</v>
      </c>
      <c r="J83" s="122"/>
      <c r="K83" s="154">
        <f>BF83</f>
        <v>101147</v>
      </c>
      <c r="L83" s="155">
        <f>AY83</f>
        <v>131755</v>
      </c>
      <c r="M83" s="155">
        <f>BD83</f>
        <v>116340</v>
      </c>
      <c r="N83" s="155">
        <f>AW83</f>
        <v>60816</v>
      </c>
      <c r="O83" s="155">
        <f>BE83</f>
        <v>34404</v>
      </c>
      <c r="P83" s="155">
        <f>AZ83+BA83</f>
        <v>168217</v>
      </c>
      <c r="Q83" s="155">
        <f>AU83</f>
        <v>107238</v>
      </c>
      <c r="R83" s="155">
        <f>AT83+AX83</f>
        <v>155177</v>
      </c>
      <c r="S83" s="155">
        <f>AV83</f>
        <v>109171</v>
      </c>
      <c r="T83" s="155">
        <f>BB83</f>
        <v>64982</v>
      </c>
      <c r="U83" s="552">
        <f>BC83</f>
        <v>109474</v>
      </c>
      <c r="V83" s="155">
        <f>BG83+BJ83</f>
        <v>97717</v>
      </c>
      <c r="W83" s="155">
        <f>BR83</f>
        <v>58538</v>
      </c>
      <c r="X83" s="155">
        <f>BH83+BI83</f>
        <v>188507</v>
      </c>
      <c r="Y83" s="155">
        <f>BK83+BL83+BN83</f>
        <v>111223</v>
      </c>
      <c r="Z83" s="155">
        <f>BM83</f>
        <v>97497</v>
      </c>
      <c r="AA83" s="155">
        <f>BO83+BQ83</f>
        <v>116424</v>
      </c>
      <c r="AB83" s="552">
        <f>BP83</f>
        <v>65492</v>
      </c>
      <c r="AC83" s="155">
        <f>BX83</f>
        <v>56674</v>
      </c>
      <c r="AD83" s="155">
        <f>BU83</f>
        <v>72384</v>
      </c>
      <c r="AE83" s="155">
        <f>BS83+BT83</f>
        <v>124665</v>
      </c>
      <c r="AF83" s="155">
        <f>CA83</f>
        <v>88409</v>
      </c>
      <c r="AG83" s="155">
        <f>BV83</f>
        <v>180057</v>
      </c>
      <c r="AH83" s="155">
        <f>BZ83</f>
        <v>74822</v>
      </c>
      <c r="AI83" s="155">
        <f>BW83</f>
        <v>75855</v>
      </c>
      <c r="AJ83" s="155">
        <f>BY83</f>
        <v>84384</v>
      </c>
      <c r="AK83" s="552">
        <f>CB83</f>
        <v>81520</v>
      </c>
      <c r="AL83" s="155">
        <f>CE83</f>
        <v>110710</v>
      </c>
      <c r="AM83" s="155">
        <f>CH83</f>
        <v>91465</v>
      </c>
      <c r="AN83" s="155">
        <f>CJ83</f>
        <v>48288</v>
      </c>
      <c r="AO83" s="155">
        <f>CC83</f>
        <v>94177</v>
      </c>
      <c r="AP83" s="155">
        <f>CD83</f>
        <v>96309</v>
      </c>
      <c r="AQ83" s="155">
        <f>CK83</f>
        <v>87575</v>
      </c>
      <c r="AR83" s="155">
        <f>CI83</f>
        <v>94771</v>
      </c>
      <c r="AS83" s="156">
        <f>CF83+CG83</f>
        <v>89076</v>
      </c>
      <c r="AT83" s="155">
        <v>13276</v>
      </c>
      <c r="AU83" s="155">
        <v>107238</v>
      </c>
      <c r="AV83" s="155">
        <v>109171</v>
      </c>
      <c r="AW83" s="155">
        <v>60816</v>
      </c>
      <c r="AX83" s="155">
        <v>141901</v>
      </c>
      <c r="AY83" s="155">
        <v>131755</v>
      </c>
      <c r="AZ83" s="155">
        <v>18636</v>
      </c>
      <c r="BA83" s="155">
        <v>149581</v>
      </c>
      <c r="BB83" s="155">
        <v>64982</v>
      </c>
      <c r="BC83" s="155">
        <v>109474</v>
      </c>
      <c r="BD83" s="155">
        <v>116340</v>
      </c>
      <c r="BE83" s="155">
        <v>34404</v>
      </c>
      <c r="BF83" s="552">
        <v>101147</v>
      </c>
      <c r="BG83" s="155">
        <v>12278</v>
      </c>
      <c r="BH83" s="155">
        <v>10188</v>
      </c>
      <c r="BI83" s="155">
        <v>178319</v>
      </c>
      <c r="BJ83" s="155">
        <v>85439</v>
      </c>
      <c r="BK83" s="155">
        <v>4142</v>
      </c>
      <c r="BL83" s="155">
        <v>6045</v>
      </c>
      <c r="BM83" s="155">
        <v>97497</v>
      </c>
      <c r="BN83" s="155">
        <v>101036</v>
      </c>
      <c r="BO83" s="155">
        <v>4537</v>
      </c>
      <c r="BP83" s="155">
        <v>65492</v>
      </c>
      <c r="BQ83" s="155">
        <v>111887</v>
      </c>
      <c r="BR83" s="552">
        <v>58538</v>
      </c>
      <c r="BS83" s="155">
        <v>10067</v>
      </c>
      <c r="BT83" s="155">
        <v>114598</v>
      </c>
      <c r="BU83" s="155">
        <v>72384</v>
      </c>
      <c r="BV83" s="155">
        <v>180057</v>
      </c>
      <c r="BW83" s="155">
        <v>75855</v>
      </c>
      <c r="BX83" s="155">
        <v>56674</v>
      </c>
      <c r="BY83" s="155">
        <v>84384</v>
      </c>
      <c r="BZ83" s="155">
        <v>74822</v>
      </c>
      <c r="CA83" s="155">
        <v>88409</v>
      </c>
      <c r="CB83" s="552">
        <v>81520</v>
      </c>
      <c r="CC83" s="155">
        <v>94177</v>
      </c>
      <c r="CD83" s="155">
        <v>96309</v>
      </c>
      <c r="CE83" s="155">
        <v>110710</v>
      </c>
      <c r="CF83" s="155">
        <v>6392</v>
      </c>
      <c r="CG83" s="155">
        <v>82684</v>
      </c>
      <c r="CH83" s="155">
        <v>91465</v>
      </c>
      <c r="CI83" s="155">
        <v>94771</v>
      </c>
      <c r="CJ83" s="155">
        <v>48288</v>
      </c>
      <c r="CK83" s="156">
        <v>87575</v>
      </c>
      <c r="CL83" s="320">
        <f>SUM(AT83:CK83)</f>
        <v>3445260</v>
      </c>
    </row>
    <row r="84" spans="1:90">
      <c r="A84" s="80">
        <f>ROWS($A$3:A82)</f>
        <v>80</v>
      </c>
      <c r="B84" s="610" t="s">
        <v>368</v>
      </c>
      <c r="C84" s="590">
        <v>2013</v>
      </c>
      <c r="D84" s="603" t="s">
        <v>13</v>
      </c>
      <c r="E84" s="522">
        <v>43320</v>
      </c>
      <c r="F84" s="530">
        <f>F83/F80</f>
        <v>76.402545166820516</v>
      </c>
      <c r="G84" s="531">
        <f>G83/G80</f>
        <v>141.64060092449924</v>
      </c>
      <c r="H84" s="531">
        <f>H83/H80</f>
        <v>61.268809349890432</v>
      </c>
      <c r="I84" s="532">
        <f>I83/I80</f>
        <v>55.205440173589587</v>
      </c>
      <c r="J84" s="122"/>
      <c r="K84" s="530">
        <f t="shared" ref="K84:BV84" si="169">K83/K80</f>
        <v>43.597844827586208</v>
      </c>
      <c r="L84" s="531">
        <f t="shared" si="169"/>
        <v>117.95434198746642</v>
      </c>
      <c r="M84" s="531">
        <f t="shared" si="169"/>
        <v>67.404403244495938</v>
      </c>
      <c r="N84" s="531">
        <f t="shared" si="169"/>
        <v>73.360675512665864</v>
      </c>
      <c r="O84" s="531">
        <f t="shared" si="169"/>
        <v>56.585526315789473</v>
      </c>
      <c r="P84" s="531">
        <f t="shared" si="169"/>
        <v>81.421587608906094</v>
      </c>
      <c r="Q84" s="531">
        <f t="shared" si="169"/>
        <v>162.9756838905775</v>
      </c>
      <c r="R84" s="531">
        <f t="shared" si="169"/>
        <v>122.76661392405063</v>
      </c>
      <c r="S84" s="531">
        <f t="shared" si="169"/>
        <v>181.34717607973423</v>
      </c>
      <c r="T84" s="531">
        <f t="shared" si="169"/>
        <v>44.784286698828396</v>
      </c>
      <c r="U84" s="555">
        <f t="shared" si="169"/>
        <v>43.356039603960397</v>
      </c>
      <c r="V84" s="531">
        <f t="shared" si="169"/>
        <v>160.98352553542009</v>
      </c>
      <c r="W84" s="531">
        <f t="shared" si="169"/>
        <v>77.431216931216937</v>
      </c>
      <c r="X84" s="531">
        <f t="shared" si="169"/>
        <v>242.29691516709511</v>
      </c>
      <c r="Y84" s="531">
        <f t="shared" si="169"/>
        <v>115.1376811594203</v>
      </c>
      <c r="Z84" s="531">
        <f t="shared" si="169"/>
        <v>93.657060518731996</v>
      </c>
      <c r="AA84" s="531">
        <f t="shared" si="169"/>
        <v>248.23880597014926</v>
      </c>
      <c r="AB84" s="555">
        <f t="shared" si="169"/>
        <v>113.89913043478261</v>
      </c>
      <c r="AC84" s="531">
        <f t="shared" si="169"/>
        <v>44.801581027667986</v>
      </c>
      <c r="AD84" s="531">
        <f t="shared" si="169"/>
        <v>55.938176197836164</v>
      </c>
      <c r="AE84" s="531">
        <f t="shared" si="169"/>
        <v>52.402269861286257</v>
      </c>
      <c r="AF84" s="531">
        <f t="shared" si="169"/>
        <v>79.148612354521035</v>
      </c>
      <c r="AG84" s="531">
        <f t="shared" si="169"/>
        <v>50.849195142615081</v>
      </c>
      <c r="AH84" s="531">
        <f t="shared" si="169"/>
        <v>76.115971515768052</v>
      </c>
      <c r="AI84" s="531">
        <f t="shared" si="169"/>
        <v>72.9375</v>
      </c>
      <c r="AJ84" s="531">
        <f t="shared" si="169"/>
        <v>159.51606805293005</v>
      </c>
      <c r="AK84" s="555">
        <f t="shared" si="169"/>
        <v>52.86640726329442</v>
      </c>
      <c r="AL84" s="531">
        <f t="shared" si="169"/>
        <v>124.3932584269663</v>
      </c>
      <c r="AM84" s="531">
        <f t="shared" si="169"/>
        <v>43.763157894736842</v>
      </c>
      <c r="AN84" s="531">
        <f t="shared" si="169"/>
        <v>15.968253968253968</v>
      </c>
      <c r="AO84" s="531">
        <f t="shared" si="169"/>
        <v>79.946519524617997</v>
      </c>
      <c r="AP84" s="531">
        <f t="shared" si="169"/>
        <v>209.8235294117647</v>
      </c>
      <c r="AQ84" s="531">
        <f t="shared" si="169"/>
        <v>57.163838120104437</v>
      </c>
      <c r="AR84" s="531">
        <f t="shared" si="169"/>
        <v>63.265020026702267</v>
      </c>
      <c r="AS84" s="532">
        <f t="shared" si="169"/>
        <v>39.890729959695477</v>
      </c>
      <c r="AT84" s="531">
        <f t="shared" si="169"/>
        <v>70.61702127659575</v>
      </c>
      <c r="AU84" s="531">
        <f t="shared" si="169"/>
        <v>162.9756838905775</v>
      </c>
      <c r="AV84" s="531">
        <f t="shared" si="169"/>
        <v>181.34717607973423</v>
      </c>
      <c r="AW84" s="531">
        <f t="shared" si="169"/>
        <v>73.360675512665864</v>
      </c>
      <c r="AX84" s="531">
        <f t="shared" si="169"/>
        <v>131.87825278810408</v>
      </c>
      <c r="AY84" s="531">
        <f t="shared" si="169"/>
        <v>117.95434198746642</v>
      </c>
      <c r="AZ84" s="531">
        <f t="shared" si="169"/>
        <v>71.676923076923075</v>
      </c>
      <c r="BA84" s="531">
        <f t="shared" si="169"/>
        <v>82.824473975636764</v>
      </c>
      <c r="BB84" s="531">
        <f t="shared" si="169"/>
        <v>44.784286698828396</v>
      </c>
      <c r="BC84" s="531">
        <f t="shared" si="169"/>
        <v>43.356039603960397</v>
      </c>
      <c r="BD84" s="531">
        <f t="shared" si="169"/>
        <v>67.404403244495938</v>
      </c>
      <c r="BE84" s="531">
        <f t="shared" si="169"/>
        <v>56.585526315789473</v>
      </c>
      <c r="BF84" s="555">
        <f t="shared" si="169"/>
        <v>43.597844827586208</v>
      </c>
      <c r="BG84" s="531">
        <f t="shared" si="169"/>
        <v>76.260869565217391</v>
      </c>
      <c r="BH84" s="531">
        <f t="shared" si="169"/>
        <v>147.65217391304347</v>
      </c>
      <c r="BI84" s="531">
        <f t="shared" si="169"/>
        <v>251.50775740479548</v>
      </c>
      <c r="BJ84" s="531">
        <f t="shared" si="169"/>
        <v>191.56726457399103</v>
      </c>
      <c r="BK84" s="531">
        <f t="shared" si="169"/>
        <v>29.798561151079138</v>
      </c>
      <c r="BL84" s="531">
        <f t="shared" si="169"/>
        <v>85.140845070422529</v>
      </c>
      <c r="BM84" s="531">
        <f t="shared" si="169"/>
        <v>93.657060518731996</v>
      </c>
      <c r="BN84" s="531">
        <f t="shared" si="169"/>
        <v>133.64550264550263</v>
      </c>
      <c r="BO84" s="531">
        <f t="shared" si="169"/>
        <v>119.39473684210526</v>
      </c>
      <c r="BP84" s="531">
        <f t="shared" si="169"/>
        <v>113.89913043478261</v>
      </c>
      <c r="BQ84" s="531">
        <f t="shared" si="169"/>
        <v>259.59860788863108</v>
      </c>
      <c r="BR84" s="555">
        <f t="shared" si="169"/>
        <v>77.431216931216937</v>
      </c>
      <c r="BS84" s="531">
        <f t="shared" si="169"/>
        <v>41.945833333333333</v>
      </c>
      <c r="BT84" s="531">
        <f t="shared" si="169"/>
        <v>53.575502571294997</v>
      </c>
      <c r="BU84" s="531">
        <f t="shared" si="169"/>
        <v>55.938176197836164</v>
      </c>
      <c r="BV84" s="531">
        <f t="shared" si="169"/>
        <v>50.849195142615081</v>
      </c>
      <c r="BW84" s="531">
        <f t="shared" ref="BW84:CL84" si="170">BW83/BW80</f>
        <v>72.9375</v>
      </c>
      <c r="BX84" s="531">
        <f t="shared" si="170"/>
        <v>44.801581027667986</v>
      </c>
      <c r="BY84" s="531">
        <f t="shared" si="170"/>
        <v>159.51606805293005</v>
      </c>
      <c r="BZ84" s="531">
        <f t="shared" si="170"/>
        <v>76.115971515768052</v>
      </c>
      <c r="CA84" s="531">
        <f t="shared" si="170"/>
        <v>79.148612354521035</v>
      </c>
      <c r="CB84" s="555">
        <f t="shared" si="170"/>
        <v>52.86640726329442</v>
      </c>
      <c r="CC84" s="531">
        <f t="shared" si="170"/>
        <v>79.946519524617997</v>
      </c>
      <c r="CD84" s="531">
        <f t="shared" si="170"/>
        <v>209.8235294117647</v>
      </c>
      <c r="CE84" s="531">
        <f t="shared" si="170"/>
        <v>124.3932584269663</v>
      </c>
      <c r="CF84" s="531">
        <f t="shared" si="170"/>
        <v>38.275449101796404</v>
      </c>
      <c r="CG84" s="531">
        <f t="shared" si="170"/>
        <v>40.021297192642791</v>
      </c>
      <c r="CH84" s="531">
        <f t="shared" si="170"/>
        <v>43.763157894736842</v>
      </c>
      <c r="CI84" s="531">
        <f t="shared" si="170"/>
        <v>63.265020026702267</v>
      </c>
      <c r="CJ84" s="531">
        <f t="shared" si="170"/>
        <v>15.968253968253968</v>
      </c>
      <c r="CK84" s="532">
        <f t="shared" si="170"/>
        <v>57.163838120104437</v>
      </c>
      <c r="CL84" s="556">
        <f t="shared" si="170"/>
        <v>73.378343840517971</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4">
        <v>2013</v>
      </c>
      <c r="D86" s="260"/>
      <c r="E86" s="435"/>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9" t="s">
        <v>188</v>
      </c>
      <c r="E87" s="436">
        <v>42185</v>
      </c>
      <c r="F87" s="151">
        <v>23748</v>
      </c>
      <c r="G87" s="151">
        <v>20707</v>
      </c>
      <c r="H87" s="151">
        <v>15552</v>
      </c>
      <c r="I87" s="152">
        <v>23034</v>
      </c>
      <c r="J87" s="280"/>
      <c r="K87" s="116">
        <f>BF87</f>
        <v>21623</v>
      </c>
      <c r="L87" s="137">
        <f>AY87</f>
        <v>23751</v>
      </c>
      <c r="M87" s="137">
        <f>BD87</f>
        <v>14746</v>
      </c>
      <c r="N87" s="137">
        <f>AW87</f>
        <v>19401</v>
      </c>
      <c r="O87" s="137">
        <f>BE87</f>
        <v>27331</v>
      </c>
      <c r="P87" s="143">
        <f>(AZ100*AZ87+BA100*BA87)/(AZ100+BA100)</f>
        <v>23641.483754512636</v>
      </c>
      <c r="Q87" s="137">
        <f>'2008'!AU87</f>
        <v>31866</v>
      </c>
      <c r="R87" s="143">
        <f>(AT100*AT87+AX100*AX87)/(AT100+AX100)</f>
        <v>42143.210526315786</v>
      </c>
      <c r="S87" s="137">
        <f>AV87</f>
        <v>28735</v>
      </c>
      <c r="T87" s="137">
        <f>BB87</f>
        <v>25281</v>
      </c>
      <c r="U87" s="139">
        <f>BC87</f>
        <v>24470</v>
      </c>
      <c r="V87" s="143">
        <f>(BG100*BG87+BJ100*BJ87)/(BG100+BJ100)</f>
        <v>19819.049180327867</v>
      </c>
      <c r="W87" s="137">
        <f>BR87</f>
        <v>9971</v>
      </c>
      <c r="X87" s="143">
        <f>(BH100*BH87+BI100*BI87)/(BH100+BI100)</f>
        <v>25506.789603960395</v>
      </c>
      <c r="Y87" s="143">
        <f>(BK100*BK87+BL100*BL87+BN100*BN87)/(BK100+BL100+BN100)</f>
        <v>29117.591397849461</v>
      </c>
      <c r="Z87" s="137">
        <f>BM87</f>
        <v>12315</v>
      </c>
      <c r="AA87" s="143">
        <f>(BO100*BO87+BQ100*BQ87)/(BO100+BQ100)</f>
        <v>21987.45945945946</v>
      </c>
      <c r="AB87" s="139">
        <f>BP87</f>
        <v>15106</v>
      </c>
      <c r="AC87" s="137">
        <f>BX87</f>
        <v>13365</v>
      </c>
      <c r="AD87" s="137">
        <f>BU87</f>
        <v>23666</v>
      </c>
      <c r="AE87" s="143">
        <f>(BS100*BS87+BT100*BT87)/(BS100+BT100)</f>
        <v>21887.139534883721</v>
      </c>
      <c r="AF87" s="137">
        <f>CA87</f>
        <v>14299</v>
      </c>
      <c r="AG87" s="137">
        <f>BV87</f>
        <v>18841</v>
      </c>
      <c r="AH87" s="137">
        <f>BZ87</f>
        <v>17736</v>
      </c>
      <c r="AI87" s="137">
        <f>BW87</f>
        <v>11693</v>
      </c>
      <c r="AJ87" s="137">
        <f>BY87</f>
        <v>11006</v>
      </c>
      <c r="AK87" s="139">
        <f>CB87</f>
        <v>12430</v>
      </c>
      <c r="AL87" s="137">
        <f>CE87</f>
        <v>14004</v>
      </c>
      <c r="AM87" s="137">
        <f>CH87</f>
        <v>24879</v>
      </c>
      <c r="AN87" s="137">
        <f>CJ87</f>
        <v>26309</v>
      </c>
      <c r="AO87" s="137">
        <f>CC87</f>
        <v>15726</v>
      </c>
      <c r="AP87" s="137">
        <f>CD87</f>
        <v>23849</v>
      </c>
      <c r="AQ87" s="137">
        <f>CK87</f>
        <v>18697</v>
      </c>
      <c r="AR87" s="137">
        <f>CI87</f>
        <v>22754</v>
      </c>
      <c r="AS87" s="144">
        <f>(CF100*CF87+CG100*CG87)/(CF100+CG100)</f>
        <v>30857</v>
      </c>
      <c r="AT87" s="137">
        <v>129588</v>
      </c>
      <c r="AU87" s="151">
        <v>31008</v>
      </c>
      <c r="AV87" s="151">
        <v>28735</v>
      </c>
      <c r="AW87" s="151">
        <v>19401</v>
      </c>
      <c r="AX87" s="151">
        <v>37749</v>
      </c>
      <c r="AY87" s="151">
        <v>23751</v>
      </c>
      <c r="AZ87" s="151">
        <v>30103</v>
      </c>
      <c r="BA87" s="151">
        <v>23219</v>
      </c>
      <c r="BB87" s="151">
        <v>25281</v>
      </c>
      <c r="BC87" s="151">
        <v>24470</v>
      </c>
      <c r="BD87" s="151">
        <v>14746</v>
      </c>
      <c r="BE87" s="151">
        <v>27331</v>
      </c>
      <c r="BF87" s="153">
        <v>21623</v>
      </c>
      <c r="BG87" s="151">
        <v>19882</v>
      </c>
      <c r="BH87" s="151">
        <v>75365</v>
      </c>
      <c r="BI87" s="151">
        <v>24882</v>
      </c>
      <c r="BJ87" s="151">
        <v>19786</v>
      </c>
      <c r="BK87" s="151">
        <v>136696</v>
      </c>
      <c r="BL87" s="151">
        <v>0</v>
      </c>
      <c r="BM87" s="151">
        <v>12315</v>
      </c>
      <c r="BN87" s="151">
        <v>23860</v>
      </c>
      <c r="BO87" s="151">
        <v>26875</v>
      </c>
      <c r="BP87" s="151">
        <v>15106</v>
      </c>
      <c r="BQ87" s="151">
        <v>21671</v>
      </c>
      <c r="BR87" s="153">
        <v>9971</v>
      </c>
      <c r="BS87" s="151">
        <v>28772</v>
      </c>
      <c r="BT87" s="151">
        <v>21181</v>
      </c>
      <c r="BU87" s="151">
        <v>23666</v>
      </c>
      <c r="BV87" s="151">
        <v>18841</v>
      </c>
      <c r="BW87" s="151">
        <v>11693</v>
      </c>
      <c r="BX87" s="151">
        <v>13365</v>
      </c>
      <c r="BY87" s="151">
        <v>11006</v>
      </c>
      <c r="BZ87" s="151">
        <v>17736</v>
      </c>
      <c r="CA87" s="151">
        <v>14299</v>
      </c>
      <c r="CB87" s="153">
        <v>12430</v>
      </c>
      <c r="CC87" s="151">
        <v>15726</v>
      </c>
      <c r="CD87" s="151">
        <v>23849</v>
      </c>
      <c r="CE87" s="151">
        <v>14004</v>
      </c>
      <c r="CF87" s="151">
        <v>0</v>
      </c>
      <c r="CG87" s="151">
        <v>30857</v>
      </c>
      <c r="CH87" s="151">
        <v>24879</v>
      </c>
      <c r="CI87" s="151">
        <v>22754</v>
      </c>
      <c r="CJ87" s="151">
        <v>26309</v>
      </c>
      <c r="CK87" s="151">
        <v>18697</v>
      </c>
      <c r="CL87" s="140">
        <v>21997</v>
      </c>
    </row>
    <row r="88" spans="1:90">
      <c r="A88" s="80">
        <f>ROWS($A$3:A86)</f>
        <v>84</v>
      </c>
      <c r="B88" s="59" t="s">
        <v>190</v>
      </c>
      <c r="C88" s="387">
        <v>2013</v>
      </c>
      <c r="D88" s="260"/>
      <c r="E88" s="435"/>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c r="A89" s="80">
        <f>ROWS($A$3:A87)</f>
        <v>85</v>
      </c>
      <c r="B89" s="388" t="s">
        <v>284</v>
      </c>
      <c r="C89" s="205"/>
      <c r="D89" s="259" t="s">
        <v>192</v>
      </c>
      <c r="E89" s="437">
        <v>41709</v>
      </c>
      <c r="F89" s="381">
        <v>62.5</v>
      </c>
      <c r="G89" s="382">
        <v>68</v>
      </c>
      <c r="H89" s="382">
        <v>72.2</v>
      </c>
      <c r="I89" s="383">
        <v>73.7</v>
      </c>
      <c r="J89" s="382"/>
      <c r="K89" s="381">
        <f>BF89</f>
        <v>80.099999999999994</v>
      </c>
      <c r="L89" s="384">
        <f>AY89</f>
        <v>75.099999999999994</v>
      </c>
      <c r="M89" s="384">
        <f>BD89</f>
        <v>71.900000000000006</v>
      </c>
      <c r="N89" s="384">
        <f>AW89</f>
        <v>64.5</v>
      </c>
      <c r="O89" s="384">
        <f>BE89</f>
        <v>68.2</v>
      </c>
      <c r="P89" s="384">
        <f>'2013'!BA89</f>
        <v>82.4</v>
      </c>
      <c r="Q89" s="384">
        <f>'2013'!AU89</f>
        <v>83.8</v>
      </c>
      <c r="R89" s="384">
        <f>AX89</f>
        <v>80.400000000000006</v>
      </c>
      <c r="S89" s="384">
        <f>AV89</f>
        <v>56</v>
      </c>
      <c r="T89" s="384">
        <f t="shared" ref="T89:U93" si="171">BB89</f>
        <v>80.400000000000006</v>
      </c>
      <c r="U89" s="385">
        <f t="shared" si="171"/>
        <v>79.400000000000006</v>
      </c>
      <c r="V89" s="384" t="str">
        <f>BJ89</f>
        <v>-</v>
      </c>
      <c r="W89" s="384">
        <f>BR89</f>
        <v>68.8</v>
      </c>
      <c r="X89" s="384">
        <f>BI89</f>
        <v>74.599999999999994</v>
      </c>
      <c r="Y89" s="384">
        <f>BN89</f>
        <v>69.099999999999994</v>
      </c>
      <c r="Z89" s="384">
        <f>BM89</f>
        <v>72.8</v>
      </c>
      <c r="AA89" s="384">
        <f>BQ89</f>
        <v>73.5</v>
      </c>
      <c r="AB89" s="385">
        <f>BP89</f>
        <v>81.599999999999994</v>
      </c>
      <c r="AC89" s="384">
        <f>BX89</f>
        <v>74.8</v>
      </c>
      <c r="AD89" s="384">
        <f>BU89</f>
        <v>82.2</v>
      </c>
      <c r="AE89" s="384">
        <f>BT89</f>
        <v>84</v>
      </c>
      <c r="AF89" s="384" t="str">
        <f>CA89</f>
        <v>-</v>
      </c>
      <c r="AG89" s="384">
        <f>BV89</f>
        <v>75.2</v>
      </c>
      <c r="AH89" s="384">
        <f>BZ89</f>
        <v>60.1</v>
      </c>
      <c r="AI89" s="384">
        <f>BW89</f>
        <v>62.1</v>
      </c>
      <c r="AJ89" s="384">
        <f>BY89</f>
        <v>61.2</v>
      </c>
      <c r="AK89" s="385">
        <f>CB89</f>
        <v>73.2</v>
      </c>
      <c r="AL89" s="384">
        <f>CE89</f>
        <v>49.6</v>
      </c>
      <c r="AM89" s="384">
        <f>CH89</f>
        <v>82.7</v>
      </c>
      <c r="AN89" s="384">
        <f>CJ89</f>
        <v>84.5</v>
      </c>
      <c r="AO89" s="384">
        <f t="shared" ref="AO89:AP93" si="172">CC89</f>
        <v>55.1</v>
      </c>
      <c r="AP89" s="384">
        <f t="shared" si="172"/>
        <v>55.1</v>
      </c>
      <c r="AQ89" s="384">
        <f>CK89</f>
        <v>80.2</v>
      </c>
      <c r="AR89" s="384">
        <f>CI89</f>
        <v>73.7</v>
      </c>
      <c r="AS89" s="383">
        <f>CG89</f>
        <v>79.7</v>
      </c>
      <c r="AT89" s="384" t="s">
        <v>58</v>
      </c>
      <c r="AU89" s="382">
        <v>83.8</v>
      </c>
      <c r="AV89" s="382">
        <v>56</v>
      </c>
      <c r="AW89" s="382">
        <v>64.5</v>
      </c>
      <c r="AX89" s="382">
        <v>80.400000000000006</v>
      </c>
      <c r="AY89" s="382">
        <v>75.099999999999994</v>
      </c>
      <c r="AZ89" s="384" t="s">
        <v>58</v>
      </c>
      <c r="BA89" s="382">
        <v>82.4</v>
      </c>
      <c r="BB89" s="382">
        <v>80.400000000000006</v>
      </c>
      <c r="BC89" s="382">
        <v>79.400000000000006</v>
      </c>
      <c r="BD89" s="382">
        <v>71.900000000000006</v>
      </c>
      <c r="BE89" s="382">
        <v>68.2</v>
      </c>
      <c r="BF89" s="385">
        <v>80.099999999999994</v>
      </c>
      <c r="BG89" s="384" t="s">
        <v>58</v>
      </c>
      <c r="BH89" s="384" t="s">
        <v>58</v>
      </c>
      <c r="BI89" s="382">
        <v>74.599999999999994</v>
      </c>
      <c r="BJ89" s="382" t="s">
        <v>58</v>
      </c>
      <c r="BK89" s="384" t="s">
        <v>58</v>
      </c>
      <c r="BL89" s="382" t="s">
        <v>58</v>
      </c>
      <c r="BM89" s="382">
        <v>72.8</v>
      </c>
      <c r="BN89" s="382">
        <v>69.099999999999994</v>
      </c>
      <c r="BO89" s="384" t="s">
        <v>58</v>
      </c>
      <c r="BP89" s="382">
        <v>81.599999999999994</v>
      </c>
      <c r="BQ89" s="382">
        <v>73.5</v>
      </c>
      <c r="BR89" s="385">
        <v>68.8</v>
      </c>
      <c r="BS89" s="384" t="s">
        <v>58</v>
      </c>
      <c r="BT89" s="382">
        <v>84</v>
      </c>
      <c r="BU89" s="382">
        <v>82.2</v>
      </c>
      <c r="BV89" s="382">
        <v>75.2</v>
      </c>
      <c r="BW89" s="382">
        <v>62.1</v>
      </c>
      <c r="BX89" s="382">
        <v>74.8</v>
      </c>
      <c r="BY89" s="382">
        <v>61.2</v>
      </c>
      <c r="BZ89" s="382">
        <v>60.1</v>
      </c>
      <c r="CA89" s="382" t="s">
        <v>58</v>
      </c>
      <c r="CB89" s="385">
        <v>73.2</v>
      </c>
      <c r="CC89" s="382">
        <v>55.1</v>
      </c>
      <c r="CD89" s="382">
        <v>55.1</v>
      </c>
      <c r="CE89" s="382">
        <v>49.6</v>
      </c>
      <c r="CF89" s="384" t="s">
        <v>58</v>
      </c>
      <c r="CG89" s="382">
        <v>79.7</v>
      </c>
      <c r="CH89" s="382">
        <v>82.7</v>
      </c>
      <c r="CI89" s="382">
        <v>73.7</v>
      </c>
      <c r="CJ89" s="382">
        <v>84.5</v>
      </c>
      <c r="CK89" s="383">
        <v>80.2</v>
      </c>
      <c r="CL89" s="319">
        <v>74.099999999999994</v>
      </c>
    </row>
    <row r="90" spans="1:90">
      <c r="A90" s="80">
        <f>ROWS($A$3:A88)</f>
        <v>86</v>
      </c>
      <c r="B90" s="92" t="s">
        <v>193</v>
      </c>
      <c r="C90" s="203"/>
      <c r="D90" s="259" t="s">
        <v>192</v>
      </c>
      <c r="E90" s="437">
        <v>41709</v>
      </c>
      <c r="F90" s="381">
        <v>724.8</v>
      </c>
      <c r="G90" s="382">
        <v>709.4</v>
      </c>
      <c r="H90" s="382" t="s">
        <v>58</v>
      </c>
      <c r="I90" s="383">
        <v>791.7</v>
      </c>
      <c r="J90" s="382"/>
      <c r="K90" s="381" t="str">
        <f>BF90</f>
        <v>-</v>
      </c>
      <c r="L90" s="384" t="str">
        <f>AY90</f>
        <v>-</v>
      </c>
      <c r="M90" s="384">
        <f>BD90</f>
        <v>726.3</v>
      </c>
      <c r="N90" s="384" t="str">
        <f>AW90</f>
        <v>-</v>
      </c>
      <c r="O90" s="384" t="str">
        <f>BE90</f>
        <v>-</v>
      </c>
      <c r="P90" s="384">
        <f>'2013'!BA90</f>
        <v>798.7</v>
      </c>
      <c r="Q90" s="384">
        <f>'2013'!AU90</f>
        <v>745.4</v>
      </c>
      <c r="R90" s="384">
        <f>AX90</f>
        <v>741.2</v>
      </c>
      <c r="S90" s="384" t="str">
        <f>AV90</f>
        <v>-</v>
      </c>
      <c r="T90" s="384">
        <f t="shared" si="171"/>
        <v>737.2</v>
      </c>
      <c r="U90" s="385" t="str">
        <f t="shared" si="171"/>
        <v>-</v>
      </c>
      <c r="V90" s="384" t="str">
        <f>BJ90</f>
        <v>-</v>
      </c>
      <c r="W90" s="384" t="str">
        <f>BR90</f>
        <v>-</v>
      </c>
      <c r="X90" s="384">
        <f>BI90</f>
        <v>701.4</v>
      </c>
      <c r="Y90" s="384">
        <f>BN90</f>
        <v>762.2</v>
      </c>
      <c r="Z90" s="384" t="str">
        <f>BM90</f>
        <v>-</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2"/>
        <v>-</v>
      </c>
      <c r="AP90" s="384" t="str">
        <f t="shared" si="172"/>
        <v>-</v>
      </c>
      <c r="AQ90" s="384" t="str">
        <f>CK90</f>
        <v>-</v>
      </c>
      <c r="AR90" s="384" t="str">
        <f>CI90</f>
        <v>-</v>
      </c>
      <c r="AS90" s="383" t="str">
        <f>CG90</f>
        <v>-</v>
      </c>
      <c r="AT90" s="384" t="s">
        <v>58</v>
      </c>
      <c r="AU90" s="382">
        <v>745.4</v>
      </c>
      <c r="AV90" s="384" t="s">
        <v>58</v>
      </c>
      <c r="AW90" s="382" t="s">
        <v>58</v>
      </c>
      <c r="AX90" s="382">
        <v>741.2</v>
      </c>
      <c r="AY90" s="384" t="s">
        <v>58</v>
      </c>
      <c r="AZ90" s="384" t="s">
        <v>58</v>
      </c>
      <c r="BA90" s="382">
        <v>798.7</v>
      </c>
      <c r="BB90" s="382">
        <v>737.2</v>
      </c>
      <c r="BC90" s="382" t="s">
        <v>58</v>
      </c>
      <c r="BD90" s="382">
        <v>726.3</v>
      </c>
      <c r="BE90" s="384" t="s">
        <v>58</v>
      </c>
      <c r="BF90" s="385" t="s">
        <v>58</v>
      </c>
      <c r="BG90" s="384" t="s">
        <v>58</v>
      </c>
      <c r="BH90" s="384" t="s">
        <v>58</v>
      </c>
      <c r="BI90" s="382">
        <v>701.4</v>
      </c>
      <c r="BJ90" s="382" t="s">
        <v>58</v>
      </c>
      <c r="BK90" s="382" t="s">
        <v>58</v>
      </c>
      <c r="BL90" s="382" t="s">
        <v>58</v>
      </c>
      <c r="BM90" s="382" t="s">
        <v>58</v>
      </c>
      <c r="BN90" s="382">
        <v>762.2</v>
      </c>
      <c r="BO90" s="384" t="s">
        <v>58</v>
      </c>
      <c r="BP90" s="384" t="s">
        <v>58</v>
      </c>
      <c r="BQ90" s="384" t="s">
        <v>58</v>
      </c>
      <c r="BR90" s="385" t="s">
        <v>58</v>
      </c>
      <c r="BS90" s="384" t="s">
        <v>58</v>
      </c>
      <c r="BT90" s="382" t="s">
        <v>58</v>
      </c>
      <c r="BU90" s="382" t="s">
        <v>58</v>
      </c>
      <c r="BV90" s="382" t="s">
        <v>58</v>
      </c>
      <c r="BW90" s="382" t="s">
        <v>58</v>
      </c>
      <c r="BX90" s="382" t="s">
        <v>58</v>
      </c>
      <c r="BY90" s="382" t="s">
        <v>58</v>
      </c>
      <c r="BZ90" s="382" t="s">
        <v>58</v>
      </c>
      <c r="CA90" s="382" t="s">
        <v>58</v>
      </c>
      <c r="CB90" s="385" t="s">
        <v>58</v>
      </c>
      <c r="CC90" s="382" t="s">
        <v>58</v>
      </c>
      <c r="CD90" s="382" t="s">
        <v>58</v>
      </c>
      <c r="CE90" s="382" t="s">
        <v>58</v>
      </c>
      <c r="CF90" s="384" t="s">
        <v>58</v>
      </c>
      <c r="CG90" s="384" t="s">
        <v>58</v>
      </c>
      <c r="CH90" s="384" t="s">
        <v>58</v>
      </c>
      <c r="CI90" s="384" t="s">
        <v>58</v>
      </c>
      <c r="CJ90" s="382" t="s">
        <v>58</v>
      </c>
      <c r="CK90" s="383" t="s">
        <v>58</v>
      </c>
      <c r="CL90" s="386">
        <v>753.9</v>
      </c>
    </row>
    <row r="91" spans="1:90">
      <c r="A91" s="80">
        <f>ROWS($A$3:A89)</f>
        <v>87</v>
      </c>
      <c r="B91" s="92" t="s">
        <v>194</v>
      </c>
      <c r="C91" s="203"/>
      <c r="D91" s="259" t="s">
        <v>192</v>
      </c>
      <c r="E91" s="437">
        <v>41709</v>
      </c>
      <c r="F91" s="381">
        <v>28.4</v>
      </c>
      <c r="G91" s="384">
        <v>33.200000000000003</v>
      </c>
      <c r="H91" s="384">
        <v>40</v>
      </c>
      <c r="I91" s="383">
        <v>40.5</v>
      </c>
      <c r="J91" s="382"/>
      <c r="K91" s="381">
        <f>BF91</f>
        <v>41.2</v>
      </c>
      <c r="L91" s="384">
        <f>AY91</f>
        <v>37.700000000000003</v>
      </c>
      <c r="M91" s="384">
        <f>BD91</f>
        <v>37.200000000000003</v>
      </c>
      <c r="N91" s="384" t="str">
        <f>AW91</f>
        <v>-</v>
      </c>
      <c r="O91" s="384" t="str">
        <f>BE91</f>
        <v>-</v>
      </c>
      <c r="P91" s="384">
        <f>'2013'!BA91</f>
        <v>39.700000000000003</v>
      </c>
      <c r="Q91" s="384">
        <f>'2013'!AU91</f>
        <v>41.9</v>
      </c>
      <c r="R91" s="384">
        <f>AX91</f>
        <v>33.4</v>
      </c>
      <c r="S91" s="384" t="str">
        <f>AV91</f>
        <v>-</v>
      </c>
      <c r="T91" s="384">
        <f t="shared" si="171"/>
        <v>34.700000000000003</v>
      </c>
      <c r="U91" s="385">
        <f t="shared" si="171"/>
        <v>37.9</v>
      </c>
      <c r="V91" s="384" t="str">
        <f>BJ91</f>
        <v>-</v>
      </c>
      <c r="W91" s="384">
        <f>BR91</f>
        <v>41.7</v>
      </c>
      <c r="X91" s="384">
        <f>BI91</f>
        <v>36.1</v>
      </c>
      <c r="Y91" s="384">
        <f>BN91</f>
        <v>29.8</v>
      </c>
      <c r="Z91" s="384">
        <f>BM91</f>
        <v>36.1</v>
      </c>
      <c r="AA91" s="384">
        <f>BQ91</f>
        <v>36.9</v>
      </c>
      <c r="AB91" s="385" t="str">
        <f>BP91</f>
        <v>-</v>
      </c>
      <c r="AC91" s="384" t="str">
        <f>BX91</f>
        <v>-</v>
      </c>
      <c r="AD91" s="384" t="str">
        <f>BU91</f>
        <v>-</v>
      </c>
      <c r="AE91" s="384">
        <f>BT91</f>
        <v>41.1</v>
      </c>
      <c r="AF91" s="384" t="str">
        <f>CA91</f>
        <v>-</v>
      </c>
      <c r="AG91" s="384" t="str">
        <f>BV91</f>
        <v>-</v>
      </c>
      <c r="AH91" s="384" t="str">
        <f>BZ91</f>
        <v>-</v>
      </c>
      <c r="AI91" s="384">
        <f>BW91</f>
        <v>35.4</v>
      </c>
      <c r="AJ91" s="384" t="str">
        <f>BY91</f>
        <v>-</v>
      </c>
      <c r="AK91" s="385" t="str">
        <f>CB91</f>
        <v>-</v>
      </c>
      <c r="AL91" s="384" t="str">
        <f>CE91</f>
        <v>-</v>
      </c>
      <c r="AM91" s="384">
        <f>CH91</f>
        <v>38.5</v>
      </c>
      <c r="AN91" s="384" t="str">
        <f>CJ91</f>
        <v>-</v>
      </c>
      <c r="AO91" s="384">
        <f t="shared" si="172"/>
        <v>28.8</v>
      </c>
      <c r="AP91" s="384" t="str">
        <f t="shared" si="172"/>
        <v>-</v>
      </c>
      <c r="AQ91" s="384">
        <f>CK91</f>
        <v>39</v>
      </c>
      <c r="AR91" s="384" t="str">
        <f>CI91</f>
        <v>-</v>
      </c>
      <c r="AS91" s="383">
        <f>CG91</f>
        <v>40.4</v>
      </c>
      <c r="AT91" s="384" t="s">
        <v>58</v>
      </c>
      <c r="AU91" s="384">
        <v>41.9</v>
      </c>
      <c r="AV91" s="384" t="s">
        <v>58</v>
      </c>
      <c r="AW91" s="382" t="s">
        <v>58</v>
      </c>
      <c r="AX91" s="384">
        <v>33.4</v>
      </c>
      <c r="AY91" s="382">
        <v>37.700000000000003</v>
      </c>
      <c r="AZ91" s="384" t="s">
        <v>58</v>
      </c>
      <c r="BA91" s="382">
        <v>39.700000000000003</v>
      </c>
      <c r="BB91" s="382">
        <v>34.700000000000003</v>
      </c>
      <c r="BC91" s="382">
        <v>37.9</v>
      </c>
      <c r="BD91" s="382">
        <v>37.200000000000003</v>
      </c>
      <c r="BE91" s="382" t="s">
        <v>58</v>
      </c>
      <c r="BF91" s="385">
        <v>41.2</v>
      </c>
      <c r="BG91" s="384" t="s">
        <v>58</v>
      </c>
      <c r="BH91" s="384" t="s">
        <v>58</v>
      </c>
      <c r="BI91" s="382">
        <v>36.1</v>
      </c>
      <c r="BJ91" s="382" t="s">
        <v>58</v>
      </c>
      <c r="BK91" s="382" t="s">
        <v>58</v>
      </c>
      <c r="BL91" s="382" t="s">
        <v>58</v>
      </c>
      <c r="BM91" s="384">
        <v>36.1</v>
      </c>
      <c r="BN91" s="384">
        <v>29.8</v>
      </c>
      <c r="BO91" s="384" t="s">
        <v>58</v>
      </c>
      <c r="BP91" s="382" t="s">
        <v>58</v>
      </c>
      <c r="BQ91" s="384">
        <v>36.9</v>
      </c>
      <c r="BR91" s="385">
        <v>41.7</v>
      </c>
      <c r="BS91" s="384" t="s">
        <v>58</v>
      </c>
      <c r="BT91" s="382">
        <v>41.1</v>
      </c>
      <c r="BU91" s="382" t="s">
        <v>58</v>
      </c>
      <c r="BV91" s="382" t="s">
        <v>58</v>
      </c>
      <c r="BW91" s="382">
        <v>35.4</v>
      </c>
      <c r="BX91" s="382" t="s">
        <v>58</v>
      </c>
      <c r="BY91" s="382" t="s">
        <v>58</v>
      </c>
      <c r="BZ91" s="382" t="s">
        <v>58</v>
      </c>
      <c r="CA91" s="382" t="s">
        <v>58</v>
      </c>
      <c r="CB91" s="385" t="s">
        <v>58</v>
      </c>
      <c r="CC91" s="382">
        <v>28.8</v>
      </c>
      <c r="CD91" s="382" t="s">
        <v>58</v>
      </c>
      <c r="CE91" s="382" t="s">
        <v>58</v>
      </c>
      <c r="CF91" s="384" t="s">
        <v>58</v>
      </c>
      <c r="CG91" s="382">
        <v>40.4</v>
      </c>
      <c r="CH91" s="382">
        <v>38.5</v>
      </c>
      <c r="CI91" s="384" t="s">
        <v>58</v>
      </c>
      <c r="CJ91" s="382" t="s">
        <v>58</v>
      </c>
      <c r="CK91" s="383">
        <v>39</v>
      </c>
      <c r="CL91" s="386">
        <v>37</v>
      </c>
    </row>
    <row r="92" spans="1:90">
      <c r="A92" s="80">
        <f>ROWS($A$3:A90)</f>
        <v>88</v>
      </c>
      <c r="B92" s="92" t="s">
        <v>195</v>
      </c>
      <c r="C92" s="203"/>
      <c r="D92" s="259" t="s">
        <v>192</v>
      </c>
      <c r="E92" s="437">
        <v>41709</v>
      </c>
      <c r="F92" s="381">
        <v>504</v>
      </c>
      <c r="G92" s="382">
        <v>424.8</v>
      </c>
      <c r="H92" s="382">
        <v>475.9</v>
      </c>
      <c r="I92" s="383">
        <v>453.6</v>
      </c>
      <c r="J92" s="382"/>
      <c r="K92" s="381">
        <f>BF92</f>
        <v>405.3</v>
      </c>
      <c r="L92" s="384">
        <f>AY92</f>
        <v>404.3</v>
      </c>
      <c r="M92" s="384">
        <f>BD92</f>
        <v>350.5</v>
      </c>
      <c r="N92" s="384">
        <f>AW92</f>
        <v>509.6</v>
      </c>
      <c r="O92" s="384" t="str">
        <f>BE92</f>
        <v>-</v>
      </c>
      <c r="P92" s="384">
        <f>'2013'!BA92</f>
        <v>462.3</v>
      </c>
      <c r="Q92" s="384" t="str">
        <f>'2013'!AU92</f>
        <v>-</v>
      </c>
      <c r="R92" s="384">
        <f>AX92</f>
        <v>464</v>
      </c>
      <c r="S92" s="384">
        <f>AV92</f>
        <v>430.5</v>
      </c>
      <c r="T92" s="384">
        <f t="shared" si="171"/>
        <v>449.8</v>
      </c>
      <c r="U92" s="385">
        <f t="shared" si="171"/>
        <v>384</v>
      </c>
      <c r="V92" s="384" t="str">
        <f>BJ92</f>
        <v>-</v>
      </c>
      <c r="W92" s="384">
        <f>BR92</f>
        <v>343.9</v>
      </c>
      <c r="X92" s="384" t="str">
        <f>BI92</f>
        <v>-</v>
      </c>
      <c r="Y92" s="384">
        <f>BN92</f>
        <v>412.6</v>
      </c>
      <c r="Z92" s="384" t="str">
        <f>BM92</f>
        <v>-</v>
      </c>
      <c r="AA92" s="384">
        <f>BQ92</f>
        <v>421.1</v>
      </c>
      <c r="AB92" s="385" t="str">
        <f>BP92</f>
        <v>-</v>
      </c>
      <c r="AC92" s="384" t="str">
        <f>BX92</f>
        <v>-</v>
      </c>
      <c r="AD92" s="384" t="str">
        <f>BU92</f>
        <v>-</v>
      </c>
      <c r="AE92" s="384" t="str">
        <f>BT92</f>
        <v>-</v>
      </c>
      <c r="AF92" s="384" t="str">
        <f>CA92</f>
        <v>-</v>
      </c>
      <c r="AG92" s="384">
        <f>BV92</f>
        <v>407.4</v>
      </c>
      <c r="AH92" s="384">
        <f>BZ92</f>
        <v>468.8</v>
      </c>
      <c r="AI92" s="384">
        <f>BW92</f>
        <v>371.7</v>
      </c>
      <c r="AJ92" s="384">
        <f>BY92</f>
        <v>417.4</v>
      </c>
      <c r="AK92" s="385">
        <f>CB92</f>
        <v>405.9</v>
      </c>
      <c r="AL92" s="384">
        <f>CE92</f>
        <v>362.2</v>
      </c>
      <c r="AM92" s="384">
        <f>CH92</f>
        <v>462.9</v>
      </c>
      <c r="AN92" s="384">
        <f>CJ92</f>
        <v>383.9</v>
      </c>
      <c r="AO92" s="384">
        <f t="shared" si="172"/>
        <v>358.5</v>
      </c>
      <c r="AP92" s="384" t="str">
        <f t="shared" si="172"/>
        <v>-</v>
      </c>
      <c r="AQ92" s="384">
        <f>CK92</f>
        <v>433.5</v>
      </c>
      <c r="AR92" s="384" t="str">
        <f>CI92</f>
        <v>-</v>
      </c>
      <c r="AS92" s="383">
        <f>CG92</f>
        <v>417.9</v>
      </c>
      <c r="AT92" s="384" t="s">
        <v>58</v>
      </c>
      <c r="AU92" s="384" t="s">
        <v>58</v>
      </c>
      <c r="AV92" s="382">
        <v>430.5</v>
      </c>
      <c r="AW92" s="382">
        <v>509.6</v>
      </c>
      <c r="AX92" s="382">
        <v>464</v>
      </c>
      <c r="AY92" s="382">
        <v>404.3</v>
      </c>
      <c r="AZ92" s="384" t="s">
        <v>58</v>
      </c>
      <c r="BA92" s="382">
        <v>462.3</v>
      </c>
      <c r="BB92" s="382">
        <v>449.8</v>
      </c>
      <c r="BC92" s="382">
        <v>384</v>
      </c>
      <c r="BD92" s="382">
        <v>350.5</v>
      </c>
      <c r="BE92" s="382" t="s">
        <v>58</v>
      </c>
      <c r="BF92" s="385">
        <v>405.3</v>
      </c>
      <c r="BG92" s="384" t="s">
        <v>58</v>
      </c>
      <c r="BH92" s="384" t="s">
        <v>58</v>
      </c>
      <c r="BI92" s="382" t="s">
        <v>58</v>
      </c>
      <c r="BJ92" s="382" t="s">
        <v>58</v>
      </c>
      <c r="BK92" s="382" t="s">
        <v>58</v>
      </c>
      <c r="BL92" s="382" t="s">
        <v>58</v>
      </c>
      <c r="BM92" s="382" t="s">
        <v>58</v>
      </c>
      <c r="BN92" s="382">
        <v>412.6</v>
      </c>
      <c r="BO92" s="384" t="s">
        <v>58</v>
      </c>
      <c r="BP92" s="382" t="s">
        <v>58</v>
      </c>
      <c r="BQ92" s="382">
        <v>421.1</v>
      </c>
      <c r="BR92" s="385">
        <v>343.9</v>
      </c>
      <c r="BS92" s="384" t="s">
        <v>58</v>
      </c>
      <c r="BT92" s="382" t="s">
        <v>58</v>
      </c>
      <c r="BU92" s="382" t="s">
        <v>58</v>
      </c>
      <c r="BV92" s="382">
        <v>407.4</v>
      </c>
      <c r="BW92" s="382">
        <v>371.7</v>
      </c>
      <c r="BX92" s="382" t="s">
        <v>58</v>
      </c>
      <c r="BY92" s="382">
        <v>417.4</v>
      </c>
      <c r="BZ92" s="382">
        <v>468.8</v>
      </c>
      <c r="CA92" s="382" t="s">
        <v>58</v>
      </c>
      <c r="CB92" s="385">
        <v>405.9</v>
      </c>
      <c r="CC92" s="382">
        <v>358.5</v>
      </c>
      <c r="CD92" s="382" t="s">
        <v>58</v>
      </c>
      <c r="CE92" s="382">
        <v>362.2</v>
      </c>
      <c r="CF92" s="384" t="s">
        <v>58</v>
      </c>
      <c r="CG92" s="382">
        <v>417.9</v>
      </c>
      <c r="CH92" s="382">
        <v>462.9</v>
      </c>
      <c r="CI92" s="384" t="s">
        <v>58</v>
      </c>
      <c r="CJ92" s="382">
        <v>383.9</v>
      </c>
      <c r="CK92" s="383">
        <v>433.5</v>
      </c>
      <c r="CL92" s="386">
        <v>426.6</v>
      </c>
    </row>
    <row r="93" spans="1:90">
      <c r="A93" s="80">
        <f>ROWS($A$3:A91)</f>
        <v>89</v>
      </c>
      <c r="B93" s="54" t="s">
        <v>94</v>
      </c>
      <c r="C93" s="261"/>
      <c r="D93" s="260" t="s">
        <v>3</v>
      </c>
      <c r="E93" s="437"/>
      <c r="F93" s="117">
        <v>0.37</v>
      </c>
      <c r="G93" s="118">
        <v>0.37</v>
      </c>
      <c r="H93" s="118">
        <v>0.69</v>
      </c>
      <c r="I93" s="119">
        <v>0.54</v>
      </c>
      <c r="J93" s="122"/>
      <c r="K93" s="117">
        <f>BF93</f>
        <v>0.99</v>
      </c>
      <c r="L93" s="118">
        <f>AY93</f>
        <v>0.69</v>
      </c>
      <c r="M93" s="118">
        <f>BD93</f>
        <v>0.7</v>
      </c>
      <c r="N93" s="118">
        <f>AW93</f>
        <v>0.74</v>
      </c>
      <c r="O93" s="118">
        <f>BE93</f>
        <v>0.6</v>
      </c>
      <c r="P93" s="190">
        <f>(AZ35*AZ93+BA35*BA93)/P35</f>
        <v>0.12064121769375141</v>
      </c>
      <c r="Q93" s="118">
        <f>'2013'!AU93</f>
        <v>0.48</v>
      </c>
      <c r="R93" s="190">
        <f>(AT35*AT93+AX35*AX93)/R35</f>
        <v>1.7214353708137422E-2</v>
      </c>
      <c r="S93" s="118">
        <f>AV93</f>
        <v>0.56999999999999995</v>
      </c>
      <c r="T93" s="118">
        <f t="shared" si="171"/>
        <v>0.56999999999999995</v>
      </c>
      <c r="U93" s="120">
        <f t="shared" si="171"/>
        <v>0.97</v>
      </c>
      <c r="V93" s="190">
        <f>(BG35*BG93+BJ35*BJ93)/V35</f>
        <v>0.32098958008360889</v>
      </c>
      <c r="W93" s="118">
        <f>BR93</f>
        <v>0.82</v>
      </c>
      <c r="X93" s="190">
        <f>(BH35*BH93+BI35*BI93)/X35</f>
        <v>6.5584005612065954E-2</v>
      </c>
      <c r="Y93" s="190">
        <f>(BK35*BK93+BL35*BL93+BN35*BN93)/Y35</f>
        <v>0.10728694310691411</v>
      </c>
      <c r="Z93" s="118">
        <f>BM93</f>
        <v>0.7</v>
      </c>
      <c r="AA93" s="190">
        <f>(BO35*BO93+BQ35*BQ93)/AA35</f>
        <v>0.46039442349672549</v>
      </c>
      <c r="AB93" s="120">
        <f>BP93</f>
        <v>0.78</v>
      </c>
      <c r="AC93" s="118">
        <f>BX93</f>
        <v>0.65</v>
      </c>
      <c r="AD93" s="118">
        <f>BU93</f>
        <v>0.36</v>
      </c>
      <c r="AE93" s="190">
        <f>(BS35*BS93+BT35*BT93)/AE35</f>
        <v>0.1160348266339368</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2"/>
        <v>1</v>
      </c>
      <c r="AP93" s="118">
        <f t="shared" si="172"/>
        <v>0.61</v>
      </c>
      <c r="AQ93" s="118">
        <f>CK93</f>
        <v>0.72</v>
      </c>
      <c r="AR93" s="118">
        <f>CI93</f>
        <v>0.24</v>
      </c>
      <c r="AS93" s="191">
        <f>(CF35*CF93+CG35*CG93)/AS35</f>
        <v>0.45045947078924298</v>
      </c>
      <c r="AT93" s="118">
        <v>0.11</v>
      </c>
      <c r="AU93" s="118">
        <v>0.48</v>
      </c>
      <c r="AV93" s="118">
        <v>0.56999999999999995</v>
      </c>
      <c r="AW93" s="118">
        <v>0.74</v>
      </c>
      <c r="AX93" s="118">
        <v>0.01</v>
      </c>
      <c r="AY93" s="118">
        <v>0.69</v>
      </c>
      <c r="AZ93" s="118">
        <v>0</v>
      </c>
      <c r="BA93" s="118">
        <v>0.13</v>
      </c>
      <c r="BB93" s="118">
        <v>0.56999999999999995</v>
      </c>
      <c r="BC93" s="118">
        <v>0.97</v>
      </c>
      <c r="BD93" s="118">
        <v>0.7</v>
      </c>
      <c r="BE93" s="118">
        <v>0.6</v>
      </c>
      <c r="BF93" s="120">
        <v>0.99</v>
      </c>
      <c r="BG93" s="118">
        <v>1</v>
      </c>
      <c r="BH93" s="118">
        <v>0</v>
      </c>
      <c r="BI93" s="118">
        <v>7.0000000000000007E-2</v>
      </c>
      <c r="BJ93" s="118">
        <v>0.25</v>
      </c>
      <c r="BK93" s="342">
        <v>0.01</v>
      </c>
      <c r="BL93" s="118">
        <v>0</v>
      </c>
      <c r="BM93" s="118">
        <v>0.7</v>
      </c>
      <c r="BN93" s="118">
        <v>0.12</v>
      </c>
      <c r="BO93" s="118">
        <v>0.28000000000000003</v>
      </c>
      <c r="BP93" s="118">
        <v>0.78</v>
      </c>
      <c r="BQ93" s="118">
        <v>0.47</v>
      </c>
      <c r="BR93" s="120">
        <v>0.82</v>
      </c>
      <c r="BS93" s="118">
        <v>0.06</v>
      </c>
      <c r="BT93" s="118">
        <v>0.12</v>
      </c>
      <c r="BU93" s="118">
        <v>0.36</v>
      </c>
      <c r="BV93" s="118">
        <v>0.34</v>
      </c>
      <c r="BW93" s="118">
        <v>0.96</v>
      </c>
      <c r="BX93" s="118">
        <v>0.65</v>
      </c>
      <c r="BY93" s="118">
        <v>0.63</v>
      </c>
      <c r="BZ93" s="118">
        <v>0.65</v>
      </c>
      <c r="CA93" s="118">
        <v>0.28999999999999998</v>
      </c>
      <c r="CB93" s="120">
        <v>0.71</v>
      </c>
      <c r="CC93" s="118">
        <v>1</v>
      </c>
      <c r="CD93" s="118">
        <v>0.61</v>
      </c>
      <c r="CE93" s="118">
        <v>0.61</v>
      </c>
      <c r="CF93" s="118">
        <v>0.3</v>
      </c>
      <c r="CG93" s="118">
        <v>0.46</v>
      </c>
      <c r="CH93" s="118">
        <v>0.2</v>
      </c>
      <c r="CI93" s="118">
        <v>0.24</v>
      </c>
      <c r="CJ93" s="118">
        <v>0.57999999999999996</v>
      </c>
      <c r="CK93" s="119">
        <v>0.72</v>
      </c>
      <c r="CL93" s="121">
        <v>0.54</v>
      </c>
    </row>
    <row r="94" spans="1:90">
      <c r="A94" s="80">
        <f>ROWS($A$3:A92)</f>
        <v>90</v>
      </c>
      <c r="B94" s="59" t="s">
        <v>247</v>
      </c>
      <c r="C94" s="201"/>
      <c r="D94" s="260"/>
      <c r="E94" s="437"/>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c r="A95" s="80">
        <f>ROWS($A$3:A93)</f>
        <v>91</v>
      </c>
      <c r="B95" s="236" t="s">
        <v>95</v>
      </c>
      <c r="C95" s="393">
        <v>2010</v>
      </c>
      <c r="D95" s="259" t="s">
        <v>10</v>
      </c>
      <c r="E95" s="437">
        <v>40441</v>
      </c>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'2013'!BA95</f>
        <v>27400</v>
      </c>
      <c r="Q95" s="137">
        <f>'2013'!AU95</f>
        <v>17100</v>
      </c>
      <c r="R95" s="137">
        <f>AX95</f>
        <v>28800</v>
      </c>
      <c r="S95" s="137">
        <f>AV95</f>
        <v>12300</v>
      </c>
      <c r="T95" s="137">
        <f t="shared" ref="T95:U98" si="173">BB95</f>
        <v>43200</v>
      </c>
      <c r="U95" s="139">
        <f t="shared" si="173"/>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74">CC95</f>
        <v>49800</v>
      </c>
      <c r="AP95" s="137">
        <f t="shared" si="174"/>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c r="A96" s="80">
        <f>ROWS($A$3:A94)</f>
        <v>92</v>
      </c>
      <c r="B96" s="92" t="s">
        <v>96</v>
      </c>
      <c r="C96" s="394">
        <v>2010</v>
      </c>
      <c r="D96" s="259" t="s">
        <v>10</v>
      </c>
      <c r="E96" s="437">
        <v>40441</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'2013'!BA96</f>
        <v>26046</v>
      </c>
      <c r="Q96" s="137">
        <f>'2013'!AU96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0">
      <c r="A97" s="80">
        <f>ROWS($A$3:A95)</f>
        <v>93</v>
      </c>
      <c r="B97" s="55" t="s">
        <v>77</v>
      </c>
      <c r="C97" s="202">
        <v>2001</v>
      </c>
      <c r="D97" s="259" t="s">
        <v>13</v>
      </c>
      <c r="E97" s="437">
        <v>40441</v>
      </c>
      <c r="F97" s="154">
        <v>122737</v>
      </c>
      <c r="G97" s="155">
        <v>30239</v>
      </c>
      <c r="H97" s="155">
        <v>82089</v>
      </c>
      <c r="I97" s="156">
        <v>186831</v>
      </c>
      <c r="J97" s="281"/>
      <c r="K97" s="157">
        <f>BF97</f>
        <v>29042</v>
      </c>
      <c r="L97" s="113">
        <f>AY97</f>
        <v>8671</v>
      </c>
      <c r="M97" s="113">
        <f>BD97</f>
        <v>9647</v>
      </c>
      <c r="N97" s="113">
        <f>AW97</f>
        <v>12155</v>
      </c>
      <c r="O97" s="113">
        <f>BE97</f>
        <v>8882</v>
      </c>
      <c r="P97" s="113">
        <f>'2013'!AZ97+'2013'!BA97</f>
        <v>6750</v>
      </c>
      <c r="Q97" s="113">
        <f>'2013'!AU97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c r="A98" s="80">
        <f>ROWS($A$3:A96)</f>
        <v>94</v>
      </c>
      <c r="B98" s="55" t="s">
        <v>96</v>
      </c>
      <c r="C98" s="205">
        <f>C97</f>
        <v>2001</v>
      </c>
      <c r="D98" s="259" t="s">
        <v>10</v>
      </c>
      <c r="E98" s="437">
        <v>40441</v>
      </c>
      <c r="F98" s="154">
        <v>618865</v>
      </c>
      <c r="G98" s="155">
        <v>149025</v>
      </c>
      <c r="H98" s="155">
        <v>366598</v>
      </c>
      <c r="I98" s="156">
        <v>1009287</v>
      </c>
      <c r="J98" s="281"/>
      <c r="K98" s="157">
        <f>BF98</f>
        <v>150712</v>
      </c>
      <c r="L98" s="113">
        <f>AY98</f>
        <v>42810</v>
      </c>
      <c r="M98" s="113">
        <f>BD98</f>
        <v>45971</v>
      </c>
      <c r="N98" s="113">
        <f>AW98</f>
        <v>57752</v>
      </c>
      <c r="O98" s="113">
        <f>BE98</f>
        <v>42099</v>
      </c>
      <c r="P98" s="113">
        <f>'2013'!AZ98+'2013'!BA98</f>
        <v>34324</v>
      </c>
      <c r="Q98" s="113">
        <f>'2013'!AU98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c r="A99" s="80">
        <f>ROWS($A$3:A97)</f>
        <v>95</v>
      </c>
      <c r="B99" s="55"/>
      <c r="C99" s="203"/>
      <c r="D99" s="259"/>
      <c r="E99" s="435"/>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c r="A100" s="80">
        <f>ROWS($A$3:A98)</f>
        <v>96</v>
      </c>
      <c r="B100" s="55" t="s">
        <v>255</v>
      </c>
      <c r="C100" s="203">
        <f>C86</f>
        <v>2013</v>
      </c>
      <c r="D100" s="259" t="s">
        <v>13</v>
      </c>
      <c r="E100" s="437">
        <f>E87</f>
        <v>42185</v>
      </c>
      <c r="F100" s="154">
        <v>2313</v>
      </c>
      <c r="G100" s="155">
        <v>1171</v>
      </c>
      <c r="H100" s="155">
        <v>1272</v>
      </c>
      <c r="I100" s="156">
        <v>1054</v>
      </c>
      <c r="J100" s="281"/>
      <c r="K100" s="157">
        <f>BF100</f>
        <v>147</v>
      </c>
      <c r="L100" s="113">
        <f>AY100</f>
        <v>222</v>
      </c>
      <c r="M100" s="113">
        <f>BD100</f>
        <v>158</v>
      </c>
      <c r="N100" s="113">
        <f>AW100</f>
        <v>122</v>
      </c>
      <c r="O100" s="113">
        <f>BE100</f>
        <v>62</v>
      </c>
      <c r="P100" s="113">
        <f>'2009'!AZ101+'2009'!BA101</f>
        <v>658</v>
      </c>
      <c r="Q100" s="113">
        <f>'2009'!AU101</f>
        <v>260</v>
      </c>
      <c r="R100" s="113">
        <f>AT100+AX100</f>
        <v>418</v>
      </c>
      <c r="S100" s="113">
        <f>AV100</f>
        <v>308</v>
      </c>
      <c r="T100" s="113">
        <f>BB100</f>
        <v>95</v>
      </c>
      <c r="U100" s="112">
        <f>BC100</f>
        <v>126</v>
      </c>
      <c r="V100" s="113">
        <f>BG100+BJ100</f>
        <v>122</v>
      </c>
      <c r="W100" s="113">
        <f>BR100</f>
        <v>38</v>
      </c>
      <c r="X100" s="113">
        <f>BH100+BI100</f>
        <v>404</v>
      </c>
      <c r="Y100" s="113">
        <f>BK100+BL100+BN100</f>
        <v>279</v>
      </c>
      <c r="Z100" s="113">
        <f>BM100</f>
        <v>111</v>
      </c>
      <c r="AA100" s="113">
        <f>BO100+BQ100</f>
        <v>148</v>
      </c>
      <c r="AB100" s="112">
        <f>BP100</f>
        <v>69</v>
      </c>
      <c r="AC100" s="113">
        <f>BX100</f>
        <v>90</v>
      </c>
      <c r="AD100" s="113">
        <f>BU100</f>
        <v>146</v>
      </c>
      <c r="AE100" s="113">
        <f>BS100+BT100</f>
        <v>172</v>
      </c>
      <c r="AF100" s="113">
        <f>CA100</f>
        <v>122</v>
      </c>
      <c r="AG100" s="113">
        <f>BV100</f>
        <v>289</v>
      </c>
      <c r="AH100" s="113">
        <f>BZ100</f>
        <v>101</v>
      </c>
      <c r="AI100" s="113">
        <f>BW100</f>
        <v>108</v>
      </c>
      <c r="AJ100" s="113">
        <f>BY100</f>
        <v>154</v>
      </c>
      <c r="AK100" s="112">
        <f>CB100</f>
        <v>90</v>
      </c>
      <c r="AL100" s="113">
        <f>CE100</f>
        <v>233</v>
      </c>
      <c r="AM100" s="113">
        <f>CH100</f>
        <v>151</v>
      </c>
      <c r="AN100" s="113">
        <f>CJ100</f>
        <v>76</v>
      </c>
      <c r="AO100" s="113">
        <f>CC100</f>
        <v>155</v>
      </c>
      <c r="AP100" s="113">
        <f>CD100</f>
        <v>149</v>
      </c>
      <c r="AQ100" s="113">
        <f>CK100</f>
        <v>143</v>
      </c>
      <c r="AR100" s="113">
        <f>CI100</f>
        <v>36</v>
      </c>
      <c r="AS100" s="158">
        <f>CF100+CG100</f>
        <v>111</v>
      </c>
      <c r="AT100" s="113">
        <v>20</v>
      </c>
      <c r="AU100" s="113">
        <v>101</v>
      </c>
      <c r="AV100" s="113">
        <v>308</v>
      </c>
      <c r="AW100" s="113">
        <v>122</v>
      </c>
      <c r="AX100" s="113">
        <v>398</v>
      </c>
      <c r="AY100" s="113">
        <v>222</v>
      </c>
      <c r="AZ100" s="113">
        <v>34</v>
      </c>
      <c r="BA100" s="113">
        <v>520</v>
      </c>
      <c r="BB100" s="113">
        <v>95</v>
      </c>
      <c r="BC100" s="113">
        <v>126</v>
      </c>
      <c r="BD100" s="113">
        <v>158</v>
      </c>
      <c r="BE100" s="113">
        <v>62</v>
      </c>
      <c r="BF100" s="112">
        <v>147</v>
      </c>
      <c r="BG100" s="159">
        <v>42</v>
      </c>
      <c r="BH100" s="113">
        <v>5</v>
      </c>
      <c r="BI100" s="113">
        <v>399</v>
      </c>
      <c r="BJ100" s="113">
        <v>80</v>
      </c>
      <c r="BK100" s="113">
        <v>13</v>
      </c>
      <c r="BL100" s="113">
        <v>0</v>
      </c>
      <c r="BM100" s="113">
        <v>111</v>
      </c>
      <c r="BN100" s="113">
        <v>266</v>
      </c>
      <c r="BO100" s="159">
        <v>9</v>
      </c>
      <c r="BP100" s="113">
        <v>69</v>
      </c>
      <c r="BQ100" s="113">
        <v>139</v>
      </c>
      <c r="BR100" s="112">
        <v>38</v>
      </c>
      <c r="BS100" s="159">
        <v>16</v>
      </c>
      <c r="BT100" s="113">
        <v>156</v>
      </c>
      <c r="BU100" s="113">
        <v>146</v>
      </c>
      <c r="BV100" s="113">
        <v>289</v>
      </c>
      <c r="BW100" s="113">
        <v>108</v>
      </c>
      <c r="BX100" s="113">
        <v>90</v>
      </c>
      <c r="BY100" s="113">
        <v>154</v>
      </c>
      <c r="BZ100" s="113">
        <v>101</v>
      </c>
      <c r="CA100" s="113">
        <v>122</v>
      </c>
      <c r="CB100" s="112">
        <v>90</v>
      </c>
      <c r="CC100" s="113">
        <v>155</v>
      </c>
      <c r="CD100" s="113">
        <v>149</v>
      </c>
      <c r="CE100" s="113">
        <v>233</v>
      </c>
      <c r="CF100" s="113">
        <v>0</v>
      </c>
      <c r="CG100" s="113">
        <v>111</v>
      </c>
      <c r="CH100" s="113">
        <v>151</v>
      </c>
      <c r="CI100" s="113">
        <v>36</v>
      </c>
      <c r="CJ100" s="113">
        <v>76</v>
      </c>
      <c r="CK100" s="158">
        <v>143</v>
      </c>
      <c r="CL100" s="123">
        <v>5810</v>
      </c>
    </row>
    <row r="101" spans="1:90">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c r="A103" s="80">
        <f>ROWS($A$3:A101)</f>
        <v>99</v>
      </c>
      <c r="B103" s="55"/>
      <c r="C103" s="203"/>
      <c r="D103" s="259"/>
      <c r="E103" s="435"/>
      <c r="F103" s="154"/>
      <c r="G103" s="155"/>
      <c r="H103" s="155"/>
      <c r="I103" s="156"/>
      <c r="J103" s="281"/>
      <c r="K103" s="157">
        <f>BF103</f>
        <v>0</v>
      </c>
      <c r="L103" s="113">
        <f>AY103</f>
        <v>0</v>
      </c>
      <c r="M103" s="113">
        <f>BD103</f>
        <v>0</v>
      </c>
      <c r="N103" s="113">
        <f>AW103</f>
        <v>0</v>
      </c>
      <c r="O103" s="113">
        <f>BE103</f>
        <v>0</v>
      </c>
      <c r="P103" s="113">
        <f>'2013'!AZ103+'2013'!BA103</f>
        <v>0</v>
      </c>
      <c r="Q103" s="113">
        <f>'2013'!AU103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c r="A104" s="80">
        <f>ROWS($A$3:A102)</f>
        <v>100</v>
      </c>
      <c r="B104" s="55"/>
      <c r="C104" s="203"/>
      <c r="D104" s="259"/>
      <c r="E104" s="435"/>
      <c r="F104" s="154"/>
      <c r="G104" s="155"/>
      <c r="H104" s="155"/>
      <c r="I104" s="156"/>
      <c r="J104" s="281"/>
      <c r="K104" s="157">
        <f>BF104</f>
        <v>0</v>
      </c>
      <c r="L104" s="113">
        <f>AY104</f>
        <v>0</v>
      </c>
      <c r="M104" s="113">
        <f>BD104</f>
        <v>0</v>
      </c>
      <c r="N104" s="113">
        <f>AW104</f>
        <v>0</v>
      </c>
      <c r="O104" s="113">
        <f>BE104</f>
        <v>0</v>
      </c>
      <c r="P104" s="113">
        <f>'2013'!AZ104+'2013'!BA104</f>
        <v>0</v>
      </c>
      <c r="Q104" s="113">
        <f>'2013'!AU104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80">
        <f>ROWS($A$3:A103)</f>
        <v>101</v>
      </c>
      <c r="B105" s="55"/>
      <c r="C105" s="203"/>
      <c r="D105" s="259"/>
      <c r="E105" s="435"/>
      <c r="F105" s="154"/>
      <c r="G105" s="155"/>
      <c r="H105" s="155"/>
      <c r="I105" s="156"/>
      <c r="J105" s="281"/>
      <c r="K105" s="157">
        <f>BF105</f>
        <v>0</v>
      </c>
      <c r="L105" s="113">
        <f>AY105</f>
        <v>0</v>
      </c>
      <c r="M105" s="113">
        <f>BD105</f>
        <v>0</v>
      </c>
      <c r="N105" s="113">
        <f>AW105</f>
        <v>0</v>
      </c>
      <c r="O105" s="113">
        <f>BE105</f>
        <v>0</v>
      </c>
      <c r="P105" s="113">
        <f>'2013'!AZ105+'2013'!BA105</f>
        <v>0</v>
      </c>
      <c r="Q105" s="113">
        <f>'2013'!AU105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c r="A106" s="80">
        <f>ROWS($A$3:A104)</f>
        <v>102</v>
      </c>
      <c r="B106" s="56"/>
      <c r="C106" s="206"/>
      <c r="D106" s="265"/>
      <c r="E106" s="439"/>
      <c r="F106" s="160"/>
      <c r="G106" s="161"/>
      <c r="H106" s="161"/>
      <c r="I106" s="162"/>
      <c r="J106" s="282"/>
      <c r="K106" s="163">
        <f>BF106</f>
        <v>0</v>
      </c>
      <c r="L106" s="164">
        <f>AY106</f>
        <v>0</v>
      </c>
      <c r="M106" s="164">
        <f>BD106</f>
        <v>0</v>
      </c>
      <c r="N106" s="164">
        <f>AW106</f>
        <v>0</v>
      </c>
      <c r="O106" s="164">
        <f>BE106</f>
        <v>0</v>
      </c>
      <c r="P106" s="164">
        <f>'2013'!AZ106+'2013'!BA106</f>
        <v>0</v>
      </c>
      <c r="Q106" s="164">
        <f>'2013'!AU106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c r="B107" s="57"/>
      <c r="C107" s="203"/>
      <c r="D107" s="48"/>
      <c r="E107" s="322"/>
      <c r="F107" s="155">
        <f t="shared" ref="F107:BQ107" si="177">SUM(F7:F92)</f>
        <v>16072159.541163398</v>
      </c>
      <c r="G107" s="155">
        <f t="shared" si="177"/>
        <v>9367996.3792218175</v>
      </c>
      <c r="H107" s="155">
        <f t="shared" si="177"/>
        <v>9790712.4074901529</v>
      </c>
      <c r="I107" s="155">
        <f t="shared" si="177"/>
        <v>9963692.2444426622</v>
      </c>
      <c r="J107" s="155">
        <f t="shared" si="177"/>
        <v>0</v>
      </c>
      <c r="K107" s="155">
        <f t="shared" si="177"/>
        <v>1675635.7723717079</v>
      </c>
      <c r="L107" s="155">
        <f t="shared" si="177"/>
        <v>1361362.4862387755</v>
      </c>
      <c r="M107" s="155">
        <f t="shared" si="177"/>
        <v>1229461.6750425</v>
      </c>
      <c r="N107" s="155">
        <f t="shared" si="177"/>
        <v>957444.29054766428</v>
      </c>
      <c r="O107" s="155">
        <f t="shared" si="177"/>
        <v>712056.68942007737</v>
      </c>
      <c r="P107" s="155">
        <f t="shared" si="177"/>
        <v>1759178.9509932098</v>
      </c>
      <c r="Q107" s="155">
        <f t="shared" si="177"/>
        <v>1283150.6664851601</v>
      </c>
      <c r="R107" s="155">
        <f t="shared" si="177"/>
        <v>3187790.4226662335</v>
      </c>
      <c r="S107" s="155">
        <f t="shared" si="177"/>
        <v>1491925.070288511</v>
      </c>
      <c r="T107" s="155">
        <f t="shared" si="177"/>
        <v>926396.93619814212</v>
      </c>
      <c r="U107" s="155">
        <f t="shared" si="177"/>
        <v>1814267.0099512679</v>
      </c>
      <c r="V107" s="155">
        <f t="shared" si="177"/>
        <v>1053015.6700930288</v>
      </c>
      <c r="W107" s="155">
        <f t="shared" si="177"/>
        <v>672488.87113769096</v>
      </c>
      <c r="X107" s="155">
        <f t="shared" si="177"/>
        <v>2333219.4948124434</v>
      </c>
      <c r="Y107" s="155">
        <f t="shared" si="177"/>
        <v>2729465.0647917888</v>
      </c>
      <c r="Z107" s="155">
        <f t="shared" si="177"/>
        <v>933196.38719616225</v>
      </c>
      <c r="AA107" s="155">
        <f t="shared" si="177"/>
        <v>1095367.2693357375</v>
      </c>
      <c r="AB107" s="155">
        <f t="shared" si="177"/>
        <v>694181.45955518284</v>
      </c>
      <c r="AC107" s="155">
        <f t="shared" si="177"/>
        <v>1033201.068537383</v>
      </c>
      <c r="AD107" s="155">
        <f t="shared" si="177"/>
        <v>711518.69725148939</v>
      </c>
      <c r="AE107" s="155">
        <f t="shared" si="177"/>
        <v>1841134.7997528478</v>
      </c>
      <c r="AF107" s="155">
        <f t="shared" si="177"/>
        <v>902773.21749922109</v>
      </c>
      <c r="AG107" s="155">
        <f t="shared" si="177"/>
        <v>1861869.1763540835</v>
      </c>
      <c r="AH107" s="155">
        <f t="shared" si="177"/>
        <v>1054025.9021584941</v>
      </c>
      <c r="AI107" s="155">
        <f t="shared" si="177"/>
        <v>781132.14168243972</v>
      </c>
      <c r="AJ107" s="155">
        <f t="shared" si="177"/>
        <v>786551.03967876465</v>
      </c>
      <c r="AK107" s="155">
        <f t="shared" si="177"/>
        <v>977904.79325444391</v>
      </c>
      <c r="AL107" s="155">
        <f t="shared" si="177"/>
        <v>1001719.481328138</v>
      </c>
      <c r="AM107" s="155">
        <f t="shared" si="177"/>
        <v>1435589.3064045478</v>
      </c>
      <c r="AN107" s="155">
        <f t="shared" si="177"/>
        <v>1648335.4499207819</v>
      </c>
      <c r="AO107" s="155">
        <f t="shared" si="177"/>
        <v>1305846.4364424073</v>
      </c>
      <c r="AP107" s="155">
        <f t="shared" si="177"/>
        <v>844953.4239165585</v>
      </c>
      <c r="AQ107" s="155">
        <f t="shared" si="177"/>
        <v>1082751.102589444</v>
      </c>
      <c r="AR107" s="155">
        <f t="shared" si="177"/>
        <v>917758.83451366122</v>
      </c>
      <c r="AS107" s="155">
        <f t="shared" si="177"/>
        <v>1909311.7200309958</v>
      </c>
      <c r="AT107" s="155">
        <f t="shared" si="177"/>
        <v>1715274.7817535566</v>
      </c>
      <c r="AU107" s="155">
        <f t="shared" si="177"/>
        <v>1282619.6668918377</v>
      </c>
      <c r="AV107" s="155">
        <f t="shared" si="177"/>
        <v>1491925.070288511</v>
      </c>
      <c r="AW107" s="155">
        <f t="shared" si="177"/>
        <v>957444.29054766428</v>
      </c>
      <c r="AX107" s="155">
        <f t="shared" si="177"/>
        <v>1605686.5327772694</v>
      </c>
      <c r="AY107" s="155">
        <f t="shared" si="177"/>
        <v>1361362.4862387755</v>
      </c>
      <c r="AZ107" s="155">
        <f t="shared" si="177"/>
        <v>390241.6200826561</v>
      </c>
      <c r="BA107" s="155">
        <f t="shared" si="177"/>
        <v>1399959.5944854419</v>
      </c>
      <c r="BB107" s="155">
        <f t="shared" si="177"/>
        <v>926396.93619814212</v>
      </c>
      <c r="BC107" s="155">
        <f t="shared" si="177"/>
        <v>1814267.0099512679</v>
      </c>
      <c r="BD107" s="155">
        <f t="shared" si="177"/>
        <v>1229461.6750425</v>
      </c>
      <c r="BE107" s="155">
        <f t="shared" si="177"/>
        <v>712056.68942007737</v>
      </c>
      <c r="BF107" s="155">
        <f t="shared" si="177"/>
        <v>1675635.7723717079</v>
      </c>
      <c r="BG107" s="155">
        <f t="shared" si="177"/>
        <v>212549.3949520764</v>
      </c>
      <c r="BH107" s="155">
        <f t="shared" si="177"/>
        <v>864055.90360122477</v>
      </c>
      <c r="BI107" s="155">
        <f t="shared" si="177"/>
        <v>1546022.7594714828</v>
      </c>
      <c r="BJ107" s="155">
        <f t="shared" si="177"/>
        <v>861178.40371723007</v>
      </c>
      <c r="BK107" s="155">
        <f t="shared" si="177"/>
        <v>537200.38810852438</v>
      </c>
      <c r="BL107" s="155">
        <f t="shared" si="177"/>
        <v>771370.35722314438</v>
      </c>
      <c r="BM107" s="155">
        <f t="shared" si="177"/>
        <v>933196.38719616225</v>
      </c>
      <c r="BN107" s="155">
        <f t="shared" si="177"/>
        <v>1556538.4434655446</v>
      </c>
      <c r="BO107" s="155">
        <f t="shared" si="177"/>
        <v>314359.30734483892</v>
      </c>
      <c r="BP107" s="155">
        <f t="shared" si="177"/>
        <v>694181.45955518284</v>
      </c>
      <c r="BQ107" s="155">
        <f t="shared" si="177"/>
        <v>809229.39898516343</v>
      </c>
      <c r="BR107" s="155">
        <f t="shared" ref="BR107:CL107" si="178">SUM(BR7:BR92)</f>
        <v>672488.87113769096</v>
      </c>
      <c r="BS107" s="155">
        <f t="shared" si="178"/>
        <v>605037.88774937403</v>
      </c>
      <c r="BT107" s="155">
        <f t="shared" si="178"/>
        <v>1266533.3567210068</v>
      </c>
      <c r="BU107" s="155">
        <f t="shared" si="178"/>
        <v>711518.69725148939</v>
      </c>
      <c r="BV107" s="155">
        <f t="shared" si="178"/>
        <v>1861869.1763540835</v>
      </c>
      <c r="BW107" s="155">
        <f t="shared" si="178"/>
        <v>781132.14168243972</v>
      </c>
      <c r="BX107" s="155">
        <f t="shared" si="178"/>
        <v>1033201.068537383</v>
      </c>
      <c r="BY107" s="155">
        <f t="shared" si="178"/>
        <v>786551.03967876465</v>
      </c>
      <c r="BZ107" s="155">
        <f t="shared" si="178"/>
        <v>1054025.9021584941</v>
      </c>
      <c r="CA107" s="155">
        <f t="shared" si="178"/>
        <v>902773.21749922109</v>
      </c>
      <c r="CB107" s="155">
        <f t="shared" si="178"/>
        <v>977904.79325444391</v>
      </c>
      <c r="CC107" s="155">
        <f t="shared" si="178"/>
        <v>1305846.4364424073</v>
      </c>
      <c r="CD107" s="155">
        <f t="shared" si="178"/>
        <v>844953.4239165585</v>
      </c>
      <c r="CE107" s="155">
        <f t="shared" si="178"/>
        <v>1001719.481328138</v>
      </c>
      <c r="CF107" s="155">
        <f t="shared" si="178"/>
        <v>405956.65616749047</v>
      </c>
      <c r="CG107" s="155">
        <f t="shared" si="178"/>
        <v>1505341.6067089851</v>
      </c>
      <c r="CH107" s="155">
        <f t="shared" si="178"/>
        <v>1435589.3064045478</v>
      </c>
      <c r="CI107" s="155">
        <f t="shared" si="178"/>
        <v>917758.83451366122</v>
      </c>
      <c r="CJ107" s="155">
        <f t="shared" si="178"/>
        <v>1648335.4499207819</v>
      </c>
      <c r="CK107" s="155">
        <f t="shared" si="178"/>
        <v>1082751.102589444</v>
      </c>
      <c r="CL107" s="155">
        <f t="shared" si="178"/>
        <v>45139161.010765381</v>
      </c>
    </row>
    <row r="108" spans="1:90">
      <c r="B108" s="71" t="s">
        <v>209</v>
      </c>
    </row>
    <row r="109" spans="1:90">
      <c r="B109" s="73" t="s">
        <v>277</v>
      </c>
    </row>
    <row r="110" spans="1:90">
      <c r="B110" s="73" t="s">
        <v>205</v>
      </c>
    </row>
    <row r="111" spans="1:90">
      <c r="B111" s="73" t="s">
        <v>206</v>
      </c>
    </row>
    <row r="112" spans="1:90">
      <c r="B112" s="73" t="s">
        <v>286</v>
      </c>
    </row>
    <row r="113" spans="1:90">
      <c r="B113" s="73" t="s">
        <v>78</v>
      </c>
    </row>
    <row r="114" spans="1:90">
      <c r="B114" s="73" t="s">
        <v>207</v>
      </c>
    </row>
    <row r="115" spans="1:90">
      <c r="B115" s="73" t="s">
        <v>211</v>
      </c>
    </row>
    <row r="117" spans="1:90" s="69" customFormat="1" ht="11.25">
      <c r="A117" s="327"/>
      <c r="B117" s="328" t="s">
        <v>63</v>
      </c>
      <c r="C117" s="322"/>
      <c r="D117" s="329" t="s">
        <v>11</v>
      </c>
      <c r="E117" s="441"/>
      <c r="F117" s="323"/>
      <c r="G117" s="323"/>
      <c r="H117" s="323"/>
      <c r="I117" s="323"/>
      <c r="J117" s="324"/>
      <c r="K117" s="323">
        <f>BF117</f>
        <v>3500</v>
      </c>
      <c r="L117" s="323">
        <f>AY117</f>
        <v>3600</v>
      </c>
      <c r="M117" s="323">
        <f>BD117</f>
        <v>2600</v>
      </c>
      <c r="N117" s="323">
        <f>AW117</f>
        <v>1600</v>
      </c>
      <c r="O117" s="323">
        <f>BE117</f>
        <v>1100</v>
      </c>
      <c r="P117" s="323">
        <f>'2013'!AZ117+'2013'!BA117</f>
        <v>5400</v>
      </c>
      <c r="Q117" s="323">
        <f>'2013'!AU117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325">
        <v>2011</v>
      </c>
      <c r="D118" s="329" t="s">
        <v>285</v>
      </c>
      <c r="E118" s="442"/>
      <c r="F118" s="323">
        <v>643</v>
      </c>
      <c r="G118" s="324">
        <v>324</v>
      </c>
      <c r="H118" s="324">
        <v>500</v>
      </c>
      <c r="I118" s="323">
        <v>456</v>
      </c>
      <c r="J118" s="324"/>
      <c r="K118" s="323">
        <f>BF118</f>
        <v>76</v>
      </c>
      <c r="L118" s="324">
        <f>AY118</f>
        <v>48</v>
      </c>
      <c r="M118" s="324">
        <f>BD118</f>
        <v>58</v>
      </c>
      <c r="N118" s="324">
        <f>AW118</f>
        <v>29</v>
      </c>
      <c r="O118" s="324">
        <f>BE118</f>
        <v>29</v>
      </c>
      <c r="P118" s="423">
        <f>AZ118+BA118</f>
        <v>91</v>
      </c>
      <c r="Q118" s="323">
        <f>AU118</f>
        <v>22</v>
      </c>
      <c r="R118" s="423">
        <f>AT118+AX118</f>
        <v>76</v>
      </c>
      <c r="S118" s="324">
        <f>AV118</f>
        <v>30</v>
      </c>
      <c r="T118" s="324">
        <f>BB118</f>
        <v>71</v>
      </c>
      <c r="U118" s="323">
        <f>BC118</f>
        <v>114</v>
      </c>
      <c r="V118" s="423">
        <f>BG118+BJ118</f>
        <v>44</v>
      </c>
      <c r="W118" s="324">
        <f>BR118</f>
        <v>25</v>
      </c>
      <c r="X118" s="423">
        <f>BH118+BI118</f>
        <v>59</v>
      </c>
      <c r="Y118" s="423">
        <f>BK118+BL118+BN118</f>
        <v>77</v>
      </c>
      <c r="Z118" s="324">
        <f>BM118</f>
        <v>56</v>
      </c>
      <c r="AA118" s="423">
        <f>BO118+BQ118</f>
        <v>34</v>
      </c>
      <c r="AB118" s="323">
        <f>BP118</f>
        <v>29</v>
      </c>
      <c r="AC118" s="324">
        <f>BX118</f>
        <v>38</v>
      </c>
      <c r="AD118" s="324">
        <f>BU118</f>
        <v>42</v>
      </c>
      <c r="AE118" s="423">
        <f>BS118+BT118</f>
        <v>116</v>
      </c>
      <c r="AF118" s="324">
        <f>CA118</f>
        <v>40</v>
      </c>
      <c r="AG118" s="324">
        <f>BV118</f>
        <v>115</v>
      </c>
      <c r="AH118" s="324">
        <f>BZ118</f>
        <v>62</v>
      </c>
      <c r="AI118" s="324">
        <f>BW118</f>
        <v>32</v>
      </c>
      <c r="AJ118" s="324">
        <f>BY118</f>
        <v>21</v>
      </c>
      <c r="AK118" s="323">
        <f>CB118</f>
        <v>35</v>
      </c>
      <c r="AL118" s="324">
        <f>CE118</f>
        <v>25</v>
      </c>
      <c r="AM118" s="324">
        <f>CH118</f>
        <v>84</v>
      </c>
      <c r="AN118" s="324">
        <f>CJ118</f>
        <v>105</v>
      </c>
      <c r="AO118" s="324">
        <f>CC118</f>
        <v>32</v>
      </c>
      <c r="AP118" s="324">
        <f>CD118</f>
        <v>15</v>
      </c>
      <c r="AQ118" s="324">
        <f>CK118</f>
        <v>53</v>
      </c>
      <c r="AR118" s="324">
        <f>CI118</f>
        <v>61</v>
      </c>
      <c r="AS118" s="423">
        <f>CF118+CG118</f>
        <v>79</v>
      </c>
      <c r="AT118" s="324">
        <v>18</v>
      </c>
      <c r="AU118" s="324">
        <v>22</v>
      </c>
      <c r="AV118" s="324">
        <v>30</v>
      </c>
      <c r="AW118" s="324">
        <v>29</v>
      </c>
      <c r="AX118" s="324">
        <v>58</v>
      </c>
      <c r="AY118" s="324">
        <v>48</v>
      </c>
      <c r="AZ118" s="324">
        <v>11</v>
      </c>
      <c r="BA118" s="324">
        <v>80</v>
      </c>
      <c r="BB118" s="324">
        <v>71</v>
      </c>
      <c r="BC118" s="324">
        <v>114</v>
      </c>
      <c r="BD118" s="324">
        <v>58</v>
      </c>
      <c r="BE118" s="324">
        <v>29</v>
      </c>
      <c r="BF118" s="323">
        <v>76</v>
      </c>
      <c r="BG118" s="324">
        <v>12</v>
      </c>
      <c r="BH118" s="324">
        <v>10</v>
      </c>
      <c r="BI118" s="324">
        <v>49</v>
      </c>
      <c r="BJ118" s="324">
        <v>32</v>
      </c>
      <c r="BK118" s="324">
        <v>10</v>
      </c>
      <c r="BL118" s="324">
        <v>5</v>
      </c>
      <c r="BM118" s="324">
        <v>56</v>
      </c>
      <c r="BN118" s="324">
        <v>62</v>
      </c>
      <c r="BO118" s="324">
        <v>8</v>
      </c>
      <c r="BP118" s="324">
        <v>29</v>
      </c>
      <c r="BQ118" s="324">
        <v>26</v>
      </c>
      <c r="BR118" s="323">
        <v>25</v>
      </c>
      <c r="BS118" s="324">
        <v>16</v>
      </c>
      <c r="BT118" s="324">
        <v>100</v>
      </c>
      <c r="BU118" s="324">
        <v>42</v>
      </c>
      <c r="BV118" s="324">
        <v>115</v>
      </c>
      <c r="BW118" s="324">
        <v>32</v>
      </c>
      <c r="BX118" s="324">
        <v>38</v>
      </c>
      <c r="BY118" s="324">
        <v>21</v>
      </c>
      <c r="BZ118" s="324">
        <v>62</v>
      </c>
      <c r="CA118" s="324">
        <v>40</v>
      </c>
      <c r="CB118" s="323">
        <v>35</v>
      </c>
      <c r="CC118" s="324">
        <v>32</v>
      </c>
      <c r="CD118" s="324">
        <v>15</v>
      </c>
      <c r="CE118" s="324">
        <v>25</v>
      </c>
      <c r="CF118" s="324">
        <v>7</v>
      </c>
      <c r="CG118" s="324">
        <v>72</v>
      </c>
      <c r="CH118" s="324">
        <v>84</v>
      </c>
      <c r="CI118" s="324">
        <v>61</v>
      </c>
      <c r="CJ118" s="324">
        <v>105</v>
      </c>
      <c r="CK118" s="323">
        <v>53</v>
      </c>
      <c r="CL118" s="323">
        <v>1922</v>
      </c>
    </row>
    <row r="119" spans="1:90" s="69" customFormat="1" ht="11.25">
      <c r="B119" s="328" t="s">
        <v>289</v>
      </c>
      <c r="C119" s="322">
        <v>2010</v>
      </c>
      <c r="D119" s="69" t="s">
        <v>13</v>
      </c>
      <c r="E119" s="443">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322"/>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288</v>
      </c>
      <c r="C121" s="322">
        <v>2010</v>
      </c>
      <c r="D121" s="69" t="s">
        <v>13</v>
      </c>
      <c r="E121" s="443">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322"/>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1.25">
      <c r="B123" s="328" t="s">
        <v>235</v>
      </c>
      <c r="C123" s="322">
        <v>2013</v>
      </c>
      <c r="D123" s="69" t="s">
        <v>13</v>
      </c>
      <c r="E123" s="436">
        <v>41677</v>
      </c>
      <c r="F123" s="323">
        <v>2557</v>
      </c>
      <c r="G123" s="323">
        <v>564</v>
      </c>
      <c r="H123" s="323">
        <v>2444</v>
      </c>
      <c r="I123" s="323">
        <v>3592</v>
      </c>
      <c r="J123" s="323"/>
      <c r="K123" s="323">
        <f>BF123</f>
        <v>623</v>
      </c>
      <c r="L123" s="323">
        <f>AY123</f>
        <v>200</v>
      </c>
      <c r="M123" s="323">
        <f>BD123</f>
        <v>195</v>
      </c>
      <c r="N123" s="323">
        <f>AW123</f>
        <v>250</v>
      </c>
      <c r="O123" s="323">
        <f>BE123</f>
        <v>169</v>
      </c>
      <c r="P123" s="323">
        <f>'2013'!BA123</f>
        <v>91</v>
      </c>
      <c r="Q123" s="323">
        <f>'2013'!AU123</f>
        <v>69</v>
      </c>
      <c r="R123" s="323">
        <f>AX123</f>
        <v>116</v>
      </c>
      <c r="S123" s="323">
        <f>AV123</f>
        <v>81</v>
      </c>
      <c r="T123" s="323">
        <f>BB123</f>
        <v>181</v>
      </c>
      <c r="U123" s="323">
        <f>BC123</f>
        <v>564</v>
      </c>
      <c r="V123" s="323">
        <f>BJ123</f>
        <v>17</v>
      </c>
      <c r="W123" s="323">
        <f>BR123</f>
        <v>105</v>
      </c>
      <c r="X123" s="323">
        <f>BI123</f>
        <v>25</v>
      </c>
      <c r="Y123" s="323">
        <f>BN123</f>
        <v>72</v>
      </c>
      <c r="Z123" s="323">
        <f>BM123</f>
        <v>172</v>
      </c>
      <c r="AA123" s="323">
        <f>BQ123</f>
        <v>60</v>
      </c>
      <c r="AB123" s="323">
        <f>BP123</f>
        <v>103</v>
      </c>
      <c r="AC123" s="323">
        <f>BX123</f>
        <v>430</v>
      </c>
      <c r="AD123" s="323">
        <f>BU123</f>
        <v>169</v>
      </c>
      <c r="AE123" s="323">
        <f>BT123</f>
        <v>421</v>
      </c>
      <c r="AF123" s="323">
        <f>CA123</f>
        <v>161</v>
      </c>
      <c r="AG123" s="323">
        <f>BV123</f>
        <v>443</v>
      </c>
      <c r="AH123" s="323">
        <f>BZ123</f>
        <v>202</v>
      </c>
      <c r="AI123" s="323">
        <f>BW123</f>
        <v>194</v>
      </c>
      <c r="AJ123" s="323">
        <f>BY123</f>
        <v>107</v>
      </c>
      <c r="AK123" s="323">
        <f>CB123</f>
        <v>311</v>
      </c>
      <c r="AL123" s="323">
        <f>CE123</f>
        <v>70</v>
      </c>
      <c r="AM123" s="323">
        <f>CH123</f>
        <v>764</v>
      </c>
      <c r="AN123" s="323">
        <f>CJ123</f>
        <v>1489</v>
      </c>
      <c r="AO123" s="323">
        <f>CC123</f>
        <v>193</v>
      </c>
      <c r="AP123" s="323">
        <f>CD123</f>
        <v>30</v>
      </c>
      <c r="AQ123" s="323">
        <f>CK123</f>
        <v>311</v>
      </c>
      <c r="AR123" s="323">
        <f>CI123</f>
        <v>266</v>
      </c>
      <c r="AS123" s="323">
        <f>CG123</f>
        <v>451</v>
      </c>
      <c r="AT123" s="323">
        <v>15</v>
      </c>
      <c r="AU123" s="323">
        <v>69</v>
      </c>
      <c r="AV123" s="323">
        <v>81</v>
      </c>
      <c r="AW123" s="323">
        <v>250</v>
      </c>
      <c r="AX123" s="323">
        <v>116</v>
      </c>
      <c r="AY123" s="323">
        <v>200</v>
      </c>
      <c r="AZ123" s="323">
        <v>3</v>
      </c>
      <c r="BA123" s="323">
        <v>91</v>
      </c>
      <c r="BB123" s="323">
        <v>181</v>
      </c>
      <c r="BC123" s="323">
        <v>564</v>
      </c>
      <c r="BD123" s="323">
        <v>195</v>
      </c>
      <c r="BE123" s="323">
        <v>169</v>
      </c>
      <c r="BF123" s="323">
        <v>623</v>
      </c>
      <c r="BG123" s="323" t="s">
        <v>58</v>
      </c>
      <c r="BH123" s="323">
        <v>3</v>
      </c>
      <c r="BI123" s="323">
        <v>25</v>
      </c>
      <c r="BJ123" s="323">
        <v>17</v>
      </c>
      <c r="BK123" s="323">
        <v>5</v>
      </c>
      <c r="BL123" s="323">
        <v>1</v>
      </c>
      <c r="BM123" s="323">
        <v>172</v>
      </c>
      <c r="BN123" s="323">
        <v>72</v>
      </c>
      <c r="BO123" s="323">
        <v>1</v>
      </c>
      <c r="BP123" s="323">
        <v>103</v>
      </c>
      <c r="BQ123" s="323">
        <v>60</v>
      </c>
      <c r="BR123" s="323">
        <v>105</v>
      </c>
      <c r="BS123" s="323">
        <v>6</v>
      </c>
      <c r="BT123" s="323">
        <v>421</v>
      </c>
      <c r="BU123" s="323">
        <v>169</v>
      </c>
      <c r="BV123" s="323">
        <v>443</v>
      </c>
      <c r="BW123" s="323">
        <v>194</v>
      </c>
      <c r="BX123" s="323">
        <v>430</v>
      </c>
      <c r="BY123" s="323">
        <v>107</v>
      </c>
      <c r="BZ123" s="323">
        <v>202</v>
      </c>
      <c r="CA123" s="323">
        <v>161</v>
      </c>
      <c r="CB123" s="323">
        <v>311</v>
      </c>
      <c r="CC123" s="323">
        <v>193</v>
      </c>
      <c r="CD123" s="323">
        <v>30</v>
      </c>
      <c r="CE123" s="323">
        <v>70</v>
      </c>
      <c r="CF123" s="323">
        <v>18</v>
      </c>
      <c r="CG123" s="323">
        <v>451</v>
      </c>
      <c r="CH123" s="323">
        <v>764</v>
      </c>
      <c r="CI123" s="323">
        <v>266</v>
      </c>
      <c r="CJ123" s="323">
        <v>1489</v>
      </c>
      <c r="CK123" s="323">
        <v>311</v>
      </c>
      <c r="CL123" s="323">
        <v>9157</v>
      </c>
    </row>
    <row r="124" spans="1:90" s="69" customFormat="1" ht="11.25">
      <c r="B124" s="328" t="s">
        <v>236</v>
      </c>
      <c r="C124" s="322">
        <v>2010</v>
      </c>
      <c r="D124" s="69" t="s">
        <v>13</v>
      </c>
      <c r="E124" s="443">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c r="B125" s="328" t="s">
        <v>237</v>
      </c>
      <c r="C125" s="322">
        <v>2010</v>
      </c>
      <c r="D125" s="69" t="s">
        <v>13</v>
      </c>
      <c r="E125" s="443">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s="69" customFormat="1" ht="11.25">
      <c r="B126" s="328" t="s">
        <v>287</v>
      </c>
      <c r="C126" s="322"/>
      <c r="E126" s="443"/>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'2013'!AZ126+'2013'!BA126</f>
        <v>6973</v>
      </c>
      <c r="Q126" s="323">
        <f>'2013'!AU126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c r="B127" s="328"/>
      <c r="C127" s="322"/>
      <c r="E127" s="443"/>
      <c r="F127" s="323">
        <f>F126/F35%</f>
        <v>62.946649616588516</v>
      </c>
      <c r="G127" s="323">
        <f>G126/G35%</f>
        <v>42.470501767907514</v>
      </c>
      <c r="H127" s="323">
        <f>H126/H35%</f>
        <v>49.633486139083601</v>
      </c>
      <c r="I127" s="323">
        <f>I126/I35%</f>
        <v>52.657707056925538</v>
      </c>
      <c r="J127" s="323"/>
      <c r="K127" s="323">
        <f t="shared" ref="K127:BV127" si="179">K126/K35%</f>
        <v>99.268413400563006</v>
      </c>
      <c r="L127" s="323">
        <f t="shared" si="179"/>
        <v>69.175556950109822</v>
      </c>
      <c r="M127" s="323">
        <f t="shared" si="179"/>
        <v>70.264233018840187</v>
      </c>
      <c r="N127" s="323">
        <f t="shared" si="179"/>
        <v>73.910260968498903</v>
      </c>
      <c r="O127" s="323">
        <f t="shared" si="179"/>
        <v>59.728904161893858</v>
      </c>
      <c r="P127" s="323">
        <f t="shared" si="179"/>
        <v>12.006474163610379</v>
      </c>
      <c r="Q127" s="323">
        <f t="shared" si="179"/>
        <v>48.340738054220687</v>
      </c>
      <c r="R127" s="323">
        <f t="shared" si="179"/>
        <v>1.4480629993942364</v>
      </c>
      <c r="S127" s="323">
        <f t="shared" si="179"/>
        <v>56.736107573982579</v>
      </c>
      <c r="T127" s="323">
        <f t="shared" si="179"/>
        <v>56.536082474226802</v>
      </c>
      <c r="U127" s="323">
        <f t="shared" si="179"/>
        <v>96.604796772461142</v>
      </c>
      <c r="V127" s="323">
        <f t="shared" si="179"/>
        <v>33.655705996131523</v>
      </c>
      <c r="W127" s="323">
        <f t="shared" si="179"/>
        <v>82.393993866976842</v>
      </c>
      <c r="X127" s="323">
        <f t="shared" si="179"/>
        <v>6.5866613218419605</v>
      </c>
      <c r="Y127" s="323">
        <f t="shared" si="179"/>
        <v>15.782338366602778</v>
      </c>
      <c r="Z127" s="323">
        <f t="shared" si="179"/>
        <v>70.176802020594522</v>
      </c>
      <c r="AA127" s="323">
        <f t="shared" si="179"/>
        <v>45.946616392141294</v>
      </c>
      <c r="AB127" s="323">
        <f t="shared" si="179"/>
        <v>77.637375376767906</v>
      </c>
      <c r="AC127" s="323">
        <f t="shared" si="179"/>
        <v>64.570295397769698</v>
      </c>
      <c r="AD127" s="323">
        <f t="shared" si="179"/>
        <v>35.691548980049312</v>
      </c>
      <c r="AE127" s="323">
        <f t="shared" si="179"/>
        <v>11.176741331696839</v>
      </c>
      <c r="AF127" s="323">
        <f t="shared" si="179"/>
        <v>28.987385519267324</v>
      </c>
      <c r="AG127" s="323">
        <f t="shared" si="179"/>
        <v>34.136936936936934</v>
      </c>
      <c r="AH127" s="323">
        <f t="shared" si="179"/>
        <v>65.443470509582525</v>
      </c>
      <c r="AI127" s="323">
        <f t="shared" si="179"/>
        <v>96.268235137739666</v>
      </c>
      <c r="AJ127" s="323">
        <f t="shared" si="179"/>
        <v>62.795876288659791</v>
      </c>
      <c r="AK127" s="323">
        <f t="shared" si="179"/>
        <v>71.009805967035263</v>
      </c>
      <c r="AL127" s="323">
        <f t="shared" si="179"/>
        <v>61.481306757872389</v>
      </c>
      <c r="AM127" s="323">
        <f t="shared" si="179"/>
        <v>19.664098936225958</v>
      </c>
      <c r="AN127" s="323">
        <f t="shared" si="179"/>
        <v>58.441588568247198</v>
      </c>
      <c r="AO127" s="323">
        <f t="shared" si="179"/>
        <v>101.09655802619555</v>
      </c>
      <c r="AP127" s="323">
        <f t="shared" si="179"/>
        <v>60.687801721992734</v>
      </c>
      <c r="AQ127" s="323">
        <f t="shared" si="179"/>
        <v>72.345774156849785</v>
      </c>
      <c r="AR127" s="323">
        <f t="shared" si="179"/>
        <v>23.502097064110245</v>
      </c>
      <c r="AS127" s="323">
        <f t="shared" si="179"/>
        <v>44.937183216676615</v>
      </c>
      <c r="AT127" s="323">
        <f t="shared" si="179"/>
        <v>11.155537784886045</v>
      </c>
      <c r="AU127" s="323">
        <f t="shared" si="179"/>
        <v>48.340738054220687</v>
      </c>
      <c r="AV127" s="323">
        <f t="shared" si="179"/>
        <v>56.736107573982579</v>
      </c>
      <c r="AW127" s="323">
        <f t="shared" si="179"/>
        <v>73.910260968498903</v>
      </c>
      <c r="AX127" s="323">
        <f t="shared" si="179"/>
        <v>0.69327861717341288</v>
      </c>
      <c r="AY127" s="323">
        <f t="shared" si="179"/>
        <v>69.175556950109822</v>
      </c>
      <c r="AZ127" s="323">
        <f t="shared" si="179"/>
        <v>0</v>
      </c>
      <c r="BA127" s="323">
        <f t="shared" si="179"/>
        <v>12.93788036217901</v>
      </c>
      <c r="BB127" s="323">
        <f t="shared" si="179"/>
        <v>56.536082474226802</v>
      </c>
      <c r="BC127" s="323">
        <f t="shared" si="179"/>
        <v>96.604796772461142</v>
      </c>
      <c r="BD127" s="323">
        <f t="shared" si="179"/>
        <v>70.264233018840187</v>
      </c>
      <c r="BE127" s="323">
        <f t="shared" si="179"/>
        <v>59.728904161893858</v>
      </c>
      <c r="BF127" s="323">
        <f t="shared" si="179"/>
        <v>99.268413400563006</v>
      </c>
      <c r="BG127" s="323">
        <f t="shared" si="179"/>
        <v>118.58932102834542</v>
      </c>
      <c r="BH127" s="323">
        <f t="shared" si="179"/>
        <v>0</v>
      </c>
      <c r="BI127" s="323">
        <f t="shared" si="179"/>
        <v>7.0301636538667243</v>
      </c>
      <c r="BJ127" s="323">
        <f t="shared" si="179"/>
        <v>24.776016540317023</v>
      </c>
      <c r="BK127" s="323">
        <f t="shared" si="179"/>
        <v>112.88913162206445</v>
      </c>
      <c r="BL127" s="323">
        <f t="shared" si="179"/>
        <v>0</v>
      </c>
      <c r="BM127" s="323">
        <f t="shared" si="179"/>
        <v>70.176802020594522</v>
      </c>
      <c r="BN127" s="323">
        <f t="shared" si="179"/>
        <v>12.29755623802399</v>
      </c>
      <c r="BO127" s="323">
        <f t="shared" si="179"/>
        <v>27.576054955839059</v>
      </c>
      <c r="BP127" s="323">
        <f t="shared" si="179"/>
        <v>77.637375376767906</v>
      </c>
      <c r="BQ127" s="323">
        <f t="shared" si="179"/>
        <v>46.924805350890942</v>
      </c>
      <c r="BR127" s="323">
        <f t="shared" si="179"/>
        <v>82.393993866976842</v>
      </c>
      <c r="BS127" s="323">
        <f t="shared" si="179"/>
        <v>6.0940220545560067</v>
      </c>
      <c r="BT127" s="323">
        <f t="shared" si="179"/>
        <v>11.536408066039673</v>
      </c>
      <c r="BU127" s="323">
        <f t="shared" si="179"/>
        <v>35.691548980049312</v>
      </c>
      <c r="BV127" s="323">
        <f t="shared" si="179"/>
        <v>34.136936936936934</v>
      </c>
      <c r="BW127" s="323">
        <f t="shared" ref="BW127:CL127" si="180">BW126/BW35%</f>
        <v>96.268235137739666</v>
      </c>
      <c r="BX127" s="323">
        <f t="shared" si="180"/>
        <v>64.570295397769698</v>
      </c>
      <c r="BY127" s="323">
        <f t="shared" si="180"/>
        <v>62.795876288659791</v>
      </c>
      <c r="BZ127" s="323">
        <f t="shared" si="180"/>
        <v>65.443470509582525</v>
      </c>
      <c r="CA127" s="323">
        <f t="shared" si="180"/>
        <v>28.987385519267324</v>
      </c>
      <c r="CB127" s="323">
        <f t="shared" si="180"/>
        <v>71.009805967035263</v>
      </c>
      <c r="CC127" s="323">
        <f t="shared" si="180"/>
        <v>101.09655802619555</v>
      </c>
      <c r="CD127" s="323">
        <f t="shared" si="180"/>
        <v>60.687801721992734</v>
      </c>
      <c r="CE127" s="323">
        <f t="shared" si="180"/>
        <v>61.481306757872389</v>
      </c>
      <c r="CF127" s="323">
        <f t="shared" si="180"/>
        <v>29.761397528760121</v>
      </c>
      <c r="CG127" s="323">
        <f t="shared" si="180"/>
        <v>45.89946911262107</v>
      </c>
      <c r="CH127" s="323">
        <f t="shared" si="180"/>
        <v>19.664098936225958</v>
      </c>
      <c r="CI127" s="323">
        <f t="shared" si="180"/>
        <v>23.502097064110245</v>
      </c>
      <c r="CJ127" s="323">
        <f t="shared" si="180"/>
        <v>58.441588568247198</v>
      </c>
      <c r="CK127" s="323">
        <f t="shared" si="180"/>
        <v>72.345774156849785</v>
      </c>
      <c r="CL127" s="323">
        <f t="shared" si="180"/>
        <v>53.909820509110716</v>
      </c>
    </row>
    <row r="128" spans="1:90" s="69" customFormat="1" ht="11.25">
      <c r="B128" s="328"/>
      <c r="C128" s="322"/>
      <c r="E128" s="44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c r="B129" s="58" t="s">
        <v>290</v>
      </c>
      <c r="D129" t="s">
        <v>7</v>
      </c>
      <c r="E129" s="440">
        <v>41677</v>
      </c>
      <c r="F129" s="126">
        <v>18328</v>
      </c>
      <c r="G129" s="126">
        <v>8174</v>
      </c>
      <c r="H129" s="126">
        <v>22835</v>
      </c>
      <c r="I129" s="126">
        <v>16848</v>
      </c>
      <c r="K129" s="126">
        <v>4337</v>
      </c>
      <c r="L129" s="126">
        <v>1984</v>
      </c>
      <c r="M129" s="126">
        <v>1145</v>
      </c>
      <c r="N129" s="126">
        <v>1632</v>
      </c>
      <c r="O129" s="126">
        <v>613</v>
      </c>
      <c r="P129" s="126">
        <v>1108</v>
      </c>
      <c r="Q129" s="126">
        <v>646</v>
      </c>
      <c r="R129" s="126">
        <v>336</v>
      </c>
      <c r="S129" s="126">
        <v>782</v>
      </c>
      <c r="T129" s="126">
        <v>1686</v>
      </c>
      <c r="U129" s="126">
        <v>4020</v>
      </c>
      <c r="V129" s="126">
        <v>794</v>
      </c>
      <c r="W129" s="126">
        <v>1098</v>
      </c>
      <c r="X129" s="126">
        <v>855</v>
      </c>
      <c r="Y129" s="126">
        <v>1086</v>
      </c>
      <c r="Z129" s="126">
        <v>1593</v>
      </c>
      <c r="AA129" s="126">
        <v>1034</v>
      </c>
      <c r="AB129" s="126">
        <v>1538</v>
      </c>
      <c r="AC129" s="126">
        <v>2016</v>
      </c>
      <c r="AD129" s="126">
        <v>2117</v>
      </c>
      <c r="AE129" s="126">
        <v>3663</v>
      </c>
      <c r="AF129" s="126">
        <v>2709</v>
      </c>
      <c r="AG129" s="126">
        <v>3922</v>
      </c>
      <c r="AH129" s="126">
        <v>1549</v>
      </c>
      <c r="AI129" s="126">
        <v>1818</v>
      </c>
      <c r="AJ129" s="126">
        <v>1343</v>
      </c>
      <c r="AK129" s="126">
        <v>3698</v>
      </c>
      <c r="AL129" s="126">
        <v>2090</v>
      </c>
      <c r="AM129" s="126">
        <v>3044</v>
      </c>
      <c r="AN129" s="126">
        <v>3345</v>
      </c>
      <c r="AO129" s="126">
        <v>1909</v>
      </c>
      <c r="AP129" s="126">
        <v>581</v>
      </c>
      <c r="AQ129" s="126">
        <v>2159</v>
      </c>
      <c r="AR129" s="126">
        <v>992</v>
      </c>
      <c r="AS129" s="126">
        <v>2728</v>
      </c>
      <c r="AT129" s="126" t="s">
        <v>233</v>
      </c>
      <c r="AU129" s="126">
        <v>646</v>
      </c>
      <c r="AV129" s="126">
        <v>782</v>
      </c>
      <c r="AW129" s="126">
        <v>1632</v>
      </c>
      <c r="AX129" s="126">
        <v>336</v>
      </c>
      <c r="AY129" s="126">
        <v>1984</v>
      </c>
      <c r="AZ129" s="126" t="s">
        <v>233</v>
      </c>
      <c r="BA129" s="126">
        <v>1108</v>
      </c>
      <c r="BB129" s="126">
        <v>1686</v>
      </c>
      <c r="BC129" s="126">
        <v>4020</v>
      </c>
      <c r="BD129" s="126">
        <v>1145</v>
      </c>
      <c r="BE129" s="126">
        <v>613</v>
      </c>
      <c r="BF129" s="126">
        <v>4337</v>
      </c>
      <c r="BG129" s="126">
        <v>77</v>
      </c>
      <c r="BH129" s="126" t="s">
        <v>233</v>
      </c>
      <c r="BI129" s="126">
        <v>855</v>
      </c>
      <c r="BJ129" s="126">
        <v>717</v>
      </c>
      <c r="BK129" s="126">
        <v>83</v>
      </c>
      <c r="BL129" s="126" t="s">
        <v>233</v>
      </c>
      <c r="BM129" s="126">
        <v>1593</v>
      </c>
      <c r="BN129" s="126">
        <v>1086</v>
      </c>
      <c r="BO129" s="126" t="s">
        <v>233</v>
      </c>
      <c r="BP129" s="126">
        <v>1538</v>
      </c>
      <c r="BQ129" s="126">
        <v>1034</v>
      </c>
      <c r="BR129" s="126">
        <v>1098</v>
      </c>
      <c r="BS129" s="126">
        <v>128</v>
      </c>
      <c r="BT129" s="126">
        <v>3535</v>
      </c>
      <c r="BU129" s="126">
        <v>2117</v>
      </c>
      <c r="BV129" s="126">
        <v>3922</v>
      </c>
      <c r="BW129" s="126">
        <v>1818</v>
      </c>
      <c r="BX129" s="126">
        <v>2016</v>
      </c>
      <c r="BY129" s="126">
        <v>1343</v>
      </c>
      <c r="BZ129" s="126">
        <v>1549</v>
      </c>
      <c r="CA129" s="126">
        <v>2709</v>
      </c>
      <c r="CB129" s="126">
        <v>3698</v>
      </c>
      <c r="CC129" s="126">
        <v>1909</v>
      </c>
      <c r="CD129" s="126">
        <v>581</v>
      </c>
      <c r="CE129" s="126">
        <v>2090</v>
      </c>
      <c r="CF129" s="126">
        <v>50</v>
      </c>
      <c r="CG129" s="126">
        <v>2678</v>
      </c>
      <c r="CH129" s="126">
        <v>3044</v>
      </c>
      <c r="CI129" s="126">
        <v>992</v>
      </c>
      <c r="CJ129" s="126">
        <v>3345</v>
      </c>
      <c r="CK129" s="126">
        <v>2159</v>
      </c>
      <c r="CL129" s="126">
        <v>66185</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CL132"/>
  <sheetViews>
    <sheetView zoomScaleNormal="100" workbookViewId="0">
      <pane xSplit="5" ySplit="4" topLeftCell="F26" activePane="bottomRight" state="frozen"/>
      <selection activeCell="AE45" sqref="AE45:AE47"/>
      <selection pane="topRight" activeCell="AE45" sqref="AE45:AE47"/>
      <selection pane="bottomLeft" activeCell="AE45" sqref="AE45:AE47"/>
      <selection pane="bottomRight" activeCell="F54" sqref="F54"/>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440" bestFit="1" customWidth="1"/>
    <col min="6" max="89" width="11.42578125" style="126" customWidth="1"/>
    <col min="90" max="90" width="17.85546875" style="126" bestFit="1" customWidth="1"/>
  </cols>
  <sheetData>
    <row r="1" spans="1:90" ht="13.5" thickBot="1">
      <c r="B1" s="70" t="s">
        <v>187</v>
      </c>
      <c r="E1" s="322"/>
    </row>
    <row r="2" spans="1:90">
      <c r="B2" s="81"/>
      <c r="C2" s="199"/>
      <c r="D2" s="82"/>
      <c r="E2" s="277"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0">
      <c r="B3" s="84" t="s">
        <v>91</v>
      </c>
      <c r="C3" s="200"/>
      <c r="D3" s="85"/>
      <c r="E3" s="434"/>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0">
      <c r="B4" s="84"/>
      <c r="C4" s="200"/>
      <c r="D4" s="85"/>
      <c r="E4" s="434"/>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0">
      <c r="A5" s="80">
        <f>ROWS($A$3:A3)</f>
        <v>1</v>
      </c>
      <c r="B5" s="102"/>
      <c r="C5" s="103"/>
      <c r="D5" s="263"/>
      <c r="E5" s="264"/>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0">
      <c r="A6" s="80">
        <f>ROWS($A$3:A4)</f>
        <v>2</v>
      </c>
      <c r="B6" s="59" t="s">
        <v>97</v>
      </c>
      <c r="C6" s="201"/>
      <c r="D6" s="260"/>
      <c r="E6" s="435"/>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0">
      <c r="A7" s="80">
        <f>ROWS($A$3:A5)</f>
        <v>3</v>
      </c>
      <c r="B7" s="92" t="s">
        <v>60</v>
      </c>
      <c r="C7" s="202">
        <v>2012</v>
      </c>
      <c r="D7" s="259" t="s">
        <v>1</v>
      </c>
      <c r="E7" s="435"/>
      <c r="F7" s="116">
        <v>1055764</v>
      </c>
      <c r="G7" s="137">
        <v>691899</v>
      </c>
      <c r="H7" s="137">
        <v>935702</v>
      </c>
      <c r="I7" s="138">
        <v>891771</v>
      </c>
      <c r="J7" s="137"/>
      <c r="K7" s="116">
        <f t="shared" ref="K7:K20" si="0">BF7</f>
        <v>151157</v>
      </c>
      <c r="L7" s="137">
        <f t="shared" ref="L7:L20" si="1">AY7</f>
        <v>85814</v>
      </c>
      <c r="M7" s="137">
        <f t="shared" ref="M7:M20" si="2">BD7</f>
        <v>130441</v>
      </c>
      <c r="N7" s="137">
        <f t="shared" ref="N7:N20" si="3">AW7</f>
        <v>64236</v>
      </c>
      <c r="O7" s="137">
        <f t="shared" ref="O7:O20" si="4">BE7</f>
        <v>62712</v>
      </c>
      <c r="P7" s="137">
        <f>'2012'!AZ7+'2012'!BA7</f>
        <v>119981</v>
      </c>
      <c r="Q7" s="137">
        <f>'2012'!AU7</f>
        <v>61782</v>
      </c>
      <c r="R7" s="137">
        <f>AT7+AX7</f>
        <v>89417</v>
      </c>
      <c r="S7" s="137">
        <f t="shared" ref="S7:S20" si="5">AV7</f>
        <v>64148</v>
      </c>
      <c r="T7" s="137">
        <f t="shared" ref="T7:U20" si="6">BB7</f>
        <v>77676</v>
      </c>
      <c r="U7" s="139">
        <f t="shared" si="6"/>
        <v>148400</v>
      </c>
      <c r="V7" s="137">
        <f t="shared" ref="V7:V13" si="7">BG7+BJ7</f>
        <v>87896</v>
      </c>
      <c r="W7" s="137">
        <f t="shared" ref="W7:W20" si="8">BR7</f>
        <v>87067</v>
      </c>
      <c r="X7" s="137">
        <f t="shared" ref="X7:X13" si="9">BH7+BI7</f>
        <v>125840</v>
      </c>
      <c r="Y7" s="137">
        <f t="shared" ref="Y7:Y13" si="10">BK7+BL7+BN7</f>
        <v>131550</v>
      </c>
      <c r="Z7" s="137">
        <f t="shared" ref="Z7:Z20" si="11">BM7</f>
        <v>112625</v>
      </c>
      <c r="AA7" s="137">
        <f t="shared" ref="AA7:AA13" si="12">BO7+BQ7</f>
        <v>67168</v>
      </c>
      <c r="AB7" s="139">
        <f t="shared" ref="AB7:AB20" si="13">BP7</f>
        <v>79751</v>
      </c>
      <c r="AC7" s="137">
        <f t="shared" ref="AC7:AC20" si="14">BX7</f>
        <v>102526</v>
      </c>
      <c r="AD7" s="137">
        <f t="shared" ref="AD7:AD20" si="15">BU7</f>
        <v>67988</v>
      </c>
      <c r="AE7" s="137">
        <f t="shared" ref="AE7:AE13" si="16">BS7+BT7</f>
        <v>153139</v>
      </c>
      <c r="AF7" s="137">
        <f t="shared" ref="AF7:AF20" si="17">CA7</f>
        <v>80677</v>
      </c>
      <c r="AG7" s="137">
        <f t="shared" ref="AG7:AG20" si="18">BV7</f>
        <v>185079</v>
      </c>
      <c r="AH7" s="137">
        <f t="shared" ref="AH7:AH20" si="19">BZ7</f>
        <v>81798</v>
      </c>
      <c r="AI7" s="137">
        <f t="shared" ref="AI7:AI20" si="20">BW7</f>
        <v>76943</v>
      </c>
      <c r="AJ7" s="137">
        <f t="shared" ref="AJ7:AJ20" si="21">BY7</f>
        <v>73435</v>
      </c>
      <c r="AK7" s="139">
        <f t="shared" ref="AK7:AK20" si="22">CB7</f>
        <v>113115</v>
      </c>
      <c r="AL7" s="137">
        <f t="shared" ref="AL7:AL20" si="23">CE7</f>
        <v>91771</v>
      </c>
      <c r="AM7" s="137">
        <f t="shared" ref="AM7:AM20" si="24">CH7</f>
        <v>140975</v>
      </c>
      <c r="AN7" s="137">
        <f t="shared" ref="AN7:AN20" si="25">CJ7</f>
        <v>163184</v>
      </c>
      <c r="AO7" s="137">
        <f t="shared" ref="AO7:AP20" si="26">CC7</f>
        <v>109272</v>
      </c>
      <c r="AP7" s="137">
        <f t="shared" si="26"/>
        <v>51919</v>
      </c>
      <c r="AQ7" s="137">
        <f t="shared" ref="AQ7:AQ20" si="27">CK7</f>
        <v>120434</v>
      </c>
      <c r="AR7" s="137">
        <f t="shared" ref="AR7:AR20" si="28">CI7</f>
        <v>66480</v>
      </c>
      <c r="AS7" s="138">
        <f t="shared" ref="AS7:AS13" si="29">CF7+CG7</f>
        <v>147736</v>
      </c>
      <c r="AT7" s="137">
        <v>20735</v>
      </c>
      <c r="AU7" s="137">
        <v>61782</v>
      </c>
      <c r="AV7" s="137">
        <v>64148</v>
      </c>
      <c r="AW7" s="137">
        <v>64236</v>
      </c>
      <c r="AX7" s="137">
        <v>68682</v>
      </c>
      <c r="AY7" s="137">
        <v>85814</v>
      </c>
      <c r="AZ7" s="137">
        <v>9988</v>
      </c>
      <c r="BA7" s="137">
        <v>109993</v>
      </c>
      <c r="BB7" s="137">
        <v>77676</v>
      </c>
      <c r="BC7" s="137">
        <v>148400</v>
      </c>
      <c r="BD7" s="137">
        <v>130441</v>
      </c>
      <c r="BE7" s="137">
        <v>62712</v>
      </c>
      <c r="BF7" s="139">
        <v>151157</v>
      </c>
      <c r="BG7" s="137">
        <v>14021</v>
      </c>
      <c r="BH7" s="137">
        <v>17346</v>
      </c>
      <c r="BI7" s="137">
        <v>108494</v>
      </c>
      <c r="BJ7" s="137">
        <v>73875</v>
      </c>
      <c r="BK7" s="137">
        <v>10883</v>
      </c>
      <c r="BL7" s="137">
        <v>14496</v>
      </c>
      <c r="BM7" s="137">
        <v>112625</v>
      </c>
      <c r="BN7" s="137">
        <v>106171</v>
      </c>
      <c r="BO7" s="137">
        <v>9800</v>
      </c>
      <c r="BP7" s="137">
        <v>79751</v>
      </c>
      <c r="BQ7" s="137">
        <v>57368</v>
      </c>
      <c r="BR7" s="139">
        <v>87067</v>
      </c>
      <c r="BS7" s="137">
        <v>15306</v>
      </c>
      <c r="BT7" s="137">
        <v>137833</v>
      </c>
      <c r="BU7" s="137">
        <v>67988</v>
      </c>
      <c r="BV7" s="137">
        <v>185079</v>
      </c>
      <c r="BW7" s="137">
        <v>76943</v>
      </c>
      <c r="BX7" s="137">
        <v>102526</v>
      </c>
      <c r="BY7" s="137">
        <v>73435</v>
      </c>
      <c r="BZ7" s="137">
        <v>81798</v>
      </c>
      <c r="CA7" s="137">
        <v>80677</v>
      </c>
      <c r="CB7" s="139">
        <v>113115</v>
      </c>
      <c r="CC7" s="137">
        <v>109272</v>
      </c>
      <c r="CD7" s="137">
        <v>51919</v>
      </c>
      <c r="CE7" s="137">
        <v>91771</v>
      </c>
      <c r="CF7" s="137">
        <v>11869</v>
      </c>
      <c r="CG7" s="141">
        <v>135867</v>
      </c>
      <c r="CH7" s="137">
        <v>140975</v>
      </c>
      <c r="CI7" s="137">
        <v>66480</v>
      </c>
      <c r="CJ7" s="137">
        <v>163184</v>
      </c>
      <c r="CK7" s="138">
        <v>120434</v>
      </c>
      <c r="CL7" s="140">
        <v>3575136</v>
      </c>
    </row>
    <row r="8" spans="1:90" ht="14.25">
      <c r="A8" s="80">
        <f>ROWS($A$3:A6)</f>
        <v>4</v>
      </c>
      <c r="B8" s="92" t="s">
        <v>242</v>
      </c>
      <c r="C8" s="203"/>
      <c r="D8" s="259" t="s">
        <v>1</v>
      </c>
      <c r="E8" s="435"/>
      <c r="F8" s="116">
        <v>173648</v>
      </c>
      <c r="G8" s="137">
        <v>113738</v>
      </c>
      <c r="H8" s="137">
        <v>112884</v>
      </c>
      <c r="I8" s="138">
        <v>109873</v>
      </c>
      <c r="J8" s="137"/>
      <c r="K8" s="116">
        <f t="shared" si="0"/>
        <v>19337</v>
      </c>
      <c r="L8" s="137">
        <f t="shared" si="1"/>
        <v>15033</v>
      </c>
      <c r="M8" s="137">
        <f t="shared" si="2"/>
        <v>14126</v>
      </c>
      <c r="N8" s="137">
        <f t="shared" si="3"/>
        <v>10568</v>
      </c>
      <c r="O8" s="137">
        <f t="shared" si="4"/>
        <v>7848</v>
      </c>
      <c r="P8" s="137">
        <f>'2012'!AZ8+'2012'!BA8</f>
        <v>22538</v>
      </c>
      <c r="Q8" s="137">
        <f>'2012'!AU8</f>
        <v>13892</v>
      </c>
      <c r="R8" s="137">
        <f>AT8+AX8</f>
        <v>27267</v>
      </c>
      <c r="S8" s="137">
        <f t="shared" si="5"/>
        <v>15767</v>
      </c>
      <c r="T8" s="137">
        <f t="shared" si="6"/>
        <v>10077</v>
      </c>
      <c r="U8" s="139">
        <f t="shared" si="6"/>
        <v>17193</v>
      </c>
      <c r="V8" s="137">
        <f t="shared" si="7"/>
        <v>12450</v>
      </c>
      <c r="W8" s="137">
        <f t="shared" si="8"/>
        <v>8361</v>
      </c>
      <c r="X8" s="137">
        <f t="shared" si="9"/>
        <v>27489</v>
      </c>
      <c r="Y8" s="137">
        <f t="shared" si="10"/>
        <v>32417</v>
      </c>
      <c r="Z8" s="137">
        <f t="shared" si="11"/>
        <v>11989</v>
      </c>
      <c r="AA8" s="137">
        <f t="shared" si="12"/>
        <v>12190</v>
      </c>
      <c r="AB8" s="139">
        <f t="shared" si="13"/>
        <v>8842</v>
      </c>
      <c r="AC8" s="137">
        <f t="shared" si="14"/>
        <v>11786</v>
      </c>
      <c r="AD8" s="137">
        <f t="shared" si="15"/>
        <v>7453</v>
      </c>
      <c r="AE8" s="137">
        <f t="shared" si="16"/>
        <v>19156</v>
      </c>
      <c r="AF8" s="137">
        <f t="shared" si="17"/>
        <v>10242</v>
      </c>
      <c r="AG8" s="137">
        <f t="shared" si="18"/>
        <v>21676</v>
      </c>
      <c r="AH8" s="137">
        <f t="shared" si="19"/>
        <v>12649</v>
      </c>
      <c r="AI8" s="137">
        <f t="shared" si="20"/>
        <v>9872</v>
      </c>
      <c r="AJ8" s="137">
        <f t="shared" si="21"/>
        <v>8545</v>
      </c>
      <c r="AK8" s="139">
        <f t="shared" si="22"/>
        <v>11504</v>
      </c>
      <c r="AL8" s="137">
        <f t="shared" si="23"/>
        <v>12318</v>
      </c>
      <c r="AM8" s="137">
        <f t="shared" si="24"/>
        <v>16103</v>
      </c>
      <c r="AN8" s="137">
        <f t="shared" si="25"/>
        <v>17079</v>
      </c>
      <c r="AO8" s="137">
        <f t="shared" si="26"/>
        <v>14326</v>
      </c>
      <c r="AP8" s="137">
        <f t="shared" si="26"/>
        <v>9234</v>
      </c>
      <c r="AQ8" s="137">
        <f t="shared" si="27"/>
        <v>11812</v>
      </c>
      <c r="AR8" s="137">
        <f t="shared" si="28"/>
        <v>9758</v>
      </c>
      <c r="AS8" s="138">
        <f t="shared" si="29"/>
        <v>19243</v>
      </c>
      <c r="AT8" s="137">
        <v>10678</v>
      </c>
      <c r="AU8" s="137">
        <v>13892</v>
      </c>
      <c r="AV8" s="137">
        <v>15767</v>
      </c>
      <c r="AW8" s="137">
        <v>10568</v>
      </c>
      <c r="AX8" s="137">
        <v>16589</v>
      </c>
      <c r="AY8" s="137">
        <v>15033</v>
      </c>
      <c r="AZ8" s="137">
        <v>3553</v>
      </c>
      <c r="BA8" s="137">
        <v>18985</v>
      </c>
      <c r="BB8" s="137">
        <v>10077</v>
      </c>
      <c r="BC8" s="137">
        <v>17193</v>
      </c>
      <c r="BD8" s="137">
        <v>14126</v>
      </c>
      <c r="BE8" s="137">
        <v>7848</v>
      </c>
      <c r="BF8" s="139">
        <v>19337</v>
      </c>
      <c r="BG8" s="137">
        <v>2060</v>
      </c>
      <c r="BH8" s="137">
        <v>8063</v>
      </c>
      <c r="BI8" s="137">
        <v>19426</v>
      </c>
      <c r="BJ8" s="137">
        <v>10390</v>
      </c>
      <c r="BK8" s="137">
        <v>3277</v>
      </c>
      <c r="BL8" s="137">
        <v>8415</v>
      </c>
      <c r="BM8" s="137">
        <v>11989</v>
      </c>
      <c r="BN8" s="137">
        <v>20725</v>
      </c>
      <c r="BO8" s="137">
        <v>3021</v>
      </c>
      <c r="BP8" s="137">
        <v>8842</v>
      </c>
      <c r="BQ8" s="137">
        <v>9169</v>
      </c>
      <c r="BR8" s="139">
        <v>8361</v>
      </c>
      <c r="BS8" s="137">
        <v>4863</v>
      </c>
      <c r="BT8" s="137">
        <v>14293</v>
      </c>
      <c r="BU8" s="137">
        <v>7453</v>
      </c>
      <c r="BV8" s="137">
        <v>21676</v>
      </c>
      <c r="BW8" s="137">
        <v>9872</v>
      </c>
      <c r="BX8" s="137">
        <v>11786</v>
      </c>
      <c r="BY8" s="137">
        <v>8545</v>
      </c>
      <c r="BZ8" s="137">
        <v>12649</v>
      </c>
      <c r="CA8" s="137">
        <v>10242</v>
      </c>
      <c r="CB8" s="139">
        <v>11504</v>
      </c>
      <c r="CC8" s="137">
        <v>14326</v>
      </c>
      <c r="CD8" s="137">
        <v>9234</v>
      </c>
      <c r="CE8" s="137">
        <v>12318</v>
      </c>
      <c r="CF8" s="137">
        <v>3805</v>
      </c>
      <c r="CG8" s="141">
        <v>15438</v>
      </c>
      <c r="CH8" s="137">
        <v>16103</v>
      </c>
      <c r="CI8" s="137">
        <v>9758</v>
      </c>
      <c r="CJ8" s="137">
        <v>17079</v>
      </c>
      <c r="CK8" s="138">
        <v>11812</v>
      </c>
      <c r="CL8" s="140">
        <v>510143</v>
      </c>
    </row>
    <row r="9" spans="1:90">
      <c r="A9" s="80">
        <f>ROWS($A$3:A7)</f>
        <v>5</v>
      </c>
      <c r="B9" s="92" t="s">
        <v>0</v>
      </c>
      <c r="C9" s="203"/>
      <c r="D9" s="259" t="s">
        <v>1</v>
      </c>
      <c r="E9" s="435"/>
      <c r="F9" s="116">
        <v>530729</v>
      </c>
      <c r="G9" s="137">
        <v>251997</v>
      </c>
      <c r="H9" s="137">
        <v>371445</v>
      </c>
      <c r="I9" s="138">
        <v>475356</v>
      </c>
      <c r="J9" s="137"/>
      <c r="K9" s="116">
        <f t="shared" si="0"/>
        <v>70873</v>
      </c>
      <c r="L9" s="137">
        <f t="shared" si="1"/>
        <v>36168</v>
      </c>
      <c r="M9" s="137">
        <f t="shared" si="2"/>
        <v>75357</v>
      </c>
      <c r="N9" s="137">
        <f t="shared" si="3"/>
        <v>32217</v>
      </c>
      <c r="O9" s="137">
        <f t="shared" si="4"/>
        <v>27198</v>
      </c>
      <c r="P9" s="137">
        <f>'2012'!AZ9+'2012'!BA9</f>
        <v>65735</v>
      </c>
      <c r="Q9" s="137">
        <f>'2012'!AU9</f>
        <v>25714</v>
      </c>
      <c r="R9" s="137">
        <f t="shared" ref="R9:R16" si="30">AT9+AX9</f>
        <v>42745</v>
      </c>
      <c r="S9" s="137">
        <f t="shared" si="5"/>
        <v>28597</v>
      </c>
      <c r="T9" s="137">
        <f t="shared" si="6"/>
        <v>44284</v>
      </c>
      <c r="U9" s="139">
        <f t="shared" si="6"/>
        <v>81842</v>
      </c>
      <c r="V9" s="137">
        <f t="shared" si="7"/>
        <v>25898</v>
      </c>
      <c r="W9" s="137">
        <f t="shared" si="8"/>
        <v>22965</v>
      </c>
      <c r="X9" s="137">
        <f t="shared" si="9"/>
        <v>52482</v>
      </c>
      <c r="Y9" s="137">
        <f t="shared" si="10"/>
        <v>51045</v>
      </c>
      <c r="Z9" s="137">
        <f t="shared" si="11"/>
        <v>51750</v>
      </c>
      <c r="AA9" s="137">
        <f t="shared" si="12"/>
        <v>27072</v>
      </c>
      <c r="AB9" s="139">
        <f t="shared" si="13"/>
        <v>20787</v>
      </c>
      <c r="AC9" s="137">
        <f t="shared" si="14"/>
        <v>42624</v>
      </c>
      <c r="AD9" s="137">
        <f t="shared" si="15"/>
        <v>27579</v>
      </c>
      <c r="AE9" s="137">
        <f t="shared" si="16"/>
        <v>58428</v>
      </c>
      <c r="AF9" s="137">
        <f t="shared" si="17"/>
        <v>27608</v>
      </c>
      <c r="AG9" s="137">
        <f t="shared" si="18"/>
        <v>70774</v>
      </c>
      <c r="AH9" s="137">
        <f t="shared" si="19"/>
        <v>40300</v>
      </c>
      <c r="AI9" s="137">
        <f t="shared" si="20"/>
        <v>32828</v>
      </c>
      <c r="AJ9" s="137">
        <f t="shared" si="21"/>
        <v>27299</v>
      </c>
      <c r="AK9" s="139">
        <f t="shared" si="22"/>
        <v>44006</v>
      </c>
      <c r="AL9" s="137">
        <f t="shared" si="23"/>
        <v>40887</v>
      </c>
      <c r="AM9" s="137">
        <f t="shared" si="24"/>
        <v>82209</v>
      </c>
      <c r="AN9" s="137">
        <f t="shared" si="25"/>
        <v>96224</v>
      </c>
      <c r="AO9" s="137">
        <f t="shared" si="26"/>
        <v>52467</v>
      </c>
      <c r="AP9" s="137">
        <f t="shared" si="26"/>
        <v>23849</v>
      </c>
      <c r="AQ9" s="137">
        <f t="shared" si="27"/>
        <v>59713</v>
      </c>
      <c r="AR9" s="137">
        <f t="shared" si="28"/>
        <v>36992</v>
      </c>
      <c r="AS9" s="138">
        <f t="shared" si="29"/>
        <v>83016</v>
      </c>
      <c r="AT9" s="137">
        <v>4757</v>
      </c>
      <c r="AU9" s="137">
        <v>25714</v>
      </c>
      <c r="AV9" s="137">
        <v>28597</v>
      </c>
      <c r="AW9" s="137">
        <v>32217</v>
      </c>
      <c r="AX9" s="137">
        <v>37988</v>
      </c>
      <c r="AY9" s="137">
        <v>36168</v>
      </c>
      <c r="AZ9" s="137">
        <v>4737</v>
      </c>
      <c r="BA9" s="137">
        <v>60998</v>
      </c>
      <c r="BB9" s="137">
        <v>44284</v>
      </c>
      <c r="BC9" s="137">
        <v>81842</v>
      </c>
      <c r="BD9" s="137">
        <v>75357</v>
      </c>
      <c r="BE9" s="137">
        <v>27198</v>
      </c>
      <c r="BF9" s="139">
        <v>70873</v>
      </c>
      <c r="BG9" s="137">
        <v>3122</v>
      </c>
      <c r="BH9" s="137">
        <v>3940</v>
      </c>
      <c r="BI9" s="137">
        <v>48542</v>
      </c>
      <c r="BJ9" s="137">
        <v>22776</v>
      </c>
      <c r="BK9" s="137">
        <v>2870</v>
      </c>
      <c r="BL9" s="137">
        <v>3469</v>
      </c>
      <c r="BM9" s="137">
        <v>51750</v>
      </c>
      <c r="BN9" s="137">
        <v>44706</v>
      </c>
      <c r="BO9" s="137">
        <v>1662</v>
      </c>
      <c r="BP9" s="137">
        <v>20787</v>
      </c>
      <c r="BQ9" s="137">
        <v>25410</v>
      </c>
      <c r="BR9" s="139">
        <v>22965</v>
      </c>
      <c r="BS9" s="137">
        <v>3614</v>
      </c>
      <c r="BT9" s="137">
        <v>54814</v>
      </c>
      <c r="BU9" s="137">
        <v>27579</v>
      </c>
      <c r="BV9" s="137">
        <v>70774</v>
      </c>
      <c r="BW9" s="137">
        <v>32828</v>
      </c>
      <c r="BX9" s="137">
        <v>42624</v>
      </c>
      <c r="BY9" s="137">
        <v>27299</v>
      </c>
      <c r="BZ9" s="137">
        <v>40300</v>
      </c>
      <c r="CA9" s="137">
        <v>27608</v>
      </c>
      <c r="CB9" s="139">
        <v>44006</v>
      </c>
      <c r="CC9" s="137">
        <v>52467</v>
      </c>
      <c r="CD9" s="137">
        <v>23849</v>
      </c>
      <c r="CE9" s="137">
        <v>40887</v>
      </c>
      <c r="CF9" s="137">
        <v>5231</v>
      </c>
      <c r="CG9" s="141">
        <v>77785</v>
      </c>
      <c r="CH9" s="137">
        <v>82209</v>
      </c>
      <c r="CI9" s="137">
        <v>36992</v>
      </c>
      <c r="CJ9" s="137">
        <v>96224</v>
      </c>
      <c r="CK9" s="138">
        <v>59713</v>
      </c>
      <c r="CL9" s="140">
        <v>1629528</v>
      </c>
    </row>
    <row r="10" spans="1:90">
      <c r="A10" s="80">
        <f>ROWS($A$3:A8)</f>
        <v>6</v>
      </c>
      <c r="B10" s="92" t="s">
        <v>202</v>
      </c>
      <c r="C10" s="203"/>
      <c r="D10" s="259" t="s">
        <v>1</v>
      </c>
      <c r="E10" s="435"/>
      <c r="F10" s="116">
        <v>335252</v>
      </c>
      <c r="G10" s="137">
        <v>310021</v>
      </c>
      <c r="H10" s="137">
        <v>432842</v>
      </c>
      <c r="I10" s="138">
        <v>291878</v>
      </c>
      <c r="J10" s="137"/>
      <c r="K10" s="116">
        <f t="shared" si="0"/>
        <v>59311</v>
      </c>
      <c r="L10" s="137">
        <f t="shared" si="1"/>
        <v>33686</v>
      </c>
      <c r="M10" s="137">
        <f t="shared" si="2"/>
        <v>38624</v>
      </c>
      <c r="N10" s="137">
        <f t="shared" si="3"/>
        <v>20660</v>
      </c>
      <c r="O10" s="137">
        <f t="shared" si="4"/>
        <v>26977</v>
      </c>
      <c r="P10" s="137">
        <f>'2012'!AZ10+'2012'!BA10</f>
        <v>29558</v>
      </c>
      <c r="Q10" s="137">
        <f>'2012'!AU10</f>
        <v>21361</v>
      </c>
      <c r="R10" s="137">
        <f t="shared" si="30"/>
        <v>17459</v>
      </c>
      <c r="S10" s="137">
        <f t="shared" si="5"/>
        <v>18692</v>
      </c>
      <c r="T10" s="137">
        <f t="shared" si="6"/>
        <v>21896</v>
      </c>
      <c r="U10" s="139">
        <f t="shared" si="6"/>
        <v>47029</v>
      </c>
      <c r="V10" s="137">
        <f t="shared" si="7"/>
        <v>46159</v>
      </c>
      <c r="W10" s="137">
        <f t="shared" si="8"/>
        <v>54658</v>
      </c>
      <c r="X10" s="137">
        <f t="shared" si="9"/>
        <v>41307</v>
      </c>
      <c r="Y10" s="137">
        <f t="shared" si="10"/>
        <v>44187</v>
      </c>
      <c r="Z10" s="137">
        <f t="shared" si="11"/>
        <v>47430</v>
      </c>
      <c r="AA10" s="137">
        <f t="shared" si="12"/>
        <v>26988</v>
      </c>
      <c r="AB10" s="139">
        <f t="shared" si="13"/>
        <v>49291</v>
      </c>
      <c r="AC10" s="137">
        <f t="shared" si="14"/>
        <v>46949</v>
      </c>
      <c r="AD10" s="137">
        <f t="shared" si="15"/>
        <v>31123</v>
      </c>
      <c r="AE10" s="137">
        <f t="shared" si="16"/>
        <v>72122</v>
      </c>
      <c r="AF10" s="137">
        <f t="shared" si="17"/>
        <v>41610</v>
      </c>
      <c r="AG10" s="137">
        <f t="shared" si="18"/>
        <v>88019</v>
      </c>
      <c r="AH10" s="137">
        <f t="shared" si="19"/>
        <v>27340</v>
      </c>
      <c r="AI10" s="137">
        <f t="shared" si="20"/>
        <v>33102</v>
      </c>
      <c r="AJ10" s="137">
        <f t="shared" si="21"/>
        <v>36737</v>
      </c>
      <c r="AK10" s="139">
        <f t="shared" si="22"/>
        <v>55840</v>
      </c>
      <c r="AL10" s="137">
        <f t="shared" si="23"/>
        <v>37405</v>
      </c>
      <c r="AM10" s="137">
        <f t="shared" si="24"/>
        <v>40168</v>
      </c>
      <c r="AN10" s="137">
        <f t="shared" si="25"/>
        <v>46933</v>
      </c>
      <c r="AO10" s="137">
        <f t="shared" si="26"/>
        <v>41404</v>
      </c>
      <c r="AP10" s="137">
        <f t="shared" si="26"/>
        <v>17995</v>
      </c>
      <c r="AQ10" s="137">
        <f t="shared" si="27"/>
        <v>46785</v>
      </c>
      <c r="AR10" s="137">
        <f t="shared" si="28"/>
        <v>18643</v>
      </c>
      <c r="AS10" s="138">
        <f t="shared" si="29"/>
        <v>42547</v>
      </c>
      <c r="AT10" s="141">
        <v>4970</v>
      </c>
      <c r="AU10" s="137">
        <v>21361</v>
      </c>
      <c r="AV10" s="137">
        <v>18692</v>
      </c>
      <c r="AW10" s="137">
        <v>20660</v>
      </c>
      <c r="AX10" s="137">
        <v>12489</v>
      </c>
      <c r="AY10" s="137">
        <v>33686</v>
      </c>
      <c r="AZ10" s="137">
        <v>1420</v>
      </c>
      <c r="BA10" s="137">
        <v>28138</v>
      </c>
      <c r="BB10" s="137">
        <v>21896</v>
      </c>
      <c r="BC10" s="137">
        <v>47029</v>
      </c>
      <c r="BD10" s="137">
        <v>38624</v>
      </c>
      <c r="BE10" s="137">
        <v>26977</v>
      </c>
      <c r="BF10" s="139">
        <v>59311</v>
      </c>
      <c r="BG10" s="137">
        <v>8631</v>
      </c>
      <c r="BH10" s="137">
        <v>4530</v>
      </c>
      <c r="BI10" s="137">
        <v>36777</v>
      </c>
      <c r="BJ10" s="137">
        <v>37528</v>
      </c>
      <c r="BK10" s="137">
        <v>4430</v>
      </c>
      <c r="BL10" s="137">
        <v>1811</v>
      </c>
      <c r="BM10" s="137">
        <v>47430</v>
      </c>
      <c r="BN10" s="137">
        <v>37946</v>
      </c>
      <c r="BO10" s="137">
        <v>5021</v>
      </c>
      <c r="BP10" s="137">
        <v>49291</v>
      </c>
      <c r="BQ10" s="137">
        <v>21967</v>
      </c>
      <c r="BR10" s="139">
        <v>54658</v>
      </c>
      <c r="BS10" s="137">
        <v>6560</v>
      </c>
      <c r="BT10" s="137">
        <v>65562</v>
      </c>
      <c r="BU10" s="137">
        <v>31123</v>
      </c>
      <c r="BV10" s="137">
        <v>88019</v>
      </c>
      <c r="BW10" s="137">
        <v>33102</v>
      </c>
      <c r="BX10" s="137">
        <v>46949</v>
      </c>
      <c r="BY10" s="137">
        <v>36737</v>
      </c>
      <c r="BZ10" s="137">
        <v>27340</v>
      </c>
      <c r="CA10" s="137">
        <v>41610</v>
      </c>
      <c r="CB10" s="139">
        <v>55840</v>
      </c>
      <c r="CC10" s="137">
        <v>41404</v>
      </c>
      <c r="CD10" s="137">
        <v>17995</v>
      </c>
      <c r="CE10" s="137">
        <v>37405</v>
      </c>
      <c r="CF10" s="137">
        <v>2290</v>
      </c>
      <c r="CG10" s="141">
        <v>40257</v>
      </c>
      <c r="CH10" s="137">
        <v>40168</v>
      </c>
      <c r="CI10" s="137">
        <v>18643</v>
      </c>
      <c r="CJ10" s="137">
        <v>46933</v>
      </c>
      <c r="CK10" s="138">
        <v>46785</v>
      </c>
      <c r="CL10" s="140">
        <v>1369993</v>
      </c>
    </row>
    <row r="11" spans="1:90">
      <c r="A11" s="80">
        <f>ROWS($A$3:A9)</f>
        <v>7</v>
      </c>
      <c r="B11" s="92" t="s">
        <v>2</v>
      </c>
      <c r="C11" s="203"/>
      <c r="D11" s="259" t="s">
        <v>1</v>
      </c>
      <c r="E11" s="435"/>
      <c r="F11" s="116">
        <v>9005</v>
      </c>
      <c r="G11" s="137">
        <v>10190</v>
      </c>
      <c r="H11" s="137">
        <v>11783</v>
      </c>
      <c r="I11" s="138">
        <v>7997</v>
      </c>
      <c r="J11" s="137"/>
      <c r="K11" s="116">
        <f t="shared" si="0"/>
        <v>1157</v>
      </c>
      <c r="L11" s="137">
        <f t="shared" si="1"/>
        <v>542</v>
      </c>
      <c r="M11" s="137">
        <f t="shared" si="2"/>
        <v>1064</v>
      </c>
      <c r="N11" s="137">
        <f t="shared" si="3"/>
        <v>310</v>
      </c>
      <c r="O11" s="137">
        <f t="shared" si="4"/>
        <v>257</v>
      </c>
      <c r="P11" s="137">
        <f>'2012'!AZ11+'2012'!BA11</f>
        <v>1454</v>
      </c>
      <c r="Q11" s="137">
        <f>'2012'!AU11</f>
        <v>254</v>
      </c>
      <c r="R11" s="137">
        <f t="shared" si="30"/>
        <v>1180</v>
      </c>
      <c r="S11" s="137">
        <f t="shared" si="5"/>
        <v>613</v>
      </c>
      <c r="T11" s="137">
        <f t="shared" si="6"/>
        <v>823</v>
      </c>
      <c r="U11" s="139">
        <f t="shared" si="6"/>
        <v>1371</v>
      </c>
      <c r="V11" s="137">
        <f t="shared" si="7"/>
        <v>2377</v>
      </c>
      <c r="W11" s="137">
        <f t="shared" si="8"/>
        <v>515</v>
      </c>
      <c r="X11" s="137">
        <f t="shared" si="9"/>
        <v>3127</v>
      </c>
      <c r="Y11" s="137">
        <f t="shared" si="10"/>
        <v>2691</v>
      </c>
      <c r="Z11" s="137">
        <f t="shared" si="11"/>
        <v>759</v>
      </c>
      <c r="AA11" s="137">
        <f t="shared" si="12"/>
        <v>401</v>
      </c>
      <c r="AB11" s="139">
        <f t="shared" si="13"/>
        <v>321</v>
      </c>
      <c r="AC11" s="137">
        <f t="shared" si="14"/>
        <v>665</v>
      </c>
      <c r="AD11" s="137">
        <f t="shared" si="15"/>
        <v>980</v>
      </c>
      <c r="AE11" s="137">
        <f t="shared" si="16"/>
        <v>2238</v>
      </c>
      <c r="AF11" s="137">
        <f t="shared" si="17"/>
        <v>926</v>
      </c>
      <c r="AG11" s="137">
        <f t="shared" si="18"/>
        <v>3772</v>
      </c>
      <c r="AH11" s="137">
        <f t="shared" si="19"/>
        <v>979</v>
      </c>
      <c r="AI11" s="137">
        <f t="shared" si="20"/>
        <v>454</v>
      </c>
      <c r="AJ11" s="137">
        <f t="shared" si="21"/>
        <v>350</v>
      </c>
      <c r="AK11" s="139">
        <f t="shared" si="22"/>
        <v>1419</v>
      </c>
      <c r="AL11" s="137">
        <f t="shared" si="23"/>
        <v>375</v>
      </c>
      <c r="AM11" s="137">
        <f t="shared" si="24"/>
        <v>1521</v>
      </c>
      <c r="AN11" s="137">
        <f t="shared" si="25"/>
        <v>2189</v>
      </c>
      <c r="AO11" s="137">
        <f t="shared" si="26"/>
        <v>269</v>
      </c>
      <c r="AP11" s="137">
        <f t="shared" si="26"/>
        <v>478</v>
      </c>
      <c r="AQ11" s="137">
        <f t="shared" si="27"/>
        <v>1142</v>
      </c>
      <c r="AR11" s="137">
        <f t="shared" si="28"/>
        <v>710</v>
      </c>
      <c r="AS11" s="138">
        <f t="shared" si="29"/>
        <v>1312</v>
      </c>
      <c r="AT11" s="141">
        <v>272</v>
      </c>
      <c r="AU11" s="137">
        <v>254</v>
      </c>
      <c r="AV11" s="137">
        <v>613</v>
      </c>
      <c r="AW11" s="137">
        <v>310</v>
      </c>
      <c r="AX11" s="137">
        <v>908</v>
      </c>
      <c r="AY11" s="137">
        <v>542</v>
      </c>
      <c r="AZ11" s="137">
        <v>217</v>
      </c>
      <c r="BA11" s="137">
        <v>1237</v>
      </c>
      <c r="BB11" s="137">
        <v>823</v>
      </c>
      <c r="BC11" s="137">
        <v>1371</v>
      </c>
      <c r="BD11" s="137">
        <v>1064</v>
      </c>
      <c r="BE11" s="137">
        <v>257</v>
      </c>
      <c r="BF11" s="139">
        <v>1157</v>
      </c>
      <c r="BG11" s="137">
        <v>137</v>
      </c>
      <c r="BH11" s="137">
        <v>705</v>
      </c>
      <c r="BI11" s="137">
        <v>2422</v>
      </c>
      <c r="BJ11" s="137">
        <v>2240</v>
      </c>
      <c r="BK11" s="137">
        <v>252</v>
      </c>
      <c r="BL11" s="137">
        <v>761</v>
      </c>
      <c r="BM11" s="137">
        <v>759</v>
      </c>
      <c r="BN11" s="137">
        <v>1678</v>
      </c>
      <c r="BO11" s="137">
        <v>73</v>
      </c>
      <c r="BP11" s="137">
        <v>321</v>
      </c>
      <c r="BQ11" s="137">
        <v>328</v>
      </c>
      <c r="BR11" s="139">
        <v>515</v>
      </c>
      <c r="BS11" s="137">
        <v>207</v>
      </c>
      <c r="BT11" s="137">
        <v>2031</v>
      </c>
      <c r="BU11" s="137">
        <v>980</v>
      </c>
      <c r="BV11" s="137">
        <v>3772</v>
      </c>
      <c r="BW11" s="137">
        <v>454</v>
      </c>
      <c r="BX11" s="137">
        <v>665</v>
      </c>
      <c r="BY11" s="137">
        <v>350</v>
      </c>
      <c r="BZ11" s="137">
        <v>979</v>
      </c>
      <c r="CA11" s="137">
        <v>926</v>
      </c>
      <c r="CB11" s="139">
        <v>1419</v>
      </c>
      <c r="CC11" s="137">
        <v>269</v>
      </c>
      <c r="CD11" s="137">
        <v>478</v>
      </c>
      <c r="CE11" s="137">
        <v>375</v>
      </c>
      <c r="CF11" s="137">
        <v>172</v>
      </c>
      <c r="CG11" s="141">
        <v>1140</v>
      </c>
      <c r="CH11" s="137">
        <v>1521</v>
      </c>
      <c r="CI11" s="137">
        <v>710</v>
      </c>
      <c r="CJ11" s="137">
        <v>2189</v>
      </c>
      <c r="CK11" s="138">
        <v>1142</v>
      </c>
      <c r="CL11" s="140">
        <v>38975</v>
      </c>
    </row>
    <row r="12" spans="1:90">
      <c r="A12" s="80">
        <f>ROWS($A$3:A10)</f>
        <v>8</v>
      </c>
      <c r="B12" s="92" t="s">
        <v>283</v>
      </c>
      <c r="C12" s="203"/>
      <c r="D12" s="259" t="s">
        <v>1</v>
      </c>
      <c r="E12" s="435"/>
      <c r="F12" s="116">
        <v>7180</v>
      </c>
      <c r="G12" s="137">
        <v>5167</v>
      </c>
      <c r="H12" s="137">
        <v>5849</v>
      </c>
      <c r="I12" s="138">
        <v>5115</v>
      </c>
      <c r="J12" s="137"/>
      <c r="K12" s="116">
        <f t="shared" si="0"/>
        <v>457</v>
      </c>
      <c r="L12" s="137">
        <f t="shared" si="1"/>
        <v>452</v>
      </c>
      <c r="M12" s="137">
        <f t="shared" si="2"/>
        <v>1242</v>
      </c>
      <c r="N12" s="137">
        <f t="shared" si="3"/>
        <v>500</v>
      </c>
      <c r="O12" s="137">
        <f t="shared" si="4"/>
        <v>315</v>
      </c>
      <c r="P12" s="137">
        <f>'2012'!AZ12+'2012'!BA12</f>
        <v>709</v>
      </c>
      <c r="Q12" s="137">
        <f>'2012'!AU12</f>
        <v>585</v>
      </c>
      <c r="R12" s="137">
        <f t="shared" si="30"/>
        <v>1063</v>
      </c>
      <c r="S12" s="137">
        <f t="shared" si="5"/>
        <v>594</v>
      </c>
      <c r="T12" s="137">
        <f t="shared" si="6"/>
        <v>507</v>
      </c>
      <c r="U12" s="139">
        <f t="shared" si="6"/>
        <v>755</v>
      </c>
      <c r="V12" s="137">
        <f t="shared" si="7"/>
        <v>648</v>
      </c>
      <c r="W12" s="137">
        <f t="shared" si="8"/>
        <v>568</v>
      </c>
      <c r="X12" s="137">
        <f t="shared" si="9"/>
        <v>1097</v>
      </c>
      <c r="Y12" s="137">
        <f t="shared" si="10"/>
        <v>1100</v>
      </c>
      <c r="Z12" s="137">
        <f t="shared" si="11"/>
        <v>657</v>
      </c>
      <c r="AA12" s="137">
        <f t="shared" si="12"/>
        <v>546</v>
      </c>
      <c r="AB12" s="139">
        <f t="shared" si="13"/>
        <v>551</v>
      </c>
      <c r="AC12" s="137">
        <f t="shared" si="14"/>
        <v>489</v>
      </c>
      <c r="AD12" s="137">
        <f t="shared" si="15"/>
        <v>841</v>
      </c>
      <c r="AE12" s="137">
        <f t="shared" si="16"/>
        <v>1153</v>
      </c>
      <c r="AF12" s="137">
        <f t="shared" si="17"/>
        <v>234</v>
      </c>
      <c r="AG12" s="137">
        <f t="shared" si="18"/>
        <v>1434</v>
      </c>
      <c r="AH12" s="137">
        <f t="shared" si="19"/>
        <v>425</v>
      </c>
      <c r="AI12" s="137">
        <f t="shared" si="20"/>
        <v>515</v>
      </c>
      <c r="AJ12" s="137">
        <f t="shared" si="21"/>
        <v>480</v>
      </c>
      <c r="AK12" s="139">
        <f t="shared" si="22"/>
        <v>278</v>
      </c>
      <c r="AL12" s="137">
        <f t="shared" si="23"/>
        <v>737</v>
      </c>
      <c r="AM12" s="137">
        <f t="shared" si="24"/>
        <v>533</v>
      </c>
      <c r="AN12" s="137">
        <f t="shared" si="25"/>
        <v>557</v>
      </c>
      <c r="AO12" s="137">
        <f t="shared" si="26"/>
        <v>800</v>
      </c>
      <c r="AP12" s="137">
        <f t="shared" si="26"/>
        <v>383</v>
      </c>
      <c r="AQ12" s="137">
        <f t="shared" si="27"/>
        <v>556</v>
      </c>
      <c r="AR12" s="137">
        <f t="shared" si="28"/>
        <v>352</v>
      </c>
      <c r="AS12" s="138">
        <f t="shared" si="29"/>
        <v>1197</v>
      </c>
      <c r="AT12" s="141">
        <v>267</v>
      </c>
      <c r="AU12" s="137">
        <v>585</v>
      </c>
      <c r="AV12" s="137">
        <v>594</v>
      </c>
      <c r="AW12" s="137">
        <v>500</v>
      </c>
      <c r="AX12" s="137">
        <v>796</v>
      </c>
      <c r="AY12" s="137">
        <v>452</v>
      </c>
      <c r="AZ12" s="137">
        <v>92</v>
      </c>
      <c r="BA12" s="137">
        <v>617</v>
      </c>
      <c r="BB12" s="137">
        <v>507</v>
      </c>
      <c r="BC12" s="137">
        <v>755</v>
      </c>
      <c r="BD12" s="137">
        <v>1242</v>
      </c>
      <c r="BE12" s="137">
        <v>315</v>
      </c>
      <c r="BF12" s="139">
        <v>457</v>
      </c>
      <c r="BG12" s="137">
        <v>50</v>
      </c>
      <c r="BH12" s="137">
        <v>178</v>
      </c>
      <c r="BI12" s="137">
        <v>919</v>
      </c>
      <c r="BJ12" s="137">
        <v>598</v>
      </c>
      <c r="BK12" s="137">
        <v>107</v>
      </c>
      <c r="BL12" s="137">
        <v>104</v>
      </c>
      <c r="BM12" s="137">
        <v>657</v>
      </c>
      <c r="BN12" s="137">
        <v>889</v>
      </c>
      <c r="BO12" s="137">
        <v>73</v>
      </c>
      <c r="BP12" s="137">
        <v>551</v>
      </c>
      <c r="BQ12" s="137">
        <v>473</v>
      </c>
      <c r="BR12" s="139">
        <v>568</v>
      </c>
      <c r="BS12" s="137">
        <v>118</v>
      </c>
      <c r="BT12" s="137">
        <v>1035</v>
      </c>
      <c r="BU12" s="137">
        <v>841</v>
      </c>
      <c r="BV12" s="137">
        <v>1434</v>
      </c>
      <c r="BW12" s="137">
        <v>515</v>
      </c>
      <c r="BX12" s="137">
        <v>489</v>
      </c>
      <c r="BY12" s="137">
        <v>480</v>
      </c>
      <c r="BZ12" s="137">
        <v>425</v>
      </c>
      <c r="CA12" s="137">
        <v>234</v>
      </c>
      <c r="CB12" s="139">
        <v>278</v>
      </c>
      <c r="CC12" s="137">
        <v>800</v>
      </c>
      <c r="CD12" s="137">
        <v>383</v>
      </c>
      <c r="CE12" s="137">
        <v>737</v>
      </c>
      <c r="CF12" s="137">
        <v>356</v>
      </c>
      <c r="CG12" s="141">
        <v>841</v>
      </c>
      <c r="CH12" s="137">
        <v>533</v>
      </c>
      <c r="CI12" s="137">
        <v>352</v>
      </c>
      <c r="CJ12" s="137">
        <v>557</v>
      </c>
      <c r="CK12" s="138">
        <v>556</v>
      </c>
      <c r="CL12" s="140">
        <v>23310</v>
      </c>
    </row>
    <row r="13" spans="1:90">
      <c r="A13" s="80">
        <f>ROWS($A$3:A11)</f>
        <v>9</v>
      </c>
      <c r="B13" s="92" t="s">
        <v>65</v>
      </c>
      <c r="C13" s="202">
        <v>2012</v>
      </c>
      <c r="D13" s="259" t="s">
        <v>11</v>
      </c>
      <c r="E13" s="436">
        <v>41487</v>
      </c>
      <c r="F13" s="116">
        <v>3947568</v>
      </c>
      <c r="G13" s="137">
        <v>2686573</v>
      </c>
      <c r="H13" s="137">
        <v>2162340</v>
      </c>
      <c r="I13" s="138">
        <v>1772630</v>
      </c>
      <c r="J13" s="137"/>
      <c r="K13" s="116">
        <f t="shared" si="0"/>
        <v>306484</v>
      </c>
      <c r="L13" s="137">
        <f t="shared" si="1"/>
        <v>408827</v>
      </c>
      <c r="M13" s="137">
        <f t="shared" si="2"/>
        <v>129842</v>
      </c>
      <c r="N13" s="137">
        <f t="shared" si="3"/>
        <v>247835</v>
      </c>
      <c r="O13" s="137">
        <f t="shared" si="4"/>
        <v>127608</v>
      </c>
      <c r="P13" s="137">
        <f>'2012'!AZ13+'2012'!BA13</f>
        <v>442074</v>
      </c>
      <c r="Q13" s="137">
        <f>'2012'!AU13</f>
        <v>367208</v>
      </c>
      <c r="R13" s="137">
        <f t="shared" si="30"/>
        <v>1114687</v>
      </c>
      <c r="S13" s="137">
        <f t="shared" si="5"/>
        <v>508577</v>
      </c>
      <c r="T13" s="137">
        <f t="shared" si="6"/>
        <v>107498</v>
      </c>
      <c r="U13" s="139">
        <f t="shared" si="6"/>
        <v>186928</v>
      </c>
      <c r="V13" s="137">
        <f t="shared" si="7"/>
        <v>275057</v>
      </c>
      <c r="W13" s="137">
        <f t="shared" si="8"/>
        <v>115055</v>
      </c>
      <c r="X13" s="137">
        <f t="shared" si="9"/>
        <v>723139</v>
      </c>
      <c r="Y13" s="137">
        <f t="shared" si="10"/>
        <v>972249</v>
      </c>
      <c r="Z13" s="137">
        <f t="shared" si="11"/>
        <v>141847</v>
      </c>
      <c r="AA13" s="137">
        <f t="shared" si="12"/>
        <v>308517</v>
      </c>
      <c r="AB13" s="139">
        <f t="shared" si="13"/>
        <v>150709</v>
      </c>
      <c r="AC13" s="137">
        <f t="shared" si="14"/>
        <v>204585</v>
      </c>
      <c r="AD13" s="137">
        <f t="shared" si="15"/>
        <v>157399</v>
      </c>
      <c r="AE13" s="137">
        <f t="shared" si="16"/>
        <v>465754</v>
      </c>
      <c r="AF13" s="137">
        <f t="shared" si="17"/>
        <v>220606</v>
      </c>
      <c r="AG13" s="137">
        <f t="shared" si="18"/>
        <v>411700</v>
      </c>
      <c r="AH13" s="137">
        <f t="shared" si="19"/>
        <v>270568</v>
      </c>
      <c r="AI13" s="137">
        <f t="shared" si="20"/>
        <v>135553</v>
      </c>
      <c r="AJ13" s="137">
        <f t="shared" si="21"/>
        <v>132476</v>
      </c>
      <c r="AK13" s="139">
        <f t="shared" si="22"/>
        <v>163699</v>
      </c>
      <c r="AL13" s="137">
        <f t="shared" si="23"/>
        <v>184658</v>
      </c>
      <c r="AM13" s="137">
        <f t="shared" si="24"/>
        <v>187747</v>
      </c>
      <c r="AN13" s="137">
        <f t="shared" si="25"/>
        <v>272425</v>
      </c>
      <c r="AO13" s="137">
        <f t="shared" si="26"/>
        <v>274691</v>
      </c>
      <c r="AP13" s="137">
        <f t="shared" si="26"/>
        <v>214894</v>
      </c>
      <c r="AQ13" s="137">
        <f t="shared" si="27"/>
        <v>127272</v>
      </c>
      <c r="AR13" s="137">
        <f t="shared" si="28"/>
        <v>205843</v>
      </c>
      <c r="AS13" s="138">
        <f t="shared" si="29"/>
        <v>305100</v>
      </c>
      <c r="AT13" s="141">
        <v>597939</v>
      </c>
      <c r="AU13" s="141">
        <v>367208</v>
      </c>
      <c r="AV13" s="141">
        <v>508577</v>
      </c>
      <c r="AW13" s="141">
        <v>247835</v>
      </c>
      <c r="AX13" s="141">
        <v>516748</v>
      </c>
      <c r="AY13" s="137">
        <v>408827</v>
      </c>
      <c r="AZ13" s="137">
        <v>117531</v>
      </c>
      <c r="BA13" s="137">
        <v>324543</v>
      </c>
      <c r="BB13" s="137">
        <v>107498</v>
      </c>
      <c r="BC13" s="137">
        <v>186928</v>
      </c>
      <c r="BD13" s="137">
        <v>129842</v>
      </c>
      <c r="BE13" s="137">
        <v>127608</v>
      </c>
      <c r="BF13" s="139">
        <v>306484</v>
      </c>
      <c r="BG13" s="137">
        <v>52585</v>
      </c>
      <c r="BH13" s="137">
        <v>296033</v>
      </c>
      <c r="BI13" s="137">
        <v>427106</v>
      </c>
      <c r="BJ13" s="137">
        <v>222472</v>
      </c>
      <c r="BK13" s="137">
        <v>150335</v>
      </c>
      <c r="BL13" s="137">
        <v>294627</v>
      </c>
      <c r="BM13" s="137">
        <v>141847</v>
      </c>
      <c r="BN13" s="137">
        <v>527287</v>
      </c>
      <c r="BO13" s="137">
        <v>116425</v>
      </c>
      <c r="BP13" s="137">
        <v>150709</v>
      </c>
      <c r="BQ13" s="137">
        <v>192092</v>
      </c>
      <c r="BR13" s="139">
        <v>115055</v>
      </c>
      <c r="BS13" s="137">
        <v>218043</v>
      </c>
      <c r="BT13" s="137">
        <v>247711</v>
      </c>
      <c r="BU13" s="137">
        <v>157399</v>
      </c>
      <c r="BV13" s="137">
        <v>411700</v>
      </c>
      <c r="BW13" s="137">
        <v>135553</v>
      </c>
      <c r="BX13" s="137">
        <v>204585</v>
      </c>
      <c r="BY13" s="137">
        <v>132476</v>
      </c>
      <c r="BZ13" s="137">
        <v>270568</v>
      </c>
      <c r="CA13" s="137">
        <v>220606</v>
      </c>
      <c r="CB13" s="139">
        <v>163699</v>
      </c>
      <c r="CC13" s="137">
        <v>274691</v>
      </c>
      <c r="CD13" s="137">
        <v>214894</v>
      </c>
      <c r="CE13" s="137">
        <v>184658</v>
      </c>
      <c r="CF13" s="137">
        <v>117977</v>
      </c>
      <c r="CG13" s="137">
        <v>187123</v>
      </c>
      <c r="CH13" s="137">
        <v>187747</v>
      </c>
      <c r="CI13" s="137">
        <v>205843</v>
      </c>
      <c r="CJ13" s="137">
        <v>272425</v>
      </c>
      <c r="CK13" s="138">
        <v>127272</v>
      </c>
      <c r="CL13" s="140">
        <v>10569111</v>
      </c>
    </row>
    <row r="14" spans="1:90">
      <c r="A14" s="80">
        <f>ROWS($A$3:A12)</f>
        <v>10</v>
      </c>
      <c r="B14" s="54" t="s">
        <v>61</v>
      </c>
      <c r="C14" s="252"/>
      <c r="D14" s="259" t="s">
        <v>12</v>
      </c>
      <c r="E14" s="435"/>
      <c r="F14" s="142">
        <f>F13/F7*100</f>
        <v>373.90628966322021</v>
      </c>
      <c r="G14" s="143">
        <f>G13/G7*100</f>
        <v>388.28976483561905</v>
      </c>
      <c r="H14" s="143">
        <f>H13/H7*100</f>
        <v>231.0928051879765</v>
      </c>
      <c r="I14" s="144">
        <f>I13/I7*100</f>
        <v>198.77636747550659</v>
      </c>
      <c r="J14" s="141"/>
      <c r="K14" s="145">
        <f t="shared" si="0"/>
        <v>202.75872106485312</v>
      </c>
      <c r="L14" s="146">
        <f t="shared" si="1"/>
        <v>476.41060899153985</v>
      </c>
      <c r="M14" s="146">
        <f t="shared" si="2"/>
        <v>99.540788555745507</v>
      </c>
      <c r="N14" s="146">
        <f t="shared" si="3"/>
        <v>385.81947817423253</v>
      </c>
      <c r="O14" s="146">
        <f t="shared" si="4"/>
        <v>203.48258706467664</v>
      </c>
      <c r="P14" s="143">
        <f>P13/P7*100</f>
        <v>368.45333844525385</v>
      </c>
      <c r="Q14" s="146">
        <f>'2012'!AU14</f>
        <v>594.3608170664595</v>
      </c>
      <c r="R14" s="143">
        <f>R13/R7*100</f>
        <v>1246.616415223056</v>
      </c>
      <c r="S14" s="146">
        <f t="shared" si="5"/>
        <v>792.81817048076323</v>
      </c>
      <c r="T14" s="146">
        <f t="shared" si="6"/>
        <v>138.3928111643236</v>
      </c>
      <c r="U14" s="147">
        <f t="shared" si="6"/>
        <v>125.9622641509434</v>
      </c>
      <c r="V14" s="143">
        <f>V13/V7*100</f>
        <v>312.93460453262946</v>
      </c>
      <c r="W14" s="146">
        <f t="shared" si="8"/>
        <v>132.14535932098269</v>
      </c>
      <c r="X14" s="143">
        <f>X13/X7*100</f>
        <v>574.64955499046403</v>
      </c>
      <c r="Y14" s="143">
        <f>Y13/Y7*100</f>
        <v>739.07183580387687</v>
      </c>
      <c r="Z14" s="146">
        <f t="shared" si="11"/>
        <v>125.94628190899002</v>
      </c>
      <c r="AA14" s="143">
        <f>AA13/AA7*100</f>
        <v>459.32140304907102</v>
      </c>
      <c r="AB14" s="147">
        <f t="shared" si="13"/>
        <v>188.97443292247118</v>
      </c>
      <c r="AC14" s="146">
        <f t="shared" si="14"/>
        <v>199.54450578389873</v>
      </c>
      <c r="AD14" s="146">
        <f t="shared" si="15"/>
        <v>231.50997234806141</v>
      </c>
      <c r="AE14" s="143">
        <f>AE13/AE7*100</f>
        <v>304.13807064170459</v>
      </c>
      <c r="AF14" s="146">
        <f t="shared" si="17"/>
        <v>273.44348451231457</v>
      </c>
      <c r="AG14" s="146">
        <f t="shared" si="18"/>
        <v>222.44555027852974</v>
      </c>
      <c r="AH14" s="146">
        <f t="shared" si="19"/>
        <v>330.77581358957434</v>
      </c>
      <c r="AI14" s="146">
        <f t="shared" si="20"/>
        <v>176.1732711227792</v>
      </c>
      <c r="AJ14" s="146">
        <f t="shared" si="21"/>
        <v>180.39899230612107</v>
      </c>
      <c r="AK14" s="147">
        <f t="shared" si="22"/>
        <v>144.71909119038148</v>
      </c>
      <c r="AL14" s="146">
        <f t="shared" si="23"/>
        <v>201.21607043619446</v>
      </c>
      <c r="AM14" s="146">
        <f t="shared" si="24"/>
        <v>133.17751374357155</v>
      </c>
      <c r="AN14" s="146">
        <f t="shared" si="25"/>
        <v>166.94345033826846</v>
      </c>
      <c r="AO14" s="146">
        <f t="shared" si="26"/>
        <v>251.38278790541034</v>
      </c>
      <c r="AP14" s="146">
        <f t="shared" si="26"/>
        <v>413.90242493114278</v>
      </c>
      <c r="AQ14" s="146">
        <f t="shared" si="27"/>
        <v>105.67779862829434</v>
      </c>
      <c r="AR14" s="146">
        <f t="shared" si="28"/>
        <v>309.63146811070999</v>
      </c>
      <c r="AS14" s="144">
        <f>AS13/AS7*100</f>
        <v>206.517030378513</v>
      </c>
      <c r="AT14" s="143">
        <f t="shared" ref="AT14:CK14" si="31">AT13/AT7*100</f>
        <v>2883.7183506149026</v>
      </c>
      <c r="AU14" s="143">
        <f t="shared" si="31"/>
        <v>594.3608170664595</v>
      </c>
      <c r="AV14" s="143">
        <f t="shared" si="31"/>
        <v>792.81817048076323</v>
      </c>
      <c r="AW14" s="143">
        <f t="shared" si="31"/>
        <v>385.81947817423253</v>
      </c>
      <c r="AX14" s="143">
        <f t="shared" si="31"/>
        <v>752.3776244139658</v>
      </c>
      <c r="AY14" s="143">
        <f t="shared" si="31"/>
        <v>476.41060899153985</v>
      </c>
      <c r="AZ14" s="143">
        <f t="shared" si="31"/>
        <v>1176.7220664797758</v>
      </c>
      <c r="BA14" s="143">
        <f t="shared" si="31"/>
        <v>295.05786731882938</v>
      </c>
      <c r="BB14" s="143">
        <f t="shared" si="31"/>
        <v>138.3928111643236</v>
      </c>
      <c r="BC14" s="143">
        <f t="shared" si="31"/>
        <v>125.9622641509434</v>
      </c>
      <c r="BD14" s="143">
        <f t="shared" si="31"/>
        <v>99.540788555745507</v>
      </c>
      <c r="BE14" s="143">
        <f t="shared" si="31"/>
        <v>203.48258706467664</v>
      </c>
      <c r="BF14" s="148">
        <f t="shared" si="31"/>
        <v>202.75872106485312</v>
      </c>
      <c r="BG14" s="143">
        <f t="shared" si="31"/>
        <v>375.0445759931531</v>
      </c>
      <c r="BH14" s="143">
        <f t="shared" si="31"/>
        <v>1706.6355355701603</v>
      </c>
      <c r="BI14" s="143">
        <f t="shared" si="31"/>
        <v>393.66785260014382</v>
      </c>
      <c r="BJ14" s="143">
        <f t="shared" si="31"/>
        <v>301.1465313028765</v>
      </c>
      <c r="BK14" s="143">
        <f t="shared" si="31"/>
        <v>1381.374620968483</v>
      </c>
      <c r="BL14" s="143">
        <f t="shared" si="31"/>
        <v>2032.4710264900664</v>
      </c>
      <c r="BM14" s="143">
        <f t="shared" si="31"/>
        <v>125.94628190899002</v>
      </c>
      <c r="BN14" s="143">
        <f t="shared" si="31"/>
        <v>496.63938363583276</v>
      </c>
      <c r="BO14" s="143">
        <f t="shared" si="31"/>
        <v>1188.0102040816328</v>
      </c>
      <c r="BP14" s="143">
        <f t="shared" si="31"/>
        <v>188.97443292247118</v>
      </c>
      <c r="BQ14" s="143">
        <f t="shared" si="31"/>
        <v>334.84172360898066</v>
      </c>
      <c r="BR14" s="148">
        <f t="shared" si="31"/>
        <v>132.14535932098269</v>
      </c>
      <c r="BS14" s="143">
        <f t="shared" si="31"/>
        <v>1424.5589964719718</v>
      </c>
      <c r="BT14" s="143">
        <f t="shared" si="31"/>
        <v>179.71820971755673</v>
      </c>
      <c r="BU14" s="143">
        <f t="shared" si="31"/>
        <v>231.50997234806141</v>
      </c>
      <c r="BV14" s="143">
        <f t="shared" si="31"/>
        <v>222.44555027852974</v>
      </c>
      <c r="BW14" s="143">
        <f t="shared" si="31"/>
        <v>176.1732711227792</v>
      </c>
      <c r="BX14" s="143">
        <f t="shared" si="31"/>
        <v>199.54450578389873</v>
      </c>
      <c r="BY14" s="143">
        <f t="shared" si="31"/>
        <v>180.39899230612107</v>
      </c>
      <c r="BZ14" s="143">
        <f t="shared" si="31"/>
        <v>330.77581358957434</v>
      </c>
      <c r="CA14" s="143">
        <f t="shared" si="31"/>
        <v>273.44348451231457</v>
      </c>
      <c r="CB14" s="148">
        <f t="shared" si="31"/>
        <v>144.71909119038148</v>
      </c>
      <c r="CC14" s="143">
        <f t="shared" si="31"/>
        <v>251.38278790541034</v>
      </c>
      <c r="CD14" s="143">
        <f t="shared" si="31"/>
        <v>413.90242493114278</v>
      </c>
      <c r="CE14" s="143">
        <f t="shared" si="31"/>
        <v>201.21607043619446</v>
      </c>
      <c r="CF14" s="143">
        <f t="shared" si="31"/>
        <v>993.99275423371807</v>
      </c>
      <c r="CG14" s="143">
        <f>CG13/CG7*100</f>
        <v>137.72512825042136</v>
      </c>
      <c r="CH14" s="143">
        <f t="shared" si="31"/>
        <v>133.17751374357155</v>
      </c>
      <c r="CI14" s="143">
        <f t="shared" si="31"/>
        <v>309.63146811070999</v>
      </c>
      <c r="CJ14" s="143">
        <f t="shared" si="31"/>
        <v>166.94345033826846</v>
      </c>
      <c r="CK14" s="144">
        <f t="shared" si="31"/>
        <v>105.67779862829434</v>
      </c>
      <c r="CL14" s="149">
        <f>CL13/CL7*100</f>
        <v>295.62822225504146</v>
      </c>
    </row>
    <row r="15" spans="1:90">
      <c r="A15" s="80">
        <f>ROWS($A$3:A13)</f>
        <v>11</v>
      </c>
      <c r="B15" s="59" t="s">
        <v>269</v>
      </c>
      <c r="C15" s="252"/>
      <c r="D15" s="259"/>
      <c r="E15" s="435"/>
      <c r="F15" s="302"/>
      <c r="G15" s="141"/>
      <c r="H15" s="141"/>
      <c r="I15" s="298"/>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0">
      <c r="A16" s="80">
        <f>ROWS($A$3:A14)</f>
        <v>12</v>
      </c>
      <c r="B16" s="92" t="s">
        <v>200</v>
      </c>
      <c r="C16" s="202">
        <v>2012</v>
      </c>
      <c r="D16" s="259" t="s">
        <v>11</v>
      </c>
      <c r="E16" s="436">
        <v>42207</v>
      </c>
      <c r="F16" s="116">
        <v>2254300</v>
      </c>
      <c r="G16" s="137">
        <v>1491800</v>
      </c>
      <c r="H16" s="137">
        <v>1157400</v>
      </c>
      <c r="I16" s="138">
        <v>978100</v>
      </c>
      <c r="J16" s="141"/>
      <c r="K16" s="116">
        <f t="shared" si="0"/>
        <v>160600</v>
      </c>
      <c r="L16" s="137">
        <f t="shared" si="1"/>
        <v>190900</v>
      </c>
      <c r="M16" s="137">
        <f t="shared" si="2"/>
        <v>72800</v>
      </c>
      <c r="N16" s="137">
        <f t="shared" si="3"/>
        <v>116600</v>
      </c>
      <c r="O16" s="137">
        <f t="shared" si="4"/>
        <v>65600</v>
      </c>
      <c r="P16" s="137">
        <f>'2012'!AZ16+'2012'!BA16</f>
        <v>261000</v>
      </c>
      <c r="Q16" s="137">
        <f>'2012'!AU16</f>
        <v>218800</v>
      </c>
      <c r="R16" s="137">
        <f t="shared" si="30"/>
        <v>733400</v>
      </c>
      <c r="S16" s="137">
        <f t="shared" si="5"/>
        <v>260900</v>
      </c>
      <c r="T16" s="137">
        <f t="shared" si="6"/>
        <v>67500</v>
      </c>
      <c r="U16" s="139">
        <f t="shared" si="6"/>
        <v>106300</v>
      </c>
      <c r="V16" s="137">
        <f>BG16+BJ16</f>
        <v>152400</v>
      </c>
      <c r="W16" s="137">
        <f t="shared" si="8"/>
        <v>62300</v>
      </c>
      <c r="X16" s="137">
        <f>BH16+BI16</f>
        <v>426900</v>
      </c>
      <c r="Y16" s="137">
        <f>BK16+BL16+BN16</f>
        <v>567300</v>
      </c>
      <c r="Z16" s="137">
        <f t="shared" si="11"/>
        <v>66600</v>
      </c>
      <c r="AA16" s="137">
        <f>BO16+BQ16</f>
        <v>152500</v>
      </c>
      <c r="AB16" s="139">
        <f t="shared" si="13"/>
        <v>63800</v>
      </c>
      <c r="AC16" s="137">
        <f t="shared" si="14"/>
        <v>114500</v>
      </c>
      <c r="AD16" s="137">
        <f t="shared" si="15"/>
        <v>68900</v>
      </c>
      <c r="AE16" s="137">
        <f>BS16+BT16</f>
        <v>272900</v>
      </c>
      <c r="AF16" s="137">
        <f t="shared" si="17"/>
        <v>102900</v>
      </c>
      <c r="AG16" s="137">
        <f t="shared" si="18"/>
        <v>232800</v>
      </c>
      <c r="AH16" s="137">
        <f t="shared" si="19"/>
        <v>136700</v>
      </c>
      <c r="AI16" s="137">
        <f t="shared" si="20"/>
        <v>73400</v>
      </c>
      <c r="AJ16" s="137">
        <f t="shared" si="21"/>
        <v>80100</v>
      </c>
      <c r="AK16" s="139">
        <f t="shared" si="22"/>
        <v>75200</v>
      </c>
      <c r="AL16" s="137">
        <f t="shared" si="23"/>
        <v>90900</v>
      </c>
      <c r="AM16" s="137">
        <f t="shared" si="24"/>
        <v>105300</v>
      </c>
      <c r="AN16" s="137">
        <f t="shared" si="25"/>
        <v>154200</v>
      </c>
      <c r="AO16" s="137">
        <f t="shared" si="26"/>
        <v>143600</v>
      </c>
      <c r="AP16" s="137">
        <f t="shared" si="26"/>
        <v>105100</v>
      </c>
      <c r="AQ16" s="137">
        <f t="shared" si="27"/>
        <v>66300</v>
      </c>
      <c r="AR16" s="137">
        <f t="shared" si="28"/>
        <v>117000</v>
      </c>
      <c r="AS16" s="138">
        <f>CF16+CG16</f>
        <v>195800</v>
      </c>
      <c r="AT16" s="141">
        <v>487200</v>
      </c>
      <c r="AU16" s="141">
        <v>218800</v>
      </c>
      <c r="AV16" s="141">
        <v>260900</v>
      </c>
      <c r="AW16" s="141">
        <v>116600</v>
      </c>
      <c r="AX16" s="141">
        <v>246200</v>
      </c>
      <c r="AY16" s="137">
        <v>190900</v>
      </c>
      <c r="AZ16" s="137">
        <v>102100</v>
      </c>
      <c r="BA16" s="137">
        <v>158900</v>
      </c>
      <c r="BB16" s="137">
        <v>67500</v>
      </c>
      <c r="BC16" s="137">
        <v>106300</v>
      </c>
      <c r="BD16" s="137">
        <v>72800</v>
      </c>
      <c r="BE16" s="137">
        <v>65600</v>
      </c>
      <c r="BF16" s="139">
        <v>160600</v>
      </c>
      <c r="BG16" s="137">
        <v>40600</v>
      </c>
      <c r="BH16" s="137">
        <v>230500</v>
      </c>
      <c r="BI16" s="137">
        <v>196400</v>
      </c>
      <c r="BJ16" s="137">
        <v>111800</v>
      </c>
      <c r="BK16" s="137">
        <v>114700</v>
      </c>
      <c r="BL16" s="137">
        <v>232000</v>
      </c>
      <c r="BM16" s="137">
        <v>66600</v>
      </c>
      <c r="BN16" s="137">
        <v>220600</v>
      </c>
      <c r="BO16" s="137">
        <v>74200</v>
      </c>
      <c r="BP16" s="137">
        <v>63800</v>
      </c>
      <c r="BQ16" s="137">
        <v>78300</v>
      </c>
      <c r="BR16" s="139">
        <v>62300</v>
      </c>
      <c r="BS16" s="137">
        <v>161500</v>
      </c>
      <c r="BT16" s="137">
        <v>111400</v>
      </c>
      <c r="BU16" s="137">
        <v>68900</v>
      </c>
      <c r="BV16" s="137">
        <v>232800</v>
      </c>
      <c r="BW16" s="137">
        <v>73400</v>
      </c>
      <c r="BX16" s="137">
        <v>114500</v>
      </c>
      <c r="BY16" s="137">
        <v>80100</v>
      </c>
      <c r="BZ16" s="137">
        <v>136700</v>
      </c>
      <c r="CA16" s="137">
        <v>102900</v>
      </c>
      <c r="CB16" s="139">
        <v>75200</v>
      </c>
      <c r="CC16" s="137">
        <v>143600</v>
      </c>
      <c r="CD16" s="137">
        <v>105100</v>
      </c>
      <c r="CE16" s="137">
        <v>90900</v>
      </c>
      <c r="CF16" s="137">
        <v>119500</v>
      </c>
      <c r="CG16" s="137">
        <v>76300</v>
      </c>
      <c r="CH16" s="137">
        <v>105300</v>
      </c>
      <c r="CI16" s="137">
        <v>117000</v>
      </c>
      <c r="CJ16" s="137">
        <v>154200</v>
      </c>
      <c r="CK16" s="138">
        <v>66300</v>
      </c>
      <c r="CL16" s="140">
        <v>5881700</v>
      </c>
    </row>
    <row r="17" spans="1:90" ht="14.25">
      <c r="A17" s="80">
        <f>ROWS($A$3:A15)</f>
        <v>13</v>
      </c>
      <c r="B17" s="54" t="s">
        <v>243</v>
      </c>
      <c r="C17" s="204">
        <v>2012</v>
      </c>
      <c r="D17" s="259" t="s">
        <v>3</v>
      </c>
      <c r="E17" s="436">
        <v>42184</v>
      </c>
      <c r="F17" s="167">
        <f>(AT16*AT17+AU16*AU17+AV16*AV17+AW16*AW17+AX16*AX17+AY16*AY17+AZ16*AZ17+BA16*BA17+BB16*BB17+BC16*BC17+BD16*BD17+BE16*BE17+BF16*BF17)/F16</f>
        <v>4.1998225613272409</v>
      </c>
      <c r="G17" s="168">
        <f>(BG16*BG17+BH16*BH17+BI16*BI17+BJ16*BJ17+BK16*BK17+BL16*BL17+BM16*BM17+BN16*BN17+BO16*BO17+BP16*BP17+BQ16*BQ17+BR16*BR17)/G16</f>
        <v>4.6824574339723828</v>
      </c>
      <c r="H17" s="168">
        <f>(BS16*BS17+BT16*BT17+BU16*BU17+BV16*BV17+BW16*BW17+BX16*BX17+BY16*BY17+BZ16*BZ17+CA16*CA17+CB16*CB17)/H16</f>
        <v>3.8165370658372213</v>
      </c>
      <c r="I17" s="169">
        <f>(CC16*CC17+CD16*CD17+CE16*CE17+CF16*CF17+CG16*CG17+CH16*CH17+CI16*CI17+CJ16*CJ17+CK16*CK17)/I16</f>
        <v>3.4091606175237708</v>
      </c>
      <c r="J17" s="173"/>
      <c r="K17" s="170">
        <f t="shared" si="0"/>
        <v>3.7</v>
      </c>
      <c r="L17" s="171">
        <f t="shared" si="1"/>
        <v>3.8</v>
      </c>
      <c r="M17" s="171">
        <f t="shared" si="2"/>
        <v>3.4</v>
      </c>
      <c r="N17" s="171">
        <f t="shared" si="3"/>
        <v>4.0999999999999996</v>
      </c>
      <c r="O17" s="171">
        <f t="shared" si="4"/>
        <v>4.8</v>
      </c>
      <c r="P17" s="168">
        <f>ROUND((AZ16*AZ17/100+BA16*BA17/100)/P16%,1)</f>
        <v>4.5</v>
      </c>
      <c r="Q17" s="171">
        <f>'2012'!AU17</f>
        <v>3.6</v>
      </c>
      <c r="R17" s="168">
        <f>ROUND((AT16*AT17/100+AX16*AX17/100)/R16%,1)</f>
        <v>5</v>
      </c>
      <c r="S17" s="171">
        <f t="shared" si="5"/>
        <v>3.7</v>
      </c>
      <c r="T17" s="171">
        <f t="shared" si="6"/>
        <v>2.9</v>
      </c>
      <c r="U17" s="172">
        <f t="shared" si="6"/>
        <v>3.3</v>
      </c>
      <c r="V17" s="168">
        <f>ROUND((BG16*BG17/100+BJ16*BJ17/100)/V16%,1)</f>
        <v>4</v>
      </c>
      <c r="W17" s="171">
        <f t="shared" si="8"/>
        <v>3.9</v>
      </c>
      <c r="X17" s="168">
        <f>ROUND((BH16*BH17/100+BI16*BI17/100)/X16%,1)</f>
        <v>4.5</v>
      </c>
      <c r="Y17" s="168">
        <f>ROUND((BK16*BK17/100+BL16*BL17/100+BN16*BN17/100)/Y16%,1)</f>
        <v>5.2</v>
      </c>
      <c r="Z17" s="171">
        <f t="shared" si="11"/>
        <v>3.9</v>
      </c>
      <c r="AA17" s="168">
        <f>ROUND((BO16*BO17/100+BQ16*BQ17/100)/AA16%,1)</f>
        <v>5.0999999999999996</v>
      </c>
      <c r="AB17" s="172">
        <f t="shared" si="13"/>
        <v>3.8</v>
      </c>
      <c r="AC17" s="171">
        <f t="shared" si="14"/>
        <v>3.6</v>
      </c>
      <c r="AD17" s="171">
        <f t="shared" si="15"/>
        <v>3</v>
      </c>
      <c r="AE17" s="168">
        <f>ROUND((BS16*BS17/100+BT16*BT17/100)/AE16%,1)</f>
        <v>4.8</v>
      </c>
      <c r="AF17" s="171">
        <f t="shared" si="17"/>
        <v>3.7</v>
      </c>
      <c r="AG17" s="171">
        <f t="shared" si="18"/>
        <v>3.6</v>
      </c>
      <c r="AH17" s="171">
        <f t="shared" si="19"/>
        <v>4.2</v>
      </c>
      <c r="AI17" s="171">
        <f t="shared" si="20"/>
        <v>3.1</v>
      </c>
      <c r="AJ17" s="171">
        <f t="shared" si="21"/>
        <v>2.8</v>
      </c>
      <c r="AK17" s="172">
        <f t="shared" si="22"/>
        <v>3.1</v>
      </c>
      <c r="AL17" s="171">
        <f t="shared" si="23"/>
        <v>4.2</v>
      </c>
      <c r="AM17" s="171">
        <f t="shared" si="24"/>
        <v>2.6</v>
      </c>
      <c r="AN17" s="171">
        <f t="shared" si="25"/>
        <v>2.7</v>
      </c>
      <c r="AO17" s="171">
        <f t="shared" si="26"/>
        <v>3.8</v>
      </c>
      <c r="AP17" s="171">
        <f t="shared" si="26"/>
        <v>3.3</v>
      </c>
      <c r="AQ17" s="171">
        <f t="shared" si="27"/>
        <v>3.8</v>
      </c>
      <c r="AR17" s="171">
        <f t="shared" si="28"/>
        <v>2.8</v>
      </c>
      <c r="AS17" s="169">
        <f>ROUND((CF16*CF17/100+CG16*CG17/100)/AS16%,1)</f>
        <v>4</v>
      </c>
      <c r="AT17" s="173">
        <v>5.6</v>
      </c>
      <c r="AU17" s="171">
        <v>3.6</v>
      </c>
      <c r="AV17" s="171">
        <v>3.7</v>
      </c>
      <c r="AW17" s="171">
        <v>4.0999999999999996</v>
      </c>
      <c r="AX17" s="171">
        <v>3.7</v>
      </c>
      <c r="AY17" s="171">
        <v>3.8</v>
      </c>
      <c r="AZ17" s="171">
        <v>6</v>
      </c>
      <c r="BA17" s="171">
        <v>3.5</v>
      </c>
      <c r="BB17" s="171">
        <v>2.9</v>
      </c>
      <c r="BC17" s="171">
        <v>3.3</v>
      </c>
      <c r="BD17" s="171">
        <v>3.4</v>
      </c>
      <c r="BE17" s="171">
        <v>4.8</v>
      </c>
      <c r="BF17" s="172">
        <v>3.7</v>
      </c>
      <c r="BG17" s="171">
        <v>5.4</v>
      </c>
      <c r="BH17" s="171">
        <v>5.6</v>
      </c>
      <c r="BI17" s="171">
        <v>3.2</v>
      </c>
      <c r="BJ17" s="171">
        <v>3.5</v>
      </c>
      <c r="BK17" s="171">
        <v>5.3</v>
      </c>
      <c r="BL17" s="171">
        <v>6.1</v>
      </c>
      <c r="BM17" s="171">
        <v>3.9</v>
      </c>
      <c r="BN17" s="171">
        <v>4.0999999999999996</v>
      </c>
      <c r="BO17" s="171">
        <v>7.7</v>
      </c>
      <c r="BP17" s="171">
        <v>3.8</v>
      </c>
      <c r="BQ17" s="171">
        <v>2.7</v>
      </c>
      <c r="BR17" s="172">
        <v>3.9</v>
      </c>
      <c r="BS17" s="171">
        <v>5.9</v>
      </c>
      <c r="BT17" s="171">
        <v>3.3</v>
      </c>
      <c r="BU17" s="171">
        <v>3</v>
      </c>
      <c r="BV17" s="171">
        <v>3.6</v>
      </c>
      <c r="BW17" s="171">
        <v>3.1</v>
      </c>
      <c r="BX17" s="171">
        <v>3.6</v>
      </c>
      <c r="BY17" s="171">
        <v>2.8</v>
      </c>
      <c r="BZ17" s="171">
        <v>4.2</v>
      </c>
      <c r="CA17" s="171">
        <v>3.7</v>
      </c>
      <c r="CB17" s="172">
        <v>3.1</v>
      </c>
      <c r="CC17" s="171">
        <v>3.8</v>
      </c>
      <c r="CD17" s="171">
        <v>3.3</v>
      </c>
      <c r="CE17" s="171">
        <v>4.2</v>
      </c>
      <c r="CF17" s="171">
        <v>4.7</v>
      </c>
      <c r="CG17" s="173">
        <v>3</v>
      </c>
      <c r="CH17" s="171">
        <v>2.6</v>
      </c>
      <c r="CI17" s="171">
        <v>2.8</v>
      </c>
      <c r="CJ17" s="171">
        <v>2.7</v>
      </c>
      <c r="CK17" s="174">
        <v>3.8</v>
      </c>
      <c r="CL17" s="319">
        <v>3.9</v>
      </c>
    </row>
    <row r="18" spans="1:90">
      <c r="A18" s="80">
        <f>ROWS($A$3:A16)</f>
        <v>14</v>
      </c>
      <c r="B18" s="238" t="s">
        <v>270</v>
      </c>
      <c r="C18" s="393">
        <v>2010</v>
      </c>
      <c r="D18" s="259" t="s">
        <v>11</v>
      </c>
      <c r="E18" s="437">
        <v>40897</v>
      </c>
      <c r="F18" s="302">
        <v>65993</v>
      </c>
      <c r="G18" s="141">
        <v>23507</v>
      </c>
      <c r="H18" s="141">
        <v>61838</v>
      </c>
      <c r="I18" s="298">
        <v>38779</v>
      </c>
      <c r="J18" s="173"/>
      <c r="K18" s="116">
        <f>BF18</f>
        <v>4934</v>
      </c>
      <c r="L18" s="137">
        <f>AY18</f>
        <v>7021</v>
      </c>
      <c r="M18" s="137">
        <f>BD18</f>
        <v>5124</v>
      </c>
      <c r="N18" s="137">
        <f>AW18</f>
        <v>2210</v>
      </c>
      <c r="O18" s="137">
        <f>BE18</f>
        <v>1489</v>
      </c>
      <c r="P18" s="143">
        <f>'2012'!AZ18+'2012'!BA18</f>
        <v>17120</v>
      </c>
      <c r="Q18" s="137">
        <f>'2012'!AU18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c r="A19" s="80">
        <f>ROWS($A$3:A17)</f>
        <v>15</v>
      </c>
      <c r="B19" s="238" t="s">
        <v>268</v>
      </c>
      <c r="C19" s="202">
        <v>2012</v>
      </c>
      <c r="D19" s="259" t="s">
        <v>11</v>
      </c>
      <c r="E19" s="436">
        <v>41487</v>
      </c>
      <c r="F19" s="302">
        <v>1597502</v>
      </c>
      <c r="G19" s="141">
        <v>1042894</v>
      </c>
      <c r="H19" s="141">
        <v>774307</v>
      </c>
      <c r="I19" s="298">
        <v>656965</v>
      </c>
      <c r="J19" s="173"/>
      <c r="K19" s="116">
        <f>BF19</f>
        <v>109150</v>
      </c>
      <c r="L19" s="137">
        <f>AY19</f>
        <v>129344</v>
      </c>
      <c r="M19" s="137">
        <f>BD19</f>
        <v>49701</v>
      </c>
      <c r="N19" s="137">
        <f>AW19</f>
        <v>79719</v>
      </c>
      <c r="O19" s="137">
        <f>BE19</f>
        <v>47293</v>
      </c>
      <c r="P19" s="143">
        <f>'2012'!AZ19+'2012'!BA19</f>
        <v>179832</v>
      </c>
      <c r="Q19" s="137">
        <f>'2012'!AU19</f>
        <v>158600</v>
      </c>
      <c r="R19" s="143">
        <f>AT19+AX19</f>
        <v>535665</v>
      </c>
      <c r="S19" s="137">
        <f>AV19</f>
        <v>187097</v>
      </c>
      <c r="T19" s="137">
        <f>BB19</f>
        <v>49782</v>
      </c>
      <c r="U19" s="139">
        <f>BC19</f>
        <v>71319</v>
      </c>
      <c r="V19" s="143">
        <f>BG19+BJ19</f>
        <v>111881</v>
      </c>
      <c r="W19" s="137">
        <f>BR19</f>
        <v>42442</v>
      </c>
      <c r="X19" s="143">
        <f>BH19+BI19</f>
        <v>297838</v>
      </c>
      <c r="Y19" s="143">
        <f>BK19+BL19+BN19</f>
        <v>401686</v>
      </c>
      <c r="Z19" s="137">
        <f>BM19</f>
        <v>42030</v>
      </c>
      <c r="AA19" s="143">
        <f>BO19+BQ19</f>
        <v>105030</v>
      </c>
      <c r="AB19" s="139">
        <f>BP19</f>
        <v>41987</v>
      </c>
      <c r="AC19" s="137">
        <f>BX19</f>
        <v>78457</v>
      </c>
      <c r="AD19" s="137">
        <f>BU19</f>
        <v>45332</v>
      </c>
      <c r="AE19" s="143">
        <f>BS19+BT19</f>
        <v>179273</v>
      </c>
      <c r="AF19" s="137">
        <f>CA19</f>
        <v>69688</v>
      </c>
      <c r="AG19" s="137">
        <f>BV19</f>
        <v>157944</v>
      </c>
      <c r="AH19" s="137">
        <f>BZ19</f>
        <v>88918</v>
      </c>
      <c r="AI19" s="137">
        <f>BW19</f>
        <v>50130</v>
      </c>
      <c r="AJ19" s="137">
        <f>BY19</f>
        <v>56433</v>
      </c>
      <c r="AK19" s="139">
        <f>CB19</f>
        <v>48132</v>
      </c>
      <c r="AL19" s="137">
        <f>CE19</f>
        <v>61505</v>
      </c>
      <c r="AM19" s="137">
        <f>CH19</f>
        <v>71226</v>
      </c>
      <c r="AN19" s="137">
        <f>CJ19</f>
        <v>101087</v>
      </c>
      <c r="AO19" s="137">
        <f>CC19</f>
        <v>98786</v>
      </c>
      <c r="AP19" s="137">
        <f>CD19</f>
        <v>67802</v>
      </c>
      <c r="AQ19" s="137">
        <f>CK19</f>
        <v>41732</v>
      </c>
      <c r="AR19" s="137">
        <f>CI19</f>
        <v>80778</v>
      </c>
      <c r="AS19" s="144">
        <f>CF19+CG19</f>
        <v>134049</v>
      </c>
      <c r="AT19" s="141">
        <v>359817</v>
      </c>
      <c r="AU19" s="137">
        <v>158600</v>
      </c>
      <c r="AV19" s="137">
        <v>187097</v>
      </c>
      <c r="AW19" s="137">
        <v>79719</v>
      </c>
      <c r="AX19" s="137">
        <v>175848</v>
      </c>
      <c r="AY19" s="137">
        <v>129344</v>
      </c>
      <c r="AZ19" s="137">
        <v>63321</v>
      </c>
      <c r="BA19" s="137">
        <v>116511</v>
      </c>
      <c r="BB19" s="137">
        <v>49782</v>
      </c>
      <c r="BC19" s="137">
        <v>71319</v>
      </c>
      <c r="BD19" s="137">
        <v>49701</v>
      </c>
      <c r="BE19" s="137">
        <v>47293</v>
      </c>
      <c r="BF19" s="139">
        <v>109150</v>
      </c>
      <c r="BG19" s="137">
        <v>31306</v>
      </c>
      <c r="BH19" s="137">
        <v>163521</v>
      </c>
      <c r="BI19" s="137">
        <v>134317</v>
      </c>
      <c r="BJ19" s="137">
        <v>80575</v>
      </c>
      <c r="BK19" s="137">
        <v>82246</v>
      </c>
      <c r="BL19" s="137">
        <v>170843</v>
      </c>
      <c r="BM19" s="137">
        <v>42030</v>
      </c>
      <c r="BN19" s="137">
        <v>148597</v>
      </c>
      <c r="BO19" s="137">
        <v>51124</v>
      </c>
      <c r="BP19" s="137">
        <v>41987</v>
      </c>
      <c r="BQ19" s="137">
        <v>53906</v>
      </c>
      <c r="BR19" s="139">
        <v>42442</v>
      </c>
      <c r="BS19" s="137">
        <v>107888</v>
      </c>
      <c r="BT19" s="137">
        <v>71385</v>
      </c>
      <c r="BU19" s="137">
        <v>45332</v>
      </c>
      <c r="BV19" s="137">
        <v>157944</v>
      </c>
      <c r="BW19" s="137">
        <v>50130</v>
      </c>
      <c r="BX19" s="137">
        <v>78457</v>
      </c>
      <c r="BY19" s="137">
        <v>56433</v>
      </c>
      <c r="BZ19" s="137">
        <v>88918</v>
      </c>
      <c r="CA19" s="137">
        <v>69688</v>
      </c>
      <c r="CB19" s="139">
        <v>48132</v>
      </c>
      <c r="CC19" s="137">
        <v>98786</v>
      </c>
      <c r="CD19" s="137">
        <v>67802</v>
      </c>
      <c r="CE19" s="137">
        <v>61505</v>
      </c>
      <c r="CF19" s="137">
        <v>84825</v>
      </c>
      <c r="CG19" s="141">
        <v>49224</v>
      </c>
      <c r="CH19" s="137">
        <v>71226</v>
      </c>
      <c r="CI19" s="137">
        <v>80778</v>
      </c>
      <c r="CJ19" s="137">
        <v>101087</v>
      </c>
      <c r="CK19" s="138">
        <v>41732</v>
      </c>
      <c r="CL19" s="320">
        <v>4071668</v>
      </c>
    </row>
    <row r="20" spans="1:90">
      <c r="A20" s="80">
        <f>ROWS($A$3:A18)</f>
        <v>16</v>
      </c>
      <c r="B20" s="92" t="s">
        <v>64</v>
      </c>
      <c r="C20" s="204">
        <v>2012</v>
      </c>
      <c r="D20" s="259" t="s">
        <v>285</v>
      </c>
      <c r="E20" s="436">
        <v>41954</v>
      </c>
      <c r="F20" s="116">
        <v>145907.92499999999</v>
      </c>
      <c r="G20" s="137">
        <v>88567.297000000006</v>
      </c>
      <c r="H20" s="137">
        <v>62688.027000000002</v>
      </c>
      <c r="I20" s="138">
        <v>56924.069000000003</v>
      </c>
      <c r="J20" s="141"/>
      <c r="K20" s="116">
        <f t="shared" si="0"/>
        <v>9903.6929999999993</v>
      </c>
      <c r="L20" s="137">
        <f t="shared" si="1"/>
        <v>10732.052</v>
      </c>
      <c r="M20" s="137">
        <f t="shared" si="2"/>
        <v>4072.4079999999999</v>
      </c>
      <c r="N20" s="137">
        <f t="shared" si="3"/>
        <v>6652.6009999999997</v>
      </c>
      <c r="O20" s="137">
        <f t="shared" si="4"/>
        <v>3620.6570000000002</v>
      </c>
      <c r="P20" s="137">
        <f>'2012'!AZ20+'2012'!BA20</f>
        <v>17747.184000000001</v>
      </c>
      <c r="Q20" s="137">
        <f>'2012'!AU20</f>
        <v>15376.76</v>
      </c>
      <c r="R20" s="137">
        <f>AT20+AX20</f>
        <v>52077.243999999992</v>
      </c>
      <c r="S20" s="137">
        <f t="shared" si="5"/>
        <v>15821.448</v>
      </c>
      <c r="T20" s="137">
        <f t="shared" si="6"/>
        <v>4030.433</v>
      </c>
      <c r="U20" s="139">
        <f t="shared" si="6"/>
        <v>5873.4459999999999</v>
      </c>
      <c r="V20" s="137">
        <f>BG20+BJ20</f>
        <v>9645.4680000000008</v>
      </c>
      <c r="W20" s="137">
        <f t="shared" si="8"/>
        <v>3419.2159999999999</v>
      </c>
      <c r="X20" s="137">
        <f>BH20+BI20</f>
        <v>26494.387999999999</v>
      </c>
      <c r="Y20" s="137">
        <f>BK20+BL20+BN20</f>
        <v>33103.358</v>
      </c>
      <c r="Z20" s="137">
        <f t="shared" si="11"/>
        <v>3651.9989999999998</v>
      </c>
      <c r="AA20" s="137">
        <f>BO20+BQ20</f>
        <v>8713.5080000000016</v>
      </c>
      <c r="AB20" s="139">
        <f t="shared" si="13"/>
        <v>3539.3609999999999</v>
      </c>
      <c r="AC20" s="137">
        <f t="shared" si="14"/>
        <v>6105.1859999999997</v>
      </c>
      <c r="AD20" s="137">
        <f t="shared" si="15"/>
        <v>3689.9070000000002</v>
      </c>
      <c r="AE20" s="137">
        <f>BS20+BT20</f>
        <v>13981.393</v>
      </c>
      <c r="AF20" s="137">
        <f t="shared" si="17"/>
        <v>5791.3190000000004</v>
      </c>
      <c r="AG20" s="137">
        <f t="shared" si="18"/>
        <v>12926.192999999999</v>
      </c>
      <c r="AH20" s="137">
        <f t="shared" si="19"/>
        <v>6946.7849999999999</v>
      </c>
      <c r="AI20" s="137">
        <f t="shared" si="20"/>
        <v>4387.607</v>
      </c>
      <c r="AJ20" s="137">
        <f t="shared" si="21"/>
        <v>4890.9179999999997</v>
      </c>
      <c r="AK20" s="139">
        <f t="shared" si="22"/>
        <v>3968.7190000000001</v>
      </c>
      <c r="AL20" s="137">
        <f t="shared" si="23"/>
        <v>5094.6040000000003</v>
      </c>
      <c r="AM20" s="137">
        <f t="shared" si="24"/>
        <v>6965.5519999999997</v>
      </c>
      <c r="AN20" s="137">
        <f t="shared" si="25"/>
        <v>8936.9789999999994</v>
      </c>
      <c r="AO20" s="137">
        <f t="shared" si="26"/>
        <v>8363.9320000000007</v>
      </c>
      <c r="AP20" s="137">
        <f t="shared" si="26"/>
        <v>5553.4030000000002</v>
      </c>
      <c r="AQ20" s="137">
        <f t="shared" si="27"/>
        <v>3518.0720000000001</v>
      </c>
      <c r="AR20" s="137">
        <f t="shared" si="28"/>
        <v>7461.9080000000004</v>
      </c>
      <c r="AS20" s="138">
        <f>CF20+CG20</f>
        <v>11029.618</v>
      </c>
      <c r="AT20" s="141">
        <v>35507.269999999997</v>
      </c>
      <c r="AU20" s="137">
        <v>15376.76</v>
      </c>
      <c r="AV20" s="137">
        <v>15821.448</v>
      </c>
      <c r="AW20" s="137">
        <v>6652.6009999999997</v>
      </c>
      <c r="AX20" s="137">
        <v>16569.973999999998</v>
      </c>
      <c r="AY20" s="137">
        <v>10732.052</v>
      </c>
      <c r="AZ20" s="137">
        <v>4831.0420000000004</v>
      </c>
      <c r="BA20" s="137">
        <v>12916.142</v>
      </c>
      <c r="BB20" s="137">
        <v>4030.433</v>
      </c>
      <c r="BC20" s="137">
        <v>5873.4459999999999</v>
      </c>
      <c r="BD20" s="137">
        <v>4072.4079999999999</v>
      </c>
      <c r="BE20" s="137">
        <v>3620.6570000000002</v>
      </c>
      <c r="BF20" s="139">
        <v>9903.6929999999993</v>
      </c>
      <c r="BG20" s="137">
        <v>2485.9270000000001</v>
      </c>
      <c r="BH20" s="137">
        <v>14060.191999999999</v>
      </c>
      <c r="BI20" s="137">
        <v>12434.196</v>
      </c>
      <c r="BJ20" s="137">
        <v>7159.5410000000002</v>
      </c>
      <c r="BK20" s="137">
        <v>6099.4319999999998</v>
      </c>
      <c r="BL20" s="137">
        <v>14015.786</v>
      </c>
      <c r="BM20" s="137">
        <v>3651.9989999999998</v>
      </c>
      <c r="BN20" s="137">
        <v>12988.14</v>
      </c>
      <c r="BO20" s="137">
        <v>4205.8630000000003</v>
      </c>
      <c r="BP20" s="137">
        <v>3539.3609999999999</v>
      </c>
      <c r="BQ20" s="137">
        <v>4507.6450000000004</v>
      </c>
      <c r="BR20" s="139">
        <v>3419.2159999999999</v>
      </c>
      <c r="BS20" s="137">
        <v>8206.7099999999991</v>
      </c>
      <c r="BT20" s="137">
        <v>5774.683</v>
      </c>
      <c r="BU20" s="137">
        <v>3689.9070000000002</v>
      </c>
      <c r="BV20" s="137">
        <v>12926.192999999999</v>
      </c>
      <c r="BW20" s="137">
        <v>4387.607</v>
      </c>
      <c r="BX20" s="137">
        <v>6105.1859999999997</v>
      </c>
      <c r="BY20" s="137">
        <v>4890.9179999999997</v>
      </c>
      <c r="BZ20" s="137">
        <v>6946.7849999999999</v>
      </c>
      <c r="CA20" s="137">
        <v>5791.3190000000004</v>
      </c>
      <c r="CB20" s="139">
        <v>3968.7190000000001</v>
      </c>
      <c r="CC20" s="137">
        <v>8363.9320000000007</v>
      </c>
      <c r="CD20" s="137">
        <v>5553.4030000000002</v>
      </c>
      <c r="CE20" s="137">
        <v>5094.6040000000003</v>
      </c>
      <c r="CF20" s="137">
        <v>6684.1840000000002</v>
      </c>
      <c r="CG20" s="141">
        <v>4345.4340000000002</v>
      </c>
      <c r="CH20" s="137">
        <v>6965.5519999999997</v>
      </c>
      <c r="CI20" s="137">
        <v>7461.9080000000004</v>
      </c>
      <c r="CJ20" s="137">
        <v>8936.9789999999994</v>
      </c>
      <c r="CK20" s="138">
        <v>3518.0720000000001</v>
      </c>
      <c r="CL20" s="140">
        <v>354087.31900000002</v>
      </c>
    </row>
    <row r="21" spans="1:90">
      <c r="A21" s="80">
        <f>ROWS($A$3:A19)</f>
        <v>17</v>
      </c>
      <c r="B21" s="53" t="s">
        <v>62</v>
      </c>
      <c r="C21" s="261"/>
      <c r="D21" s="260" t="s">
        <v>3</v>
      </c>
      <c r="E21" s="435"/>
      <c r="F21" s="167">
        <f>F118/F20%</f>
        <v>0.44068887964790132</v>
      </c>
      <c r="G21" s="168">
        <f>G118/G20%</f>
        <v>0.36582351609985342</v>
      </c>
      <c r="H21" s="168">
        <f>H118/H20%</f>
        <v>0.7976004732131704</v>
      </c>
      <c r="I21" s="169">
        <f>I118/I20%</f>
        <v>0.80106711978021095</v>
      </c>
      <c r="J21" s="173"/>
      <c r="K21" s="167">
        <f t="shared" ref="K21:AP21" si="32">K118/K20%</f>
        <v>0.76739050776311424</v>
      </c>
      <c r="L21" s="168">
        <f t="shared" si="32"/>
        <v>0.44725836214733211</v>
      </c>
      <c r="M21" s="168">
        <f t="shared" si="32"/>
        <v>1.4242187914374003</v>
      </c>
      <c r="N21" s="168">
        <f t="shared" si="32"/>
        <v>0.43591972523228134</v>
      </c>
      <c r="O21" s="168">
        <f t="shared" si="32"/>
        <v>0.80095960484519801</v>
      </c>
      <c r="P21" s="168">
        <f t="shared" si="32"/>
        <v>0.51275740421691685</v>
      </c>
      <c r="Q21" s="168">
        <f t="shared" si="32"/>
        <v>0.14307305310091331</v>
      </c>
      <c r="R21" s="168">
        <f t="shared" si="32"/>
        <v>0.14593706226082165</v>
      </c>
      <c r="S21" s="168">
        <f t="shared" si="32"/>
        <v>0.18961601997491001</v>
      </c>
      <c r="T21" s="168">
        <f t="shared" si="32"/>
        <v>1.761597327135819</v>
      </c>
      <c r="U21" s="176">
        <f t="shared" si="32"/>
        <v>1.9409389309104059</v>
      </c>
      <c r="V21" s="168">
        <f t="shared" si="32"/>
        <v>0.45617278498046954</v>
      </c>
      <c r="W21" s="168">
        <f t="shared" si="32"/>
        <v>0.73116176339839301</v>
      </c>
      <c r="X21" s="168">
        <f t="shared" si="32"/>
        <v>0.22268866901171677</v>
      </c>
      <c r="Y21" s="168">
        <f t="shared" si="32"/>
        <v>0.23260480099934269</v>
      </c>
      <c r="Z21" s="168">
        <f t="shared" si="32"/>
        <v>1.5334067725648337</v>
      </c>
      <c r="AA21" s="168">
        <f t="shared" si="32"/>
        <v>0.39019875806621163</v>
      </c>
      <c r="AB21" s="176">
        <f t="shared" si="32"/>
        <v>0.81935694041947127</v>
      </c>
      <c r="AC21" s="168">
        <f t="shared" si="32"/>
        <v>0.62242165922545201</v>
      </c>
      <c r="AD21" s="168">
        <f t="shared" si="32"/>
        <v>1.1382400694651653</v>
      </c>
      <c r="AE21" s="168">
        <f t="shared" si="32"/>
        <v>0.82967412474565305</v>
      </c>
      <c r="AF21" s="168">
        <f t="shared" si="32"/>
        <v>0.69068894322692287</v>
      </c>
      <c r="AG21" s="168">
        <f t="shared" si="32"/>
        <v>0.8896664315626418</v>
      </c>
      <c r="AH21" s="168">
        <f t="shared" si="32"/>
        <v>0.89249919207230399</v>
      </c>
      <c r="AI21" s="168">
        <f t="shared" si="32"/>
        <v>0.72932694290988231</v>
      </c>
      <c r="AJ21" s="168">
        <f t="shared" si="32"/>
        <v>0.42936724762099876</v>
      </c>
      <c r="AK21" s="176">
        <f t="shared" si="32"/>
        <v>0.88189665229511083</v>
      </c>
      <c r="AL21" s="168">
        <f t="shared" si="32"/>
        <v>0.49071527443546148</v>
      </c>
      <c r="AM21" s="168">
        <f t="shared" si="32"/>
        <v>1.2059345763264706</v>
      </c>
      <c r="AN21" s="168">
        <f t="shared" si="32"/>
        <v>1.1748936637313347</v>
      </c>
      <c r="AO21" s="168">
        <f t="shared" si="32"/>
        <v>0.3825951717445813</v>
      </c>
      <c r="AP21" s="168">
        <f t="shared" si="32"/>
        <v>0.27010465474952927</v>
      </c>
      <c r="AQ21" s="168">
        <f t="shared" ref="AQ21:BV21" si="33">AQ118/AQ20%</f>
        <v>1.5065069731375593</v>
      </c>
      <c r="AR21" s="168">
        <f t="shared" si="33"/>
        <v>0.81748528660498099</v>
      </c>
      <c r="AS21" s="169">
        <f t="shared" si="33"/>
        <v>0.71625327368545311</v>
      </c>
      <c r="AT21" s="168">
        <f t="shared" si="33"/>
        <v>5.0693843824095752E-2</v>
      </c>
      <c r="AU21" s="168">
        <f t="shared" si="33"/>
        <v>0.14307305310091331</v>
      </c>
      <c r="AV21" s="168">
        <f t="shared" si="33"/>
        <v>0.18961601997491001</v>
      </c>
      <c r="AW21" s="168">
        <f t="shared" si="33"/>
        <v>0.43591972523228134</v>
      </c>
      <c r="AX21" s="168">
        <f t="shared" si="33"/>
        <v>0.35003072424857157</v>
      </c>
      <c r="AY21" s="168">
        <f t="shared" si="33"/>
        <v>0.44725836214733211</v>
      </c>
      <c r="AZ21" s="168">
        <f t="shared" si="33"/>
        <v>0.22769414962651949</v>
      </c>
      <c r="BA21" s="168">
        <f t="shared" si="33"/>
        <v>0.61937999752557693</v>
      </c>
      <c r="BB21" s="168">
        <f t="shared" si="33"/>
        <v>1.761597327135819</v>
      </c>
      <c r="BC21" s="168">
        <f t="shared" si="33"/>
        <v>1.9409389309104059</v>
      </c>
      <c r="BD21" s="168">
        <f t="shared" si="33"/>
        <v>1.4242187914374003</v>
      </c>
      <c r="BE21" s="168">
        <f t="shared" si="33"/>
        <v>0.80095960484519801</v>
      </c>
      <c r="BF21" s="176">
        <f t="shared" si="33"/>
        <v>0.76739050776311424</v>
      </c>
      <c r="BG21" s="168">
        <f t="shared" si="33"/>
        <v>0.48271731229436743</v>
      </c>
      <c r="BH21" s="168">
        <f t="shared" si="33"/>
        <v>7.112278409853863E-2</v>
      </c>
      <c r="BI21" s="168">
        <f t="shared" si="33"/>
        <v>0.39407453445321272</v>
      </c>
      <c r="BJ21" s="168">
        <f t="shared" si="33"/>
        <v>0.4469560269296593</v>
      </c>
      <c r="BK21" s="168">
        <f t="shared" si="33"/>
        <v>0.16394969236479726</v>
      </c>
      <c r="BL21" s="168">
        <f t="shared" si="33"/>
        <v>3.5674060662741286E-2</v>
      </c>
      <c r="BM21" s="168">
        <f t="shared" si="33"/>
        <v>1.5334067725648337</v>
      </c>
      <c r="BN21" s="168">
        <f t="shared" si="33"/>
        <v>0.47735857482287691</v>
      </c>
      <c r="BO21" s="168">
        <f t="shared" si="33"/>
        <v>0.19021066544488016</v>
      </c>
      <c r="BP21" s="168">
        <f t="shared" si="33"/>
        <v>0.81935694041947127</v>
      </c>
      <c r="BQ21" s="168">
        <f t="shared" si="33"/>
        <v>0.57679786229838415</v>
      </c>
      <c r="BR21" s="176">
        <f t="shared" si="33"/>
        <v>0.73116176339839301</v>
      </c>
      <c r="BS21" s="168">
        <f t="shared" si="33"/>
        <v>0.19496241490195218</v>
      </c>
      <c r="BT21" s="168">
        <f t="shared" si="33"/>
        <v>1.7316967875119724</v>
      </c>
      <c r="BU21" s="168">
        <f t="shared" si="33"/>
        <v>1.1382400694651653</v>
      </c>
      <c r="BV21" s="168">
        <f t="shared" si="33"/>
        <v>0.8896664315626418</v>
      </c>
      <c r="BW21" s="168">
        <f t="shared" ref="BW21:CL21" si="34">BW118/BW20%</f>
        <v>0.72932694290988231</v>
      </c>
      <c r="BX21" s="168">
        <f t="shared" si="34"/>
        <v>0.62242165922545201</v>
      </c>
      <c r="BY21" s="168">
        <f t="shared" si="34"/>
        <v>0.42936724762099876</v>
      </c>
      <c r="BZ21" s="168">
        <f t="shared" si="34"/>
        <v>0.89249919207230399</v>
      </c>
      <c r="CA21" s="168">
        <f t="shared" si="34"/>
        <v>0.69068894322692287</v>
      </c>
      <c r="CB21" s="176">
        <f t="shared" si="34"/>
        <v>0.88189665229511083</v>
      </c>
      <c r="CC21" s="168">
        <f t="shared" si="34"/>
        <v>0.3825951717445813</v>
      </c>
      <c r="CD21" s="168">
        <f t="shared" si="34"/>
        <v>0.27010465474952927</v>
      </c>
      <c r="CE21" s="168">
        <f t="shared" si="34"/>
        <v>0.49071527443546148</v>
      </c>
      <c r="CF21" s="168">
        <f t="shared" si="34"/>
        <v>0.1047248250496994</v>
      </c>
      <c r="CG21" s="168">
        <f t="shared" si="34"/>
        <v>1.656911599623881</v>
      </c>
      <c r="CH21" s="168">
        <f t="shared" si="34"/>
        <v>1.2059345763264706</v>
      </c>
      <c r="CI21" s="168">
        <f t="shared" si="34"/>
        <v>0.81748528660498099</v>
      </c>
      <c r="CJ21" s="168">
        <f t="shared" si="34"/>
        <v>1.1748936637313347</v>
      </c>
      <c r="CK21" s="169">
        <f t="shared" si="34"/>
        <v>1.5065069731375593</v>
      </c>
      <c r="CL21" s="177">
        <f t="shared" si="34"/>
        <v>0.54280396299648337</v>
      </c>
    </row>
    <row r="22" spans="1:90">
      <c r="A22" s="80">
        <f>ROWS($A$3:A20)</f>
        <v>18</v>
      </c>
      <c r="B22" s="59" t="s">
        <v>66</v>
      </c>
      <c r="C22" s="204">
        <v>2010</v>
      </c>
      <c r="D22" s="260"/>
      <c r="E22" s="435"/>
      <c r="F22" s="116"/>
      <c r="G22" s="137"/>
      <c r="H22" s="137"/>
      <c r="I22" s="138"/>
      <c r="J22" s="141"/>
      <c r="K22" s="116"/>
      <c r="L22" s="137"/>
      <c r="M22" s="137"/>
      <c r="N22" s="137"/>
      <c r="O22" s="137"/>
      <c r="P22" s="137"/>
      <c r="Q22" s="137">
        <f>'2012'!AU22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D23" s="260" t="s">
        <v>13</v>
      </c>
      <c r="E23" s="437">
        <v>40679</v>
      </c>
      <c r="F23" s="116">
        <v>14397</v>
      </c>
      <c r="G23" s="137">
        <v>4930</v>
      </c>
      <c r="H23" s="137">
        <v>13611</v>
      </c>
      <c r="I23" s="138">
        <v>11574</v>
      </c>
      <c r="J23" s="141"/>
      <c r="K23" s="116">
        <f t="shared" ref="K23:K33" si="35">BF23</f>
        <v>1827</v>
      </c>
      <c r="L23" s="137">
        <f t="shared" ref="L23:L33" si="36">AY23</f>
        <v>1288</v>
      </c>
      <c r="M23" s="137">
        <f t="shared" ref="M23:M33" si="37">BD23</f>
        <v>1552</v>
      </c>
      <c r="N23" s="137">
        <f t="shared" ref="N23:N33" si="38">AW23</f>
        <v>782</v>
      </c>
      <c r="O23" s="137">
        <f t="shared" ref="O23:O33" si="39">BE23</f>
        <v>581</v>
      </c>
      <c r="P23" s="137">
        <f>'2012'!AZ23+'2012'!BA23</f>
        <v>2309</v>
      </c>
      <c r="Q23" s="137">
        <f>'2012'!AU23</f>
        <v>604</v>
      </c>
      <c r="R23" s="137">
        <f t="shared" ref="R23:R29" si="40">AT23+AX23</f>
        <v>1535</v>
      </c>
      <c r="S23" s="137">
        <f t="shared" ref="S23:S33" si="41">AV23</f>
        <v>659</v>
      </c>
      <c r="T23" s="137">
        <f t="shared" ref="T23:U33" si="42">BB23</f>
        <v>1229</v>
      </c>
      <c r="U23" s="139">
        <f t="shared" si="42"/>
        <v>2031</v>
      </c>
      <c r="V23" s="137">
        <f t="shared" ref="V23:V29" si="43">BG23+BJ23</f>
        <v>661</v>
      </c>
      <c r="W23" s="137">
        <f t="shared" ref="W23:W33" si="44">BR23</f>
        <v>517</v>
      </c>
      <c r="X23" s="137">
        <f t="shared" ref="X23:X29" si="45">BH23+BI23</f>
        <v>828</v>
      </c>
      <c r="Y23" s="137">
        <f t="shared" ref="Y23:Y29" si="46">BK23+BL23+BN23</f>
        <v>1125</v>
      </c>
      <c r="Z23" s="137">
        <f t="shared" ref="Z23:Z33" si="47">BM23</f>
        <v>878</v>
      </c>
      <c r="AA23" s="137">
        <f t="shared" ref="AA23:AA29" si="48">BO23+BQ23</f>
        <v>457</v>
      </c>
      <c r="AB23" s="139">
        <f t="shared" ref="AB23:AB33" si="49">BP23</f>
        <v>464</v>
      </c>
      <c r="AC23" s="137">
        <f t="shared" ref="AC23:AC33" si="50">BX23</f>
        <v>1037</v>
      </c>
      <c r="AD23" s="137">
        <f t="shared" ref="AD23:AD33" si="51">BU23</f>
        <v>1422</v>
      </c>
      <c r="AE23" s="137">
        <f t="shared" ref="AE23:AE29" si="52">BS23+BT23</f>
        <v>3099</v>
      </c>
      <c r="AF23" s="137">
        <f t="shared" ref="AF23:AF33" si="53">CA23</f>
        <v>1074</v>
      </c>
      <c r="AG23" s="137">
        <f t="shared" ref="AG23:AG33" si="54">BV23</f>
        <v>3572</v>
      </c>
      <c r="AH23" s="137">
        <f t="shared" ref="AH23:AH33" si="55">BZ23</f>
        <v>900</v>
      </c>
      <c r="AI23" s="137">
        <f t="shared" ref="AI23:AI33" si="56">BW23</f>
        <v>800</v>
      </c>
      <c r="AJ23" s="137">
        <f t="shared" ref="AJ23:AJ33" si="57">BY23</f>
        <v>465</v>
      </c>
      <c r="AK23" s="139">
        <f t="shared" ref="AK23:AK33" si="58">CB23</f>
        <v>1242</v>
      </c>
      <c r="AL23" s="137">
        <f t="shared" ref="AL23:AL33" si="59">CE23</f>
        <v>755</v>
      </c>
      <c r="AM23" s="137">
        <f t="shared" ref="AM23:AM33" si="60">CH23</f>
        <v>1848</v>
      </c>
      <c r="AN23" s="137">
        <f t="shared" ref="AN23:AN33" si="61">CJ23</f>
        <v>2560</v>
      </c>
      <c r="AO23" s="137">
        <f t="shared" ref="AO23:AP33" si="62">CC23</f>
        <v>1058</v>
      </c>
      <c r="AP23" s="137">
        <f t="shared" si="62"/>
        <v>419</v>
      </c>
      <c r="AQ23" s="137">
        <f t="shared" ref="AQ23:AQ33" si="63">CK23</f>
        <v>1248</v>
      </c>
      <c r="AR23" s="137">
        <f t="shared" ref="AR23:AR33" si="64">CI23</f>
        <v>1677</v>
      </c>
      <c r="AS23" s="138">
        <f t="shared" ref="AS23:AS29" si="65">CF23+CG23</f>
        <v>2009</v>
      </c>
      <c r="AT23" s="137">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c r="A24" s="80">
        <f>ROWS($A$3:A22)</f>
        <v>20</v>
      </c>
      <c r="B24" s="52" t="s">
        <v>249</v>
      </c>
      <c r="C24" s="201"/>
      <c r="D24" s="260" t="s">
        <v>13</v>
      </c>
      <c r="E24" s="437">
        <v>40679</v>
      </c>
      <c r="F24" s="116">
        <v>2777</v>
      </c>
      <c r="G24" s="137">
        <v>850</v>
      </c>
      <c r="H24" s="137">
        <v>3557</v>
      </c>
      <c r="I24" s="138">
        <v>913</v>
      </c>
      <c r="J24" s="141"/>
      <c r="K24" s="116">
        <f t="shared" si="35"/>
        <v>84</v>
      </c>
      <c r="L24" s="137">
        <f t="shared" si="36"/>
        <v>428</v>
      </c>
      <c r="M24" s="137">
        <f t="shared" si="37"/>
        <v>173</v>
      </c>
      <c r="N24" s="137">
        <f t="shared" si="38"/>
        <v>84</v>
      </c>
      <c r="O24" s="137">
        <f t="shared" si="39"/>
        <v>22</v>
      </c>
      <c r="P24" s="137">
        <f>'2012'!AZ24+'2012'!BA24</f>
        <v>881</v>
      </c>
      <c r="Q24" s="137">
        <f>'2012'!AU24</f>
        <v>52</v>
      </c>
      <c r="R24" s="137">
        <f t="shared" si="40"/>
        <v>598</v>
      </c>
      <c r="S24" s="137">
        <f t="shared" si="41"/>
        <v>131</v>
      </c>
      <c r="T24" s="137">
        <f t="shared" si="42"/>
        <v>261</v>
      </c>
      <c r="U24" s="139">
        <f t="shared" si="42"/>
        <v>63</v>
      </c>
      <c r="V24" s="137">
        <f t="shared" si="43"/>
        <v>304</v>
      </c>
      <c r="W24" s="137">
        <f t="shared" si="44"/>
        <v>24</v>
      </c>
      <c r="X24" s="137">
        <f t="shared" si="45"/>
        <v>160</v>
      </c>
      <c r="Y24" s="137">
        <f t="shared" si="46"/>
        <v>225</v>
      </c>
      <c r="Z24" s="137">
        <f t="shared" si="47"/>
        <v>34</v>
      </c>
      <c r="AA24" s="137">
        <f t="shared" si="48"/>
        <v>78</v>
      </c>
      <c r="AB24" s="139">
        <f t="shared" si="49"/>
        <v>25</v>
      </c>
      <c r="AC24" s="137">
        <f t="shared" si="50"/>
        <v>16</v>
      </c>
      <c r="AD24" s="137">
        <f t="shared" si="51"/>
        <v>514</v>
      </c>
      <c r="AE24" s="137">
        <f t="shared" si="52"/>
        <v>1264</v>
      </c>
      <c r="AF24" s="137">
        <f t="shared" si="53"/>
        <v>215</v>
      </c>
      <c r="AG24" s="137">
        <f t="shared" si="54"/>
        <v>1291</v>
      </c>
      <c r="AH24" s="137">
        <f t="shared" si="55"/>
        <v>174</v>
      </c>
      <c r="AI24" s="137">
        <f t="shared" si="56"/>
        <v>21</v>
      </c>
      <c r="AJ24" s="137">
        <f t="shared" si="57"/>
        <v>11</v>
      </c>
      <c r="AK24" s="139">
        <f t="shared" si="58"/>
        <v>51</v>
      </c>
      <c r="AL24" s="137">
        <f t="shared" si="59"/>
        <v>23</v>
      </c>
      <c r="AM24" s="137">
        <f t="shared" si="60"/>
        <v>56</v>
      </c>
      <c r="AN24" s="137">
        <f t="shared" si="61"/>
        <v>152</v>
      </c>
      <c r="AO24" s="137">
        <f t="shared" si="62"/>
        <v>53</v>
      </c>
      <c r="AP24" s="137">
        <f t="shared" si="62"/>
        <v>41</v>
      </c>
      <c r="AQ24" s="137">
        <f t="shared" si="63"/>
        <v>40</v>
      </c>
      <c r="AR24" s="137">
        <f t="shared" si="64"/>
        <v>467</v>
      </c>
      <c r="AS24" s="138">
        <f t="shared" si="65"/>
        <v>81</v>
      </c>
      <c r="AT24" s="137">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c r="A25" s="80">
        <f>ROWS($A$3:A23)</f>
        <v>21</v>
      </c>
      <c r="B25" s="52" t="s">
        <v>250</v>
      </c>
      <c r="C25" s="201"/>
      <c r="D25" s="260" t="s">
        <v>13</v>
      </c>
      <c r="E25" s="437">
        <v>40679</v>
      </c>
      <c r="F25" s="116">
        <v>2154</v>
      </c>
      <c r="G25" s="137">
        <v>818</v>
      </c>
      <c r="H25" s="137">
        <v>2929</v>
      </c>
      <c r="I25" s="138">
        <v>1792</v>
      </c>
      <c r="J25" s="141"/>
      <c r="K25" s="116">
        <f t="shared" si="35"/>
        <v>347</v>
      </c>
      <c r="L25" s="137">
        <f t="shared" si="36"/>
        <v>246</v>
      </c>
      <c r="M25" s="137">
        <f t="shared" si="37"/>
        <v>183</v>
      </c>
      <c r="N25" s="137">
        <f t="shared" si="38"/>
        <v>115</v>
      </c>
      <c r="O25" s="137">
        <f t="shared" si="39"/>
        <v>78</v>
      </c>
      <c r="P25" s="137">
        <f>'2012'!AZ25+'2012'!BA25</f>
        <v>334</v>
      </c>
      <c r="Q25" s="137">
        <f>'2012'!AU25</f>
        <v>101</v>
      </c>
      <c r="R25" s="137">
        <f t="shared" si="40"/>
        <v>157</v>
      </c>
      <c r="S25" s="137">
        <f t="shared" si="41"/>
        <v>117</v>
      </c>
      <c r="T25" s="137">
        <f t="shared" si="42"/>
        <v>176</v>
      </c>
      <c r="U25" s="139">
        <f t="shared" si="42"/>
        <v>300</v>
      </c>
      <c r="V25" s="137">
        <f t="shared" si="43"/>
        <v>105</v>
      </c>
      <c r="W25" s="137">
        <f t="shared" si="44"/>
        <v>135</v>
      </c>
      <c r="X25" s="137">
        <f t="shared" si="45"/>
        <v>121</v>
      </c>
      <c r="Y25" s="137">
        <f t="shared" si="46"/>
        <v>133</v>
      </c>
      <c r="Z25" s="137">
        <f t="shared" si="47"/>
        <v>128</v>
      </c>
      <c r="AA25" s="137">
        <f t="shared" si="48"/>
        <v>64</v>
      </c>
      <c r="AB25" s="139">
        <f t="shared" si="49"/>
        <v>132</v>
      </c>
      <c r="AC25" s="137">
        <f t="shared" si="50"/>
        <v>215</v>
      </c>
      <c r="AD25" s="137">
        <f t="shared" si="51"/>
        <v>289</v>
      </c>
      <c r="AE25" s="137">
        <f t="shared" si="52"/>
        <v>516</v>
      </c>
      <c r="AF25" s="137">
        <f t="shared" si="53"/>
        <v>229</v>
      </c>
      <c r="AG25" s="137">
        <f t="shared" si="54"/>
        <v>928</v>
      </c>
      <c r="AH25" s="137">
        <f t="shared" si="55"/>
        <v>120</v>
      </c>
      <c r="AI25" s="137">
        <f t="shared" si="56"/>
        <v>198</v>
      </c>
      <c r="AJ25" s="137">
        <f t="shared" si="57"/>
        <v>86</v>
      </c>
      <c r="AK25" s="139">
        <f t="shared" si="58"/>
        <v>348</v>
      </c>
      <c r="AL25" s="137">
        <f t="shared" si="59"/>
        <v>173</v>
      </c>
      <c r="AM25" s="137">
        <f t="shared" si="60"/>
        <v>239</v>
      </c>
      <c r="AN25" s="137">
        <f t="shared" si="61"/>
        <v>311</v>
      </c>
      <c r="AO25" s="137">
        <f t="shared" si="62"/>
        <v>211</v>
      </c>
      <c r="AP25" s="137">
        <f t="shared" si="62"/>
        <v>71</v>
      </c>
      <c r="AQ25" s="137">
        <f t="shared" si="63"/>
        <v>218</v>
      </c>
      <c r="AR25" s="137">
        <f t="shared" si="64"/>
        <v>318</v>
      </c>
      <c r="AS25" s="138">
        <f t="shared" si="65"/>
        <v>251</v>
      </c>
      <c r="AT25" s="137">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c r="A26" s="80">
        <f>ROWS($A$3:A24)</f>
        <v>22</v>
      </c>
      <c r="B26" s="52" t="s">
        <v>251</v>
      </c>
      <c r="C26" s="201"/>
      <c r="D26" s="260" t="s">
        <v>13</v>
      </c>
      <c r="E26" s="437">
        <v>40679</v>
      </c>
      <c r="F26" s="116">
        <v>2758</v>
      </c>
      <c r="G26" s="137">
        <v>898</v>
      </c>
      <c r="H26" s="137">
        <v>2870</v>
      </c>
      <c r="I26" s="138">
        <v>2733</v>
      </c>
      <c r="J26" s="141"/>
      <c r="K26" s="116">
        <f t="shared" si="35"/>
        <v>495</v>
      </c>
      <c r="L26" s="137">
        <f t="shared" si="36"/>
        <v>245</v>
      </c>
      <c r="M26" s="137">
        <f t="shared" si="37"/>
        <v>303</v>
      </c>
      <c r="N26" s="137">
        <f t="shared" si="38"/>
        <v>160</v>
      </c>
      <c r="O26" s="137">
        <f t="shared" si="39"/>
        <v>123</v>
      </c>
      <c r="P26" s="137">
        <f>'2012'!AZ26+'2012'!BA26</f>
        <v>309</v>
      </c>
      <c r="Q26" s="137">
        <f>'2012'!AU26</f>
        <v>140</v>
      </c>
      <c r="R26" s="137">
        <f t="shared" si="40"/>
        <v>197</v>
      </c>
      <c r="S26" s="137">
        <f t="shared" si="41"/>
        <v>123</v>
      </c>
      <c r="T26" s="137">
        <f t="shared" si="42"/>
        <v>213</v>
      </c>
      <c r="U26" s="139">
        <f t="shared" si="42"/>
        <v>450</v>
      </c>
      <c r="V26" s="137">
        <f t="shared" si="43"/>
        <v>104</v>
      </c>
      <c r="W26" s="137">
        <f t="shared" si="44"/>
        <v>114</v>
      </c>
      <c r="X26" s="137">
        <f t="shared" si="45"/>
        <v>122</v>
      </c>
      <c r="Y26" s="137">
        <f t="shared" si="46"/>
        <v>175</v>
      </c>
      <c r="Z26" s="137">
        <f t="shared" si="47"/>
        <v>191</v>
      </c>
      <c r="AA26" s="137">
        <f t="shared" si="48"/>
        <v>85</v>
      </c>
      <c r="AB26" s="139">
        <f t="shared" si="49"/>
        <v>107</v>
      </c>
      <c r="AC26" s="137">
        <f t="shared" si="50"/>
        <v>228</v>
      </c>
      <c r="AD26" s="137">
        <f t="shared" si="51"/>
        <v>318</v>
      </c>
      <c r="AE26" s="137">
        <f t="shared" si="52"/>
        <v>534</v>
      </c>
      <c r="AF26" s="137">
        <f t="shared" si="53"/>
        <v>259</v>
      </c>
      <c r="AG26" s="137">
        <f t="shared" si="54"/>
        <v>707</v>
      </c>
      <c r="AH26" s="137">
        <f t="shared" si="55"/>
        <v>177</v>
      </c>
      <c r="AI26" s="137">
        <f t="shared" si="56"/>
        <v>207</v>
      </c>
      <c r="AJ26" s="137">
        <f t="shared" si="57"/>
        <v>113</v>
      </c>
      <c r="AK26" s="139">
        <f t="shared" si="58"/>
        <v>327</v>
      </c>
      <c r="AL26" s="137">
        <f t="shared" si="59"/>
        <v>183</v>
      </c>
      <c r="AM26" s="137">
        <f t="shared" si="60"/>
        <v>386</v>
      </c>
      <c r="AN26" s="137">
        <f t="shared" si="61"/>
        <v>617</v>
      </c>
      <c r="AO26" s="137">
        <f t="shared" si="62"/>
        <v>272</v>
      </c>
      <c r="AP26" s="137">
        <f t="shared" si="62"/>
        <v>91</v>
      </c>
      <c r="AQ26" s="137">
        <f t="shared" si="63"/>
        <v>306</v>
      </c>
      <c r="AR26" s="137">
        <f t="shared" si="64"/>
        <v>387</v>
      </c>
      <c r="AS26" s="138">
        <f t="shared" si="65"/>
        <v>491</v>
      </c>
      <c r="AT26" s="137">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c r="A27" s="80">
        <f>ROWS($A$3:A25)</f>
        <v>23</v>
      </c>
      <c r="B27" s="52" t="s">
        <v>252</v>
      </c>
      <c r="C27" s="201"/>
      <c r="D27" s="260" t="s">
        <v>13</v>
      </c>
      <c r="E27" s="437">
        <v>40679</v>
      </c>
      <c r="F27" s="116">
        <v>3588</v>
      </c>
      <c r="G27" s="137">
        <v>1000</v>
      </c>
      <c r="H27" s="137">
        <v>2416</v>
      </c>
      <c r="I27" s="138">
        <v>3349</v>
      </c>
      <c r="J27" s="141"/>
      <c r="K27" s="116">
        <f t="shared" si="35"/>
        <v>462</v>
      </c>
      <c r="L27" s="137">
        <f t="shared" si="36"/>
        <v>235</v>
      </c>
      <c r="M27" s="137">
        <f t="shared" si="37"/>
        <v>465</v>
      </c>
      <c r="N27" s="137">
        <f t="shared" si="38"/>
        <v>216</v>
      </c>
      <c r="O27" s="137">
        <f t="shared" si="39"/>
        <v>159</v>
      </c>
      <c r="P27" s="137">
        <f>'2012'!AZ27+'2012'!BA27</f>
        <v>418</v>
      </c>
      <c r="Q27" s="137">
        <f>'2012'!AU27</f>
        <v>153</v>
      </c>
      <c r="R27" s="137">
        <f t="shared" si="40"/>
        <v>371</v>
      </c>
      <c r="S27" s="137">
        <f t="shared" si="41"/>
        <v>155</v>
      </c>
      <c r="T27" s="137">
        <f t="shared" si="42"/>
        <v>298</v>
      </c>
      <c r="U27" s="139">
        <f t="shared" si="42"/>
        <v>656</v>
      </c>
      <c r="V27" s="137">
        <f t="shared" si="43"/>
        <v>58</v>
      </c>
      <c r="W27" s="137">
        <f t="shared" si="44"/>
        <v>129</v>
      </c>
      <c r="X27" s="137">
        <f t="shared" si="45"/>
        <v>147</v>
      </c>
      <c r="Y27" s="137">
        <f t="shared" si="46"/>
        <v>286</v>
      </c>
      <c r="Z27" s="137">
        <f t="shared" si="47"/>
        <v>210</v>
      </c>
      <c r="AA27" s="137">
        <f t="shared" si="48"/>
        <v>84</v>
      </c>
      <c r="AB27" s="139">
        <f t="shared" si="49"/>
        <v>86</v>
      </c>
      <c r="AC27" s="137">
        <f t="shared" si="50"/>
        <v>326</v>
      </c>
      <c r="AD27" s="137">
        <f t="shared" si="51"/>
        <v>210</v>
      </c>
      <c r="AE27" s="137">
        <f t="shared" si="52"/>
        <v>543</v>
      </c>
      <c r="AF27" s="137">
        <f t="shared" si="53"/>
        <v>255</v>
      </c>
      <c r="AG27" s="137">
        <f t="shared" si="54"/>
        <v>382</v>
      </c>
      <c r="AH27" s="137">
        <f t="shared" si="55"/>
        <v>190</v>
      </c>
      <c r="AI27" s="137">
        <f t="shared" si="56"/>
        <v>156</v>
      </c>
      <c r="AJ27" s="137">
        <f t="shared" si="57"/>
        <v>88</v>
      </c>
      <c r="AK27" s="139">
        <f t="shared" si="58"/>
        <v>266</v>
      </c>
      <c r="AL27" s="137">
        <f t="shared" si="59"/>
        <v>171</v>
      </c>
      <c r="AM27" s="137">
        <f t="shared" si="60"/>
        <v>605</v>
      </c>
      <c r="AN27" s="137">
        <f t="shared" si="61"/>
        <v>934</v>
      </c>
      <c r="AO27" s="137">
        <f t="shared" si="62"/>
        <v>256</v>
      </c>
      <c r="AP27" s="137">
        <f t="shared" si="62"/>
        <v>104</v>
      </c>
      <c r="AQ27" s="137">
        <f t="shared" si="63"/>
        <v>322</v>
      </c>
      <c r="AR27" s="137">
        <f t="shared" si="64"/>
        <v>351</v>
      </c>
      <c r="AS27" s="138">
        <f t="shared" si="65"/>
        <v>606</v>
      </c>
      <c r="AT27" s="137">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c r="A28" s="80">
        <f>ROWS($A$3:A26)</f>
        <v>24</v>
      </c>
      <c r="B28" s="52" t="s">
        <v>4</v>
      </c>
      <c r="C28" s="201"/>
      <c r="D28" s="260" t="s">
        <v>13</v>
      </c>
      <c r="E28" s="437">
        <v>40679</v>
      </c>
      <c r="F28" s="116">
        <v>2265</v>
      </c>
      <c r="G28" s="137">
        <v>809</v>
      </c>
      <c r="H28" s="137">
        <v>1258</v>
      </c>
      <c r="I28" s="138">
        <v>1995</v>
      </c>
      <c r="J28" s="141"/>
      <c r="K28" s="116">
        <f t="shared" si="35"/>
        <v>306</v>
      </c>
      <c r="L28" s="137">
        <f t="shared" si="36"/>
        <v>100</v>
      </c>
      <c r="M28" s="137">
        <f>BD28</f>
        <v>255</v>
      </c>
      <c r="N28" s="137">
        <f>AW28</f>
        <v>161</v>
      </c>
      <c r="O28" s="137">
        <f>BE28</f>
        <v>144</v>
      </c>
      <c r="P28" s="137">
        <f>'2012'!AZ28+'2012'!BA28</f>
        <v>252</v>
      </c>
      <c r="Q28" s="137">
        <f>'2012'!AU28</f>
        <v>110</v>
      </c>
      <c r="R28" s="137">
        <f>AT28+AX28</f>
        <v>179</v>
      </c>
      <c r="S28" s="137">
        <f>AV28</f>
        <v>103</v>
      </c>
      <c r="T28" s="137">
        <f>BB28</f>
        <v>198</v>
      </c>
      <c r="U28" s="139">
        <f>BC28</f>
        <v>457</v>
      </c>
      <c r="V28" s="137">
        <f>BG28+BJ28</f>
        <v>45</v>
      </c>
      <c r="W28" s="137">
        <f>BR28</f>
        <v>72</v>
      </c>
      <c r="X28" s="137">
        <f>BH28+BI28</f>
        <v>137</v>
      </c>
      <c r="Y28" s="137">
        <f>BK28+BL28+BN28</f>
        <v>218</v>
      </c>
      <c r="Z28" s="137">
        <f>BM28</f>
        <v>176</v>
      </c>
      <c r="AA28" s="137">
        <f>BO28+BQ28</f>
        <v>88</v>
      </c>
      <c r="AB28" s="139">
        <f>BP28</f>
        <v>73</v>
      </c>
      <c r="AC28" s="137">
        <f>BX28</f>
        <v>177</v>
      </c>
      <c r="AD28" s="137">
        <f>BU28</f>
        <v>65</v>
      </c>
      <c r="AE28" s="137">
        <f>BS28+BT28</f>
        <v>191</v>
      </c>
      <c r="AF28" s="137">
        <f>CA28</f>
        <v>97</v>
      </c>
      <c r="AG28" s="137">
        <f>BV28</f>
        <v>181</v>
      </c>
      <c r="AH28" s="137">
        <f>BZ28</f>
        <v>153</v>
      </c>
      <c r="AI28" s="137">
        <f>BW28</f>
        <v>140</v>
      </c>
      <c r="AJ28" s="137">
        <f>BY28</f>
        <v>80</v>
      </c>
      <c r="AK28" s="139">
        <f>CB28</f>
        <v>174</v>
      </c>
      <c r="AL28" s="137">
        <f>CE28</f>
        <v>100</v>
      </c>
      <c r="AM28" s="137">
        <f>CH28</f>
        <v>425</v>
      </c>
      <c r="AN28" s="137">
        <f>CJ28</f>
        <v>483</v>
      </c>
      <c r="AO28" s="137">
        <f>CC28</f>
        <v>163</v>
      </c>
      <c r="AP28" s="137">
        <f>CD28</f>
        <v>50</v>
      </c>
      <c r="AQ28" s="137">
        <f>CK28</f>
        <v>210</v>
      </c>
      <c r="AR28" s="137">
        <f>CI28</f>
        <v>125</v>
      </c>
      <c r="AS28" s="138">
        <f t="shared" si="65"/>
        <v>439</v>
      </c>
      <c r="AT28" s="137">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c r="A29" s="80">
        <f>ROWS($A$3:A27)</f>
        <v>25</v>
      </c>
      <c r="B29" s="52" t="s">
        <v>5</v>
      </c>
      <c r="C29" s="201"/>
      <c r="D29" s="260" t="s">
        <v>13</v>
      </c>
      <c r="E29" s="437">
        <v>40679</v>
      </c>
      <c r="F29" s="116">
        <v>855</v>
      </c>
      <c r="G29" s="137">
        <v>555</v>
      </c>
      <c r="H29" s="137">
        <v>581</v>
      </c>
      <c r="I29" s="138">
        <v>792</v>
      </c>
      <c r="J29" s="141"/>
      <c r="K29" s="116">
        <f t="shared" si="35"/>
        <v>133</v>
      </c>
      <c r="L29" s="137">
        <f t="shared" si="36"/>
        <v>34</v>
      </c>
      <c r="M29" s="137">
        <f t="shared" si="37"/>
        <v>173</v>
      </c>
      <c r="N29" s="137">
        <f t="shared" si="38"/>
        <v>46</v>
      </c>
      <c r="O29" s="137">
        <f t="shared" si="39"/>
        <v>55</v>
      </c>
      <c r="P29" s="137">
        <f>'2012'!AZ29+'2012'!BA29</f>
        <v>115</v>
      </c>
      <c r="Q29" s="137">
        <f>'2012'!AU29</f>
        <v>48</v>
      </c>
      <c r="R29" s="137">
        <f t="shared" si="40"/>
        <v>33</v>
      </c>
      <c r="S29" s="137">
        <f t="shared" si="41"/>
        <v>30</v>
      </c>
      <c r="T29" s="137">
        <f t="shared" si="42"/>
        <v>83</v>
      </c>
      <c r="U29" s="139">
        <f t="shared" si="42"/>
        <v>105</v>
      </c>
      <c r="V29" s="137">
        <f t="shared" si="43"/>
        <v>45</v>
      </c>
      <c r="W29" s="137">
        <f t="shared" si="44"/>
        <v>43</v>
      </c>
      <c r="X29" s="137">
        <f t="shared" si="45"/>
        <v>141</v>
      </c>
      <c r="Y29" s="137">
        <f t="shared" si="46"/>
        <v>88</v>
      </c>
      <c r="Z29" s="137">
        <f t="shared" si="47"/>
        <v>139</v>
      </c>
      <c r="AA29" s="137">
        <f t="shared" si="48"/>
        <v>58</v>
      </c>
      <c r="AB29" s="139">
        <f t="shared" si="49"/>
        <v>41</v>
      </c>
      <c r="AC29" s="137">
        <f t="shared" si="50"/>
        <v>75</v>
      </c>
      <c r="AD29" s="137">
        <f t="shared" si="51"/>
        <v>26</v>
      </c>
      <c r="AE29" s="137">
        <f t="shared" si="52"/>
        <v>51</v>
      </c>
      <c r="AF29" s="137">
        <f t="shared" si="53"/>
        <v>19</v>
      </c>
      <c r="AG29" s="137">
        <f t="shared" si="54"/>
        <v>83</v>
      </c>
      <c r="AH29" s="137">
        <f t="shared" si="55"/>
        <v>86</v>
      </c>
      <c r="AI29" s="137">
        <f t="shared" si="56"/>
        <v>78</v>
      </c>
      <c r="AJ29" s="137">
        <f t="shared" si="57"/>
        <v>87</v>
      </c>
      <c r="AK29" s="139">
        <f t="shared" si="58"/>
        <v>76</v>
      </c>
      <c r="AL29" s="137">
        <f t="shared" si="59"/>
        <v>105</v>
      </c>
      <c r="AM29" s="137">
        <f t="shared" si="60"/>
        <v>137</v>
      </c>
      <c r="AN29" s="137">
        <f t="shared" si="61"/>
        <v>63</v>
      </c>
      <c r="AO29" s="137">
        <f t="shared" si="62"/>
        <v>103</v>
      </c>
      <c r="AP29" s="137">
        <f t="shared" si="62"/>
        <v>62</v>
      </c>
      <c r="AQ29" s="137">
        <f t="shared" si="63"/>
        <v>152</v>
      </c>
      <c r="AR29" s="137">
        <f t="shared" si="64"/>
        <v>29</v>
      </c>
      <c r="AS29" s="138">
        <f t="shared" si="65"/>
        <v>141</v>
      </c>
      <c r="AT29" s="137">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c r="A30" s="80">
        <f>ROWS($A$3:A28)</f>
        <v>26</v>
      </c>
      <c r="B30" s="53" t="s">
        <v>256</v>
      </c>
      <c r="C30" s="261"/>
      <c r="D30" s="260" t="s">
        <v>1</v>
      </c>
      <c r="E30" s="435"/>
      <c r="F30" s="167">
        <f>F35/F23</f>
        <v>32.264638466347158</v>
      </c>
      <c r="G30" s="168">
        <f>G35/G23</f>
        <v>40.845436105476672</v>
      </c>
      <c r="H30" s="168">
        <f>H35/H23</f>
        <v>23.383219454852693</v>
      </c>
      <c r="I30" s="169">
        <f>I35/I23</f>
        <v>36.79255227233454</v>
      </c>
      <c r="J30" s="173"/>
      <c r="K30" s="178">
        <f t="shared" si="35"/>
        <v>35.38806787082649</v>
      </c>
      <c r="L30" s="179">
        <f t="shared" si="36"/>
        <v>19.795031055900623</v>
      </c>
      <c r="M30" s="179">
        <f t="shared" si="37"/>
        <v>43.84407216494845</v>
      </c>
      <c r="N30" s="179">
        <f t="shared" si="38"/>
        <v>35.966751918158565</v>
      </c>
      <c r="O30" s="179">
        <f t="shared" si="39"/>
        <v>45.077452667814114</v>
      </c>
      <c r="P30" s="168">
        <f>P35/P23</f>
        <v>25.152446946730187</v>
      </c>
      <c r="Q30" s="179">
        <f>'2012'!AU30</f>
        <v>36.519867549668874</v>
      </c>
      <c r="R30" s="168">
        <f>R35/R23</f>
        <v>22.584364820846904</v>
      </c>
      <c r="S30" s="179">
        <f t="shared" si="41"/>
        <v>29.792109256449166</v>
      </c>
      <c r="T30" s="179">
        <f t="shared" si="42"/>
        <v>33.543531326281531</v>
      </c>
      <c r="U30" s="180">
        <f t="shared" si="42"/>
        <v>37.588872476612508</v>
      </c>
      <c r="V30" s="168">
        <f>V35/V23</f>
        <v>24.246596066565811</v>
      </c>
      <c r="W30" s="179">
        <f t="shared" si="44"/>
        <v>36.584139264990327</v>
      </c>
      <c r="X30" s="168">
        <f>X35/X23</f>
        <v>48.205314009661834</v>
      </c>
      <c r="Y30" s="168">
        <f>Y35/Y23</f>
        <v>38.028444444444446</v>
      </c>
      <c r="Z30" s="179">
        <f t="shared" si="47"/>
        <v>52.759681093394079</v>
      </c>
      <c r="AA30" s="168">
        <f>AA35/AA23</f>
        <v>44.10503282275711</v>
      </c>
      <c r="AB30" s="180">
        <f t="shared" si="49"/>
        <v>37.181034482758619</v>
      </c>
      <c r="AC30" s="179">
        <f t="shared" si="50"/>
        <v>37.443587270973964</v>
      </c>
      <c r="AD30" s="179">
        <f t="shared" si="51"/>
        <v>15.685654008438819</v>
      </c>
      <c r="AE30" s="168">
        <f>AE35/AE23</f>
        <v>16.826072926750566</v>
      </c>
      <c r="AF30" s="179">
        <f t="shared" si="53"/>
        <v>21.553072625698324</v>
      </c>
      <c r="AG30" s="179">
        <f t="shared" si="54"/>
        <v>15.537513997760358</v>
      </c>
      <c r="AH30" s="179">
        <f t="shared" si="55"/>
        <v>37.394444444444446</v>
      </c>
      <c r="AI30" s="179">
        <f t="shared" si="56"/>
        <v>37.616250000000001</v>
      </c>
      <c r="AJ30" s="179">
        <f t="shared" si="57"/>
        <v>52.1505376344086</v>
      </c>
      <c r="AK30" s="180">
        <f t="shared" si="58"/>
        <v>30.872785829307567</v>
      </c>
      <c r="AL30" s="179">
        <f t="shared" si="59"/>
        <v>44.921854304635758</v>
      </c>
      <c r="AM30" s="179">
        <f t="shared" si="60"/>
        <v>41.305194805194802</v>
      </c>
      <c r="AN30" s="179">
        <f t="shared" si="61"/>
        <v>33.678125000000001</v>
      </c>
      <c r="AO30" s="179">
        <f t="shared" si="62"/>
        <v>40.339319470699429</v>
      </c>
      <c r="AP30" s="179">
        <f t="shared" si="62"/>
        <v>47.954653937947491</v>
      </c>
      <c r="AQ30" s="179">
        <f t="shared" si="63"/>
        <v>43.668269230769234</v>
      </c>
      <c r="AR30" s="179">
        <f t="shared" si="64"/>
        <v>19.904591532498511</v>
      </c>
      <c r="AS30" s="169">
        <f>AS35/AS23</f>
        <v>39.184171229467395</v>
      </c>
      <c r="AT30" s="168">
        <f>AT35/AT23</f>
        <v>12.631313131313131</v>
      </c>
      <c r="AU30" s="168">
        <f>AU35/AU23</f>
        <v>36.519867549668874</v>
      </c>
      <c r="AV30" s="168">
        <f t="shared" ref="AV30:CL30" si="66">AV35/AV23</f>
        <v>29.792109256449166</v>
      </c>
      <c r="AW30" s="168">
        <f t="shared" si="66"/>
        <v>35.966751918158565</v>
      </c>
      <c r="AX30" s="168">
        <f>AX35/AX23</f>
        <v>24.05833956619297</v>
      </c>
      <c r="AY30" s="168">
        <f t="shared" si="66"/>
        <v>19.795031055900623</v>
      </c>
      <c r="AZ30" s="168">
        <f t="shared" si="66"/>
        <v>22.846994535519126</v>
      </c>
      <c r="BA30" s="168">
        <f t="shared" si="66"/>
        <v>25.350893697083727</v>
      </c>
      <c r="BB30" s="168">
        <f t="shared" si="66"/>
        <v>33.543531326281531</v>
      </c>
      <c r="BC30" s="168">
        <f t="shared" si="66"/>
        <v>37.588872476612508</v>
      </c>
      <c r="BD30" s="168">
        <f t="shared" si="66"/>
        <v>43.84407216494845</v>
      </c>
      <c r="BE30" s="168">
        <f t="shared" si="66"/>
        <v>45.077452667814114</v>
      </c>
      <c r="BF30" s="176">
        <f t="shared" si="66"/>
        <v>35.38806787082649</v>
      </c>
      <c r="BG30" s="168">
        <f t="shared" si="66"/>
        <v>13.307017543859649</v>
      </c>
      <c r="BH30" s="168">
        <f>BH35/BH23</f>
        <v>38.738461538461536</v>
      </c>
      <c r="BI30" s="168">
        <f>BI35/BI23</f>
        <v>49.011795543905635</v>
      </c>
      <c r="BJ30" s="168">
        <f>BJ35/BJ23</f>
        <v>26.526508226691043</v>
      </c>
      <c r="BK30" s="168">
        <f t="shared" si="66"/>
        <v>20.573033707865168</v>
      </c>
      <c r="BL30" s="168">
        <f t="shared" si="66"/>
        <v>41.362318840579711</v>
      </c>
      <c r="BM30" s="168">
        <f>BM35/BM23</f>
        <v>52.759681093394079</v>
      </c>
      <c r="BN30" s="168">
        <f t="shared" si="66"/>
        <v>39.397104446742503</v>
      </c>
      <c r="BO30" s="168">
        <f t="shared" si="66"/>
        <v>42.458333333333336</v>
      </c>
      <c r="BP30" s="168">
        <f t="shared" si="66"/>
        <v>37.181034482758619</v>
      </c>
      <c r="BQ30" s="168">
        <f>BQ35/BQ23</f>
        <v>44.196304849884527</v>
      </c>
      <c r="BR30" s="176">
        <f t="shared" si="66"/>
        <v>36.584139264990327</v>
      </c>
      <c r="BS30" s="168">
        <f t="shared" si="66"/>
        <v>16.102803738317757</v>
      </c>
      <c r="BT30" s="168">
        <f t="shared" si="66"/>
        <v>16.879722703639516</v>
      </c>
      <c r="BU30" s="168">
        <f t="shared" si="66"/>
        <v>15.685654008438819</v>
      </c>
      <c r="BV30" s="168">
        <f t="shared" si="66"/>
        <v>15.537513997760358</v>
      </c>
      <c r="BW30" s="168">
        <f t="shared" si="66"/>
        <v>37.616250000000001</v>
      </c>
      <c r="BX30" s="168">
        <f t="shared" si="66"/>
        <v>37.443587270973964</v>
      </c>
      <c r="BY30" s="168">
        <f t="shared" si="66"/>
        <v>52.1505376344086</v>
      </c>
      <c r="BZ30" s="168">
        <f t="shared" si="66"/>
        <v>37.394444444444446</v>
      </c>
      <c r="CA30" s="168">
        <f t="shared" si="66"/>
        <v>21.553072625698324</v>
      </c>
      <c r="CB30" s="176">
        <f t="shared" si="66"/>
        <v>30.872785829307567</v>
      </c>
      <c r="CC30" s="168">
        <f t="shared" si="66"/>
        <v>40.339319470699429</v>
      </c>
      <c r="CD30" s="168">
        <f t="shared" si="66"/>
        <v>47.954653937947491</v>
      </c>
      <c r="CE30" s="168">
        <f t="shared" si="66"/>
        <v>44.921854304635758</v>
      </c>
      <c r="CF30" s="168">
        <f t="shared" si="66"/>
        <v>39.779661016949156</v>
      </c>
      <c r="CG30" s="168">
        <f t="shared" si="66"/>
        <v>39.147012162876784</v>
      </c>
      <c r="CH30" s="168">
        <f t="shared" si="66"/>
        <v>41.305194805194802</v>
      </c>
      <c r="CI30" s="168">
        <f t="shared" si="66"/>
        <v>19.904591532498511</v>
      </c>
      <c r="CJ30" s="168">
        <f t="shared" si="66"/>
        <v>33.678125000000001</v>
      </c>
      <c r="CK30" s="169">
        <f t="shared" si="66"/>
        <v>43.668269230769234</v>
      </c>
      <c r="CL30" s="177">
        <f t="shared" si="66"/>
        <v>31.67658159597412</v>
      </c>
    </row>
    <row r="31" spans="1:90">
      <c r="A31" s="80">
        <f>ROWS($A$3:A29)</f>
        <v>27</v>
      </c>
      <c r="B31" s="53" t="str">
        <f>"Entwicklung Betriebe ab 5 ha LF von 2001 / "&amp;C22</f>
        <v>Entwicklung Betriebe ab 5 ha LF von 2001 / 2010</v>
      </c>
      <c r="C31" s="261"/>
      <c r="D31" s="260" t="s">
        <v>3</v>
      </c>
      <c r="E31" s="435"/>
      <c r="F31" s="142">
        <f>(F23-F24)/('2001'!F23-'2001'!F24)%-100</f>
        <v>-21.145494028230189</v>
      </c>
      <c r="G31" s="143">
        <f>(G23-G24)/('2001'!G23-'2001'!G24)%-100</f>
        <v>-19.779787652379085</v>
      </c>
      <c r="H31" s="143">
        <f>(H23-H24)/('2001'!H23-'2001'!H24)%-100</f>
        <v>-18.794927711816499</v>
      </c>
      <c r="I31" s="144">
        <f>(I23-I24)/('2001'!I23-'2001'!I24)%-100</f>
        <v>-22.273257509477986</v>
      </c>
      <c r="J31" s="141"/>
      <c r="K31" s="116">
        <f t="shared" si="35"/>
        <v>-23.485513608428448</v>
      </c>
      <c r="L31" s="137">
        <f t="shared" si="36"/>
        <v>-17.068466730954668</v>
      </c>
      <c r="M31" s="137">
        <f t="shared" si="37"/>
        <v>-25.499729875742844</v>
      </c>
      <c r="N31" s="137">
        <f t="shared" si="38"/>
        <v>-18.266978922716618</v>
      </c>
      <c r="O31" s="137">
        <f t="shared" si="39"/>
        <v>-16.442451420029897</v>
      </c>
      <c r="P31" s="143">
        <f>100-(P23%/((AZ23%)/(100-AZ31)+(BA23%)/(100-BA31)))</f>
        <v>-18.548595714788078</v>
      </c>
      <c r="Q31" s="146">
        <f>'2012'!AU31</f>
        <v>-23.54570637119113</v>
      </c>
      <c r="R31" s="143">
        <f>100-(R23%/((AT23%)/(100-AT31)+(AX23%)/(100-AX31)))</f>
        <v>-14.41252553892528</v>
      </c>
      <c r="S31" s="146">
        <f t="shared" si="41"/>
        <v>-19.878603945371779</v>
      </c>
      <c r="T31" s="146">
        <f t="shared" si="42"/>
        <v>-25.193199381761971</v>
      </c>
      <c r="U31" s="147">
        <f t="shared" si="42"/>
        <v>-21.78060413354531</v>
      </c>
      <c r="V31" s="143">
        <f>100-(V23%/((BG23%)/(100-BG31)+(BJ23%)/(100-BJ31)))</f>
        <v>-10.70248002776637</v>
      </c>
      <c r="W31" s="146">
        <f t="shared" si="44"/>
        <v>-21.993670886075947</v>
      </c>
      <c r="X31" s="143">
        <f>100-(X23%/((BH23%)/(100-BH31)+(BI23%)/(100-BI31)))</f>
        <v>-16.486772896849217</v>
      </c>
      <c r="Y31" s="143">
        <f>100-(Y23%/((BK23%)/(100-BK31)+(BL23%)/(100-BL31)+(BN23%)/(100-BN31)))</f>
        <v>-19.588690181733554</v>
      </c>
      <c r="Z31" s="146">
        <f t="shared" si="47"/>
        <v>-23.272727272727266</v>
      </c>
      <c r="AA31" s="143">
        <f>100-(AA23%/((BO23%)/(100-BO31)+(BQ23%)/(100-BQ31)))</f>
        <v>-17.259985971940282</v>
      </c>
      <c r="AB31" s="147">
        <f t="shared" si="49"/>
        <v>-23.519163763066203</v>
      </c>
      <c r="AC31" s="146">
        <f t="shared" si="50"/>
        <v>-19.984326018808773</v>
      </c>
      <c r="AD31" s="146">
        <f t="shared" si="51"/>
        <v>-14.015151515151516</v>
      </c>
      <c r="AE31" s="143">
        <f>100-(AE23%/((BS23%)/(100-BS31)+(BT23%)/(100-BT31)))</f>
        <v>-15.770382419758363</v>
      </c>
      <c r="AF31" s="146">
        <f t="shared" si="53"/>
        <v>-19.944082013047534</v>
      </c>
      <c r="AG31" s="146">
        <f t="shared" si="54"/>
        <v>-16.385630498533729</v>
      </c>
      <c r="AH31" s="146">
        <f t="shared" si="55"/>
        <v>-21.001088139281819</v>
      </c>
      <c r="AI31" s="146">
        <f t="shared" si="56"/>
        <v>-21.233569261880689</v>
      </c>
      <c r="AJ31" s="146">
        <f t="shared" si="57"/>
        <v>-24.333333333333329</v>
      </c>
      <c r="AK31" s="147">
        <f t="shared" si="58"/>
        <v>-23.653846153846146</v>
      </c>
      <c r="AL31" s="146">
        <f t="shared" si="59"/>
        <v>-20.950323974082067</v>
      </c>
      <c r="AM31" s="146">
        <f t="shared" si="60"/>
        <v>-22.357019064124771</v>
      </c>
      <c r="AN31" s="146">
        <f t="shared" si="61"/>
        <v>-20.78947368421052</v>
      </c>
      <c r="AO31" s="146">
        <f t="shared" si="62"/>
        <v>-22.453703703703709</v>
      </c>
      <c r="AP31" s="146">
        <f t="shared" si="62"/>
        <v>-23.943661971830977</v>
      </c>
      <c r="AQ31" s="146">
        <f t="shared" si="63"/>
        <v>-25.56993222427603</v>
      </c>
      <c r="AR31" s="146">
        <f t="shared" si="64"/>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c r="A32" s="80">
        <f>ROWS($A$3:A30)</f>
        <v>28</v>
      </c>
      <c r="B32" s="53" t="s">
        <v>170</v>
      </c>
      <c r="C32" s="261"/>
      <c r="D32" s="260" t="s">
        <v>3</v>
      </c>
      <c r="E32" s="435"/>
      <c r="F32" s="116">
        <v>37</v>
      </c>
      <c r="G32" s="137">
        <v>31</v>
      </c>
      <c r="H32" s="137">
        <v>28</v>
      </c>
      <c r="I32" s="138">
        <v>42</v>
      </c>
      <c r="J32" s="141"/>
      <c r="K32" s="116">
        <f t="shared" si="35"/>
        <v>35</v>
      </c>
      <c r="L32" s="137">
        <f t="shared" si="36"/>
        <v>35</v>
      </c>
      <c r="M32" s="137">
        <f t="shared" si="37"/>
        <v>34</v>
      </c>
      <c r="N32" s="137">
        <f t="shared" si="38"/>
        <v>42</v>
      </c>
      <c r="O32" s="137">
        <f t="shared" si="39"/>
        <v>41</v>
      </c>
      <c r="P32" s="143">
        <f>(AZ23*AZ32+BA23*BA32)/P23</f>
        <v>40.664356864443484</v>
      </c>
      <c r="Q32" s="146">
        <f>'2012'!AU32</f>
        <v>30</v>
      </c>
      <c r="R32" s="143">
        <f>(AT23*AT32+AX23*AX32)/R23</f>
        <v>41.095765472312706</v>
      </c>
      <c r="S32" s="146">
        <f t="shared" si="41"/>
        <v>35</v>
      </c>
      <c r="T32" s="146">
        <f t="shared" si="42"/>
        <v>38</v>
      </c>
      <c r="U32" s="147">
        <f t="shared" si="42"/>
        <v>47</v>
      </c>
      <c r="V32" s="143">
        <f>(BG23*BG32+BJ23*BJ32)/V23</f>
        <v>16.827534039334342</v>
      </c>
      <c r="W32" s="146">
        <f t="shared" si="44"/>
        <v>25</v>
      </c>
      <c r="X32" s="143">
        <f>(BH23*BH32+BI23*BI32)/X23</f>
        <v>33.706521739130437</v>
      </c>
      <c r="Y32" s="143">
        <f>(BK23*BK32+BL23*BL32+BN23*BN32)/Y23</f>
        <v>43.694222222222223</v>
      </c>
      <c r="Z32" s="146">
        <f t="shared" si="47"/>
        <v>33</v>
      </c>
      <c r="AA32" s="143">
        <f>(BO23*BO32+BQ23*BQ32)/AA23</f>
        <v>31.997811816192559</v>
      </c>
      <c r="AB32" s="147">
        <f t="shared" si="49"/>
        <v>26</v>
      </c>
      <c r="AC32" s="146">
        <f t="shared" si="50"/>
        <v>36</v>
      </c>
      <c r="AD32" s="146">
        <f t="shared" si="51"/>
        <v>28</v>
      </c>
      <c r="AE32" s="143">
        <f>(BS23*BS32+BT23*BT32)/AE23</f>
        <v>32.138109067441107</v>
      </c>
      <c r="AF32" s="146">
        <f t="shared" si="53"/>
        <v>29</v>
      </c>
      <c r="AG32" s="146">
        <f t="shared" si="54"/>
        <v>30</v>
      </c>
      <c r="AH32" s="146">
        <f t="shared" si="55"/>
        <v>45</v>
      </c>
      <c r="AI32" s="146">
        <f t="shared" si="56"/>
        <v>26</v>
      </c>
      <c r="AJ32" s="146">
        <f t="shared" si="57"/>
        <v>26</v>
      </c>
      <c r="AK32" s="147">
        <f t="shared" si="58"/>
        <v>27</v>
      </c>
      <c r="AL32" s="146">
        <f t="shared" si="59"/>
        <v>23</v>
      </c>
      <c r="AM32" s="146">
        <f t="shared" si="60"/>
        <v>49</v>
      </c>
      <c r="AN32" s="146">
        <f t="shared" si="61"/>
        <v>59</v>
      </c>
      <c r="AO32" s="146">
        <f t="shared" si="62"/>
        <v>28</v>
      </c>
      <c r="AP32" s="146">
        <f t="shared" si="62"/>
        <v>24</v>
      </c>
      <c r="AQ32" s="146">
        <f t="shared" si="63"/>
        <v>34</v>
      </c>
      <c r="AR32" s="146">
        <f t="shared" si="64"/>
        <v>48</v>
      </c>
      <c r="AS32" s="144">
        <f>(CF23*CF32+CG23*CG32)/AS23</f>
        <v>41.411149825783973</v>
      </c>
      <c r="AT32" s="146">
        <v>62</v>
      </c>
      <c r="AU32" s="137">
        <v>30</v>
      </c>
      <c r="AV32" s="137">
        <v>35</v>
      </c>
      <c r="AW32" s="137">
        <v>42</v>
      </c>
      <c r="AX32" s="137">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c r="A33" s="80">
        <f>ROWS($A$3:A31)</f>
        <v>29</v>
      </c>
      <c r="B33" s="53" t="s">
        <v>68</v>
      </c>
      <c r="C33" s="261"/>
      <c r="D33" s="260" t="s">
        <v>3</v>
      </c>
      <c r="E33" s="435"/>
      <c r="F33" s="142">
        <f>100-F32</f>
        <v>63</v>
      </c>
      <c r="G33" s="143">
        <f>100-G32</f>
        <v>69</v>
      </c>
      <c r="H33" s="143">
        <f>100-H32</f>
        <v>72</v>
      </c>
      <c r="I33" s="144">
        <f>100-I32</f>
        <v>58</v>
      </c>
      <c r="J33" s="141"/>
      <c r="K33" s="145">
        <f t="shared" si="35"/>
        <v>65</v>
      </c>
      <c r="L33" s="146">
        <f t="shared" si="36"/>
        <v>65</v>
      </c>
      <c r="M33" s="146">
        <f t="shared" si="37"/>
        <v>66</v>
      </c>
      <c r="N33" s="146">
        <f t="shared" si="38"/>
        <v>58</v>
      </c>
      <c r="O33" s="146">
        <f t="shared" si="39"/>
        <v>59</v>
      </c>
      <c r="P33" s="143">
        <f>100-P32</f>
        <v>59.335643135556516</v>
      </c>
      <c r="Q33" s="146">
        <f>'2012'!AU33</f>
        <v>70</v>
      </c>
      <c r="R33" s="143">
        <f>100-R32</f>
        <v>58.904234527687294</v>
      </c>
      <c r="S33" s="146">
        <f t="shared" si="41"/>
        <v>65</v>
      </c>
      <c r="T33" s="146">
        <f t="shared" si="42"/>
        <v>62</v>
      </c>
      <c r="U33" s="147">
        <f t="shared" si="42"/>
        <v>53</v>
      </c>
      <c r="V33" s="143">
        <f>100-V32</f>
        <v>83.172465960665662</v>
      </c>
      <c r="W33" s="146">
        <f t="shared" si="44"/>
        <v>75</v>
      </c>
      <c r="X33" s="143">
        <f>100-X32</f>
        <v>66.293478260869563</v>
      </c>
      <c r="Y33" s="143">
        <f>100-Y32</f>
        <v>56.305777777777777</v>
      </c>
      <c r="Z33" s="146">
        <f t="shared" si="47"/>
        <v>67</v>
      </c>
      <c r="AA33" s="143">
        <f>100-AA32</f>
        <v>68.002188183807448</v>
      </c>
      <c r="AB33" s="147">
        <f t="shared" si="49"/>
        <v>74</v>
      </c>
      <c r="AC33" s="146">
        <f t="shared" si="50"/>
        <v>64</v>
      </c>
      <c r="AD33" s="146">
        <f t="shared" si="51"/>
        <v>72</v>
      </c>
      <c r="AE33" s="143">
        <f>100-AE32</f>
        <v>67.861890932558893</v>
      </c>
      <c r="AF33" s="146">
        <f t="shared" si="53"/>
        <v>71</v>
      </c>
      <c r="AG33" s="146">
        <f t="shared" si="54"/>
        <v>70</v>
      </c>
      <c r="AH33" s="146">
        <f t="shared" si="55"/>
        <v>55</v>
      </c>
      <c r="AI33" s="146">
        <f t="shared" si="56"/>
        <v>74</v>
      </c>
      <c r="AJ33" s="146">
        <f t="shared" si="57"/>
        <v>74</v>
      </c>
      <c r="AK33" s="147">
        <f t="shared" si="58"/>
        <v>73</v>
      </c>
      <c r="AL33" s="146">
        <f t="shared" si="59"/>
        <v>77</v>
      </c>
      <c r="AM33" s="146">
        <f t="shared" si="60"/>
        <v>51</v>
      </c>
      <c r="AN33" s="146">
        <f t="shared" si="61"/>
        <v>41</v>
      </c>
      <c r="AO33" s="146">
        <f t="shared" si="62"/>
        <v>72</v>
      </c>
      <c r="AP33" s="146">
        <f t="shared" si="62"/>
        <v>76</v>
      </c>
      <c r="AQ33" s="146">
        <f t="shared" si="63"/>
        <v>66</v>
      </c>
      <c r="AR33" s="146">
        <f t="shared" si="64"/>
        <v>52</v>
      </c>
      <c r="AS33" s="144">
        <f>100-AS32</f>
        <v>58.588850174216027</v>
      </c>
      <c r="AT33" s="143">
        <f>100-AT32</f>
        <v>38</v>
      </c>
      <c r="AU33" s="143">
        <f>100-AU32</f>
        <v>70</v>
      </c>
      <c r="AV33" s="143">
        <f t="shared" ref="AV33:CL33" si="67">100-AV32</f>
        <v>65</v>
      </c>
      <c r="AW33" s="143">
        <f t="shared" si="67"/>
        <v>58</v>
      </c>
      <c r="AX33" s="143">
        <f>100-AX32</f>
        <v>62</v>
      </c>
      <c r="AY33" s="143">
        <f t="shared" si="67"/>
        <v>65</v>
      </c>
      <c r="AZ33" s="143">
        <f t="shared" si="67"/>
        <v>40</v>
      </c>
      <c r="BA33" s="143">
        <f t="shared" si="67"/>
        <v>61</v>
      </c>
      <c r="BB33" s="143">
        <f t="shared" si="67"/>
        <v>62</v>
      </c>
      <c r="BC33" s="143">
        <f t="shared" si="67"/>
        <v>53</v>
      </c>
      <c r="BD33" s="143">
        <f t="shared" si="67"/>
        <v>66</v>
      </c>
      <c r="BE33" s="143">
        <f t="shared" si="67"/>
        <v>59</v>
      </c>
      <c r="BF33" s="148">
        <f t="shared" si="67"/>
        <v>65</v>
      </c>
      <c r="BG33" s="143">
        <f t="shared" si="67"/>
        <v>84</v>
      </c>
      <c r="BH33" s="143">
        <f>100-BH32</f>
        <v>58</v>
      </c>
      <c r="BI33" s="143">
        <f>100-BI32</f>
        <v>67</v>
      </c>
      <c r="BJ33" s="143">
        <f>100-BJ32</f>
        <v>83</v>
      </c>
      <c r="BK33" s="143">
        <f t="shared" si="67"/>
        <v>42</v>
      </c>
      <c r="BL33" s="143">
        <f t="shared" si="67"/>
        <v>37</v>
      </c>
      <c r="BM33" s="143">
        <f>100-BM32</f>
        <v>67</v>
      </c>
      <c r="BN33" s="143">
        <f t="shared" si="67"/>
        <v>59</v>
      </c>
      <c r="BO33" s="143">
        <f t="shared" si="67"/>
        <v>50</v>
      </c>
      <c r="BP33" s="143">
        <f t="shared" si="67"/>
        <v>74</v>
      </c>
      <c r="BQ33" s="143">
        <f>100-BQ32</f>
        <v>69</v>
      </c>
      <c r="BR33" s="148">
        <f t="shared" si="67"/>
        <v>75</v>
      </c>
      <c r="BS33" s="143">
        <f t="shared" si="67"/>
        <v>66</v>
      </c>
      <c r="BT33" s="143">
        <f t="shared" si="67"/>
        <v>68</v>
      </c>
      <c r="BU33" s="143">
        <f t="shared" si="67"/>
        <v>72</v>
      </c>
      <c r="BV33" s="143">
        <f t="shared" si="67"/>
        <v>70</v>
      </c>
      <c r="BW33" s="143">
        <f t="shared" si="67"/>
        <v>74</v>
      </c>
      <c r="BX33" s="143">
        <f t="shared" si="67"/>
        <v>64</v>
      </c>
      <c r="BY33" s="143">
        <f t="shared" si="67"/>
        <v>74</v>
      </c>
      <c r="BZ33" s="143">
        <f t="shared" si="67"/>
        <v>55</v>
      </c>
      <c r="CA33" s="143">
        <f t="shared" si="67"/>
        <v>71</v>
      </c>
      <c r="CB33" s="148">
        <f t="shared" si="67"/>
        <v>73</v>
      </c>
      <c r="CC33" s="143">
        <f t="shared" si="67"/>
        <v>72</v>
      </c>
      <c r="CD33" s="143">
        <f t="shared" si="67"/>
        <v>76</v>
      </c>
      <c r="CE33" s="143">
        <f t="shared" si="67"/>
        <v>77</v>
      </c>
      <c r="CF33" s="143">
        <f t="shared" si="67"/>
        <v>52</v>
      </c>
      <c r="CG33" s="143">
        <f t="shared" si="67"/>
        <v>59</v>
      </c>
      <c r="CH33" s="143">
        <f t="shared" si="67"/>
        <v>51</v>
      </c>
      <c r="CI33" s="143">
        <f t="shared" si="67"/>
        <v>52</v>
      </c>
      <c r="CJ33" s="143">
        <f t="shared" si="67"/>
        <v>41</v>
      </c>
      <c r="CK33" s="144">
        <f t="shared" si="67"/>
        <v>66</v>
      </c>
      <c r="CL33" s="149">
        <f t="shared" si="67"/>
        <v>64</v>
      </c>
    </row>
    <row r="34" spans="1:90">
      <c r="A34" s="80">
        <f>ROWS($A$3:A32)</f>
        <v>30</v>
      </c>
      <c r="B34" s="59" t="s">
        <v>69</v>
      </c>
      <c r="C34" s="395">
        <v>2010</v>
      </c>
      <c r="D34" s="260"/>
      <c r="E34" s="435"/>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92" t="s">
        <v>71</v>
      </c>
      <c r="C35" s="205"/>
      <c r="D35" s="259" t="s">
        <v>1</v>
      </c>
      <c r="E35" s="437">
        <v>40652</v>
      </c>
      <c r="F35" s="116">
        <v>464514</v>
      </c>
      <c r="G35" s="137">
        <v>201368</v>
      </c>
      <c r="H35" s="137">
        <v>318269</v>
      </c>
      <c r="I35" s="138">
        <v>425837</v>
      </c>
      <c r="J35" s="141"/>
      <c r="K35" s="116">
        <f>BF35</f>
        <v>64654</v>
      </c>
      <c r="L35" s="137">
        <f>AY35</f>
        <v>25496</v>
      </c>
      <c r="M35" s="137">
        <f>BD35</f>
        <v>68046</v>
      </c>
      <c r="N35" s="137">
        <f>AW35</f>
        <v>28126</v>
      </c>
      <c r="O35" s="137">
        <f>BE35</f>
        <v>26190</v>
      </c>
      <c r="P35" s="137">
        <f>'2012'!AZ35+'2012'!BA35</f>
        <v>58077</v>
      </c>
      <c r="Q35" s="137">
        <f>'2012'!AU35</f>
        <v>22058</v>
      </c>
      <c r="R35" s="137">
        <f t="shared" ref="R35:R41" si="68">AT35+AX35</f>
        <v>34667</v>
      </c>
      <c r="S35" s="137">
        <f>AV35</f>
        <v>19633</v>
      </c>
      <c r="T35" s="137">
        <f t="shared" ref="T35:U39" si="69">BB35</f>
        <v>41225</v>
      </c>
      <c r="U35" s="139">
        <f t="shared" si="69"/>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0">CC35</f>
        <v>42679</v>
      </c>
      <c r="AP35" s="137">
        <f t="shared" si="70"/>
        <v>20093</v>
      </c>
      <c r="AQ35" s="137">
        <f>CK35</f>
        <v>54498</v>
      </c>
      <c r="AR35" s="137">
        <f>CI35</f>
        <v>33380</v>
      </c>
      <c r="AS35" s="138">
        <f>CF35+CG35</f>
        <v>78721</v>
      </c>
      <c r="AT35" s="137">
        <v>2501</v>
      </c>
      <c r="AU35" s="137">
        <v>22058</v>
      </c>
      <c r="AV35" s="137">
        <v>19633</v>
      </c>
      <c r="AW35" s="137">
        <v>28126</v>
      </c>
      <c r="AX35" s="137">
        <v>32166</v>
      </c>
      <c r="AY35" s="137">
        <v>25496</v>
      </c>
      <c r="AZ35" s="137">
        <v>4181</v>
      </c>
      <c r="BA35" s="137">
        <v>53896</v>
      </c>
      <c r="BB35" s="137">
        <v>41225</v>
      </c>
      <c r="BC35" s="137">
        <v>76343</v>
      </c>
      <c r="BD35" s="137">
        <v>68046</v>
      </c>
      <c r="BE35" s="137">
        <v>26190</v>
      </c>
      <c r="BF35" s="139">
        <v>64654</v>
      </c>
      <c r="BG35" s="137">
        <v>1517</v>
      </c>
      <c r="BH35" s="137">
        <v>2518</v>
      </c>
      <c r="BI35" s="137">
        <v>37396</v>
      </c>
      <c r="BJ35" s="137">
        <v>14510</v>
      </c>
      <c r="BK35" s="137">
        <v>1831</v>
      </c>
      <c r="BL35" s="137">
        <v>2854</v>
      </c>
      <c r="BM35" s="137">
        <v>46323</v>
      </c>
      <c r="BN35" s="137">
        <v>38097</v>
      </c>
      <c r="BO35" s="137">
        <v>1019</v>
      </c>
      <c r="BP35" s="137">
        <v>17252</v>
      </c>
      <c r="BQ35" s="137">
        <v>19137</v>
      </c>
      <c r="BR35" s="139">
        <v>18914</v>
      </c>
      <c r="BS35" s="137">
        <v>3446</v>
      </c>
      <c r="BT35" s="137">
        <v>48698</v>
      </c>
      <c r="BU35" s="137">
        <v>22305</v>
      </c>
      <c r="BV35" s="137">
        <v>55500</v>
      </c>
      <c r="BW35" s="137">
        <v>30093</v>
      </c>
      <c r="BX35" s="137">
        <v>38829</v>
      </c>
      <c r="BY35" s="137">
        <v>24250</v>
      </c>
      <c r="BZ35" s="137">
        <v>33655</v>
      </c>
      <c r="CA35" s="137">
        <v>23148</v>
      </c>
      <c r="CB35" s="139">
        <v>38344</v>
      </c>
      <c r="CC35" s="137">
        <v>42679</v>
      </c>
      <c r="CD35" s="137">
        <v>20093</v>
      </c>
      <c r="CE35" s="137">
        <v>33916</v>
      </c>
      <c r="CF35" s="137">
        <v>4694</v>
      </c>
      <c r="CG35" s="137">
        <v>74027</v>
      </c>
      <c r="CH35" s="137">
        <v>76332</v>
      </c>
      <c r="CI35" s="137">
        <v>33380</v>
      </c>
      <c r="CJ35" s="137">
        <v>86216</v>
      </c>
      <c r="CK35" s="138">
        <v>54498</v>
      </c>
      <c r="CL35" s="140">
        <v>1409988</v>
      </c>
    </row>
    <row r="36" spans="1:90">
      <c r="A36" s="80">
        <f>ROWS($A$3:A34)</f>
        <v>32</v>
      </c>
      <c r="B36" s="92" t="s">
        <v>72</v>
      </c>
      <c r="C36" s="203"/>
      <c r="D36" s="259" t="s">
        <v>1</v>
      </c>
      <c r="E36" s="437">
        <v>40652</v>
      </c>
      <c r="F36" s="116">
        <v>311698</v>
      </c>
      <c r="G36" s="137">
        <v>141235</v>
      </c>
      <c r="H36" s="137">
        <v>142389</v>
      </c>
      <c r="I36" s="138">
        <v>233949</v>
      </c>
      <c r="J36" s="141"/>
      <c r="K36" s="116">
        <f>BF36</f>
        <v>34721</v>
      </c>
      <c r="L36" s="137">
        <f>AY36</f>
        <v>11730</v>
      </c>
      <c r="M36" s="137">
        <f>BD36</f>
        <v>59094</v>
      </c>
      <c r="N36" s="137">
        <f>AW36</f>
        <v>12509</v>
      </c>
      <c r="O36" s="137">
        <f>BE36</f>
        <v>16900</v>
      </c>
      <c r="P36" s="137">
        <f>'2012'!AZ36+'2012'!BA36</f>
        <v>44169</v>
      </c>
      <c r="Q36" s="137">
        <f>'2012'!AU36</f>
        <v>15243</v>
      </c>
      <c r="R36" s="137">
        <f t="shared" si="68"/>
        <v>25995</v>
      </c>
      <c r="S36" s="137">
        <f>AV36</f>
        <v>10169</v>
      </c>
      <c r="T36" s="137">
        <f t="shared" si="69"/>
        <v>30557</v>
      </c>
      <c r="U36" s="139">
        <f t="shared" si="69"/>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0"/>
        <v>20144</v>
      </c>
      <c r="AP36" s="137">
        <f t="shared" si="70"/>
        <v>13604</v>
      </c>
      <c r="AQ36" s="137">
        <f>CK36</f>
        <v>35032</v>
      </c>
      <c r="AR36" s="137">
        <f>CI36</f>
        <v>13924</v>
      </c>
      <c r="AS36" s="138">
        <f>CF36+CG36</f>
        <v>59389</v>
      </c>
      <c r="AT36" s="137">
        <v>1505</v>
      </c>
      <c r="AU36" s="137">
        <v>15243</v>
      </c>
      <c r="AV36" s="137">
        <v>10169</v>
      </c>
      <c r="AW36" s="137">
        <v>12509</v>
      </c>
      <c r="AX36" s="137">
        <v>24490</v>
      </c>
      <c r="AY36" s="137">
        <v>11730</v>
      </c>
      <c r="AZ36" s="137">
        <v>3228</v>
      </c>
      <c r="BA36" s="137">
        <v>40941</v>
      </c>
      <c r="BB36" s="137">
        <v>30557</v>
      </c>
      <c r="BC36" s="137">
        <v>50614</v>
      </c>
      <c r="BD36" s="137">
        <v>59094</v>
      </c>
      <c r="BE36" s="137">
        <v>16900</v>
      </c>
      <c r="BF36" s="139">
        <v>34721</v>
      </c>
      <c r="BG36" s="137">
        <v>574</v>
      </c>
      <c r="BH36" s="137">
        <v>1983</v>
      </c>
      <c r="BI36" s="137">
        <v>29516</v>
      </c>
      <c r="BJ36" s="137">
        <v>9747</v>
      </c>
      <c r="BK36" s="137">
        <v>1534</v>
      </c>
      <c r="BL36" s="137">
        <v>2446</v>
      </c>
      <c r="BM36" s="137">
        <v>35036</v>
      </c>
      <c r="BN36" s="137">
        <v>30039</v>
      </c>
      <c r="BO36" s="137">
        <v>530</v>
      </c>
      <c r="BP36" s="137">
        <v>8451</v>
      </c>
      <c r="BQ36" s="137">
        <v>11890</v>
      </c>
      <c r="BR36" s="139">
        <v>9490</v>
      </c>
      <c r="BS36" s="137">
        <v>1619</v>
      </c>
      <c r="BT36" s="137">
        <v>19255</v>
      </c>
      <c r="BU36" s="137">
        <v>10287</v>
      </c>
      <c r="BV36" s="137">
        <v>27684</v>
      </c>
      <c r="BW36" s="137">
        <v>16868</v>
      </c>
      <c r="BX36" s="137">
        <v>15862</v>
      </c>
      <c r="BY36" s="137">
        <v>9020</v>
      </c>
      <c r="BZ36" s="137">
        <v>19192</v>
      </c>
      <c r="CA36" s="137">
        <v>7269</v>
      </c>
      <c r="CB36" s="139">
        <v>15333</v>
      </c>
      <c r="CC36" s="137">
        <v>20144</v>
      </c>
      <c r="CD36" s="137">
        <v>13604</v>
      </c>
      <c r="CE36" s="137">
        <v>13101</v>
      </c>
      <c r="CF36" s="137">
        <v>4046</v>
      </c>
      <c r="CG36" s="137">
        <v>55343</v>
      </c>
      <c r="CH36" s="137">
        <v>51921</v>
      </c>
      <c r="CI36" s="137">
        <v>13924</v>
      </c>
      <c r="CJ36" s="137">
        <v>26833</v>
      </c>
      <c r="CK36" s="138">
        <v>35032</v>
      </c>
      <c r="CL36" s="140">
        <v>829272</v>
      </c>
    </row>
    <row r="37" spans="1:90">
      <c r="A37" s="80">
        <f>ROWS($A$3:A35)</f>
        <v>33</v>
      </c>
      <c r="B37" s="92" t="s">
        <v>6</v>
      </c>
      <c r="C37" s="203"/>
      <c r="D37" s="259" t="s">
        <v>1</v>
      </c>
      <c r="E37" s="437">
        <v>40652</v>
      </c>
      <c r="F37" s="116">
        <v>137597</v>
      </c>
      <c r="G37" s="137">
        <v>55922</v>
      </c>
      <c r="H37" s="137">
        <v>156404</v>
      </c>
      <c r="I37" s="138">
        <v>181770</v>
      </c>
      <c r="J37" s="141"/>
      <c r="K37" s="116">
        <f>BF37</f>
        <v>29497</v>
      </c>
      <c r="L37" s="137">
        <f>AY37</f>
        <v>12099</v>
      </c>
      <c r="M37" s="137">
        <f>BD37</f>
        <v>8022</v>
      </c>
      <c r="N37" s="137">
        <f>AW37</f>
        <v>15467</v>
      </c>
      <c r="O37" s="137">
        <f>BE37</f>
        <v>9260</v>
      </c>
      <c r="P37" s="137">
        <f>'2012'!AZ37+'2012'!BA37</f>
        <v>6934</v>
      </c>
      <c r="Q37" s="137">
        <f>'2012'!AU37</f>
        <v>6681</v>
      </c>
      <c r="R37" s="137">
        <f t="shared" si="68"/>
        <v>5997</v>
      </c>
      <c r="S37" s="137">
        <f>AV37</f>
        <v>9094</v>
      </c>
      <c r="T37" s="137">
        <f t="shared" si="69"/>
        <v>9049</v>
      </c>
      <c r="U37" s="139">
        <f t="shared" si="69"/>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0"/>
        <v>22343</v>
      </c>
      <c r="AP37" s="137">
        <f t="shared" si="70"/>
        <v>6418</v>
      </c>
      <c r="AQ37" s="137">
        <f>CK37</f>
        <v>19369</v>
      </c>
      <c r="AR37" s="137">
        <f>CI37</f>
        <v>11723</v>
      </c>
      <c r="AS37" s="138">
        <f>CF37+CG37</f>
        <v>19170</v>
      </c>
      <c r="AT37" s="137">
        <v>535</v>
      </c>
      <c r="AU37" s="137">
        <v>6681</v>
      </c>
      <c r="AV37" s="137">
        <v>9094</v>
      </c>
      <c r="AW37" s="137">
        <v>15467</v>
      </c>
      <c r="AX37" s="137">
        <v>5462</v>
      </c>
      <c r="AY37" s="137">
        <v>12099</v>
      </c>
      <c r="AZ37" s="137">
        <v>211</v>
      </c>
      <c r="BA37" s="137">
        <v>6723</v>
      </c>
      <c r="BB37" s="137">
        <v>9049</v>
      </c>
      <c r="BC37" s="137">
        <v>25496</v>
      </c>
      <c r="BD37" s="137">
        <v>8022</v>
      </c>
      <c r="BE37" s="137">
        <v>9260</v>
      </c>
      <c r="BF37" s="139">
        <v>29497</v>
      </c>
      <c r="BG37" s="137">
        <v>682</v>
      </c>
      <c r="BH37" s="137">
        <v>453</v>
      </c>
      <c r="BI37" s="137">
        <v>6930</v>
      </c>
      <c r="BJ37" s="137">
        <v>4004</v>
      </c>
      <c r="BK37" s="137">
        <v>220</v>
      </c>
      <c r="BL37" s="137">
        <v>400</v>
      </c>
      <c r="BM37" s="137">
        <v>10649</v>
      </c>
      <c r="BN37" s="137">
        <v>6932</v>
      </c>
      <c r="BO37" s="137">
        <v>489</v>
      </c>
      <c r="BP37" s="137">
        <v>8752</v>
      </c>
      <c r="BQ37" s="137">
        <v>7002</v>
      </c>
      <c r="BR37" s="139">
        <v>9409</v>
      </c>
      <c r="BS37" s="137">
        <v>1036</v>
      </c>
      <c r="BT37" s="137">
        <v>23403</v>
      </c>
      <c r="BU37" s="137">
        <v>9545</v>
      </c>
      <c r="BV37" s="137">
        <v>20564</v>
      </c>
      <c r="BW37" s="137">
        <v>13189</v>
      </c>
      <c r="BX37" s="137">
        <v>22942</v>
      </c>
      <c r="BY37" s="137">
        <v>15208</v>
      </c>
      <c r="BZ37" s="137">
        <v>13349</v>
      </c>
      <c r="CA37" s="137">
        <v>14435</v>
      </c>
      <c r="CB37" s="139">
        <v>22734</v>
      </c>
      <c r="CC37" s="137">
        <v>22343</v>
      </c>
      <c r="CD37" s="137">
        <v>6418</v>
      </c>
      <c r="CE37" s="137">
        <v>20667</v>
      </c>
      <c r="CF37" s="137">
        <v>628</v>
      </c>
      <c r="CG37" s="137">
        <v>18542</v>
      </c>
      <c r="CH37" s="137">
        <v>24245</v>
      </c>
      <c r="CI37" s="137">
        <v>11723</v>
      </c>
      <c r="CJ37" s="137">
        <v>57833</v>
      </c>
      <c r="CK37" s="138">
        <v>19369</v>
      </c>
      <c r="CL37" s="140">
        <v>531692</v>
      </c>
    </row>
    <row r="38" spans="1:90">
      <c r="A38" s="80">
        <f>ROWS($A$3:A36)</f>
        <v>34</v>
      </c>
      <c r="B38" s="92" t="s">
        <v>244</v>
      </c>
      <c r="C38" s="203"/>
      <c r="D38" s="259" t="s">
        <v>1</v>
      </c>
      <c r="E38" s="437">
        <v>40652</v>
      </c>
      <c r="F38" s="116">
        <v>3429</v>
      </c>
      <c r="G38" s="137">
        <v>1255</v>
      </c>
      <c r="H38" s="137">
        <v>7541</v>
      </c>
      <c r="I38" s="138">
        <v>8842</v>
      </c>
      <c r="J38" s="141"/>
      <c r="K38" s="116">
        <f>BF38</f>
        <v>10</v>
      </c>
      <c r="L38" s="137">
        <f>AY38</f>
        <v>505</v>
      </c>
      <c r="M38" s="137">
        <f>BD38</f>
        <v>77</v>
      </c>
      <c r="N38" s="137">
        <f>AW38</f>
        <v>100</v>
      </c>
      <c r="O38" s="137">
        <f>BE38</f>
        <v>2</v>
      </c>
      <c r="P38" s="137">
        <f>'2012'!AZ38+'2012'!BA38</f>
        <v>1038</v>
      </c>
      <c r="Q38" s="137">
        <f>'2012'!AU38</f>
        <v>83</v>
      </c>
      <c r="R38" s="137">
        <f t="shared" si="68"/>
        <v>530</v>
      </c>
      <c r="S38" s="137">
        <f>AV38</f>
        <v>163</v>
      </c>
      <c r="T38" s="137">
        <f t="shared" si="69"/>
        <v>761</v>
      </c>
      <c r="U38" s="139">
        <f t="shared" si="69"/>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0"/>
        <v>101</v>
      </c>
      <c r="AP38" s="137">
        <f t="shared" si="70"/>
        <v>52</v>
      </c>
      <c r="AQ38" s="137">
        <f>CK38</f>
        <v>29</v>
      </c>
      <c r="AR38" s="137">
        <f>CI38</f>
        <v>7179</v>
      </c>
      <c r="AS38" s="138">
        <f>CF38+CG38</f>
        <v>67</v>
      </c>
      <c r="AT38" s="137">
        <v>76</v>
      </c>
      <c r="AU38" s="137">
        <v>83</v>
      </c>
      <c r="AV38" s="137">
        <v>163</v>
      </c>
      <c r="AW38" s="137">
        <v>100</v>
      </c>
      <c r="AX38" s="137">
        <v>454</v>
      </c>
      <c r="AY38" s="137">
        <v>505</v>
      </c>
      <c r="AZ38" s="137">
        <v>59</v>
      </c>
      <c r="BA38" s="137">
        <v>979</v>
      </c>
      <c r="BB38" s="137">
        <v>761</v>
      </c>
      <c r="BC38" s="137">
        <v>159</v>
      </c>
      <c r="BD38" s="137">
        <v>77</v>
      </c>
      <c r="BE38" s="137">
        <v>2</v>
      </c>
      <c r="BF38" s="139">
        <v>10</v>
      </c>
      <c r="BG38" s="137">
        <v>40</v>
      </c>
      <c r="BH38" s="137">
        <v>54</v>
      </c>
      <c r="BI38" s="137">
        <v>177</v>
      </c>
      <c r="BJ38" s="137">
        <v>408</v>
      </c>
      <c r="BK38" s="137" t="s">
        <v>233</v>
      </c>
      <c r="BL38" s="137" t="s">
        <v>233</v>
      </c>
      <c r="BM38" s="137">
        <v>133</v>
      </c>
      <c r="BN38" s="137">
        <v>380</v>
      </c>
      <c r="BO38" s="137" t="s">
        <v>233</v>
      </c>
      <c r="BP38" s="137" t="s">
        <v>233</v>
      </c>
      <c r="BQ38" s="137">
        <v>31</v>
      </c>
      <c r="BR38" s="139">
        <v>2</v>
      </c>
      <c r="BS38" s="137">
        <v>76</v>
      </c>
      <c r="BT38" s="137">
        <v>813</v>
      </c>
      <c r="BU38" s="137">
        <v>629</v>
      </c>
      <c r="BV38" s="137">
        <v>4231</v>
      </c>
      <c r="BW38" s="137" t="s">
        <v>233</v>
      </c>
      <c r="BX38" s="137" t="s">
        <v>233</v>
      </c>
      <c r="BY38" s="137" t="s">
        <v>233</v>
      </c>
      <c r="BZ38" s="137">
        <v>971</v>
      </c>
      <c r="CA38" s="137">
        <v>646</v>
      </c>
      <c r="CB38" s="139">
        <v>155</v>
      </c>
      <c r="CC38" s="137">
        <v>101</v>
      </c>
      <c r="CD38" s="137">
        <v>52</v>
      </c>
      <c r="CE38" s="137">
        <v>10</v>
      </c>
      <c r="CF38" s="137">
        <v>7</v>
      </c>
      <c r="CG38" s="137">
        <v>60</v>
      </c>
      <c r="CH38" s="137">
        <v>40</v>
      </c>
      <c r="CI38" s="137">
        <v>7179</v>
      </c>
      <c r="CJ38" s="137">
        <v>1365</v>
      </c>
      <c r="CK38" s="138">
        <v>29</v>
      </c>
      <c r="CL38" s="140">
        <v>21067</v>
      </c>
    </row>
    <row r="39" spans="1:90">
      <c r="A39" s="80">
        <f>ROWS($A$3:A37)</f>
        <v>35</v>
      </c>
      <c r="B39" s="92" t="s">
        <v>245</v>
      </c>
      <c r="C39" s="203"/>
      <c r="D39" s="259" t="s">
        <v>1</v>
      </c>
      <c r="E39" s="437">
        <v>40652</v>
      </c>
      <c r="F39" s="116">
        <v>10197</v>
      </c>
      <c r="G39" s="137">
        <v>2082</v>
      </c>
      <c r="H39" s="137">
        <v>10885</v>
      </c>
      <c r="I39" s="138">
        <v>519</v>
      </c>
      <c r="J39" s="141"/>
      <c r="K39" s="116" t="str">
        <f>BF39</f>
        <v>-</v>
      </c>
      <c r="L39" s="137">
        <f>AY39</f>
        <v>1046</v>
      </c>
      <c r="M39" s="137">
        <f>BD39</f>
        <v>714</v>
      </c>
      <c r="N39" s="137" t="str">
        <f>AW39</f>
        <v>*</v>
      </c>
      <c r="O39" s="137" t="str">
        <f>BE39</f>
        <v>–</v>
      </c>
      <c r="P39" s="137">
        <f>'2012'!AZ39+'2012'!BA39</f>
        <v>5606</v>
      </c>
      <c r="Q39" s="137" t="str">
        <f>'2012'!AU39</f>
        <v>*</v>
      </c>
      <c r="R39" s="137">
        <f t="shared" si="68"/>
        <v>1963</v>
      </c>
      <c r="S39" s="137">
        <f>AV39</f>
        <v>115</v>
      </c>
      <c r="T39" s="137">
        <f t="shared" si="69"/>
        <v>751</v>
      </c>
      <c r="U39" s="139" t="str">
        <f t="shared" si="69"/>
        <v>*</v>
      </c>
      <c r="V39" s="137">
        <f>BG39+BJ39</f>
        <v>506</v>
      </c>
      <c r="W39" s="137" t="str">
        <f>BR39</f>
        <v>*</v>
      </c>
      <c r="X39" s="137">
        <f>BI39</f>
        <v>714</v>
      </c>
      <c r="Y39" s="137">
        <f>BN39</f>
        <v>611</v>
      </c>
      <c r="Z39" s="137" t="str">
        <f>BM39</f>
        <v>*</v>
      </c>
      <c r="AA39" s="137">
        <f>BQ39</f>
        <v>188</v>
      </c>
      <c r="AB39" s="139" t="str">
        <f>BP39</f>
        <v>-</v>
      </c>
      <c r="AC39" s="137" t="str">
        <f>BX39</f>
        <v xml:space="preserve"> -</v>
      </c>
      <c r="AD39" s="137">
        <f>BU39</f>
        <v>1705</v>
      </c>
      <c r="AE39" s="137">
        <f>BT39</f>
        <v>5142</v>
      </c>
      <c r="AF39" s="137">
        <f>CA39</f>
        <v>739</v>
      </c>
      <c r="AG39" s="137">
        <f>BV39</f>
        <v>2479</v>
      </c>
      <c r="AH39" s="137" t="str">
        <f>BZ39</f>
        <v>*</v>
      </c>
      <c r="AI39" s="137" t="str">
        <f>BW39</f>
        <v xml:space="preserve">      -</v>
      </c>
      <c r="AJ39" s="137" t="str">
        <f>BY39</f>
        <v>*</v>
      </c>
      <c r="AK39" s="139">
        <f>CB39</f>
        <v>56</v>
      </c>
      <c r="AL39" s="137" t="str">
        <f>CE39</f>
        <v>*</v>
      </c>
      <c r="AM39" s="137" t="str">
        <f>CH39</f>
        <v>*</v>
      </c>
      <c r="AN39" s="137" t="str">
        <f>CJ39</f>
        <v>*</v>
      </c>
      <c r="AO39" s="137">
        <f t="shared" si="70"/>
        <v>16</v>
      </c>
      <c r="AP39" s="137">
        <f t="shared" si="70"/>
        <v>9</v>
      </c>
      <c r="AQ39" s="137" t="str">
        <f>CK39</f>
        <v>*</v>
      </c>
      <c r="AR39" s="137">
        <f>CI39</f>
        <v>492</v>
      </c>
      <c r="AS39" s="138" t="str">
        <f>CG39</f>
        <v>*</v>
      </c>
      <c r="AT39" s="137">
        <v>354</v>
      </c>
      <c r="AU39" s="137" t="s">
        <v>233</v>
      </c>
      <c r="AV39" s="137">
        <v>115</v>
      </c>
      <c r="AW39" s="137" t="s">
        <v>233</v>
      </c>
      <c r="AX39" s="137">
        <v>1609</v>
      </c>
      <c r="AY39" s="137">
        <v>1046</v>
      </c>
      <c r="AZ39" s="137">
        <v>634</v>
      </c>
      <c r="BA39" s="137">
        <v>4972</v>
      </c>
      <c r="BB39" s="137">
        <v>751</v>
      </c>
      <c r="BC39" s="137" t="s">
        <v>233</v>
      </c>
      <c r="BD39" s="137">
        <v>714</v>
      </c>
      <c r="BE39" s="137" t="s">
        <v>41</v>
      </c>
      <c r="BF39" s="139" t="s">
        <v>58</v>
      </c>
      <c r="BG39" s="137">
        <v>187</v>
      </c>
      <c r="BH39" s="137" t="s">
        <v>233</v>
      </c>
      <c r="BI39" s="137">
        <v>714</v>
      </c>
      <c r="BJ39" s="137">
        <v>319</v>
      </c>
      <c r="BK39" s="137">
        <v>50</v>
      </c>
      <c r="BL39" s="137" t="s">
        <v>58</v>
      </c>
      <c r="BM39" s="137" t="s">
        <v>233</v>
      </c>
      <c r="BN39" s="137">
        <v>611</v>
      </c>
      <c r="BO39" s="137" t="s">
        <v>58</v>
      </c>
      <c r="BP39" s="137" t="s">
        <v>58</v>
      </c>
      <c r="BQ39" s="137">
        <v>188</v>
      </c>
      <c r="BR39" s="139" t="s">
        <v>233</v>
      </c>
      <c r="BS39" s="137">
        <v>703</v>
      </c>
      <c r="BT39" s="137">
        <v>5142</v>
      </c>
      <c r="BU39" s="137">
        <v>1705</v>
      </c>
      <c r="BV39" s="137">
        <v>2479</v>
      </c>
      <c r="BW39" s="137" t="s">
        <v>274</v>
      </c>
      <c r="BX39" s="137" t="s">
        <v>267</v>
      </c>
      <c r="BY39" s="137" t="s">
        <v>233</v>
      </c>
      <c r="BZ39" s="137" t="s">
        <v>233</v>
      </c>
      <c r="CA39" s="137">
        <v>739</v>
      </c>
      <c r="CB39" s="139">
        <v>56</v>
      </c>
      <c r="CC39" s="137">
        <v>16</v>
      </c>
      <c r="CD39" s="137">
        <v>9</v>
      </c>
      <c r="CE39" s="137" t="s">
        <v>233</v>
      </c>
      <c r="CF39" s="137" t="s">
        <v>267</v>
      </c>
      <c r="CG39" s="137" t="s">
        <v>233</v>
      </c>
      <c r="CH39" s="137" t="s">
        <v>233</v>
      </c>
      <c r="CI39" s="137">
        <v>492</v>
      </c>
      <c r="CJ39" s="137" t="s">
        <v>233</v>
      </c>
      <c r="CK39" s="138" t="s">
        <v>233</v>
      </c>
      <c r="CL39" s="140">
        <v>23682</v>
      </c>
    </row>
    <row r="40" spans="1:90">
      <c r="A40" s="80">
        <f>ROWS($A$3:A38)</f>
        <v>36</v>
      </c>
      <c r="B40" s="59" t="s">
        <v>98</v>
      </c>
      <c r="C40" s="201"/>
      <c r="D40" s="260"/>
      <c r="E40" s="435"/>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204">
        <v>2012</v>
      </c>
      <c r="D41" s="259" t="s">
        <v>7</v>
      </c>
      <c r="E41" s="437">
        <v>41673</v>
      </c>
      <c r="F41" s="116">
        <v>297923</v>
      </c>
      <c r="G41" s="137">
        <v>79341</v>
      </c>
      <c r="H41" s="137">
        <v>217296</v>
      </c>
      <c r="I41" s="138">
        <v>401279</v>
      </c>
      <c r="J41" s="141"/>
      <c r="K41" s="116">
        <f t="shared" ref="K41:K54" si="71">BF41</f>
        <v>73813</v>
      </c>
      <c r="L41" s="137">
        <f t="shared" ref="L41:L54" si="72">AY41</f>
        <v>20969</v>
      </c>
      <c r="M41" s="137">
        <f t="shared" ref="M41:M54" si="73">BD41</f>
        <v>20347</v>
      </c>
      <c r="N41" s="137">
        <f t="shared" ref="N41:N54" si="74">AW41</f>
        <v>30188</v>
      </c>
      <c r="O41" s="137">
        <f t="shared" ref="O41:O54" si="75">BE41</f>
        <v>21135</v>
      </c>
      <c r="P41" s="137">
        <f>'2012'!AZ41+'2012'!BA41</f>
        <v>12641</v>
      </c>
      <c r="Q41" s="137">
        <f>'2012'!AU41</f>
        <v>8654</v>
      </c>
      <c r="R41" s="137">
        <f t="shared" si="68"/>
        <v>13950</v>
      </c>
      <c r="S41" s="137">
        <f t="shared" ref="S41:S54" si="76">AV41</f>
        <v>9158</v>
      </c>
      <c r="T41" s="137">
        <f t="shared" ref="T41:U54" si="77">BB41</f>
        <v>22271</v>
      </c>
      <c r="U41" s="139">
        <f t="shared" si="77"/>
        <v>64797</v>
      </c>
      <c r="V41" s="137">
        <f>BG41+BJ41</f>
        <v>2835</v>
      </c>
      <c r="W41" s="137">
        <f t="shared" ref="W41:W54" si="78">BR41</f>
        <v>12254</v>
      </c>
      <c r="X41" s="137">
        <f>BH41+BI41</f>
        <v>5505</v>
      </c>
      <c r="Y41" s="137">
        <f>BK41+BL41+BN41</f>
        <v>12336</v>
      </c>
      <c r="Z41" s="137">
        <f t="shared" ref="Z41:Z54" si="79">BM41</f>
        <v>23517</v>
      </c>
      <c r="AA41" s="137">
        <f>BO41+BQ41</f>
        <v>10624</v>
      </c>
      <c r="AB41" s="139">
        <f t="shared" ref="AB41:AB54" si="80">BP41</f>
        <v>12270</v>
      </c>
      <c r="AC41" s="137">
        <f t="shared" ref="AC41:AC54" si="81">BX41</f>
        <v>31824</v>
      </c>
      <c r="AD41" s="137">
        <f t="shared" ref="AD41:AD54" si="82">BU41</f>
        <v>15358</v>
      </c>
      <c r="AE41" s="137">
        <f>BS41+BT41</f>
        <v>29342</v>
      </c>
      <c r="AF41" s="137">
        <f t="shared" ref="AF41:AF54" si="83">CA41</f>
        <v>15209</v>
      </c>
      <c r="AG41" s="137">
        <f t="shared" ref="AG41:AG54" si="84">BV41</f>
        <v>30104</v>
      </c>
      <c r="AH41" s="137">
        <f t="shared" ref="AH41:AH54" si="85">BZ41</f>
        <v>25899</v>
      </c>
      <c r="AI41" s="137">
        <f t="shared" ref="AI41:AI54" si="86">BW41</f>
        <v>18424</v>
      </c>
      <c r="AJ41" s="137">
        <f t="shared" ref="AJ41:AJ54" si="87">BY41</f>
        <v>16644</v>
      </c>
      <c r="AK41" s="139">
        <f t="shared" ref="AK41:AK54" si="88">CB41</f>
        <v>34492</v>
      </c>
      <c r="AL41" s="137">
        <f t="shared" ref="AL41:AL54" si="89">CE41</f>
        <v>13554</v>
      </c>
      <c r="AM41" s="137">
        <f t="shared" ref="AM41:AM54" si="90">CH41</f>
        <v>91517</v>
      </c>
      <c r="AN41" s="137">
        <f t="shared" ref="AN41:AN54" si="91">CJ41</f>
        <v>146219</v>
      </c>
      <c r="AO41" s="137">
        <f t="shared" ref="AO41:AP54" si="92">CC41</f>
        <v>28932</v>
      </c>
      <c r="AP41" s="137">
        <f t="shared" si="92"/>
        <v>5962</v>
      </c>
      <c r="AQ41" s="137">
        <f t="shared" ref="AQ41:AQ54" si="93">CK41</f>
        <v>37435</v>
      </c>
      <c r="AR41" s="137">
        <f t="shared" ref="AR41:AR54" si="94">CI41</f>
        <v>24115</v>
      </c>
      <c r="AS41" s="138">
        <f>CF41+CG41</f>
        <v>53545</v>
      </c>
      <c r="AT41" s="137">
        <v>870</v>
      </c>
      <c r="AU41" s="137">
        <v>8654</v>
      </c>
      <c r="AV41" s="137">
        <v>9158</v>
      </c>
      <c r="AW41" s="137">
        <v>30188</v>
      </c>
      <c r="AX41" s="137">
        <v>13080</v>
      </c>
      <c r="AY41" s="137">
        <v>20969</v>
      </c>
      <c r="AZ41" s="137">
        <v>109</v>
      </c>
      <c r="BA41" s="137">
        <v>12532</v>
      </c>
      <c r="BB41" s="137">
        <v>22271</v>
      </c>
      <c r="BC41" s="137">
        <v>64797</v>
      </c>
      <c r="BD41" s="137">
        <v>20347</v>
      </c>
      <c r="BE41" s="137">
        <v>21135</v>
      </c>
      <c r="BF41" s="139">
        <v>73813</v>
      </c>
      <c r="BG41" s="137">
        <v>213</v>
      </c>
      <c r="BH41" s="137">
        <v>356</v>
      </c>
      <c r="BI41" s="137">
        <v>5149</v>
      </c>
      <c r="BJ41" s="137">
        <v>2622</v>
      </c>
      <c r="BK41" s="137">
        <v>483</v>
      </c>
      <c r="BL41" s="137">
        <v>86</v>
      </c>
      <c r="BM41" s="137">
        <v>23517</v>
      </c>
      <c r="BN41" s="137">
        <v>11767</v>
      </c>
      <c r="BO41" s="137">
        <v>226</v>
      </c>
      <c r="BP41" s="137">
        <v>12270</v>
      </c>
      <c r="BQ41" s="137">
        <v>10398</v>
      </c>
      <c r="BR41" s="139">
        <v>12254</v>
      </c>
      <c r="BS41" s="137">
        <v>563</v>
      </c>
      <c r="BT41" s="137">
        <v>28779</v>
      </c>
      <c r="BU41" s="137">
        <v>15358</v>
      </c>
      <c r="BV41" s="137">
        <v>30104</v>
      </c>
      <c r="BW41" s="137">
        <v>18424</v>
      </c>
      <c r="BX41" s="137">
        <v>31824</v>
      </c>
      <c r="BY41" s="137">
        <v>16644</v>
      </c>
      <c r="BZ41" s="137">
        <v>25899</v>
      </c>
      <c r="CA41" s="137">
        <v>15209</v>
      </c>
      <c r="CB41" s="139">
        <v>34492</v>
      </c>
      <c r="CC41" s="137">
        <v>28932</v>
      </c>
      <c r="CD41" s="137">
        <v>5962</v>
      </c>
      <c r="CE41" s="137">
        <v>13554</v>
      </c>
      <c r="CF41" s="137">
        <v>2322</v>
      </c>
      <c r="CG41" s="137">
        <v>51223</v>
      </c>
      <c r="CH41" s="137">
        <v>91517</v>
      </c>
      <c r="CI41" s="137">
        <v>24115</v>
      </c>
      <c r="CJ41" s="137">
        <v>146219</v>
      </c>
      <c r="CK41" s="138">
        <v>37435</v>
      </c>
      <c r="CL41" s="140">
        <v>995839</v>
      </c>
    </row>
    <row r="42" spans="1:90">
      <c r="A42" s="80">
        <f>ROWS($A$3:A40)</f>
        <v>38</v>
      </c>
      <c r="B42" s="92" t="s">
        <v>305</v>
      </c>
      <c r="C42" s="203"/>
      <c r="D42" s="259" t="s">
        <v>7</v>
      </c>
      <c r="E42" s="437">
        <v>41673</v>
      </c>
      <c r="F42" s="116">
        <v>114334</v>
      </c>
      <c r="G42" s="137">
        <v>29984</v>
      </c>
      <c r="H42" s="137">
        <v>88831</v>
      </c>
      <c r="I42" s="138">
        <v>172132</v>
      </c>
      <c r="J42" s="141"/>
      <c r="K42" s="116">
        <f t="shared" si="71"/>
        <v>28913</v>
      </c>
      <c r="L42" s="137">
        <f t="shared" si="72"/>
        <v>8372</v>
      </c>
      <c r="M42" s="137">
        <f t="shared" si="73"/>
        <v>7461</v>
      </c>
      <c r="N42" s="137">
        <f t="shared" si="74"/>
        <v>12146</v>
      </c>
      <c r="O42" s="137">
        <f t="shared" si="75"/>
        <v>7703</v>
      </c>
      <c r="P42" s="137">
        <f>'2012'!BA42</f>
        <v>4792</v>
      </c>
      <c r="Q42" s="137">
        <f>'2012'!AU42</f>
        <v>3472</v>
      </c>
      <c r="R42" s="137">
        <f>AX42</f>
        <v>4653</v>
      </c>
      <c r="S42" s="137">
        <f t="shared" si="76"/>
        <v>3247</v>
      </c>
      <c r="T42" s="137">
        <f t="shared" si="77"/>
        <v>8442</v>
      </c>
      <c r="U42" s="139">
        <f t="shared" si="77"/>
        <v>24660</v>
      </c>
      <c r="V42" s="137">
        <f>BJ42</f>
        <v>1084</v>
      </c>
      <c r="W42" s="137">
        <f t="shared" si="78"/>
        <v>4914</v>
      </c>
      <c r="X42" s="137">
        <f>BI42</f>
        <v>1870</v>
      </c>
      <c r="Y42" s="137">
        <f>BN42</f>
        <v>4248</v>
      </c>
      <c r="Z42" s="137">
        <f t="shared" si="79"/>
        <v>8759</v>
      </c>
      <c r="AA42" s="137">
        <f>BQ42</f>
        <v>3911</v>
      </c>
      <c r="AB42" s="139">
        <f t="shared" si="80"/>
        <v>4726</v>
      </c>
      <c r="AC42" s="137">
        <f t="shared" si="81"/>
        <v>14193</v>
      </c>
      <c r="AD42" s="137">
        <f t="shared" si="82"/>
        <v>5604</v>
      </c>
      <c r="AE42" s="137">
        <f>BS42+BT42</f>
        <v>13453</v>
      </c>
      <c r="AF42" s="137">
        <f t="shared" si="83"/>
        <v>6155</v>
      </c>
      <c r="AG42" s="137">
        <f t="shared" si="84"/>
        <v>11624</v>
      </c>
      <c r="AH42" s="137">
        <f t="shared" si="85"/>
        <v>10433</v>
      </c>
      <c r="AI42" s="137">
        <f t="shared" si="86"/>
        <v>6543</v>
      </c>
      <c r="AJ42" s="137">
        <f t="shared" si="87"/>
        <v>6848</v>
      </c>
      <c r="AK42" s="139">
        <f t="shared" si="88"/>
        <v>13978</v>
      </c>
      <c r="AL42" s="137">
        <f t="shared" si="89"/>
        <v>5340</v>
      </c>
      <c r="AM42" s="137">
        <f t="shared" si="90"/>
        <v>36110</v>
      </c>
      <c r="AN42" s="137">
        <f t="shared" si="91"/>
        <v>72566</v>
      </c>
      <c r="AO42" s="137">
        <f t="shared" si="92"/>
        <v>9337</v>
      </c>
      <c r="AP42" s="137">
        <f t="shared" si="92"/>
        <v>2160</v>
      </c>
      <c r="AQ42" s="137">
        <f t="shared" si="93"/>
        <v>14918</v>
      </c>
      <c r="AR42" s="137">
        <f t="shared" si="94"/>
        <v>10848</v>
      </c>
      <c r="AS42" s="138">
        <f>CF42+CG42</f>
        <v>20853</v>
      </c>
      <c r="AT42" s="137">
        <v>427</v>
      </c>
      <c r="AU42" s="137">
        <v>3472</v>
      </c>
      <c r="AV42" s="137">
        <v>3247</v>
      </c>
      <c r="AW42" s="137">
        <v>12146</v>
      </c>
      <c r="AX42" s="137">
        <v>4653</v>
      </c>
      <c r="AY42" s="137">
        <v>8372</v>
      </c>
      <c r="AZ42" s="137">
        <v>46</v>
      </c>
      <c r="BA42" s="137">
        <v>4792</v>
      </c>
      <c r="BB42" s="137">
        <v>8442</v>
      </c>
      <c r="BC42" s="137">
        <v>24660</v>
      </c>
      <c r="BD42" s="137">
        <v>7461</v>
      </c>
      <c r="BE42" s="137">
        <v>7703</v>
      </c>
      <c r="BF42" s="139">
        <v>28913</v>
      </c>
      <c r="BG42" s="137">
        <v>67</v>
      </c>
      <c r="BH42" s="137">
        <v>68</v>
      </c>
      <c r="BI42" s="137">
        <v>1870</v>
      </c>
      <c r="BJ42" s="137">
        <v>1084</v>
      </c>
      <c r="BK42" s="137">
        <v>218</v>
      </c>
      <c r="BL42" s="137">
        <v>33</v>
      </c>
      <c r="BM42" s="137">
        <v>8759</v>
      </c>
      <c r="BN42" s="137">
        <v>4248</v>
      </c>
      <c r="BO42" s="137">
        <v>86</v>
      </c>
      <c r="BP42" s="137">
        <v>4726</v>
      </c>
      <c r="BQ42" s="137">
        <v>3911</v>
      </c>
      <c r="BR42" s="139">
        <v>4914</v>
      </c>
      <c r="BS42" s="137">
        <v>227</v>
      </c>
      <c r="BT42" s="137">
        <v>13226</v>
      </c>
      <c r="BU42" s="137">
        <v>5604</v>
      </c>
      <c r="BV42" s="137">
        <v>11624</v>
      </c>
      <c r="BW42" s="137">
        <v>6543</v>
      </c>
      <c r="BX42" s="137">
        <v>14193</v>
      </c>
      <c r="BY42" s="137">
        <v>6848</v>
      </c>
      <c r="BZ42" s="137">
        <v>10433</v>
      </c>
      <c r="CA42" s="137">
        <v>6155</v>
      </c>
      <c r="CB42" s="139">
        <v>13978</v>
      </c>
      <c r="CC42" s="137">
        <v>9337</v>
      </c>
      <c r="CD42" s="137">
        <v>2160</v>
      </c>
      <c r="CE42" s="137">
        <v>5340</v>
      </c>
      <c r="CF42" s="137">
        <v>959</v>
      </c>
      <c r="CG42" s="137">
        <v>19894</v>
      </c>
      <c r="CH42" s="137">
        <v>36110</v>
      </c>
      <c r="CI42" s="137">
        <v>10848</v>
      </c>
      <c r="CJ42" s="137">
        <v>72566</v>
      </c>
      <c r="CK42" s="138">
        <v>14918</v>
      </c>
      <c r="CL42" s="140">
        <v>405281</v>
      </c>
    </row>
    <row r="43" spans="1:90">
      <c r="A43" s="80">
        <f>ROWS($A$3:A41)</f>
        <v>39</v>
      </c>
      <c r="B43" s="92" t="s">
        <v>14</v>
      </c>
      <c r="C43" s="203"/>
      <c r="D43" s="259" t="s">
        <v>7</v>
      </c>
      <c r="E43" s="437">
        <v>41673</v>
      </c>
      <c r="F43" s="116">
        <v>101650</v>
      </c>
      <c r="G43" s="137">
        <v>22877</v>
      </c>
      <c r="H43" s="137">
        <v>68005</v>
      </c>
      <c r="I43" s="138">
        <v>161183</v>
      </c>
      <c r="J43" s="141"/>
      <c r="K43" s="116">
        <f>BF43</f>
        <v>24548</v>
      </c>
      <c r="L43" s="137">
        <f>AY43</f>
        <v>6430</v>
      </c>
      <c r="M43" s="137">
        <f>BD43</f>
        <v>6491</v>
      </c>
      <c r="N43" s="137">
        <f>AW43</f>
        <v>10555</v>
      </c>
      <c r="O43" s="137">
        <f>BE43</f>
        <v>7164</v>
      </c>
      <c r="P43" s="137">
        <f>'2012'!BA43</f>
        <v>3799</v>
      </c>
      <c r="Q43" s="137">
        <f>'2012'!AU43</f>
        <v>2753</v>
      </c>
      <c r="R43" s="137">
        <f>AX43</f>
        <v>4320</v>
      </c>
      <c r="S43" s="137">
        <f>AV43</f>
        <v>2429</v>
      </c>
      <c r="T43" s="137">
        <f>BB43</f>
        <v>6744</v>
      </c>
      <c r="U43" s="139">
        <f>BC43</f>
        <v>20838</v>
      </c>
      <c r="V43" s="137">
        <f>BJ43</f>
        <v>387</v>
      </c>
      <c r="W43" s="137">
        <f>BR43</f>
        <v>3751</v>
      </c>
      <c r="X43" s="137">
        <f>BI43</f>
        <v>996</v>
      </c>
      <c r="Y43" s="137">
        <f>BN43</f>
        <v>3235</v>
      </c>
      <c r="Z43" s="137">
        <f>BM43</f>
        <v>7372</v>
      </c>
      <c r="AA43" s="137">
        <f>BQ43</f>
        <v>2813</v>
      </c>
      <c r="AB43" s="139">
        <f>BP43</f>
        <v>3305</v>
      </c>
      <c r="AC43" s="137">
        <f>BX43</f>
        <v>12001</v>
      </c>
      <c r="AD43" s="137">
        <f>BU43</f>
        <v>3476</v>
      </c>
      <c r="AE43" s="137">
        <f>BS43+BT43</f>
        <v>9919</v>
      </c>
      <c r="AF43" s="137">
        <f>CA43</f>
        <v>3425</v>
      </c>
      <c r="AG43" s="137">
        <f>BV43</f>
        <v>7589</v>
      </c>
      <c r="AH43" s="137">
        <f>BZ43</f>
        <v>9051</v>
      </c>
      <c r="AI43" s="137">
        <f>BW43</f>
        <v>4732</v>
      </c>
      <c r="AJ43" s="137">
        <f>BY43</f>
        <v>5554</v>
      </c>
      <c r="AK43" s="139">
        <f>CB43</f>
        <v>10280</v>
      </c>
      <c r="AL43" s="137">
        <f>CE43</f>
        <v>3433</v>
      </c>
      <c r="AM43" s="137">
        <f>CH43</f>
        <v>32907</v>
      </c>
      <c r="AN43" s="137">
        <f>CJ43</f>
        <v>69519</v>
      </c>
      <c r="AO43" s="137">
        <f>CC43</f>
        <v>7697</v>
      </c>
      <c r="AP43" s="137">
        <f>CD43</f>
        <v>1567</v>
      </c>
      <c r="AQ43" s="137">
        <f>CK43</f>
        <v>12733</v>
      </c>
      <c r="AR43" s="137">
        <f>CI43</f>
        <v>9825</v>
      </c>
      <c r="AS43" s="138">
        <f>CF43+CG43</f>
        <v>18125</v>
      </c>
      <c r="AT43" s="137">
        <v>402</v>
      </c>
      <c r="AU43" s="137">
        <v>2753</v>
      </c>
      <c r="AV43" s="137">
        <v>2429</v>
      </c>
      <c r="AW43" s="137">
        <v>10555</v>
      </c>
      <c r="AX43" s="137">
        <v>4320</v>
      </c>
      <c r="AY43" s="137">
        <v>6430</v>
      </c>
      <c r="AZ43" s="137">
        <v>30</v>
      </c>
      <c r="BA43" s="137">
        <v>3799</v>
      </c>
      <c r="BB43" s="137">
        <v>6744</v>
      </c>
      <c r="BC43" s="137">
        <v>20838</v>
      </c>
      <c r="BD43" s="137">
        <v>6491</v>
      </c>
      <c r="BE43" s="137">
        <v>7164</v>
      </c>
      <c r="BF43" s="139">
        <v>24548</v>
      </c>
      <c r="BG43" s="137" t="s">
        <v>58</v>
      </c>
      <c r="BH43" s="137" t="s">
        <v>233</v>
      </c>
      <c r="BI43" s="137">
        <v>996</v>
      </c>
      <c r="BJ43" s="137">
        <v>387</v>
      </c>
      <c r="BK43" s="137">
        <v>124</v>
      </c>
      <c r="BL43" s="137" t="s">
        <v>233</v>
      </c>
      <c r="BM43" s="137">
        <v>7372</v>
      </c>
      <c r="BN43" s="137">
        <v>3235</v>
      </c>
      <c r="BO43" s="137" t="s">
        <v>233</v>
      </c>
      <c r="BP43" s="137">
        <v>3305</v>
      </c>
      <c r="BQ43" s="137">
        <v>2813</v>
      </c>
      <c r="BR43" s="139">
        <v>3751</v>
      </c>
      <c r="BS43" s="137">
        <v>100</v>
      </c>
      <c r="BT43" s="137">
        <v>9819</v>
      </c>
      <c r="BU43" s="137">
        <v>3476</v>
      </c>
      <c r="BV43" s="137">
        <v>7589</v>
      </c>
      <c r="BW43" s="137">
        <v>4732</v>
      </c>
      <c r="BX43" s="137">
        <v>12001</v>
      </c>
      <c r="BY43" s="137">
        <v>5554</v>
      </c>
      <c r="BZ43" s="137">
        <v>9051</v>
      </c>
      <c r="CA43" s="137">
        <v>3425</v>
      </c>
      <c r="CB43" s="139">
        <v>10280</v>
      </c>
      <c r="CC43" s="137">
        <v>7697</v>
      </c>
      <c r="CD43" s="137">
        <v>1567</v>
      </c>
      <c r="CE43" s="137">
        <v>3433</v>
      </c>
      <c r="CF43" s="137">
        <v>857</v>
      </c>
      <c r="CG43" s="137">
        <v>17268</v>
      </c>
      <c r="CH43" s="137">
        <v>32907</v>
      </c>
      <c r="CI43" s="137">
        <v>9825</v>
      </c>
      <c r="CJ43" s="137">
        <v>69519</v>
      </c>
      <c r="CK43" s="138">
        <v>12733</v>
      </c>
      <c r="CL43" s="140">
        <v>340416</v>
      </c>
    </row>
    <row r="44" spans="1:90">
      <c r="A44" s="80">
        <f>ROWS($A$3:A42)</f>
        <v>40</v>
      </c>
      <c r="B44" s="54" t="s">
        <v>20</v>
      </c>
      <c r="C44" s="252"/>
      <c r="D44" s="259" t="s">
        <v>241</v>
      </c>
      <c r="E44" s="437">
        <v>41673</v>
      </c>
      <c r="F44" s="142">
        <f>IF(ISERROR(F43/F123)=TRUE,"*",F43/F123)</f>
        <v>32.290343074968234</v>
      </c>
      <c r="G44" s="143">
        <f t="shared" ref="G44:BR44" si="95">IF(ISERROR(G43/G123)=TRUE,"*",G43/G123)</f>
        <v>33.593245227606459</v>
      </c>
      <c r="H44" s="143">
        <f t="shared" si="95"/>
        <v>24.983468038207199</v>
      </c>
      <c r="I44" s="144">
        <f t="shared" si="95"/>
        <v>38.195023696682462</v>
      </c>
      <c r="J44" s="141"/>
      <c r="K44" s="116">
        <f t="shared" si="95"/>
        <v>37.025641025641029</v>
      </c>
      <c r="L44" s="137">
        <f t="shared" si="95"/>
        <v>30.76555023923445</v>
      </c>
      <c r="M44" s="137">
        <f t="shared" si="95"/>
        <v>31.057416267942585</v>
      </c>
      <c r="N44" s="137">
        <f t="shared" si="95"/>
        <v>38.948339483394832</v>
      </c>
      <c r="O44" s="137">
        <f t="shared" si="95"/>
        <v>38.724324324324321</v>
      </c>
      <c r="P44" s="143">
        <f t="shared" si="95"/>
        <v>37.99</v>
      </c>
      <c r="Q44" s="137">
        <f t="shared" si="95"/>
        <v>36.223684210526315</v>
      </c>
      <c r="R44" s="143">
        <f t="shared" si="95"/>
        <v>36</v>
      </c>
      <c r="S44" s="137">
        <f t="shared" si="95"/>
        <v>27.602272727272727</v>
      </c>
      <c r="T44" s="137">
        <f t="shared" si="95"/>
        <v>35.494736842105262</v>
      </c>
      <c r="U44" s="139">
        <f t="shared" si="95"/>
        <v>35.199324324324323</v>
      </c>
      <c r="V44" s="143">
        <f t="shared" si="95"/>
        <v>19.350000000000001</v>
      </c>
      <c r="W44" s="137">
        <f t="shared" si="95"/>
        <v>33.194690265486727</v>
      </c>
      <c r="X44" s="143">
        <f t="shared" si="95"/>
        <v>38.307692307692307</v>
      </c>
      <c r="Y44" s="143">
        <f t="shared" si="95"/>
        <v>42.565789473684212</v>
      </c>
      <c r="Z44" s="137">
        <f t="shared" si="95"/>
        <v>39.422459893048128</v>
      </c>
      <c r="AA44" s="143">
        <f t="shared" si="95"/>
        <v>46.114754098360656</v>
      </c>
      <c r="AB44" s="139">
        <f t="shared" si="95"/>
        <v>31.476190476190474</v>
      </c>
      <c r="AC44" s="137">
        <f t="shared" si="95"/>
        <v>27.399543378995435</v>
      </c>
      <c r="AD44" s="137">
        <f t="shared" si="95"/>
        <v>19.977011494252874</v>
      </c>
      <c r="AE44" s="143">
        <f t="shared" si="95"/>
        <v>22.960648148148149</v>
      </c>
      <c r="AF44" s="137">
        <f t="shared" si="95"/>
        <v>19.350282485875706</v>
      </c>
      <c r="AG44" s="137">
        <f t="shared" si="95"/>
        <v>16.533769063180827</v>
      </c>
      <c r="AH44" s="137">
        <f t="shared" si="95"/>
        <v>41.70967741935484</v>
      </c>
      <c r="AI44" s="137">
        <f t="shared" si="95"/>
        <v>23.542288557213929</v>
      </c>
      <c r="AJ44" s="137">
        <f t="shared" si="95"/>
        <v>47.879310344827587</v>
      </c>
      <c r="AK44" s="139">
        <f t="shared" si="95"/>
        <v>31.151515151515152</v>
      </c>
      <c r="AL44" s="137">
        <f t="shared" si="95"/>
        <v>48.352112676056336</v>
      </c>
      <c r="AM44" s="137">
        <f t="shared" si="95"/>
        <v>41.392452830188681</v>
      </c>
      <c r="AN44" s="137">
        <f t="shared" si="95"/>
        <v>45.054439403758913</v>
      </c>
      <c r="AO44" s="137">
        <f t="shared" si="95"/>
        <v>38.293532338308459</v>
      </c>
      <c r="AP44" s="137">
        <f t="shared" si="95"/>
        <v>47.484848484848484</v>
      </c>
      <c r="AQ44" s="137">
        <f t="shared" si="95"/>
        <v>38.352409638554214</v>
      </c>
      <c r="AR44" s="137">
        <f t="shared" si="95"/>
        <v>34.233449477351918</v>
      </c>
      <c r="AS44" s="144">
        <f t="shared" si="95"/>
        <v>38.157894736842103</v>
      </c>
      <c r="AT44" s="137">
        <f t="shared" si="95"/>
        <v>26.8</v>
      </c>
      <c r="AU44" s="137">
        <f t="shared" si="95"/>
        <v>36.223684210526315</v>
      </c>
      <c r="AV44" s="137">
        <f t="shared" si="95"/>
        <v>27.602272727272727</v>
      </c>
      <c r="AW44" s="137">
        <f t="shared" si="95"/>
        <v>38.948339483394832</v>
      </c>
      <c r="AX44" s="137">
        <f t="shared" si="95"/>
        <v>36</v>
      </c>
      <c r="AY44" s="137">
        <f t="shared" si="95"/>
        <v>30.76555023923445</v>
      </c>
      <c r="AZ44" s="137">
        <f t="shared" si="95"/>
        <v>10</v>
      </c>
      <c r="BA44" s="137">
        <f t="shared" si="95"/>
        <v>37.99</v>
      </c>
      <c r="BB44" s="137">
        <f t="shared" si="95"/>
        <v>35.494736842105262</v>
      </c>
      <c r="BC44" s="137">
        <f t="shared" si="95"/>
        <v>35.199324324324323</v>
      </c>
      <c r="BD44" s="137">
        <f t="shared" si="95"/>
        <v>31.057416267942585</v>
      </c>
      <c r="BE44" s="137">
        <f t="shared" si="95"/>
        <v>38.724324324324321</v>
      </c>
      <c r="BF44" s="139">
        <f t="shared" si="95"/>
        <v>37.025641025641029</v>
      </c>
      <c r="BG44" s="137" t="str">
        <f t="shared" si="95"/>
        <v>*</v>
      </c>
      <c r="BH44" s="137" t="str">
        <f t="shared" si="95"/>
        <v>*</v>
      </c>
      <c r="BI44" s="137">
        <f t="shared" si="95"/>
        <v>38.307692307692307</v>
      </c>
      <c r="BJ44" s="137">
        <f t="shared" si="95"/>
        <v>19.350000000000001</v>
      </c>
      <c r="BK44" s="137">
        <f t="shared" si="95"/>
        <v>20.666666666666668</v>
      </c>
      <c r="BL44" s="137" t="str">
        <f t="shared" si="95"/>
        <v>*</v>
      </c>
      <c r="BM44" s="137">
        <f t="shared" si="95"/>
        <v>39.422459893048128</v>
      </c>
      <c r="BN44" s="137">
        <f t="shared" si="95"/>
        <v>42.565789473684212</v>
      </c>
      <c r="BO44" s="137" t="str">
        <f t="shared" si="95"/>
        <v>*</v>
      </c>
      <c r="BP44" s="137">
        <f t="shared" si="95"/>
        <v>31.476190476190474</v>
      </c>
      <c r="BQ44" s="137">
        <f t="shared" si="95"/>
        <v>46.114754098360656</v>
      </c>
      <c r="BR44" s="139">
        <f t="shared" si="95"/>
        <v>33.194690265486727</v>
      </c>
      <c r="BS44" s="137">
        <f t="shared" ref="BS44:CL44" si="96">IF(ISERROR(BS43/BS123)=TRUE,"*",BS43/BS123)</f>
        <v>20</v>
      </c>
      <c r="BT44" s="137">
        <f t="shared" si="96"/>
        <v>22.729166666666668</v>
      </c>
      <c r="BU44" s="137">
        <f t="shared" si="96"/>
        <v>19.977011494252874</v>
      </c>
      <c r="BV44" s="137">
        <f t="shared" si="96"/>
        <v>16.533769063180827</v>
      </c>
      <c r="BW44" s="137">
        <f t="shared" si="96"/>
        <v>23.542288557213929</v>
      </c>
      <c r="BX44" s="137">
        <f t="shared" si="96"/>
        <v>27.399543378995435</v>
      </c>
      <c r="BY44" s="137">
        <f t="shared" si="96"/>
        <v>47.879310344827587</v>
      </c>
      <c r="BZ44" s="137">
        <f t="shared" si="96"/>
        <v>41.70967741935484</v>
      </c>
      <c r="CA44" s="137">
        <f t="shared" si="96"/>
        <v>19.350282485875706</v>
      </c>
      <c r="CB44" s="139">
        <f t="shared" si="96"/>
        <v>31.151515151515152</v>
      </c>
      <c r="CC44" s="137">
        <f t="shared" si="96"/>
        <v>38.293532338308459</v>
      </c>
      <c r="CD44" s="137">
        <f t="shared" si="96"/>
        <v>47.484848484848484</v>
      </c>
      <c r="CE44" s="137">
        <f t="shared" si="96"/>
        <v>48.352112676056336</v>
      </c>
      <c r="CF44" s="137">
        <f t="shared" si="96"/>
        <v>45.10526315789474</v>
      </c>
      <c r="CG44" s="137">
        <f t="shared" si="96"/>
        <v>36.353684210526318</v>
      </c>
      <c r="CH44" s="137">
        <f t="shared" si="96"/>
        <v>41.392452830188681</v>
      </c>
      <c r="CI44" s="137">
        <f t="shared" si="96"/>
        <v>34.233449477351918</v>
      </c>
      <c r="CJ44" s="137">
        <f t="shared" si="96"/>
        <v>45.054439403758913</v>
      </c>
      <c r="CK44" s="138">
        <f t="shared" si="96"/>
        <v>38.352409638554214</v>
      </c>
      <c r="CL44" s="140">
        <f t="shared" si="96"/>
        <v>35.367896103896101</v>
      </c>
    </row>
    <row r="45" spans="1:90">
      <c r="A45" s="80">
        <f>ROWS($A$3:A43)</f>
        <v>41</v>
      </c>
      <c r="B45" s="92" t="s">
        <v>74</v>
      </c>
      <c r="C45" s="393">
        <v>2010</v>
      </c>
      <c r="D45" s="259" t="s">
        <v>7</v>
      </c>
      <c r="E45" s="437">
        <v>40652</v>
      </c>
      <c r="F45" s="116">
        <v>1148077</v>
      </c>
      <c r="G45" s="137">
        <v>109564</v>
      </c>
      <c r="H45" s="137">
        <v>151726</v>
      </c>
      <c r="I45" s="138">
        <v>723432</v>
      </c>
      <c r="J45" s="141"/>
      <c r="K45" s="116">
        <f t="shared" si="71"/>
        <v>143135</v>
      </c>
      <c r="L45" s="137">
        <f t="shared" si="72"/>
        <v>16426</v>
      </c>
      <c r="M45" s="137">
        <f t="shared" si="73"/>
        <v>150540</v>
      </c>
      <c r="N45" s="137">
        <f t="shared" si="74"/>
        <v>25725</v>
      </c>
      <c r="O45" s="137">
        <f t="shared" si="75"/>
        <v>49736</v>
      </c>
      <c r="P45" s="808">
        <f>IF(ISERROR(AZ45+BA45),BA45,AZ45+BA45)</f>
        <v>35071</v>
      </c>
      <c r="Q45" s="137">
        <f>'2012'!AU45</f>
        <v>21372</v>
      </c>
      <c r="R45" s="808">
        <f>IF(ISERROR(AT45+AX45),AX45,AT45+AX45)</f>
        <v>42652</v>
      </c>
      <c r="S45" s="137">
        <f t="shared" si="76"/>
        <v>7266</v>
      </c>
      <c r="T45" s="137">
        <f t="shared" si="77"/>
        <v>180470</v>
      </c>
      <c r="U45" s="139">
        <f t="shared" si="77"/>
        <v>475187</v>
      </c>
      <c r="V45" s="808">
        <f>IF(ISERROR(BG45+BJ45),BJ45,(BG45+BJ45))</f>
        <v>7039</v>
      </c>
      <c r="W45" s="137">
        <f t="shared" si="78"/>
        <v>14067</v>
      </c>
      <c r="X45" s="808">
        <f>IF(ISERROR(BH45+BI45),BI45,(BH45+BI45))</f>
        <v>7841</v>
      </c>
      <c r="Y45" s="808">
        <f>IF(ISERROR(BK45+BL45+BN45),BK45+BN45,(BK45+BL45+BN45))</f>
        <v>28028</v>
      </c>
      <c r="Z45" s="137">
        <f t="shared" si="79"/>
        <v>37706</v>
      </c>
      <c r="AA45" s="808">
        <f>IF(ISERROR(BO45+BQ45),BQ45,(BO45+BQ45))</f>
        <v>7823</v>
      </c>
      <c r="AB45" s="139">
        <f t="shared" si="80"/>
        <v>6980</v>
      </c>
      <c r="AC45" s="137">
        <f t="shared" si="81"/>
        <v>22148</v>
      </c>
      <c r="AD45" s="137">
        <f t="shared" si="82"/>
        <v>5024</v>
      </c>
      <c r="AE45" s="808">
        <f>BS45+BT45</f>
        <v>8955</v>
      </c>
      <c r="AF45" s="137">
        <f t="shared" si="83"/>
        <v>3562</v>
      </c>
      <c r="AG45" s="137">
        <f t="shared" si="84"/>
        <v>30888</v>
      </c>
      <c r="AH45" s="137">
        <f t="shared" si="85"/>
        <v>18417</v>
      </c>
      <c r="AI45" s="137">
        <f t="shared" si="86"/>
        <v>38725</v>
      </c>
      <c r="AJ45" s="137">
        <f t="shared" si="87"/>
        <v>10936</v>
      </c>
      <c r="AK45" s="139">
        <f t="shared" si="88"/>
        <v>13071</v>
      </c>
      <c r="AL45" s="137">
        <f t="shared" si="89"/>
        <v>9721</v>
      </c>
      <c r="AM45" s="137">
        <f t="shared" si="90"/>
        <v>173896</v>
      </c>
      <c r="AN45" s="137">
        <f t="shared" si="91"/>
        <v>56880</v>
      </c>
      <c r="AO45" s="137">
        <f t="shared" si="92"/>
        <v>30040</v>
      </c>
      <c r="AP45" s="137">
        <f t="shared" si="92"/>
        <v>17102</v>
      </c>
      <c r="AQ45" s="137">
        <f t="shared" si="93"/>
        <v>107463</v>
      </c>
      <c r="AR45" s="137">
        <f t="shared" si="94"/>
        <v>20295</v>
      </c>
      <c r="AS45" s="138">
        <f>CF45+CG45</f>
        <v>308035</v>
      </c>
      <c r="AT45" s="137">
        <v>0</v>
      </c>
      <c r="AU45" s="137">
        <v>21372</v>
      </c>
      <c r="AV45" s="137">
        <v>7266</v>
      </c>
      <c r="AW45" s="137">
        <v>25725</v>
      </c>
      <c r="AX45" s="137">
        <v>42652</v>
      </c>
      <c r="AY45" s="137">
        <v>16426</v>
      </c>
      <c r="AZ45" s="137">
        <v>0</v>
      </c>
      <c r="BA45" s="137">
        <v>35071</v>
      </c>
      <c r="BB45" s="137">
        <v>180470</v>
      </c>
      <c r="BC45" s="137">
        <v>475187</v>
      </c>
      <c r="BD45" s="137">
        <v>150540</v>
      </c>
      <c r="BE45" s="137">
        <v>49736</v>
      </c>
      <c r="BF45" s="139">
        <v>143135</v>
      </c>
      <c r="BG45" s="137">
        <v>0</v>
      </c>
      <c r="BH45" s="137">
        <v>1211</v>
      </c>
      <c r="BI45" s="137">
        <v>6630</v>
      </c>
      <c r="BJ45" s="137">
        <v>7039</v>
      </c>
      <c r="BK45" s="137">
        <v>765</v>
      </c>
      <c r="BL45" s="137" t="s">
        <v>233</v>
      </c>
      <c r="BM45" s="137">
        <v>37706</v>
      </c>
      <c r="BN45" s="137">
        <v>27263</v>
      </c>
      <c r="BO45" s="137">
        <v>95</v>
      </c>
      <c r="BP45" s="137">
        <v>6980</v>
      </c>
      <c r="BQ45" s="137">
        <v>7728</v>
      </c>
      <c r="BR45" s="139">
        <v>14067</v>
      </c>
      <c r="BS45" s="137">
        <v>400</v>
      </c>
      <c r="BT45" s="137">
        <v>8555</v>
      </c>
      <c r="BU45" s="137">
        <v>5024</v>
      </c>
      <c r="BV45" s="137">
        <v>30888</v>
      </c>
      <c r="BW45" s="137">
        <v>38725</v>
      </c>
      <c r="BX45" s="137">
        <v>22148</v>
      </c>
      <c r="BY45" s="137">
        <v>10936</v>
      </c>
      <c r="BZ45" s="137">
        <v>18417</v>
      </c>
      <c r="CA45" s="137">
        <v>3562</v>
      </c>
      <c r="CB45" s="139">
        <v>13071</v>
      </c>
      <c r="CC45" s="137">
        <v>30040</v>
      </c>
      <c r="CD45" s="137">
        <v>17102</v>
      </c>
      <c r="CE45" s="137">
        <v>9721</v>
      </c>
      <c r="CF45" s="137">
        <v>19867</v>
      </c>
      <c r="CG45" s="137">
        <v>288168</v>
      </c>
      <c r="CH45" s="137">
        <v>173896</v>
      </c>
      <c r="CI45" s="137">
        <v>20295</v>
      </c>
      <c r="CJ45" s="137">
        <v>56880</v>
      </c>
      <c r="CK45" s="138">
        <v>107463</v>
      </c>
      <c r="CL45" s="140">
        <v>2132799</v>
      </c>
    </row>
    <row r="46" spans="1:90">
      <c r="A46" s="80">
        <f>ROWS($A$3:A44)</f>
        <v>42</v>
      </c>
      <c r="B46" s="92" t="s">
        <v>8</v>
      </c>
      <c r="C46" s="203"/>
      <c r="D46" s="259" t="s">
        <v>7</v>
      </c>
      <c r="E46" s="437">
        <v>40652</v>
      </c>
      <c r="F46" s="116">
        <v>138422</v>
      </c>
      <c r="G46" s="137">
        <v>8774</v>
      </c>
      <c r="H46" s="137">
        <v>13335</v>
      </c>
      <c r="I46" s="138">
        <v>71363</v>
      </c>
      <c r="J46" s="141"/>
      <c r="K46" s="116">
        <f t="shared" si="71"/>
        <v>19542</v>
      </c>
      <c r="L46" s="137" t="str">
        <f t="shared" si="72"/>
        <v>*</v>
      </c>
      <c r="M46" s="137">
        <f t="shared" si="73"/>
        <v>19664</v>
      </c>
      <c r="N46" s="137">
        <f t="shared" si="74"/>
        <v>1477</v>
      </c>
      <c r="O46" s="137">
        <f t="shared" si="75"/>
        <v>4383</v>
      </c>
      <c r="P46" s="808">
        <f>IF(ISERROR(AZ46+BA46),BA46,AZ46+BA46)</f>
        <v>3335</v>
      </c>
      <c r="Q46" s="137">
        <f>'2012'!AU46</f>
        <v>2233</v>
      </c>
      <c r="R46" s="808">
        <f>IF(ISERROR(AT46+AX46),AX46,AT46+AX46)</f>
        <v>2945</v>
      </c>
      <c r="S46" s="137" t="str">
        <f t="shared" si="76"/>
        <v>*</v>
      </c>
      <c r="T46" s="137">
        <f t="shared" si="77"/>
        <v>24236</v>
      </c>
      <c r="U46" s="139">
        <f t="shared" si="77"/>
        <v>58271</v>
      </c>
      <c r="V46" s="808">
        <f>IF(ISERROR(BG46+BJ46),BJ46,(BG46+BJ46))</f>
        <v>532</v>
      </c>
      <c r="W46" s="137">
        <f t="shared" si="78"/>
        <v>1444</v>
      </c>
      <c r="X46" s="808">
        <f>IF(ISERROR(BH46+BI46),BI46,(BH46+BI46))</f>
        <v>180</v>
      </c>
      <c r="Y46" s="808">
        <f>IF(ISERROR(BK46+BL46+BN46),BN46,(BK46+BL46+BN46))</f>
        <v>1863</v>
      </c>
      <c r="Z46" s="137">
        <f t="shared" si="79"/>
        <v>2878</v>
      </c>
      <c r="AA46" s="808" t="str">
        <f>IF(ISERROR(BO46+BQ46),BQ46,(BO46+BQ46))</f>
        <v>*</v>
      </c>
      <c r="AB46" s="139">
        <f t="shared" si="80"/>
        <v>466</v>
      </c>
      <c r="AC46" s="137">
        <f t="shared" si="81"/>
        <v>1634</v>
      </c>
      <c r="AD46" s="137">
        <f t="shared" si="82"/>
        <v>471</v>
      </c>
      <c r="AE46" s="808">
        <f>BS46+BT46</f>
        <v>692</v>
      </c>
      <c r="AF46" s="137">
        <f t="shared" si="83"/>
        <v>190</v>
      </c>
      <c r="AG46" s="137">
        <f t="shared" si="84"/>
        <v>3655</v>
      </c>
      <c r="AH46" s="137">
        <f t="shared" si="85"/>
        <v>1386</v>
      </c>
      <c r="AI46" s="137">
        <f t="shared" si="86"/>
        <v>2660</v>
      </c>
      <c r="AJ46" s="137">
        <f t="shared" si="87"/>
        <v>1032</v>
      </c>
      <c r="AK46" s="139">
        <f t="shared" si="88"/>
        <v>1615</v>
      </c>
      <c r="AL46" s="137">
        <f t="shared" si="89"/>
        <v>778</v>
      </c>
      <c r="AM46" s="137">
        <f t="shared" si="90"/>
        <v>17329</v>
      </c>
      <c r="AN46" s="137">
        <f t="shared" si="91"/>
        <v>6991</v>
      </c>
      <c r="AO46" s="137">
        <f t="shared" si="92"/>
        <v>3831</v>
      </c>
      <c r="AP46" s="137">
        <f t="shared" si="92"/>
        <v>941</v>
      </c>
      <c r="AQ46" s="137">
        <f t="shared" si="93"/>
        <v>10639</v>
      </c>
      <c r="AR46" s="137">
        <f t="shared" si="94"/>
        <v>1591</v>
      </c>
      <c r="AS46" s="138">
        <f>CF46+CG46</f>
        <v>29263</v>
      </c>
      <c r="AT46" s="137">
        <v>0</v>
      </c>
      <c r="AU46" s="137">
        <v>2233</v>
      </c>
      <c r="AV46" s="137" t="s">
        <v>233</v>
      </c>
      <c r="AW46" s="137">
        <v>1477</v>
      </c>
      <c r="AX46" s="137">
        <v>2945</v>
      </c>
      <c r="AY46" s="137" t="s">
        <v>233</v>
      </c>
      <c r="AZ46" s="137">
        <v>0</v>
      </c>
      <c r="BA46" s="137">
        <v>3335</v>
      </c>
      <c r="BB46" s="137">
        <v>24236</v>
      </c>
      <c r="BC46" s="137">
        <v>58271</v>
      </c>
      <c r="BD46" s="137">
        <v>19664</v>
      </c>
      <c r="BE46" s="137">
        <v>4383</v>
      </c>
      <c r="BF46" s="139">
        <v>19542</v>
      </c>
      <c r="BG46" s="137" t="s">
        <v>233</v>
      </c>
      <c r="BH46" s="137" t="s">
        <v>233</v>
      </c>
      <c r="BI46" s="137">
        <v>180</v>
      </c>
      <c r="BJ46" s="137">
        <v>532</v>
      </c>
      <c r="BK46" s="137" t="s">
        <v>233</v>
      </c>
      <c r="BL46" s="137">
        <v>0</v>
      </c>
      <c r="BM46" s="137">
        <v>2878</v>
      </c>
      <c r="BN46" s="137">
        <v>1863</v>
      </c>
      <c r="BO46" s="137" t="s">
        <v>233</v>
      </c>
      <c r="BP46" s="137">
        <v>466</v>
      </c>
      <c r="BQ46" s="137" t="s">
        <v>233</v>
      </c>
      <c r="BR46" s="139">
        <v>1444</v>
      </c>
      <c r="BS46" s="137">
        <v>83</v>
      </c>
      <c r="BT46" s="137">
        <v>609</v>
      </c>
      <c r="BU46" s="137">
        <v>471</v>
      </c>
      <c r="BV46" s="137">
        <v>3655</v>
      </c>
      <c r="BW46" s="137">
        <v>2660</v>
      </c>
      <c r="BX46" s="137">
        <v>1634</v>
      </c>
      <c r="BY46" s="137">
        <v>1032</v>
      </c>
      <c r="BZ46" s="137">
        <v>1386</v>
      </c>
      <c r="CA46" s="137">
        <v>190</v>
      </c>
      <c r="CB46" s="139">
        <v>1615</v>
      </c>
      <c r="CC46" s="137">
        <v>3831</v>
      </c>
      <c r="CD46" s="137">
        <v>941</v>
      </c>
      <c r="CE46" s="137">
        <v>778</v>
      </c>
      <c r="CF46" s="137">
        <v>1439</v>
      </c>
      <c r="CG46" s="137">
        <v>27824</v>
      </c>
      <c r="CH46" s="137">
        <v>17329</v>
      </c>
      <c r="CI46" s="137">
        <v>1591</v>
      </c>
      <c r="CJ46" s="137">
        <v>6991</v>
      </c>
      <c r="CK46" s="138">
        <v>10639</v>
      </c>
      <c r="CL46" s="140">
        <v>231894</v>
      </c>
    </row>
    <row r="47" spans="1:90">
      <c r="A47" s="80">
        <f>ROWS($A$3:A45)</f>
        <v>43</v>
      </c>
      <c r="B47" s="54" t="s">
        <v>19</v>
      </c>
      <c r="C47" s="252"/>
      <c r="D47" s="259" t="s">
        <v>241</v>
      </c>
      <c r="E47" s="437">
        <v>40652</v>
      </c>
      <c r="F47" s="116">
        <f>F125/F124</f>
        <v>174.11972065181243</v>
      </c>
      <c r="G47" s="137">
        <f>G125/G124</f>
        <v>101.33630952380952</v>
      </c>
      <c r="H47" s="137">
        <f>H125/H124</f>
        <v>48.009674134419555</v>
      </c>
      <c r="I47" s="138">
        <f>I125/I124</f>
        <v>168.79459002535927</v>
      </c>
      <c r="J47" s="141"/>
      <c r="K47" s="116">
        <f t="shared" si="71"/>
        <v>112.86274509803921</v>
      </c>
      <c r="L47" s="137">
        <f t="shared" si="72"/>
        <v>73.268656716417908</v>
      </c>
      <c r="M47" s="137">
        <f t="shared" si="73"/>
        <v>139.1906976744186</v>
      </c>
      <c r="N47" s="137">
        <f t="shared" si="74"/>
        <v>127.40163934426229</v>
      </c>
      <c r="O47" s="137">
        <f t="shared" si="75"/>
        <v>186.52071005917159</v>
      </c>
      <c r="P47" s="808">
        <f>IF(ISERROR((BA45*BA47+AZ45*AZ47)/P45),BA47,(BA45*BA47+AZ45*AZ47)/P45)</f>
        <v>177.03007518796991</v>
      </c>
      <c r="Q47" s="137">
        <f>'2012'!AU47</f>
        <v>143.6</v>
      </c>
      <c r="R47" s="808">
        <f>IF(ISERROR((AT47*AT45+AX45*AX47)/R45),AX47,(AT47*AT45+AX45*AX47)/R45)</f>
        <v>215.48872180451127</v>
      </c>
      <c r="S47" s="137">
        <f t="shared" si="76"/>
        <v>65.145161290322577</v>
      </c>
      <c r="T47" s="137">
        <f t="shared" si="77"/>
        <v>216.87465181058496</v>
      </c>
      <c r="U47" s="139">
        <f t="shared" si="77"/>
        <v>227.08178844056707</v>
      </c>
      <c r="V47" s="808">
        <f>IF(ISERROR((BG47*BG45+BJ45*BJ47)/V45),BJ47,(BG47*BG45+BJ45*BJ47)/V45)</f>
        <v>90.093023255813947</v>
      </c>
      <c r="W47" s="137">
        <f t="shared" si="78"/>
        <v>69.509433962264154</v>
      </c>
      <c r="X47" s="808">
        <f>IF(ISERROR((BH45*BH47+BI45*BI47)/X45),BI47,(BH45*BH47+BI45*BI47)/X45)</f>
        <v>92.466251115929097</v>
      </c>
      <c r="Y47" s="808">
        <f>(BK47*BK45+BN47*BN45)/Y45</f>
        <v>129.75415071941046</v>
      </c>
      <c r="Z47" s="137">
        <f t="shared" si="79"/>
        <v>147.13186813186815</v>
      </c>
      <c r="AA47" s="808">
        <f>IF(ISERROR((BO47*BO45+BQ47*BQ45)/AA45),BQ47,(BO47*BO45+BQ47*BQ45)/AA45)</f>
        <v>85.91379310344827</v>
      </c>
      <c r="AB47" s="139">
        <f t="shared" si="80"/>
        <v>44.670329670329672</v>
      </c>
      <c r="AC47" s="137">
        <f t="shared" si="81"/>
        <v>55.530364372469634</v>
      </c>
      <c r="AD47" s="137">
        <f t="shared" si="82"/>
        <v>22.611111111111111</v>
      </c>
      <c r="AE47" s="808">
        <f>(BS45*BS47+BT45*BT47)/AE45</f>
        <v>21.937068584681651</v>
      </c>
      <c r="AF47" s="137">
        <f t="shared" si="83"/>
        <v>28.010416666666668</v>
      </c>
      <c r="AG47" s="137">
        <f t="shared" si="84"/>
        <v>31.215291750503017</v>
      </c>
      <c r="AH47" s="137">
        <f t="shared" si="85"/>
        <v>101.36134453781513</v>
      </c>
      <c r="AI47" s="137">
        <f t="shared" si="86"/>
        <v>116.59641255605381</v>
      </c>
      <c r="AJ47" s="137">
        <f t="shared" si="87"/>
        <v>69.136842105263156</v>
      </c>
      <c r="AK47" s="139">
        <f t="shared" si="88"/>
        <v>33.845794392523366</v>
      </c>
      <c r="AL47" s="137">
        <f t="shared" si="89"/>
        <v>74.096385542168676</v>
      </c>
      <c r="AM47" s="137">
        <f t="shared" si="90"/>
        <v>197.72</v>
      </c>
      <c r="AN47" s="137">
        <f t="shared" si="91"/>
        <v>117.89873417721519</v>
      </c>
      <c r="AO47" s="137">
        <f t="shared" si="92"/>
        <v>68.572727272727278</v>
      </c>
      <c r="AP47" s="137">
        <f t="shared" si="92"/>
        <v>154.06153846153848</v>
      </c>
      <c r="AQ47" s="137">
        <f t="shared" si="93"/>
        <v>150.2755905511811</v>
      </c>
      <c r="AR47" s="137">
        <f t="shared" si="94"/>
        <v>113.36974789915966</v>
      </c>
      <c r="AS47" s="144">
        <f>(CF45*CF47+CG45*CG47)/AS45</f>
        <v>229.46243470402328</v>
      </c>
      <c r="AT47" s="137" t="s">
        <v>58</v>
      </c>
      <c r="AU47" s="137">
        <f t="shared" ref="AU47:CJ47" si="97">AU125/AU124</f>
        <v>143.6</v>
      </c>
      <c r="AV47" s="137">
        <f t="shared" si="97"/>
        <v>65.145161290322577</v>
      </c>
      <c r="AW47" s="137">
        <f t="shared" si="97"/>
        <v>127.40163934426229</v>
      </c>
      <c r="AX47" s="137">
        <f t="shared" si="97"/>
        <v>215.48872180451127</v>
      </c>
      <c r="AY47" s="137">
        <f t="shared" si="97"/>
        <v>73.268656716417908</v>
      </c>
      <c r="AZ47" s="137" t="s">
        <v>58</v>
      </c>
      <c r="BA47" s="137">
        <f t="shared" si="97"/>
        <v>177.03007518796991</v>
      </c>
      <c r="BB47" s="137">
        <f t="shared" si="97"/>
        <v>216.87465181058496</v>
      </c>
      <c r="BC47" s="137">
        <f t="shared" si="97"/>
        <v>227.08178844056707</v>
      </c>
      <c r="BD47" s="137">
        <f t="shared" si="97"/>
        <v>139.1906976744186</v>
      </c>
      <c r="BE47" s="137">
        <f t="shared" si="97"/>
        <v>186.52071005917159</v>
      </c>
      <c r="BF47" s="139">
        <f t="shared" si="97"/>
        <v>112.86274509803921</v>
      </c>
      <c r="BG47" s="137" t="s">
        <v>58</v>
      </c>
      <c r="BH47" s="137">
        <f t="shared" si="97"/>
        <v>99.125</v>
      </c>
      <c r="BI47" s="137">
        <f t="shared" si="97"/>
        <v>91.25</v>
      </c>
      <c r="BJ47" s="137">
        <f t="shared" si="97"/>
        <v>90.093023255813947</v>
      </c>
      <c r="BK47" s="137">
        <f t="shared" si="97"/>
        <v>63</v>
      </c>
      <c r="BL47" s="137" t="s">
        <v>58</v>
      </c>
      <c r="BM47" s="137">
        <f t="shared" si="97"/>
        <v>147.13186813186815</v>
      </c>
      <c r="BN47" s="137">
        <f t="shared" si="97"/>
        <v>131.62727272727273</v>
      </c>
      <c r="BO47" s="137" t="s">
        <v>58</v>
      </c>
      <c r="BP47" s="137">
        <f t="shared" si="97"/>
        <v>44.670329670329672</v>
      </c>
      <c r="BQ47" s="137">
        <f t="shared" si="97"/>
        <v>85.91379310344827</v>
      </c>
      <c r="BR47" s="139">
        <f t="shared" si="97"/>
        <v>69.509433962264154</v>
      </c>
      <c r="BS47" s="137">
        <f t="shared" si="97"/>
        <v>17.153846153846153</v>
      </c>
      <c r="BT47" s="137">
        <f t="shared" si="97"/>
        <v>22.160714285714285</v>
      </c>
      <c r="BU47" s="137">
        <f t="shared" si="97"/>
        <v>22.611111111111111</v>
      </c>
      <c r="BV47" s="137">
        <f t="shared" si="97"/>
        <v>31.215291750503017</v>
      </c>
      <c r="BW47" s="137">
        <f t="shared" si="97"/>
        <v>116.59641255605381</v>
      </c>
      <c r="BX47" s="137">
        <f t="shared" si="97"/>
        <v>55.530364372469634</v>
      </c>
      <c r="BY47" s="137">
        <f t="shared" si="97"/>
        <v>69.136842105263156</v>
      </c>
      <c r="BZ47" s="137">
        <f t="shared" si="97"/>
        <v>101.36134453781513</v>
      </c>
      <c r="CA47" s="137">
        <f t="shared" si="97"/>
        <v>28.010416666666668</v>
      </c>
      <c r="CB47" s="139">
        <f t="shared" si="97"/>
        <v>33.845794392523366</v>
      </c>
      <c r="CC47" s="137">
        <f t="shared" si="97"/>
        <v>68.572727272727278</v>
      </c>
      <c r="CD47" s="137">
        <f t="shared" si="97"/>
        <v>154.06153846153848</v>
      </c>
      <c r="CE47" s="137">
        <f t="shared" si="97"/>
        <v>74.096385542168676</v>
      </c>
      <c r="CF47" s="137">
        <f t="shared" si="97"/>
        <v>428.06666666666666</v>
      </c>
      <c r="CG47" s="137">
        <f t="shared" si="97"/>
        <v>215.7701778385773</v>
      </c>
      <c r="CH47" s="137">
        <f t="shared" si="97"/>
        <v>197.72</v>
      </c>
      <c r="CI47" s="137">
        <f t="shared" si="97"/>
        <v>113.36974789915966</v>
      </c>
      <c r="CJ47" s="137">
        <f t="shared" si="97"/>
        <v>117.89873417721519</v>
      </c>
      <c r="CK47" s="138">
        <f>CK125/CK124</f>
        <v>150.2755905511811</v>
      </c>
      <c r="CL47" s="140">
        <f>CL125/CL124</f>
        <v>135.51442127606444</v>
      </c>
    </row>
    <row r="48" spans="1:90">
      <c r="A48" s="80">
        <f>ROWS($A$3:A46)</f>
        <v>44</v>
      </c>
      <c r="B48" s="196" t="s">
        <v>239</v>
      </c>
      <c r="C48" s="393">
        <v>2010</v>
      </c>
      <c r="D48" s="259" t="s">
        <v>7</v>
      </c>
      <c r="E48" s="437">
        <v>40652</v>
      </c>
      <c r="F48" s="116">
        <v>18657</v>
      </c>
      <c r="G48" s="137">
        <v>11690</v>
      </c>
      <c r="H48" s="137">
        <v>13322</v>
      </c>
      <c r="I48" s="138">
        <v>16072</v>
      </c>
      <c r="J48" s="141"/>
      <c r="K48" s="116">
        <f t="shared" si="71"/>
        <v>3102</v>
      </c>
      <c r="L48" s="137">
        <f t="shared" si="72"/>
        <v>1882</v>
      </c>
      <c r="M48" s="137">
        <f t="shared" si="73"/>
        <v>817</v>
      </c>
      <c r="N48" s="137">
        <f t="shared" si="74"/>
        <v>1667</v>
      </c>
      <c r="O48" s="137">
        <f t="shared" si="75"/>
        <v>739</v>
      </c>
      <c r="P48" s="137">
        <f>'2012'!AZ48+'2012'!BA48</f>
        <v>1429</v>
      </c>
      <c r="Q48" s="137">
        <f>'2012'!AU48</f>
        <v>2195</v>
      </c>
      <c r="R48" s="137">
        <f>AT48+AX48</f>
        <v>2352</v>
      </c>
      <c r="S48" s="137">
        <f t="shared" si="76"/>
        <v>2310</v>
      </c>
      <c r="T48" s="137">
        <f t="shared" si="77"/>
        <v>715</v>
      </c>
      <c r="U48" s="139">
        <f t="shared" si="77"/>
        <v>1449</v>
      </c>
      <c r="V48" s="137">
        <f>BG48+BJ48</f>
        <v>823</v>
      </c>
      <c r="W48" s="137">
        <f t="shared" si="78"/>
        <v>919</v>
      </c>
      <c r="X48" s="137">
        <f>BH48+BI48</f>
        <v>2585</v>
      </c>
      <c r="Y48" s="137">
        <f>BK48+BL48+BN48</f>
        <v>2816</v>
      </c>
      <c r="Z48" s="137">
        <f t="shared" si="79"/>
        <v>1619</v>
      </c>
      <c r="AA48" s="137">
        <f>BO48+BQ48</f>
        <v>1517</v>
      </c>
      <c r="AB48" s="139">
        <f t="shared" si="80"/>
        <v>1411</v>
      </c>
      <c r="AC48" s="137">
        <f t="shared" si="81"/>
        <v>1145</v>
      </c>
      <c r="AD48" s="137">
        <f t="shared" si="82"/>
        <v>998</v>
      </c>
      <c r="AE48" s="137">
        <f>BS48+BT48</f>
        <v>2422</v>
      </c>
      <c r="AF48" s="137">
        <f t="shared" si="83"/>
        <v>1691</v>
      </c>
      <c r="AG48" s="137">
        <f t="shared" si="84"/>
        <v>1682</v>
      </c>
      <c r="AH48" s="137">
        <f t="shared" si="85"/>
        <v>1607</v>
      </c>
      <c r="AI48" s="137">
        <f t="shared" si="86"/>
        <v>906</v>
      </c>
      <c r="AJ48" s="137">
        <f t="shared" si="87"/>
        <v>688</v>
      </c>
      <c r="AK48" s="139">
        <f t="shared" si="88"/>
        <v>2183</v>
      </c>
      <c r="AL48" s="137">
        <f t="shared" si="89"/>
        <v>1639</v>
      </c>
      <c r="AM48" s="137">
        <f t="shared" si="90"/>
        <v>2054</v>
      </c>
      <c r="AN48" s="137">
        <f t="shared" si="91"/>
        <v>3481</v>
      </c>
      <c r="AO48" s="137">
        <f t="shared" si="92"/>
        <v>2729</v>
      </c>
      <c r="AP48" s="137">
        <f t="shared" si="92"/>
        <v>920</v>
      </c>
      <c r="AQ48" s="137">
        <f t="shared" si="93"/>
        <v>1506</v>
      </c>
      <c r="AR48" s="137">
        <f t="shared" si="94"/>
        <v>1586</v>
      </c>
      <c r="AS48" s="138">
        <f>CF48+CG48</f>
        <v>2157</v>
      </c>
      <c r="AT48" s="137">
        <v>176</v>
      </c>
      <c r="AU48" s="137">
        <v>2195</v>
      </c>
      <c r="AV48" s="137">
        <v>2310</v>
      </c>
      <c r="AW48" s="137">
        <v>1667</v>
      </c>
      <c r="AX48" s="137">
        <v>2176</v>
      </c>
      <c r="AY48" s="137">
        <v>1882</v>
      </c>
      <c r="AZ48" s="137">
        <v>55</v>
      </c>
      <c r="BA48" s="137">
        <v>1374</v>
      </c>
      <c r="BB48" s="137">
        <v>715</v>
      </c>
      <c r="BC48" s="137">
        <v>1449</v>
      </c>
      <c r="BD48" s="137">
        <v>817</v>
      </c>
      <c r="BE48" s="137">
        <v>739</v>
      </c>
      <c r="BF48" s="139">
        <v>3102</v>
      </c>
      <c r="BG48" s="137">
        <v>50</v>
      </c>
      <c r="BH48" s="137">
        <v>168</v>
      </c>
      <c r="BI48" s="137">
        <v>2417</v>
      </c>
      <c r="BJ48" s="137">
        <v>773</v>
      </c>
      <c r="BK48" s="137">
        <v>116</v>
      </c>
      <c r="BL48" s="137">
        <v>469</v>
      </c>
      <c r="BM48" s="137">
        <v>1619</v>
      </c>
      <c r="BN48" s="137">
        <v>2231</v>
      </c>
      <c r="BO48" s="137">
        <v>95</v>
      </c>
      <c r="BP48" s="137">
        <v>1411</v>
      </c>
      <c r="BQ48" s="137">
        <v>1422</v>
      </c>
      <c r="BR48" s="139">
        <v>919</v>
      </c>
      <c r="BS48" s="137">
        <v>249</v>
      </c>
      <c r="BT48" s="137">
        <v>2173</v>
      </c>
      <c r="BU48" s="137">
        <v>998</v>
      </c>
      <c r="BV48" s="137">
        <v>1682</v>
      </c>
      <c r="BW48" s="137">
        <v>906</v>
      </c>
      <c r="BX48" s="137">
        <v>1145</v>
      </c>
      <c r="BY48" s="137">
        <v>688</v>
      </c>
      <c r="BZ48" s="137">
        <v>1607</v>
      </c>
      <c r="CA48" s="137">
        <v>1691</v>
      </c>
      <c r="CB48" s="139">
        <v>2183</v>
      </c>
      <c r="CC48" s="137">
        <v>2729</v>
      </c>
      <c r="CD48" s="137">
        <v>920</v>
      </c>
      <c r="CE48" s="137">
        <v>1639</v>
      </c>
      <c r="CF48" s="137">
        <v>220</v>
      </c>
      <c r="CG48" s="137">
        <v>1937</v>
      </c>
      <c r="CH48" s="137">
        <v>2054</v>
      </c>
      <c r="CI48" s="137">
        <v>1586</v>
      </c>
      <c r="CJ48" s="137">
        <v>3481</v>
      </c>
      <c r="CK48" s="138">
        <v>1506</v>
      </c>
      <c r="CL48" s="140">
        <v>59741</v>
      </c>
    </row>
    <row r="49" spans="1:90">
      <c r="A49" s="80">
        <f>ROWS($A$3:A47)</f>
        <v>45</v>
      </c>
      <c r="B49" s="92" t="s">
        <v>75</v>
      </c>
      <c r="C49" s="393">
        <v>2010</v>
      </c>
      <c r="D49" s="259" t="s">
        <v>7</v>
      </c>
      <c r="E49" s="437">
        <v>40652</v>
      </c>
      <c r="F49" s="116">
        <v>89942</v>
      </c>
      <c r="G49" s="137">
        <v>37333</v>
      </c>
      <c r="H49" s="137">
        <v>58301</v>
      </c>
      <c r="I49" s="138">
        <v>80552</v>
      </c>
      <c r="J49" s="141"/>
      <c r="K49" s="116">
        <f t="shared" si="71"/>
        <v>11026</v>
      </c>
      <c r="L49" s="137">
        <f t="shared" si="72"/>
        <v>7998</v>
      </c>
      <c r="M49" s="137">
        <f t="shared" si="73"/>
        <v>3629</v>
      </c>
      <c r="N49" s="137">
        <f t="shared" si="74"/>
        <v>11011</v>
      </c>
      <c r="O49" s="137">
        <f t="shared" si="75"/>
        <v>9759</v>
      </c>
      <c r="P49" s="137">
        <f>'2012'!AZ49+'2012'!BA49</f>
        <v>8316</v>
      </c>
      <c r="Q49" s="137">
        <f>'2012'!AU49</f>
        <v>5002</v>
      </c>
      <c r="R49" s="137">
        <f>AT49+AX49</f>
        <v>3480</v>
      </c>
      <c r="S49" s="137">
        <f t="shared" si="76"/>
        <v>12878</v>
      </c>
      <c r="T49" s="137">
        <f t="shared" si="77"/>
        <v>6146</v>
      </c>
      <c r="U49" s="139">
        <f t="shared" si="77"/>
        <v>11329</v>
      </c>
      <c r="V49" s="137">
        <f>BG49+BJ49</f>
        <v>4079</v>
      </c>
      <c r="W49" s="137">
        <f t="shared" si="78"/>
        <v>8075</v>
      </c>
      <c r="X49" s="137">
        <f>BH49+BI49</f>
        <v>5162</v>
      </c>
      <c r="Y49" s="137">
        <f>BN49</f>
        <v>4778</v>
      </c>
      <c r="Z49" s="137">
        <f t="shared" si="79"/>
        <v>2872</v>
      </c>
      <c r="AA49" s="137">
        <f>BQ49</f>
        <v>1648</v>
      </c>
      <c r="AB49" s="139">
        <f t="shared" si="80"/>
        <v>9701</v>
      </c>
      <c r="AC49" s="137">
        <f t="shared" si="81"/>
        <v>3492</v>
      </c>
      <c r="AD49" s="137">
        <f t="shared" si="82"/>
        <v>2712</v>
      </c>
      <c r="AE49" s="137">
        <f>BS49+BT49</f>
        <v>9536</v>
      </c>
      <c r="AF49" s="137">
        <f t="shared" si="83"/>
        <v>4480</v>
      </c>
      <c r="AG49" s="137">
        <f t="shared" si="84"/>
        <v>5909</v>
      </c>
      <c r="AH49" s="137">
        <f t="shared" si="85"/>
        <v>4775</v>
      </c>
      <c r="AI49" s="137">
        <f t="shared" si="86"/>
        <v>7827</v>
      </c>
      <c r="AJ49" s="137">
        <f t="shared" si="87"/>
        <v>4733</v>
      </c>
      <c r="AK49" s="139">
        <f t="shared" si="88"/>
        <v>5174</v>
      </c>
      <c r="AL49" s="137">
        <f t="shared" si="89"/>
        <v>16486</v>
      </c>
      <c r="AM49" s="137">
        <f t="shared" si="90"/>
        <v>4167</v>
      </c>
      <c r="AN49" s="137">
        <f t="shared" si="91"/>
        <v>5606</v>
      </c>
      <c r="AO49" s="137">
        <f t="shared" si="92"/>
        <v>20120</v>
      </c>
      <c r="AP49" s="137" t="str">
        <f t="shared" si="92"/>
        <v>*</v>
      </c>
      <c r="AQ49" s="137">
        <f t="shared" si="93"/>
        <v>4076</v>
      </c>
      <c r="AR49" s="137">
        <f t="shared" si="94"/>
        <v>4623</v>
      </c>
      <c r="AS49" s="138">
        <f>CG49</f>
        <v>10366</v>
      </c>
      <c r="AT49" s="137">
        <v>387</v>
      </c>
      <c r="AU49" s="137">
        <v>5002</v>
      </c>
      <c r="AV49" s="137">
        <v>12878</v>
      </c>
      <c r="AW49" s="137">
        <v>11011</v>
      </c>
      <c r="AX49" s="137">
        <v>3093</v>
      </c>
      <c r="AY49" s="137">
        <v>7998</v>
      </c>
      <c r="AZ49" s="137">
        <v>0</v>
      </c>
      <c r="BA49" s="137">
        <v>8316</v>
      </c>
      <c r="BB49" s="137">
        <v>6146</v>
      </c>
      <c r="BC49" s="137">
        <v>11329</v>
      </c>
      <c r="BD49" s="137">
        <v>3629</v>
      </c>
      <c r="BE49" s="137">
        <v>9759</v>
      </c>
      <c r="BF49" s="139">
        <v>11026</v>
      </c>
      <c r="BG49" s="137">
        <v>1526</v>
      </c>
      <c r="BH49" s="137">
        <v>881</v>
      </c>
      <c r="BI49" s="137">
        <v>4281</v>
      </c>
      <c r="BJ49" s="137">
        <v>2553</v>
      </c>
      <c r="BK49" s="137" t="s">
        <v>233</v>
      </c>
      <c r="BL49" s="137" t="s">
        <v>233</v>
      </c>
      <c r="BM49" s="137">
        <v>2872</v>
      </c>
      <c r="BN49" s="137">
        <v>4778</v>
      </c>
      <c r="BO49" s="137" t="s">
        <v>233</v>
      </c>
      <c r="BP49" s="137">
        <v>9701</v>
      </c>
      <c r="BQ49" s="137">
        <v>1648</v>
      </c>
      <c r="BR49" s="139">
        <v>8075</v>
      </c>
      <c r="BS49" s="137">
        <v>3491</v>
      </c>
      <c r="BT49" s="137">
        <v>6045</v>
      </c>
      <c r="BU49" s="137">
        <v>2712</v>
      </c>
      <c r="BV49" s="137">
        <v>5909</v>
      </c>
      <c r="BW49" s="137">
        <v>7827</v>
      </c>
      <c r="BX49" s="137">
        <v>3492</v>
      </c>
      <c r="BY49" s="137">
        <v>4733</v>
      </c>
      <c r="BZ49" s="137">
        <v>4775</v>
      </c>
      <c r="CA49" s="137">
        <v>4480</v>
      </c>
      <c r="CB49" s="139">
        <v>5174</v>
      </c>
      <c r="CC49" s="137">
        <v>20120</v>
      </c>
      <c r="CD49" s="137" t="s">
        <v>233</v>
      </c>
      <c r="CE49" s="137">
        <v>16486</v>
      </c>
      <c r="CF49" s="137" t="s">
        <v>233</v>
      </c>
      <c r="CG49" s="137">
        <v>10366</v>
      </c>
      <c r="CH49" s="137">
        <v>4167</v>
      </c>
      <c r="CI49" s="137">
        <v>4623</v>
      </c>
      <c r="CJ49" s="137">
        <v>5606</v>
      </c>
      <c r="CK49" s="138">
        <v>4076</v>
      </c>
      <c r="CL49" s="140">
        <v>274311</v>
      </c>
    </row>
    <row r="50" spans="1:90">
      <c r="A50" s="80">
        <f>ROWS($A$3:A48)</f>
        <v>46</v>
      </c>
      <c r="B50" s="52" t="s">
        <v>76</v>
      </c>
      <c r="C50" s="392">
        <v>2010</v>
      </c>
      <c r="D50" s="260" t="s">
        <v>21</v>
      </c>
      <c r="E50" s="435"/>
      <c r="F50" s="116">
        <v>81</v>
      </c>
      <c r="G50" s="137">
        <v>45</v>
      </c>
      <c r="H50" s="137">
        <v>63</v>
      </c>
      <c r="I50" s="138">
        <v>95</v>
      </c>
      <c r="J50" s="141"/>
      <c r="K50" s="116">
        <f t="shared" si="71"/>
        <v>111</v>
      </c>
      <c r="L50" s="137">
        <f t="shared" si="72"/>
        <v>81</v>
      </c>
      <c r="M50" s="137">
        <f t="shared" si="73"/>
        <v>48</v>
      </c>
      <c r="N50" s="137">
        <f t="shared" si="74"/>
        <v>98</v>
      </c>
      <c r="O50" s="137">
        <f t="shared" si="75"/>
        <v>91</v>
      </c>
      <c r="P50" s="143">
        <f>(AZ50*AZ35+BA50*BA35)/P35</f>
        <v>30.632177970625204</v>
      </c>
      <c r="Q50" s="137">
        <f>'2012'!AU50</f>
        <v>53</v>
      </c>
      <c r="R50" s="143">
        <f>(AT50*AT35+AX50*AX35)/R35</f>
        <v>53.917846943779388</v>
      </c>
      <c r="S50" s="137">
        <f t="shared" si="76"/>
        <v>58</v>
      </c>
      <c r="T50" s="137">
        <f t="shared" si="77"/>
        <v>94</v>
      </c>
      <c r="U50" s="139">
        <f t="shared" si="77"/>
        <v>130</v>
      </c>
      <c r="V50" s="143">
        <f>(BG50*BG35+BJ50*BJ35)/V35</f>
        <v>23.90534722655519</v>
      </c>
      <c r="W50" s="137">
        <f t="shared" si="78"/>
        <v>66</v>
      </c>
      <c r="X50" s="143">
        <f>(BH50*BH35+BI50*BI35)/X35</f>
        <v>23</v>
      </c>
      <c r="Y50" s="143">
        <f>(BK50*BK35+BL50*BL35+BN50*BN35)/Y35</f>
        <v>41.732504324248517</v>
      </c>
      <c r="Z50" s="137">
        <f t="shared" si="79"/>
        <v>55</v>
      </c>
      <c r="AA50" s="143">
        <f>(BO50*BO35+BQ50*BQ35)/AA35</f>
        <v>51.696666005159756</v>
      </c>
      <c r="AB50" s="139">
        <f t="shared" si="80"/>
        <v>67</v>
      </c>
      <c r="AC50" s="137">
        <f t="shared" si="81"/>
        <v>73</v>
      </c>
      <c r="AD50" s="137">
        <f t="shared" si="82"/>
        <v>61</v>
      </c>
      <c r="AE50" s="143">
        <f>(BS50*BS35+BT50*BT35)/AE35</f>
        <v>54.149585762503833</v>
      </c>
      <c r="AF50" s="137">
        <f t="shared" si="83"/>
        <v>64</v>
      </c>
      <c r="AG50" s="137">
        <f t="shared" si="84"/>
        <v>52</v>
      </c>
      <c r="AH50" s="137">
        <f t="shared" si="85"/>
        <v>69</v>
      </c>
      <c r="AI50" s="137">
        <f t="shared" si="86"/>
        <v>65</v>
      </c>
      <c r="AJ50" s="137">
        <f t="shared" si="87"/>
        <v>60</v>
      </c>
      <c r="AK50" s="139">
        <f t="shared" si="88"/>
        <v>80</v>
      </c>
      <c r="AL50" s="137">
        <f t="shared" si="89"/>
        <v>42</v>
      </c>
      <c r="AM50" s="137">
        <f t="shared" si="90"/>
        <v>115</v>
      </c>
      <c r="AN50" s="137">
        <f t="shared" si="91"/>
        <v>142</v>
      </c>
      <c r="AO50" s="137">
        <f t="shared" si="92"/>
        <v>67</v>
      </c>
      <c r="AP50" s="137">
        <f t="shared" si="92"/>
        <v>39</v>
      </c>
      <c r="AQ50" s="137">
        <f t="shared" si="93"/>
        <v>79</v>
      </c>
      <c r="AR50" s="137">
        <f t="shared" si="94"/>
        <v>72</v>
      </c>
      <c r="AS50" s="144">
        <f>(CF50*CF35+CG50*CG35)/AS35</f>
        <v>98.344088616760459</v>
      </c>
      <c r="AT50" s="137">
        <v>40</v>
      </c>
      <c r="AU50" s="137">
        <v>53</v>
      </c>
      <c r="AV50" s="137">
        <v>58</v>
      </c>
      <c r="AW50" s="137">
        <v>98</v>
      </c>
      <c r="AX50" s="137">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c r="A51" s="80">
        <f>ROWS($A$3:A49)</f>
        <v>47</v>
      </c>
      <c r="B51" s="54" t="s">
        <v>92</v>
      </c>
      <c r="C51" s="252">
        <v>2010</v>
      </c>
      <c r="D51" s="259" t="s">
        <v>9</v>
      </c>
      <c r="E51" s="437">
        <v>40441</v>
      </c>
      <c r="F51" s="142">
        <f>IF(ISERROR(F95/F42)=TRUE,0,ROUND(F95/F42*1000,0))</f>
        <v>5399</v>
      </c>
      <c r="G51" s="143">
        <f>IF(ISERROR(G95/G42)=TRUE,0,ROUND(G95/G42*1000,0))</f>
        <v>4719</v>
      </c>
      <c r="H51" s="143">
        <f>IF(ISERROR(H95/H42)=TRUE,0,ROUND(H95/H42*1000,0))</f>
        <v>4170</v>
      </c>
      <c r="I51" s="144">
        <f>IF(ISERROR(I95/I42)=TRUE,0,ROUND(I95/I42*1000,0))</f>
        <v>5837</v>
      </c>
      <c r="J51" s="141"/>
      <c r="K51" s="145">
        <f t="shared" si="71"/>
        <v>5734</v>
      </c>
      <c r="L51" s="146">
        <f t="shared" si="72"/>
        <v>5017</v>
      </c>
      <c r="M51" s="146">
        <f t="shared" si="73"/>
        <v>5616</v>
      </c>
      <c r="N51" s="146">
        <f t="shared" si="74"/>
        <v>4742</v>
      </c>
      <c r="O51" s="146">
        <f t="shared" si="75"/>
        <v>5712</v>
      </c>
      <c r="P51" s="143">
        <f>IF(ISERROR(P95/P42)=TRUE,0,ROUND(P95/P42*1000,0))</f>
        <v>5718</v>
      </c>
      <c r="Q51" s="146">
        <f>'2010'!AU51</f>
        <v>4651</v>
      </c>
      <c r="R51" s="143">
        <f>IF(ISERROR(R95/R42)=TRUE,0,ROUND(R95/R42*1000,0))</f>
        <v>6190</v>
      </c>
      <c r="S51" s="146">
        <f t="shared" si="76"/>
        <v>3788</v>
      </c>
      <c r="T51" s="146">
        <f t="shared" si="77"/>
        <v>5117</v>
      </c>
      <c r="U51" s="147">
        <f t="shared" si="77"/>
        <v>5479</v>
      </c>
      <c r="V51" s="143">
        <f>IF(ISERROR(V95/V42)=TRUE,0,ROUND(V95/V42*1000,0))</f>
        <v>1753</v>
      </c>
      <c r="W51" s="146">
        <f t="shared" si="78"/>
        <v>4681</v>
      </c>
      <c r="X51" s="143">
        <f>IF(ISERROR(X95/X42)=TRUE,0,ROUND(X95/X42*1000,0))</f>
        <v>3422</v>
      </c>
      <c r="Y51" s="143">
        <f>IF(ISERROR(Y95/Y42)=TRUE,0,ROUND(Y95/Y42*1000,0))</f>
        <v>5344</v>
      </c>
      <c r="Z51" s="146">
        <f t="shared" si="79"/>
        <v>5469</v>
      </c>
      <c r="AA51" s="143">
        <f>IF(ISERROR(AA95/AA42)=TRUE,0,ROUND(AA95/AA42*1000,0))</f>
        <v>4756</v>
      </c>
      <c r="AB51" s="147">
        <f t="shared" si="80"/>
        <v>4444</v>
      </c>
      <c r="AC51" s="146">
        <f t="shared" si="81"/>
        <v>4573</v>
      </c>
      <c r="AD51" s="146">
        <f t="shared" si="82"/>
        <v>3266</v>
      </c>
      <c r="AE51" s="143">
        <f>IF(ISERROR(AE95/AE42)=TRUE,0,ROUND(AE95/AE42*1000,0))</f>
        <v>4185</v>
      </c>
      <c r="AF51" s="146">
        <f t="shared" si="83"/>
        <v>2908</v>
      </c>
      <c r="AG51" s="146">
        <f t="shared" si="84"/>
        <v>3338</v>
      </c>
      <c r="AH51" s="146">
        <f t="shared" si="85"/>
        <v>5406</v>
      </c>
      <c r="AI51" s="146">
        <f t="shared" si="86"/>
        <v>4111</v>
      </c>
      <c r="AJ51" s="146">
        <f t="shared" si="87"/>
        <v>4804</v>
      </c>
      <c r="AK51" s="147">
        <f t="shared" si="88"/>
        <v>4149</v>
      </c>
      <c r="AL51" s="146">
        <f t="shared" si="89"/>
        <v>3970</v>
      </c>
      <c r="AM51" s="146">
        <f t="shared" si="90"/>
        <v>6012</v>
      </c>
      <c r="AN51" s="146">
        <f t="shared" si="91"/>
        <v>6117</v>
      </c>
      <c r="AO51" s="146">
        <f t="shared" si="92"/>
        <v>5334</v>
      </c>
      <c r="AP51" s="146">
        <f t="shared" si="92"/>
        <v>4259</v>
      </c>
      <c r="AQ51" s="146">
        <f t="shared" si="93"/>
        <v>5229</v>
      </c>
      <c r="AR51" s="146">
        <f t="shared" si="94"/>
        <v>5715</v>
      </c>
      <c r="AS51" s="144">
        <f t="shared" ref="AS51:CL51" si="98">IF(ISERROR(AS95/AS42)=TRUE,0,ROUND(AS95/AS42*1000,0))</f>
        <v>5927</v>
      </c>
      <c r="AT51" s="143">
        <f t="shared" si="98"/>
        <v>4918</v>
      </c>
      <c r="AU51" s="143">
        <f t="shared" si="98"/>
        <v>4925</v>
      </c>
      <c r="AV51" s="143">
        <f t="shared" si="98"/>
        <v>3788</v>
      </c>
      <c r="AW51" s="143">
        <f t="shared" si="98"/>
        <v>4742</v>
      </c>
      <c r="AX51" s="143">
        <f t="shared" si="98"/>
        <v>6190</v>
      </c>
      <c r="AY51" s="143">
        <f t="shared" si="98"/>
        <v>5017</v>
      </c>
      <c r="AZ51" s="143">
        <f t="shared" si="98"/>
        <v>0</v>
      </c>
      <c r="BA51" s="143">
        <f t="shared" si="98"/>
        <v>5718</v>
      </c>
      <c r="BB51" s="143">
        <f t="shared" si="98"/>
        <v>5117</v>
      </c>
      <c r="BC51" s="143">
        <f t="shared" si="98"/>
        <v>5479</v>
      </c>
      <c r="BD51" s="143">
        <f t="shared" si="98"/>
        <v>5616</v>
      </c>
      <c r="BE51" s="143">
        <f t="shared" si="98"/>
        <v>5712</v>
      </c>
      <c r="BF51" s="148">
        <f t="shared" si="98"/>
        <v>5734</v>
      </c>
      <c r="BG51" s="143">
        <f t="shared" si="98"/>
        <v>0</v>
      </c>
      <c r="BH51" s="143">
        <f t="shared" si="98"/>
        <v>0</v>
      </c>
      <c r="BI51" s="143">
        <f t="shared" si="98"/>
        <v>3422</v>
      </c>
      <c r="BJ51" s="143">
        <f t="shared" si="98"/>
        <v>1753</v>
      </c>
      <c r="BK51" s="143">
        <f t="shared" si="98"/>
        <v>0</v>
      </c>
      <c r="BL51" s="143">
        <f t="shared" si="98"/>
        <v>0</v>
      </c>
      <c r="BM51" s="143">
        <f t="shared" si="98"/>
        <v>5469</v>
      </c>
      <c r="BN51" s="143">
        <f t="shared" si="98"/>
        <v>5344</v>
      </c>
      <c r="BO51" s="143">
        <f t="shared" si="98"/>
        <v>0</v>
      </c>
      <c r="BP51" s="143">
        <f t="shared" si="98"/>
        <v>4444</v>
      </c>
      <c r="BQ51" s="143">
        <f t="shared" si="98"/>
        <v>4756</v>
      </c>
      <c r="BR51" s="148">
        <f t="shared" si="98"/>
        <v>4681</v>
      </c>
      <c r="BS51" s="143">
        <f t="shared" si="98"/>
        <v>0</v>
      </c>
      <c r="BT51" s="143">
        <f t="shared" si="98"/>
        <v>4257</v>
      </c>
      <c r="BU51" s="143">
        <f t="shared" si="98"/>
        <v>3266</v>
      </c>
      <c r="BV51" s="143">
        <f t="shared" si="98"/>
        <v>3338</v>
      </c>
      <c r="BW51" s="143">
        <f t="shared" si="98"/>
        <v>4111</v>
      </c>
      <c r="BX51" s="143">
        <f t="shared" si="98"/>
        <v>4573</v>
      </c>
      <c r="BY51" s="143">
        <f t="shared" si="98"/>
        <v>4804</v>
      </c>
      <c r="BZ51" s="143">
        <f t="shared" si="98"/>
        <v>5406</v>
      </c>
      <c r="CA51" s="143">
        <f t="shared" si="98"/>
        <v>2908</v>
      </c>
      <c r="CB51" s="148">
        <f t="shared" si="98"/>
        <v>4149</v>
      </c>
      <c r="CC51" s="143">
        <f t="shared" si="98"/>
        <v>5334</v>
      </c>
      <c r="CD51" s="143">
        <f t="shared" si="98"/>
        <v>4259</v>
      </c>
      <c r="CE51" s="143">
        <f t="shared" si="98"/>
        <v>3970</v>
      </c>
      <c r="CF51" s="143">
        <f t="shared" si="98"/>
        <v>0</v>
      </c>
      <c r="CG51" s="143">
        <f t="shared" si="98"/>
        <v>6213</v>
      </c>
      <c r="CH51" s="143">
        <f t="shared" si="98"/>
        <v>6012</v>
      </c>
      <c r="CI51" s="143">
        <f t="shared" si="98"/>
        <v>5715</v>
      </c>
      <c r="CJ51" s="143">
        <f t="shared" si="98"/>
        <v>6117</v>
      </c>
      <c r="CK51" s="144">
        <f t="shared" si="98"/>
        <v>5229</v>
      </c>
      <c r="CL51" s="149">
        <f t="shared" si="98"/>
        <v>5508</v>
      </c>
    </row>
    <row r="52" spans="1:90">
      <c r="A52" s="80">
        <f>ROWS($A$3:A50)</f>
        <v>48</v>
      </c>
      <c r="B52" s="388" t="str">
        <f>'Stand der Daten'!B53</f>
        <v>Milcherzeugung</v>
      </c>
      <c r="C52" s="204">
        <v>2011</v>
      </c>
      <c r="D52" s="259" t="s">
        <v>358</v>
      </c>
      <c r="E52" s="437">
        <v>42919</v>
      </c>
      <c r="F52" s="389">
        <v>667</v>
      </c>
      <c r="G52" s="390">
        <v>154.6</v>
      </c>
      <c r="H52" s="390">
        <v>401.1</v>
      </c>
      <c r="I52" s="391">
        <v>1056</v>
      </c>
      <c r="J52" s="141"/>
      <c r="K52" s="178">
        <f t="shared" si="71"/>
        <v>181.7</v>
      </c>
      <c r="L52" s="179">
        <f t="shared" si="72"/>
        <v>46.2</v>
      </c>
      <c r="M52" s="179">
        <f t="shared" si="73"/>
        <v>44.6</v>
      </c>
      <c r="N52" s="179">
        <f t="shared" si="74"/>
        <v>62.6</v>
      </c>
      <c r="O52" s="179">
        <f t="shared" si="75"/>
        <v>45.9</v>
      </c>
      <c r="P52" s="179">
        <f>AZ52+BA52</f>
        <v>28.9</v>
      </c>
      <c r="Q52" s="179">
        <f>'2009'!AU52</f>
        <v>18.2</v>
      </c>
      <c r="R52" s="179">
        <f>AT52+AX52</f>
        <v>33.200000000000003</v>
      </c>
      <c r="S52" s="179">
        <f t="shared" si="76"/>
        <v>13.3</v>
      </c>
      <c r="T52" s="179">
        <f t="shared" si="77"/>
        <v>46.1</v>
      </c>
      <c r="U52" s="180">
        <f t="shared" si="77"/>
        <v>146.30000000000001</v>
      </c>
      <c r="V52" s="179">
        <f>BG52+BJ52</f>
        <v>2.1</v>
      </c>
      <c r="W52" s="179">
        <f t="shared" si="78"/>
        <v>25.7</v>
      </c>
      <c r="X52" s="179">
        <f>BH52+BI52</f>
        <v>6.9</v>
      </c>
      <c r="Y52" s="179">
        <f>BK52+BL52+BN52</f>
        <v>24.6</v>
      </c>
      <c r="Z52" s="179">
        <f t="shared" si="79"/>
        <v>52.3</v>
      </c>
      <c r="AA52" s="179">
        <f>BO52+BQ52</f>
        <v>20.3</v>
      </c>
      <c r="AB52" s="180">
        <f t="shared" si="80"/>
        <v>22.8</v>
      </c>
      <c r="AC52" s="179">
        <f t="shared" si="81"/>
        <v>71.5</v>
      </c>
      <c r="AD52" s="179">
        <f t="shared" si="82"/>
        <v>20.399999999999999</v>
      </c>
      <c r="AE52" s="179">
        <f>BS52+BT52</f>
        <v>60.1</v>
      </c>
      <c r="AF52" s="179">
        <f t="shared" si="83"/>
        <v>19.2</v>
      </c>
      <c r="AG52" s="179">
        <f t="shared" si="84"/>
        <v>41</v>
      </c>
      <c r="AH52" s="179">
        <f t="shared" si="85"/>
        <v>60.8</v>
      </c>
      <c r="AI52" s="179">
        <f t="shared" si="86"/>
        <v>28.1</v>
      </c>
      <c r="AJ52" s="179">
        <f t="shared" si="87"/>
        <v>36.700000000000003</v>
      </c>
      <c r="AK52" s="180">
        <f t="shared" si="88"/>
        <v>63.3</v>
      </c>
      <c r="AL52" s="179">
        <f t="shared" si="89"/>
        <v>22.9</v>
      </c>
      <c r="AM52" s="179">
        <f t="shared" si="90"/>
        <v>227.8</v>
      </c>
      <c r="AN52" s="179">
        <f t="shared" si="91"/>
        <v>473</v>
      </c>
      <c r="AO52" s="179">
        <f t="shared" si="92"/>
        <v>52.8</v>
      </c>
      <c r="AP52" s="179">
        <f t="shared" si="92"/>
        <v>10.3</v>
      </c>
      <c r="AQ52" s="179">
        <f t="shared" si="93"/>
        <v>85.5</v>
      </c>
      <c r="AR52" s="179">
        <f t="shared" si="94"/>
        <v>65</v>
      </c>
      <c r="AS52" s="391">
        <f>CF52+CG52</f>
        <v>118.9</v>
      </c>
      <c r="AT52" s="390">
        <v>2.1</v>
      </c>
      <c r="AU52" s="390">
        <v>18.2</v>
      </c>
      <c r="AV52" s="390">
        <v>13.3</v>
      </c>
      <c r="AW52" s="390">
        <v>62.6</v>
      </c>
      <c r="AX52" s="390">
        <v>31.1</v>
      </c>
      <c r="AY52" s="390">
        <v>46.2</v>
      </c>
      <c r="AZ52" s="390">
        <v>0</v>
      </c>
      <c r="BA52" s="390">
        <v>28.9</v>
      </c>
      <c r="BB52" s="390">
        <v>46.1</v>
      </c>
      <c r="BC52" s="390">
        <v>146.30000000000001</v>
      </c>
      <c r="BD52" s="390">
        <v>44.6</v>
      </c>
      <c r="BE52" s="390">
        <v>45.9</v>
      </c>
      <c r="BF52" s="514">
        <v>181.7</v>
      </c>
      <c r="BG52" s="390">
        <v>0</v>
      </c>
      <c r="BH52" s="390">
        <f>BH96</f>
        <v>0</v>
      </c>
      <c r="BI52" s="390">
        <v>6.9</v>
      </c>
      <c r="BJ52" s="390">
        <v>2.1</v>
      </c>
      <c r="BK52" s="390">
        <v>0</v>
      </c>
      <c r="BL52" s="390">
        <v>0</v>
      </c>
      <c r="BM52" s="390">
        <v>52.3</v>
      </c>
      <c r="BN52" s="390">
        <v>24.6</v>
      </c>
      <c r="BO52" s="390">
        <v>0</v>
      </c>
      <c r="BP52" s="390">
        <v>22.8</v>
      </c>
      <c r="BQ52" s="390">
        <v>20.3</v>
      </c>
      <c r="BR52" s="514">
        <v>25.7</v>
      </c>
      <c r="BS52" s="390">
        <f>BS96</f>
        <v>0</v>
      </c>
      <c r="BT52" s="390">
        <v>60.1</v>
      </c>
      <c r="BU52" s="390">
        <v>20.399999999999999</v>
      </c>
      <c r="BV52" s="390">
        <v>41</v>
      </c>
      <c r="BW52" s="390">
        <v>28.1</v>
      </c>
      <c r="BX52" s="390">
        <v>71.5</v>
      </c>
      <c r="BY52" s="390">
        <v>36.700000000000003</v>
      </c>
      <c r="BZ52" s="390">
        <v>60.8</v>
      </c>
      <c r="CA52" s="390">
        <v>19.2</v>
      </c>
      <c r="CB52" s="514">
        <v>63.3</v>
      </c>
      <c r="CC52" s="390">
        <v>52.8</v>
      </c>
      <c r="CD52" s="390">
        <v>10.3</v>
      </c>
      <c r="CE52" s="390">
        <v>22.9</v>
      </c>
      <c r="CF52" s="390">
        <v>0</v>
      </c>
      <c r="CG52" s="390">
        <v>118.9</v>
      </c>
      <c r="CH52" s="390">
        <v>227.8</v>
      </c>
      <c r="CI52" s="390">
        <v>65</v>
      </c>
      <c r="CJ52" s="390">
        <v>473</v>
      </c>
      <c r="CK52" s="391">
        <v>85.5</v>
      </c>
      <c r="CL52" s="515">
        <v>2285.4</v>
      </c>
    </row>
    <row r="53" spans="1:90">
      <c r="A53" s="80">
        <f>ROWS($A$3:A51)</f>
        <v>49</v>
      </c>
      <c r="B53" s="54" t="str">
        <f>"Änderung der Milcherzeugung "&amp;C52&amp;"/"&amp;"2010"</f>
        <v>Änderung der Milcherzeugung 2011/2010</v>
      </c>
      <c r="C53" s="252"/>
      <c r="D53" s="259" t="s">
        <v>3</v>
      </c>
      <c r="E53" s="483">
        <v>42919</v>
      </c>
      <c r="F53" s="167">
        <f>F52/'2010'!F52%-100</f>
        <v>3.0593325092707033</v>
      </c>
      <c r="G53" s="168">
        <f>G52/'2010'!G52%-100</f>
        <v>3.2732130928523731</v>
      </c>
      <c r="H53" s="168">
        <f>H52/'2010'!H52%-100</f>
        <v>3.2964202935874312</v>
      </c>
      <c r="I53" s="169">
        <f>I52/'2010'!I52%-100</f>
        <v>0.27537745703163807</v>
      </c>
      <c r="J53" s="173"/>
      <c r="K53" s="178">
        <f>K52/'2010'!K52%-100</f>
        <v>4.5454545454545325</v>
      </c>
      <c r="L53" s="179">
        <f>L52/'2010'!L52%-100</f>
        <v>5</v>
      </c>
      <c r="M53" s="179">
        <f>M52/'2010'!M52%-100</f>
        <v>1.5945330296127622</v>
      </c>
      <c r="N53" s="179">
        <f>N52/'2010'!N52%-100</f>
        <v>3.8142620232172533</v>
      </c>
      <c r="O53" s="179">
        <f>O52/'2010'!O52%-100</f>
        <v>-0.43383947939263123</v>
      </c>
      <c r="P53" s="168">
        <f>P52/'2010'!P52%-100</f>
        <v>0.69686411149825744</v>
      </c>
      <c r="Q53" s="179">
        <f>Q52/'2010'!Q52%-100</f>
        <v>0</v>
      </c>
      <c r="R53" s="168">
        <f>R52/'2010'!R52%-100</f>
        <v>2.4691358024691397</v>
      </c>
      <c r="S53" s="179">
        <f>S52/'2010'!S52%-100</f>
        <v>3.1007751937984551</v>
      </c>
      <c r="T53" s="179">
        <f>T52/'2010'!T52%-100</f>
        <v>1.7660044150110537</v>
      </c>
      <c r="U53" s="180">
        <f>U52/'2010'!U52%-100</f>
        <v>3.246294989414281</v>
      </c>
      <c r="V53" s="168">
        <f>V52/'2010'!V52%-100</f>
        <v>5</v>
      </c>
      <c r="W53" s="179">
        <f>W52/'2010'!W52%-100</f>
        <v>6.639004149377584</v>
      </c>
      <c r="X53" s="168">
        <f>X52/'2010'!X52%-100</f>
        <v>2.9850746268656678</v>
      </c>
      <c r="Y53" s="168">
        <f>Y52/'2010'!Y52%-100</f>
        <v>-1.5999999999999943</v>
      </c>
      <c r="Z53" s="179">
        <f>Z52/'2010'!Z52%-100</f>
        <v>3.9761431411530737</v>
      </c>
      <c r="AA53" s="168">
        <f>AA52/'2010'!AA52%-100</f>
        <v>-47.948717948717949</v>
      </c>
      <c r="AB53" s="180">
        <f>AB52/'2010'!AB52%-100</f>
        <v>3.167420814479641</v>
      </c>
      <c r="AC53" s="179">
        <f>AC52/'2010'!AC52%-100</f>
        <v>4.9926578560939845</v>
      </c>
      <c r="AD53" s="179">
        <f>AD52/'2010'!AD52%-100</f>
        <v>6.2499999999999858</v>
      </c>
      <c r="AE53" s="168">
        <f>AE52/'2010'!AE52%-100</f>
        <v>1.8644067796610244</v>
      </c>
      <c r="AF53" s="179">
        <f>AF52/'2010'!AF52%-100</f>
        <v>2.1276595744680833</v>
      </c>
      <c r="AG53" s="179">
        <f>AG52/'2010'!AG52%-100</f>
        <v>0.73710073710073232</v>
      </c>
      <c r="AH53" s="179">
        <f>AH52/'2010'!AH52%-100</f>
        <v>2.7027027027026804</v>
      </c>
      <c r="AI53" s="179">
        <f>AI52/'2010'!AI52%-100</f>
        <v>-0.35460992907799493</v>
      </c>
      <c r="AJ53" s="179">
        <f>AJ52/'2010'!AJ52%-100</f>
        <v>6.3768115942029198</v>
      </c>
      <c r="AK53" s="180">
        <f>AK52/'2010'!AK52%-100</f>
        <v>4.1118421052631504</v>
      </c>
      <c r="AL53" s="179">
        <f>AL52/'2010'!AL52%-100</f>
        <v>3.1531531531531414</v>
      </c>
      <c r="AM53" s="179">
        <f>AM52/'2010'!AM52%-100</f>
        <v>8.7873462214417941E-2</v>
      </c>
      <c r="AN53" s="179">
        <f>AN52/'2010'!AN52%-100</f>
        <v>1.6548463356973855</v>
      </c>
      <c r="AO53" s="179">
        <f>AO52/'2010'!AO52%-100</f>
        <v>1.1494252873563084</v>
      </c>
      <c r="AP53" s="179">
        <f>AP52/'2010'!AP52%-100</f>
        <v>7.2916666666666714</v>
      </c>
      <c r="AQ53" s="179">
        <f>AQ52/'2010'!AQ52%-100</f>
        <v>4.5232273838630874</v>
      </c>
      <c r="AR53" s="179">
        <f>AR52/'2010'!AR52%-100</f>
        <v>0.1540832049306573</v>
      </c>
      <c r="AS53" s="169">
        <f>AS52/'2010'!AS52%-100</f>
        <v>-8.1853281853281743</v>
      </c>
      <c r="AT53" s="168">
        <f>AT52/'2010'!AT52%-100</f>
        <v>-4.5454545454545467</v>
      </c>
      <c r="AU53" s="168">
        <f>AU52/'2010'!AU52%-100</f>
        <v>1.1111111111111143</v>
      </c>
      <c r="AV53" s="168">
        <f>AV52/'2010'!AV52%-100</f>
        <v>3.1007751937984551</v>
      </c>
      <c r="AW53" s="168">
        <f>AW52/'2010'!AW52%-100</f>
        <v>3.8142620232172533</v>
      </c>
      <c r="AX53" s="168">
        <f>AX52/'2010'!AX52%-100</f>
        <v>2.9801324503311406</v>
      </c>
      <c r="AY53" s="168">
        <f>AY52/'2010'!AY52%-100</f>
        <v>5</v>
      </c>
      <c r="AZ53" s="521" t="s">
        <v>233</v>
      </c>
      <c r="BA53" s="168">
        <f>BA52/'2010'!BA52%-100</f>
        <v>0.69686411149825744</v>
      </c>
      <c r="BB53" s="168">
        <f>BB52/'2010'!BB52%-100</f>
        <v>1.7660044150110537</v>
      </c>
      <c r="BC53" s="168">
        <f>BC52/'2010'!BC52%-100</f>
        <v>3.246294989414281</v>
      </c>
      <c r="BD53" s="168">
        <f>BD52/'2010'!BD52%-100</f>
        <v>1.5945330296127622</v>
      </c>
      <c r="BE53" s="168">
        <f>BE52/'2010'!BE52%-100</f>
        <v>-0.43383947939263123</v>
      </c>
      <c r="BF53" s="176">
        <f>BF52/'2010'!BF52%-100</f>
        <v>4.5454545454545325</v>
      </c>
      <c r="BG53" s="521" t="s">
        <v>233</v>
      </c>
      <c r="BH53" s="521" t="s">
        <v>233</v>
      </c>
      <c r="BI53" s="168">
        <f>BI52/'2010'!BI52%-100</f>
        <v>2.9850746268656678</v>
      </c>
      <c r="BJ53" s="168">
        <f>BJ52/'2010'!BJ52%-100</f>
        <v>5</v>
      </c>
      <c r="BK53" s="521" t="s">
        <v>233</v>
      </c>
      <c r="BL53" s="521" t="s">
        <v>233</v>
      </c>
      <c r="BM53" s="168">
        <f>BM52/'2010'!BM52%-100</f>
        <v>3.9761431411530737</v>
      </c>
      <c r="BN53" s="168">
        <f>BN52/'2010'!BN52%-100</f>
        <v>-1.5999999999999943</v>
      </c>
      <c r="BO53" s="521" t="s">
        <v>233</v>
      </c>
      <c r="BP53" s="168">
        <f>BP52/'2010'!BP52%-100</f>
        <v>3.167420814479641</v>
      </c>
      <c r="BQ53" s="168">
        <f>BQ52/'2010'!BQ52%-100</f>
        <v>4.1025641025641022</v>
      </c>
      <c r="BR53" s="176">
        <f>BR52/'2010'!BR52%-100</f>
        <v>6.639004149377584</v>
      </c>
      <c r="BS53" s="521" t="s">
        <v>233</v>
      </c>
      <c r="BT53" s="168">
        <f>BT52/'2010'!BT52%-100</f>
        <v>1.8644067796610244</v>
      </c>
      <c r="BU53" s="168">
        <f>BU52/'2010'!BU52%-100</f>
        <v>6.2499999999999858</v>
      </c>
      <c r="BV53" s="168">
        <f>BV52/'2010'!BV52%-100</f>
        <v>0.73710073710073232</v>
      </c>
      <c r="BW53" s="168">
        <f>BW52/'2010'!BW52%-100</f>
        <v>-0.35460992907799493</v>
      </c>
      <c r="BX53" s="168">
        <f>BX52/'2010'!BX52%-100</f>
        <v>4.9926578560939845</v>
      </c>
      <c r="BY53" s="168">
        <f>BY52/'2010'!BY52%-100</f>
        <v>6.3768115942029198</v>
      </c>
      <c r="BZ53" s="168">
        <f>BZ52/'2010'!BZ52%-100</f>
        <v>2.7027027027026804</v>
      </c>
      <c r="CA53" s="168">
        <f>CA52/'2010'!CA52%-100</f>
        <v>2.1276595744680833</v>
      </c>
      <c r="CB53" s="176">
        <f>CB52/'2010'!CB52%-100</f>
        <v>4.1118421052631504</v>
      </c>
      <c r="CC53" s="168">
        <f>CC52/'2010'!CC52%-100</f>
        <v>1.1494252873563084</v>
      </c>
      <c r="CD53" s="168">
        <f>CD52/'2010'!CD52%-100</f>
        <v>7.2916666666666714</v>
      </c>
      <c r="CE53" s="168">
        <f>CE52/'2010'!CE52%-100</f>
        <v>3.1531531531531414</v>
      </c>
      <c r="CF53" s="521" t="s">
        <v>233</v>
      </c>
      <c r="CG53" s="168">
        <f>CG52/'2010'!CG52%-100</f>
        <v>-8.1853281853281743</v>
      </c>
      <c r="CH53" s="168">
        <f>CH52/'2010'!CH52%-100</f>
        <v>8.7873462214417941E-2</v>
      </c>
      <c r="CI53" s="168">
        <f>CI52/'2010'!CI52%-100</f>
        <v>0.1540832049306573</v>
      </c>
      <c r="CJ53" s="168">
        <f>CJ52/'2010'!CJ52%-100</f>
        <v>1.6548463356973855</v>
      </c>
      <c r="CK53" s="169">
        <f>CK52/'2010'!CK52%-100</f>
        <v>4.5232273838630874</v>
      </c>
      <c r="CL53" s="177">
        <f>CL52/'2010'!CL52%-100</f>
        <v>2.4154156397042357</v>
      </c>
    </row>
    <row r="54" spans="1:90">
      <c r="A54" s="80">
        <f>ROWS($A$3:A52)</f>
        <v>50</v>
      </c>
      <c r="B54" s="93" t="str">
        <f>"Änderung der Milchkühe "&amp;C51&amp;"/"&amp;C97</f>
        <v>Änderung der Milchkühe 2010/2001</v>
      </c>
      <c r="C54" s="253"/>
      <c r="D54" s="262" t="s">
        <v>3</v>
      </c>
      <c r="E54" s="438">
        <v>40441</v>
      </c>
      <c r="F54" s="181">
        <f>IF(ISERROR(F42/F97)=FALSE,ROUND((F42-F97)/F97%,3)," -")</f>
        <v>-6.8460000000000001</v>
      </c>
      <c r="G54" s="182">
        <f>IF(ISERROR(G42/G97)=FALSE,ROUND((G42-G97)/G97%,3)," -")</f>
        <v>-0.84299999999999997</v>
      </c>
      <c r="H54" s="182">
        <f>IF(ISERROR(H42/H97)=FALSE,ROUND((H42-H97)/H97%,3)," -")</f>
        <v>8.2129999999999992</v>
      </c>
      <c r="I54" s="183">
        <f>IF(ISERROR(I42/I97)=FALSE,ROUND((I42-I97)/I97%,3)," -")</f>
        <v>-7.8680000000000003</v>
      </c>
      <c r="J54" s="279"/>
      <c r="K54" s="184">
        <f t="shared" si="71"/>
        <v>-0.44400000000000001</v>
      </c>
      <c r="L54" s="185">
        <f t="shared" si="72"/>
        <v>-3.448</v>
      </c>
      <c r="M54" s="185">
        <f t="shared" si="73"/>
        <v>-22.66</v>
      </c>
      <c r="N54" s="185">
        <f t="shared" si="74"/>
        <v>-7.3999999999999996E-2</v>
      </c>
      <c r="O54" s="185">
        <f t="shared" si="75"/>
        <v>-13.273999999999999</v>
      </c>
      <c r="P54" s="182">
        <f>IF(ISERROR(P42/P97)=FALSE,ROUND((P42-P97)/P97%,3)," -")</f>
        <v>-29.007000000000001</v>
      </c>
      <c r="Q54" s="185">
        <f>'2010'!AU54</f>
        <v>2.2530000000000001</v>
      </c>
      <c r="R54" s="182">
        <f>IF(ISERROR(R42/R97)=FALSE,ROUND((R42-R97)/R97%,3)," -")</f>
        <v>-26.827999999999999</v>
      </c>
      <c r="S54" s="185">
        <f t="shared" si="76"/>
        <v>-9.73</v>
      </c>
      <c r="T54" s="185">
        <f t="shared" si="77"/>
        <v>-6.6980000000000004</v>
      </c>
      <c r="U54" s="186">
        <f t="shared" si="77"/>
        <v>-1.399</v>
      </c>
      <c r="V54" s="182">
        <f>IF(ISERROR(V42/V97)=FALSE,ROUND((V42-V97)/V97%,3)," -")</f>
        <v>47.884999999999998</v>
      </c>
      <c r="W54" s="185">
        <f t="shared" si="78"/>
        <v>3.5830000000000002</v>
      </c>
      <c r="X54" s="182">
        <f>IF(ISERROR(X42/X97)=FALSE,ROUND((X42-X97)/X97%,3)," -")</f>
        <v>-11.037000000000001</v>
      </c>
      <c r="Y54" s="182">
        <f>IF(ISERROR(Y42/Y97)=FALSE,ROUND((Y42-Y97)/Y97%,3)," -")</f>
        <v>-17.913</v>
      </c>
      <c r="Z54" s="185">
        <f t="shared" si="79"/>
        <v>-9.8219999999999992</v>
      </c>
      <c r="AA54" s="182">
        <f>IF(ISERROR(AA42/AA97)=FALSE,ROUND((AA42-AA97)/AA97%,3)," -")</f>
        <v>18.443000000000001</v>
      </c>
      <c r="AB54" s="186">
        <f t="shared" si="80"/>
        <v>5.7270000000000003</v>
      </c>
      <c r="AC54" s="185">
        <f t="shared" si="81"/>
        <v>3.4929999999999999</v>
      </c>
      <c r="AD54" s="185">
        <f t="shared" si="82"/>
        <v>22.437999999999999</v>
      </c>
      <c r="AE54" s="182">
        <f>IF(ISERROR(AE42/AE97)=FALSE,ROUND((AE42-AE97)/AE97%,3)," -")</f>
        <v>6.9820000000000002</v>
      </c>
      <c r="AF54" s="185">
        <f t="shared" si="83"/>
        <v>21.184999999999999</v>
      </c>
      <c r="AG54" s="185">
        <f t="shared" si="84"/>
        <v>2.1800000000000002</v>
      </c>
      <c r="AH54" s="185">
        <f t="shared" si="85"/>
        <v>1.409</v>
      </c>
      <c r="AI54" s="185">
        <f t="shared" si="86"/>
        <v>-6.0720000000000001</v>
      </c>
      <c r="AJ54" s="185">
        <f t="shared" si="87"/>
        <v>20.797000000000001</v>
      </c>
      <c r="AK54" s="186">
        <f t="shared" si="88"/>
        <v>17.998000000000001</v>
      </c>
      <c r="AL54" s="185">
        <f t="shared" si="89"/>
        <v>45.03</v>
      </c>
      <c r="AM54" s="185">
        <f t="shared" si="90"/>
        <v>-9.8309999999999995</v>
      </c>
      <c r="AN54" s="185">
        <f t="shared" si="91"/>
        <v>-6.8079999999999998</v>
      </c>
      <c r="AO54" s="185">
        <f t="shared" si="92"/>
        <v>-10.762</v>
      </c>
      <c r="AP54" s="185">
        <f t="shared" si="92"/>
        <v>-1.28</v>
      </c>
      <c r="AQ54" s="185">
        <f t="shared" si="93"/>
        <v>-7.0529999999999999</v>
      </c>
      <c r="AR54" s="185">
        <f t="shared" si="94"/>
        <v>-18.053999999999998</v>
      </c>
      <c r="AS54" s="183">
        <f>IF(ISERROR(AS42/AS97)=FALSE,ROUND((AS42-AS97)/AS97%,3)," -")</f>
        <v>-10.491</v>
      </c>
      <c r="AT54" s="182">
        <f>IF(ISERROR(AT42/AT97)=FALSE,ROUND((AT42-AT97)/AT97%,3)," -")</f>
        <v>-12.5</v>
      </c>
      <c r="AU54" s="182">
        <f t="shared" ref="AU54:CL54" si="99">IF(ISERROR(AU42/AU97)=FALSE,ROUND((AU42-AU97)/AU97%,3)," -")</f>
        <v>-3.448</v>
      </c>
      <c r="AV54" s="182">
        <f t="shared" si="99"/>
        <v>-9.73</v>
      </c>
      <c r="AW54" s="182">
        <f t="shared" si="99"/>
        <v>-7.3999999999999996E-2</v>
      </c>
      <c r="AX54" s="182">
        <f t="shared" si="99"/>
        <v>-20.745999999999999</v>
      </c>
      <c r="AY54" s="182">
        <f t="shared" si="99"/>
        <v>-3.448</v>
      </c>
      <c r="AZ54" s="182">
        <f t="shared" si="99"/>
        <v>-82.706999999999994</v>
      </c>
      <c r="BA54" s="182">
        <f t="shared" si="99"/>
        <v>-26.094999999999999</v>
      </c>
      <c r="BB54" s="182">
        <f t="shared" si="99"/>
        <v>-6.6980000000000004</v>
      </c>
      <c r="BC54" s="182">
        <f t="shared" si="99"/>
        <v>-1.399</v>
      </c>
      <c r="BD54" s="182">
        <f t="shared" si="99"/>
        <v>-22.66</v>
      </c>
      <c r="BE54" s="182">
        <f t="shared" si="99"/>
        <v>-13.273999999999999</v>
      </c>
      <c r="BF54" s="187">
        <f t="shared" si="99"/>
        <v>-0.44400000000000001</v>
      </c>
      <c r="BG54" s="182" t="str">
        <f t="shared" si="99"/>
        <v xml:space="preserve"> -</v>
      </c>
      <c r="BH54" s="182">
        <f t="shared" si="99"/>
        <v>-39.823</v>
      </c>
      <c r="BI54" s="182">
        <f t="shared" si="99"/>
        <v>-5.9829999999999997</v>
      </c>
      <c r="BJ54" s="182">
        <f t="shared" si="99"/>
        <v>47.884999999999998</v>
      </c>
      <c r="BK54" s="182">
        <f t="shared" si="99"/>
        <v>-14.843999999999999</v>
      </c>
      <c r="BL54" s="182">
        <f t="shared" si="99"/>
        <v>-15.385</v>
      </c>
      <c r="BM54" s="182">
        <f t="shared" si="99"/>
        <v>-9.8219999999999992</v>
      </c>
      <c r="BN54" s="182">
        <f t="shared" si="99"/>
        <v>-12.951000000000001</v>
      </c>
      <c r="BO54" s="182">
        <f t="shared" si="99"/>
        <v>-23.893999999999998</v>
      </c>
      <c r="BP54" s="182">
        <f t="shared" si="99"/>
        <v>5.7270000000000003</v>
      </c>
      <c r="BQ54" s="182">
        <f t="shared" si="99"/>
        <v>22.64</v>
      </c>
      <c r="BR54" s="187">
        <f t="shared" si="99"/>
        <v>3.5830000000000002</v>
      </c>
      <c r="BS54" s="182" t="str">
        <f t="shared" si="99"/>
        <v xml:space="preserve"> -</v>
      </c>
      <c r="BT54" s="182">
        <f t="shared" si="99"/>
        <v>5.1769999999999996</v>
      </c>
      <c r="BU54" s="182">
        <f t="shared" si="99"/>
        <v>22.437999999999999</v>
      </c>
      <c r="BV54" s="182">
        <f t="shared" si="99"/>
        <v>2.1800000000000002</v>
      </c>
      <c r="BW54" s="182">
        <f t="shared" si="99"/>
        <v>-6.0720000000000001</v>
      </c>
      <c r="BX54" s="182">
        <f t="shared" si="99"/>
        <v>3.4929999999999999</v>
      </c>
      <c r="BY54" s="182">
        <f t="shared" si="99"/>
        <v>20.797000000000001</v>
      </c>
      <c r="BZ54" s="182">
        <f t="shared" si="99"/>
        <v>1.409</v>
      </c>
      <c r="CA54" s="182">
        <f t="shared" si="99"/>
        <v>21.184999999999999</v>
      </c>
      <c r="CB54" s="187">
        <f t="shared" si="99"/>
        <v>17.998000000000001</v>
      </c>
      <c r="CC54" s="182">
        <f t="shared" si="99"/>
        <v>-10.762</v>
      </c>
      <c r="CD54" s="182">
        <f t="shared" si="99"/>
        <v>-1.28</v>
      </c>
      <c r="CE54" s="182">
        <f t="shared" si="99"/>
        <v>45.03</v>
      </c>
      <c r="CF54" s="182">
        <f t="shared" si="99"/>
        <v>-4.2910000000000004</v>
      </c>
      <c r="CG54" s="182">
        <f t="shared" si="99"/>
        <v>-10.769</v>
      </c>
      <c r="CH54" s="182">
        <f t="shared" si="99"/>
        <v>-9.8309999999999995</v>
      </c>
      <c r="CI54" s="182">
        <f t="shared" si="99"/>
        <v>-18.053999999999998</v>
      </c>
      <c r="CJ54" s="182">
        <f t="shared" si="99"/>
        <v>-6.8079999999999998</v>
      </c>
      <c r="CK54" s="183">
        <f t="shared" si="99"/>
        <v>-7.0529999999999999</v>
      </c>
      <c r="CL54" s="188">
        <f t="shared" si="99"/>
        <v>-3.9380000000000002</v>
      </c>
    </row>
    <row r="55" spans="1:90" ht="14.25">
      <c r="A55" s="80">
        <f>ROWS($A$3:A53)</f>
        <v>51</v>
      </c>
      <c r="B55" s="59" t="s">
        <v>208</v>
      </c>
      <c r="C55" s="201"/>
      <c r="D55" s="260"/>
      <c r="E55" s="435"/>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4">
        <v>2013</v>
      </c>
      <c r="D56" s="259" t="s">
        <v>13</v>
      </c>
      <c r="E56" s="437">
        <v>41675</v>
      </c>
      <c r="F56" s="116">
        <v>255</v>
      </c>
      <c r="G56" s="137">
        <v>222</v>
      </c>
      <c r="H56" s="137">
        <v>264</v>
      </c>
      <c r="I56" s="138">
        <v>301</v>
      </c>
      <c r="J56" s="141"/>
      <c r="K56" s="116">
        <f t="shared" ref="K56:K63" si="100">BF56</f>
        <v>42</v>
      </c>
      <c r="L56" s="137">
        <f t="shared" ref="L56:L63" si="101">AY56</f>
        <v>26</v>
      </c>
      <c r="M56" s="137">
        <f t="shared" ref="M56:M63" si="102">BD56</f>
        <v>35</v>
      </c>
      <c r="N56" s="137">
        <f t="shared" ref="N56:N63" si="103">AW56</f>
        <v>19</v>
      </c>
      <c r="O56" s="137">
        <f t="shared" ref="O56:O63" si="104">BE56</f>
        <v>12</v>
      </c>
      <c r="P56" s="137">
        <f>'2012'!AZ56+'2012'!BA56</f>
        <v>25</v>
      </c>
      <c r="Q56" s="137">
        <f>'2012'!AU56</f>
        <v>20</v>
      </c>
      <c r="R56" s="137">
        <f t="shared" ref="R56:R63" si="105">AT56+AX56</f>
        <v>27</v>
      </c>
      <c r="S56" s="137">
        <f t="shared" ref="S56:S63" si="106">AV56</f>
        <v>29</v>
      </c>
      <c r="T56" s="137">
        <f t="shared" ref="T56:U63" si="107">BB56</f>
        <v>21</v>
      </c>
      <c r="U56" s="139">
        <f t="shared" si="107"/>
        <v>18</v>
      </c>
      <c r="V56" s="137">
        <f t="shared" ref="V56:V63" si="108">BG56+BJ56</f>
        <v>36</v>
      </c>
      <c r="W56" s="137">
        <f t="shared" ref="W56:W63" si="109">BR56</f>
        <v>18</v>
      </c>
      <c r="X56" s="137">
        <f t="shared" ref="X56:X63" si="110">BH56+BI56</f>
        <v>50</v>
      </c>
      <c r="Y56" s="137">
        <f t="shared" ref="Y56:Y63" si="111">BK56+BL56+BN56</f>
        <v>61</v>
      </c>
      <c r="Z56" s="137">
        <f t="shared" ref="Z56:Z63" si="112">BM56</f>
        <v>26</v>
      </c>
      <c r="AA56" s="137">
        <f t="shared" ref="AA56:AA63" si="113">BO56+BQ56</f>
        <v>29</v>
      </c>
      <c r="AB56" s="139">
        <f t="shared" ref="AB56:AB63" si="114">BP56</f>
        <v>26</v>
      </c>
      <c r="AC56" s="137">
        <f t="shared" ref="AC56:AC63" si="115">BX56</f>
        <v>26</v>
      </c>
      <c r="AD56" s="137">
        <f t="shared" ref="AD56:AD63" si="116">BU56</f>
        <v>19</v>
      </c>
      <c r="AE56" s="137">
        <f t="shared" ref="AE56:AE63" si="117">BS56+BT56</f>
        <v>54</v>
      </c>
      <c r="AF56" s="137">
        <f t="shared" ref="AF56:AF63" si="118">CA56</f>
        <v>26</v>
      </c>
      <c r="AG56" s="137">
        <f t="shared" ref="AG56:AG63" si="119">BV56</f>
        <v>23</v>
      </c>
      <c r="AH56" s="137">
        <f t="shared" ref="AH56:AH63" si="120">BZ56</f>
        <v>65</v>
      </c>
      <c r="AI56" s="137">
        <f t="shared" ref="AI56:AI63" si="121">BW56</f>
        <v>10</v>
      </c>
      <c r="AJ56" s="137">
        <f t="shared" ref="AJ56:AJ63" si="122">BY56</f>
        <v>23</v>
      </c>
      <c r="AK56" s="139">
        <f t="shared" ref="AK56:AK63" si="123">CB56</f>
        <v>37</v>
      </c>
      <c r="AL56" s="137">
        <f t="shared" ref="AL56:AL63" si="124">CE56</f>
        <v>53</v>
      </c>
      <c r="AM56" s="137">
        <f t="shared" ref="AM56:AM63" si="125">CH56</f>
        <v>31</v>
      </c>
      <c r="AN56" s="137">
        <f t="shared" ref="AN56:AN63" si="126">CJ56</f>
        <v>76</v>
      </c>
      <c r="AO56" s="137">
        <f t="shared" ref="AO56:AP63" si="127">CC56</f>
        <v>42</v>
      </c>
      <c r="AP56" s="137">
        <f t="shared" si="127"/>
        <v>22</v>
      </c>
      <c r="AQ56" s="137">
        <f t="shared" ref="AQ56:AQ63" si="128">CK56</f>
        <v>25</v>
      </c>
      <c r="AR56" s="137">
        <f t="shared" ref="AR56:AR63" si="129">CI56</f>
        <v>33</v>
      </c>
      <c r="AS56" s="138">
        <f t="shared" ref="AS56:AS63" si="130">CF56+CG56</f>
        <v>34</v>
      </c>
      <c r="AT56" s="137">
        <v>7</v>
      </c>
      <c r="AU56" s="137">
        <v>20</v>
      </c>
      <c r="AV56" s="137">
        <v>29</v>
      </c>
      <c r="AW56" s="137">
        <v>19</v>
      </c>
      <c r="AX56" s="137">
        <v>20</v>
      </c>
      <c r="AY56" s="137">
        <v>26</v>
      </c>
      <c r="AZ56" s="137">
        <v>5</v>
      </c>
      <c r="BA56" s="137">
        <v>20</v>
      </c>
      <c r="BB56" s="137">
        <v>21</v>
      </c>
      <c r="BC56" s="137">
        <v>18</v>
      </c>
      <c r="BD56" s="137">
        <v>35</v>
      </c>
      <c r="BE56" s="137">
        <v>12</v>
      </c>
      <c r="BF56" s="139">
        <v>42</v>
      </c>
      <c r="BG56" s="137">
        <v>6</v>
      </c>
      <c r="BH56" s="137">
        <v>9</v>
      </c>
      <c r="BI56" s="137">
        <v>41</v>
      </c>
      <c r="BJ56" s="137">
        <v>30</v>
      </c>
      <c r="BK56" s="137">
        <v>5</v>
      </c>
      <c r="BL56" s="137">
        <v>9</v>
      </c>
      <c r="BM56" s="137">
        <v>26</v>
      </c>
      <c r="BN56" s="137">
        <v>47</v>
      </c>
      <c r="BO56" s="137">
        <v>3</v>
      </c>
      <c r="BP56" s="137">
        <v>26</v>
      </c>
      <c r="BQ56" s="137">
        <v>26</v>
      </c>
      <c r="BR56" s="139">
        <v>18</v>
      </c>
      <c r="BS56" s="137">
        <v>7</v>
      </c>
      <c r="BT56" s="137">
        <v>47</v>
      </c>
      <c r="BU56" s="137">
        <v>19</v>
      </c>
      <c r="BV56" s="137">
        <v>23</v>
      </c>
      <c r="BW56" s="137">
        <v>10</v>
      </c>
      <c r="BX56" s="137">
        <v>26</v>
      </c>
      <c r="BY56" s="137">
        <v>23</v>
      </c>
      <c r="BZ56" s="137">
        <v>65</v>
      </c>
      <c r="CA56" s="137">
        <v>26</v>
      </c>
      <c r="CB56" s="139">
        <v>37</v>
      </c>
      <c r="CC56" s="137">
        <v>42</v>
      </c>
      <c r="CD56" s="137">
        <v>22</v>
      </c>
      <c r="CE56" s="137">
        <v>53</v>
      </c>
      <c r="CF56" s="137">
        <v>1</v>
      </c>
      <c r="CG56" s="137">
        <v>33</v>
      </c>
      <c r="CH56" s="137">
        <v>31</v>
      </c>
      <c r="CI56" s="137">
        <v>33</v>
      </c>
      <c r="CJ56" s="137">
        <v>76</v>
      </c>
      <c r="CK56" s="138">
        <v>25</v>
      </c>
      <c r="CL56" s="140">
        <v>1042</v>
      </c>
    </row>
    <row r="57" spans="1:90">
      <c r="A57" s="80">
        <f>ROWS($A$3:A55)</f>
        <v>53</v>
      </c>
      <c r="B57" s="92"/>
      <c r="C57" s="203"/>
      <c r="D57" s="259" t="s">
        <v>1</v>
      </c>
      <c r="E57" s="435"/>
      <c r="F57" s="116">
        <v>14973.5</v>
      </c>
      <c r="G57" s="137">
        <v>20028.04</v>
      </c>
      <c r="H57" s="137">
        <v>31924.3</v>
      </c>
      <c r="I57" s="138">
        <v>19190.43</v>
      </c>
      <c r="J57" s="141"/>
      <c r="K57" s="116">
        <f t="shared" si="100"/>
        <v>2051.1999999999998</v>
      </c>
      <c r="L57" s="137">
        <f t="shared" si="101"/>
        <v>833.37</v>
      </c>
      <c r="M57" s="137">
        <f t="shared" si="102"/>
        <v>1029.49</v>
      </c>
      <c r="N57" s="137">
        <f t="shared" si="103"/>
        <v>2876.77</v>
      </c>
      <c r="O57" s="137">
        <f t="shared" si="104"/>
        <v>771.29</v>
      </c>
      <c r="P57" s="137">
        <f>'2012'!AZ57+'2012'!BA57</f>
        <v>489.18999999999994</v>
      </c>
      <c r="Q57" s="137">
        <f>'2012'!AU57</f>
        <v>732.59</v>
      </c>
      <c r="R57" s="137">
        <f t="shared" si="105"/>
        <v>1999.5900000000001</v>
      </c>
      <c r="S57" s="137">
        <f t="shared" si="106"/>
        <v>2320.5700000000002</v>
      </c>
      <c r="T57" s="137">
        <f t="shared" si="107"/>
        <v>486.16</v>
      </c>
      <c r="U57" s="139">
        <f t="shared" si="107"/>
        <v>1383.29</v>
      </c>
      <c r="V57" s="137">
        <f t="shared" si="108"/>
        <v>4603.03</v>
      </c>
      <c r="W57" s="137">
        <f t="shared" si="109"/>
        <v>2899.35</v>
      </c>
      <c r="X57" s="137">
        <f t="shared" si="110"/>
        <v>3916.9399999999996</v>
      </c>
      <c r="Y57" s="137">
        <f t="shared" si="111"/>
        <v>3781.93</v>
      </c>
      <c r="Z57" s="137">
        <f t="shared" si="112"/>
        <v>925.83</v>
      </c>
      <c r="AA57" s="137">
        <f t="shared" si="113"/>
        <v>1669.94</v>
      </c>
      <c r="AB57" s="139">
        <f t="shared" si="114"/>
        <v>2231.04</v>
      </c>
      <c r="AC57" s="137">
        <f t="shared" si="115"/>
        <v>2085.39</v>
      </c>
      <c r="AD57" s="137">
        <f t="shared" si="116"/>
        <v>3872.7</v>
      </c>
      <c r="AE57" s="137">
        <f t="shared" si="117"/>
        <v>6286.65</v>
      </c>
      <c r="AF57" s="137">
        <f t="shared" si="118"/>
        <v>6162.84</v>
      </c>
      <c r="AG57" s="137">
        <f t="shared" si="119"/>
        <v>3504.74</v>
      </c>
      <c r="AH57" s="137">
        <f t="shared" si="120"/>
        <v>3673.15</v>
      </c>
      <c r="AI57" s="137">
        <f t="shared" si="121"/>
        <v>437.31</v>
      </c>
      <c r="AJ57" s="137">
        <f t="shared" si="122"/>
        <v>2250.79</v>
      </c>
      <c r="AK57" s="139">
        <f t="shared" si="123"/>
        <v>3650.72</v>
      </c>
      <c r="AL57" s="137">
        <f t="shared" si="124"/>
        <v>1560.76</v>
      </c>
      <c r="AM57" s="137">
        <f t="shared" si="125"/>
        <v>3574.28</v>
      </c>
      <c r="AN57" s="137">
        <f t="shared" si="126"/>
        <v>5877.6</v>
      </c>
      <c r="AO57" s="137">
        <f t="shared" si="127"/>
        <v>1974.11</v>
      </c>
      <c r="AP57" s="137">
        <f t="shared" si="127"/>
        <v>1187.6199999999999</v>
      </c>
      <c r="AQ57" s="137">
        <f t="shared" si="128"/>
        <v>2000.03</v>
      </c>
      <c r="AR57" s="137">
        <f t="shared" si="129"/>
        <v>1217.26</v>
      </c>
      <c r="AS57" s="138">
        <f t="shared" si="130"/>
        <v>1798.7800000000002</v>
      </c>
      <c r="AT57" s="137">
        <v>1353.19</v>
      </c>
      <c r="AU57" s="137">
        <v>732.59</v>
      </c>
      <c r="AV57" s="137">
        <v>2320.5700000000002</v>
      </c>
      <c r="AW57" s="137">
        <v>2876.77</v>
      </c>
      <c r="AX57" s="137">
        <v>646.4</v>
      </c>
      <c r="AY57" s="137">
        <v>833.37</v>
      </c>
      <c r="AZ57" s="137">
        <v>97.91</v>
      </c>
      <c r="BA57" s="137">
        <v>391.28</v>
      </c>
      <c r="BB57" s="137">
        <v>486.16</v>
      </c>
      <c r="BC57" s="137">
        <v>1383.29</v>
      </c>
      <c r="BD57" s="137">
        <v>1029.49</v>
      </c>
      <c r="BE57" s="137">
        <v>771.29</v>
      </c>
      <c r="BF57" s="139">
        <v>2051.1999999999998</v>
      </c>
      <c r="BG57" s="137">
        <v>598.14</v>
      </c>
      <c r="BH57" s="137">
        <v>728.74</v>
      </c>
      <c r="BI57" s="137">
        <v>3188.2</v>
      </c>
      <c r="BJ57" s="137">
        <v>4004.89</v>
      </c>
      <c r="BK57" s="137">
        <v>85.43</v>
      </c>
      <c r="BL57" s="137">
        <v>699.57</v>
      </c>
      <c r="BM57" s="137">
        <v>925.83</v>
      </c>
      <c r="BN57" s="137">
        <v>2996.93</v>
      </c>
      <c r="BO57" s="137">
        <v>196.8</v>
      </c>
      <c r="BP57" s="137">
        <v>2231.04</v>
      </c>
      <c r="BQ57" s="137">
        <v>1473.14</v>
      </c>
      <c r="BR57" s="139">
        <v>2899.35</v>
      </c>
      <c r="BS57" s="137">
        <v>683.11</v>
      </c>
      <c r="BT57" s="137">
        <v>5603.54</v>
      </c>
      <c r="BU57" s="137">
        <v>3872.7</v>
      </c>
      <c r="BV57" s="137">
        <v>3504.74</v>
      </c>
      <c r="BW57" s="137">
        <v>437.31</v>
      </c>
      <c r="BX57" s="137">
        <v>2085.39</v>
      </c>
      <c r="BY57" s="137">
        <v>2250.79</v>
      </c>
      <c r="BZ57" s="137">
        <v>3673.15</v>
      </c>
      <c r="CA57" s="137">
        <v>6162.84</v>
      </c>
      <c r="CB57" s="139">
        <v>3650.72</v>
      </c>
      <c r="CC57" s="137">
        <v>1974.11</v>
      </c>
      <c r="CD57" s="137">
        <v>1187.6199999999999</v>
      </c>
      <c r="CE57" s="137">
        <v>1560.76</v>
      </c>
      <c r="CF57" s="137">
        <v>39.4</v>
      </c>
      <c r="CG57" s="137">
        <v>1759.38</v>
      </c>
      <c r="CH57" s="137">
        <v>3574.28</v>
      </c>
      <c r="CI57" s="137">
        <v>1217.26</v>
      </c>
      <c r="CJ57" s="137">
        <v>5877.6</v>
      </c>
      <c r="CK57" s="138">
        <v>2000.03</v>
      </c>
      <c r="CL57" s="140">
        <v>86897.68</v>
      </c>
    </row>
    <row r="58" spans="1:90">
      <c r="A58" s="80">
        <f>ROWS($A$3:A56)</f>
        <v>54</v>
      </c>
      <c r="B58" s="92" t="s">
        <v>231</v>
      </c>
      <c r="C58" s="204">
        <v>2013</v>
      </c>
      <c r="D58" s="260" t="s">
        <v>13</v>
      </c>
      <c r="E58" s="437">
        <v>41675</v>
      </c>
      <c r="F58" s="116">
        <v>66</v>
      </c>
      <c r="G58" s="137">
        <v>69</v>
      </c>
      <c r="H58" s="137">
        <v>75</v>
      </c>
      <c r="I58" s="138">
        <v>83</v>
      </c>
      <c r="J58" s="141"/>
      <c r="K58" s="116">
        <f t="shared" si="100"/>
        <v>15</v>
      </c>
      <c r="L58" s="137">
        <f t="shared" si="101"/>
        <v>5</v>
      </c>
      <c r="M58" s="137">
        <f t="shared" si="102"/>
        <v>12</v>
      </c>
      <c r="N58" s="137">
        <f t="shared" si="103"/>
        <v>11</v>
      </c>
      <c r="O58" s="137">
        <f t="shared" si="104"/>
        <v>7</v>
      </c>
      <c r="P58" s="137">
        <f>'2012'!AZ58+'2012'!BA58</f>
        <v>13</v>
      </c>
      <c r="Q58" s="137">
        <f>'2012'!AU58</f>
        <v>5</v>
      </c>
      <c r="R58" s="137">
        <f t="shared" si="105"/>
        <v>12</v>
      </c>
      <c r="S58" s="137">
        <f t="shared" si="106"/>
        <v>9</v>
      </c>
      <c r="T58" s="137">
        <f t="shared" si="107"/>
        <v>8</v>
      </c>
      <c r="U58" s="139">
        <f t="shared" si="107"/>
        <v>13</v>
      </c>
      <c r="V58" s="137">
        <f t="shared" si="108"/>
        <v>21</v>
      </c>
      <c r="W58" s="137">
        <f t="shared" si="109"/>
        <v>10</v>
      </c>
      <c r="X58" s="137">
        <f t="shared" si="110"/>
        <v>29</v>
      </c>
      <c r="Y58" s="137">
        <f t="shared" si="111"/>
        <v>24</v>
      </c>
      <c r="Z58" s="137">
        <f t="shared" si="112"/>
        <v>12</v>
      </c>
      <c r="AA58" s="137">
        <f t="shared" si="113"/>
        <v>12</v>
      </c>
      <c r="AB58" s="139">
        <f t="shared" si="114"/>
        <v>8</v>
      </c>
      <c r="AC58" s="137">
        <f t="shared" si="115"/>
        <v>10</v>
      </c>
      <c r="AD58" s="137">
        <f t="shared" si="116"/>
        <v>9</v>
      </c>
      <c r="AE58" s="137">
        <f t="shared" si="117"/>
        <v>23</v>
      </c>
      <c r="AF58" s="137">
        <f t="shared" si="118"/>
        <v>11</v>
      </c>
      <c r="AG58" s="137">
        <f t="shared" si="119"/>
        <v>14</v>
      </c>
      <c r="AH58" s="137">
        <f t="shared" si="120"/>
        <v>10</v>
      </c>
      <c r="AI58" s="137">
        <f t="shared" si="121"/>
        <v>8</v>
      </c>
      <c r="AJ58" s="137">
        <f t="shared" si="122"/>
        <v>10</v>
      </c>
      <c r="AK58" s="139">
        <f t="shared" si="123"/>
        <v>14</v>
      </c>
      <c r="AL58" s="137">
        <f t="shared" si="124"/>
        <v>20</v>
      </c>
      <c r="AM58" s="137">
        <f t="shared" si="125"/>
        <v>12</v>
      </c>
      <c r="AN58" s="137">
        <f t="shared" si="126"/>
        <v>21</v>
      </c>
      <c r="AO58" s="137">
        <f t="shared" si="127"/>
        <v>18</v>
      </c>
      <c r="AP58" s="137">
        <f t="shared" si="127"/>
        <v>6</v>
      </c>
      <c r="AQ58" s="137">
        <f t="shared" si="128"/>
        <v>14</v>
      </c>
      <c r="AR58" s="137">
        <f t="shared" si="129"/>
        <v>11</v>
      </c>
      <c r="AS58" s="138">
        <f t="shared" si="130"/>
        <v>19</v>
      </c>
      <c r="AT58" s="137">
        <v>4</v>
      </c>
      <c r="AU58" s="137">
        <v>5</v>
      </c>
      <c r="AV58" s="141">
        <v>9</v>
      </c>
      <c r="AW58" s="141">
        <v>11</v>
      </c>
      <c r="AX58" s="141">
        <v>8</v>
      </c>
      <c r="AY58" s="141">
        <v>5</v>
      </c>
      <c r="AZ58" s="141">
        <v>3</v>
      </c>
      <c r="BA58" s="141">
        <v>10</v>
      </c>
      <c r="BB58" s="141">
        <v>8</v>
      </c>
      <c r="BC58" s="141">
        <v>13</v>
      </c>
      <c r="BD58" s="141">
        <v>12</v>
      </c>
      <c r="BE58" s="141">
        <v>7</v>
      </c>
      <c r="BF58" s="139">
        <v>15</v>
      </c>
      <c r="BG58" s="141">
        <v>6</v>
      </c>
      <c r="BH58" s="141">
        <v>9</v>
      </c>
      <c r="BI58" s="141">
        <v>20</v>
      </c>
      <c r="BJ58" s="141">
        <v>15</v>
      </c>
      <c r="BK58" s="141">
        <v>4</v>
      </c>
      <c r="BL58" s="141">
        <v>3</v>
      </c>
      <c r="BM58" s="141">
        <v>12</v>
      </c>
      <c r="BN58" s="141">
        <v>17</v>
      </c>
      <c r="BO58" s="141">
        <v>3</v>
      </c>
      <c r="BP58" s="141">
        <v>8</v>
      </c>
      <c r="BQ58" s="141">
        <v>9</v>
      </c>
      <c r="BR58" s="139">
        <v>10</v>
      </c>
      <c r="BS58" s="141">
        <v>5</v>
      </c>
      <c r="BT58" s="141">
        <v>18</v>
      </c>
      <c r="BU58" s="141">
        <v>9</v>
      </c>
      <c r="BV58" s="141">
        <v>14</v>
      </c>
      <c r="BW58" s="141">
        <v>8</v>
      </c>
      <c r="BX58" s="141">
        <v>10</v>
      </c>
      <c r="BY58" s="141">
        <v>10</v>
      </c>
      <c r="BZ58" s="141">
        <v>10</v>
      </c>
      <c r="CA58" s="141">
        <v>11</v>
      </c>
      <c r="CB58" s="139">
        <v>14</v>
      </c>
      <c r="CC58" s="141">
        <v>18</v>
      </c>
      <c r="CD58" s="141">
        <v>6</v>
      </c>
      <c r="CE58" s="141">
        <v>20</v>
      </c>
      <c r="CF58" s="141">
        <v>3</v>
      </c>
      <c r="CG58" s="141">
        <v>16</v>
      </c>
      <c r="CH58" s="141">
        <v>12</v>
      </c>
      <c r="CI58" s="141">
        <v>11</v>
      </c>
      <c r="CJ58" s="141">
        <v>21</v>
      </c>
      <c r="CK58" s="138">
        <v>14</v>
      </c>
      <c r="CL58" s="140">
        <v>293</v>
      </c>
    </row>
    <row r="59" spans="1:90">
      <c r="A59" s="80">
        <f>ROWS($A$3:A57)</f>
        <v>55</v>
      </c>
      <c r="B59" s="92"/>
      <c r="C59" s="201"/>
      <c r="D59" s="260" t="s">
        <v>1</v>
      </c>
      <c r="E59" s="435"/>
      <c r="F59" s="116">
        <v>92588.06</v>
      </c>
      <c r="G59" s="137">
        <v>96444.66</v>
      </c>
      <c r="H59" s="137">
        <v>131460.31</v>
      </c>
      <c r="I59" s="138">
        <v>94200.88</v>
      </c>
      <c r="J59" s="141"/>
      <c r="K59" s="116">
        <f t="shared" si="100"/>
        <v>10549.94</v>
      </c>
      <c r="L59" s="137">
        <f t="shared" si="101"/>
        <v>3117.95</v>
      </c>
      <c r="M59" s="137">
        <f t="shared" si="102"/>
        <v>8191.18</v>
      </c>
      <c r="N59" s="137">
        <f t="shared" si="103"/>
        <v>9448.42</v>
      </c>
      <c r="O59" s="137">
        <f t="shared" si="104"/>
        <v>7322.74</v>
      </c>
      <c r="P59" s="137">
        <f>'2012'!AZ59+'2012'!BA59</f>
        <v>11722.849999999999</v>
      </c>
      <c r="Q59" s="137">
        <f>'2012'!AU59</f>
        <v>6912.5</v>
      </c>
      <c r="R59" s="137">
        <f t="shared" si="105"/>
        <v>10435.799999999999</v>
      </c>
      <c r="S59" s="137">
        <f t="shared" si="106"/>
        <v>8990.43</v>
      </c>
      <c r="T59" s="137">
        <f t="shared" si="107"/>
        <v>8599.31</v>
      </c>
      <c r="U59" s="139">
        <f t="shared" si="107"/>
        <v>7296.94</v>
      </c>
      <c r="V59" s="137">
        <f t="shared" si="108"/>
        <v>14250.23</v>
      </c>
      <c r="W59" s="137">
        <f t="shared" si="109"/>
        <v>5690.64</v>
      </c>
      <c r="X59" s="137">
        <f t="shared" si="110"/>
        <v>30134.86</v>
      </c>
      <c r="Y59" s="137">
        <f t="shared" si="111"/>
        <v>19478.87</v>
      </c>
      <c r="Z59" s="137">
        <f t="shared" si="112"/>
        <v>9712.59</v>
      </c>
      <c r="AA59" s="137">
        <f t="shared" si="113"/>
        <v>11771.720000000001</v>
      </c>
      <c r="AB59" s="139">
        <f t="shared" si="114"/>
        <v>5405.75</v>
      </c>
      <c r="AC59" s="137">
        <f t="shared" si="115"/>
        <v>8363.06</v>
      </c>
      <c r="AD59" s="137">
        <f t="shared" si="116"/>
        <v>10472.209999999999</v>
      </c>
      <c r="AE59" s="137">
        <f t="shared" si="117"/>
        <v>22722.66</v>
      </c>
      <c r="AF59" s="137">
        <f t="shared" si="118"/>
        <v>15969.19</v>
      </c>
      <c r="AG59" s="137">
        <f t="shared" si="119"/>
        <v>18217.45</v>
      </c>
      <c r="AH59" s="137">
        <f t="shared" si="120"/>
        <v>14706.07</v>
      </c>
      <c r="AI59" s="137">
        <f t="shared" si="121"/>
        <v>6051.28</v>
      </c>
      <c r="AJ59" s="137">
        <f t="shared" si="122"/>
        <v>12282.31</v>
      </c>
      <c r="AK59" s="139">
        <f t="shared" si="123"/>
        <v>22676.09</v>
      </c>
      <c r="AL59" s="137">
        <f t="shared" si="124"/>
        <v>12293.42</v>
      </c>
      <c r="AM59" s="137">
        <f t="shared" si="125"/>
        <v>8204.7999999999993</v>
      </c>
      <c r="AN59" s="137">
        <f t="shared" si="126"/>
        <v>12891.94</v>
      </c>
      <c r="AO59" s="137">
        <f t="shared" si="127"/>
        <v>22503.79</v>
      </c>
      <c r="AP59" s="137">
        <f t="shared" si="127"/>
        <v>13089.41</v>
      </c>
      <c r="AQ59" s="137">
        <f t="shared" si="128"/>
        <v>9775.99</v>
      </c>
      <c r="AR59" s="137">
        <f t="shared" si="129"/>
        <v>3971.9</v>
      </c>
      <c r="AS59" s="138">
        <f t="shared" si="130"/>
        <v>11469.730000000001</v>
      </c>
      <c r="AT59" s="137">
        <v>2318.44</v>
      </c>
      <c r="AU59" s="137">
        <v>6912.5</v>
      </c>
      <c r="AV59" s="137">
        <v>8990.43</v>
      </c>
      <c r="AW59" s="137">
        <v>9448.42</v>
      </c>
      <c r="AX59" s="137">
        <v>8117.36</v>
      </c>
      <c r="AY59" s="137">
        <v>3117.95</v>
      </c>
      <c r="AZ59" s="137">
        <v>1078.72</v>
      </c>
      <c r="BA59" s="137">
        <v>10644.13</v>
      </c>
      <c r="BB59" s="137">
        <v>8599.31</v>
      </c>
      <c r="BC59" s="137">
        <v>7296.94</v>
      </c>
      <c r="BD59" s="137">
        <v>8191.18</v>
      </c>
      <c r="BE59" s="137">
        <v>7322.74</v>
      </c>
      <c r="BF59" s="139">
        <v>10549.94</v>
      </c>
      <c r="BG59" s="137">
        <v>1427.27</v>
      </c>
      <c r="BH59" s="137">
        <v>4273.46</v>
      </c>
      <c r="BI59" s="137">
        <v>25861.4</v>
      </c>
      <c r="BJ59" s="137">
        <v>12822.96</v>
      </c>
      <c r="BK59" s="137">
        <v>2339.3000000000002</v>
      </c>
      <c r="BL59" s="137">
        <v>1635.41</v>
      </c>
      <c r="BM59" s="137">
        <v>9712.59</v>
      </c>
      <c r="BN59" s="137">
        <v>15504.16</v>
      </c>
      <c r="BO59" s="137">
        <v>1436.27</v>
      </c>
      <c r="BP59" s="137">
        <v>5405.75</v>
      </c>
      <c r="BQ59" s="137">
        <v>10335.450000000001</v>
      </c>
      <c r="BR59" s="139">
        <v>5690.64</v>
      </c>
      <c r="BS59" s="137">
        <v>3160.35</v>
      </c>
      <c r="BT59" s="137">
        <v>19562.310000000001</v>
      </c>
      <c r="BU59" s="137">
        <v>10472.209999999999</v>
      </c>
      <c r="BV59" s="137">
        <v>18217.45</v>
      </c>
      <c r="BW59" s="137">
        <v>6051.28</v>
      </c>
      <c r="BX59" s="137">
        <v>8363.06</v>
      </c>
      <c r="BY59" s="137">
        <v>12282.31</v>
      </c>
      <c r="BZ59" s="137">
        <v>14706.07</v>
      </c>
      <c r="CA59" s="137">
        <v>15969.19</v>
      </c>
      <c r="CB59" s="139">
        <v>22676.09</v>
      </c>
      <c r="CC59" s="137">
        <v>22503.79</v>
      </c>
      <c r="CD59" s="137">
        <v>13089.41</v>
      </c>
      <c r="CE59" s="137">
        <v>12293.42</v>
      </c>
      <c r="CF59" s="137">
        <v>513.94000000000005</v>
      </c>
      <c r="CG59" s="137">
        <v>10955.79</v>
      </c>
      <c r="CH59" s="137">
        <v>8204.7999999999993</v>
      </c>
      <c r="CI59" s="137">
        <v>3971.9</v>
      </c>
      <c r="CJ59" s="137">
        <v>12891.94</v>
      </c>
      <c r="CK59" s="138">
        <v>9775.99</v>
      </c>
      <c r="CL59" s="140">
        <v>426948.31</v>
      </c>
    </row>
    <row r="60" spans="1:90">
      <c r="A60" s="80">
        <f>ROWS($A$3:A58)</f>
        <v>56</v>
      </c>
      <c r="B60" s="92" t="s">
        <v>232</v>
      </c>
      <c r="C60" s="204">
        <v>2013</v>
      </c>
      <c r="D60" s="260" t="s">
        <v>13</v>
      </c>
      <c r="E60" s="437">
        <v>41675</v>
      </c>
      <c r="F60" s="116">
        <v>21</v>
      </c>
      <c r="G60" s="141">
        <v>23</v>
      </c>
      <c r="H60" s="141">
        <v>34</v>
      </c>
      <c r="I60" s="138">
        <v>23</v>
      </c>
      <c r="J60" s="141"/>
      <c r="K60" s="116">
        <f t="shared" si="100"/>
        <v>6</v>
      </c>
      <c r="L60" s="137">
        <f t="shared" si="101"/>
        <v>2</v>
      </c>
      <c r="M60" s="137">
        <f t="shared" si="102"/>
        <v>2</v>
      </c>
      <c r="N60" s="137">
        <f t="shared" si="103"/>
        <v>3</v>
      </c>
      <c r="O60" s="137">
        <f t="shared" si="104"/>
        <v>3</v>
      </c>
      <c r="P60" s="137">
        <f>'2012'!AZ60+'2012'!BA60</f>
        <v>3</v>
      </c>
      <c r="Q60" s="137">
        <f>'2012'!AU60</f>
        <v>1</v>
      </c>
      <c r="R60" s="137">
        <f t="shared" si="105"/>
        <v>5</v>
      </c>
      <c r="S60" s="137">
        <f t="shared" si="106"/>
        <v>4</v>
      </c>
      <c r="T60" s="137">
        <f t="shared" si="107"/>
        <v>2</v>
      </c>
      <c r="U60" s="139">
        <f t="shared" si="107"/>
        <v>3</v>
      </c>
      <c r="V60" s="137">
        <f t="shared" si="108"/>
        <v>6</v>
      </c>
      <c r="W60" s="137">
        <f t="shared" si="109"/>
        <v>1</v>
      </c>
      <c r="X60" s="137">
        <f t="shared" si="110"/>
        <v>9</v>
      </c>
      <c r="Y60" s="137">
        <f t="shared" si="111"/>
        <v>9</v>
      </c>
      <c r="Z60" s="137">
        <f t="shared" si="112"/>
        <v>3</v>
      </c>
      <c r="AA60" s="137">
        <f t="shared" si="113"/>
        <v>3</v>
      </c>
      <c r="AB60" s="139">
        <f t="shared" si="114"/>
        <v>2</v>
      </c>
      <c r="AC60" s="137">
        <f t="shared" si="115"/>
        <v>3</v>
      </c>
      <c r="AD60" s="137">
        <f t="shared" si="116"/>
        <v>7</v>
      </c>
      <c r="AE60" s="137">
        <f t="shared" si="117"/>
        <v>14</v>
      </c>
      <c r="AF60" s="137">
        <f t="shared" si="118"/>
        <v>3</v>
      </c>
      <c r="AG60" s="137">
        <f t="shared" si="119"/>
        <v>12</v>
      </c>
      <c r="AH60" s="137">
        <f t="shared" si="120"/>
        <v>6</v>
      </c>
      <c r="AI60" s="137">
        <f t="shared" si="121"/>
        <v>6</v>
      </c>
      <c r="AJ60" s="137">
        <f t="shared" si="122"/>
        <v>3</v>
      </c>
      <c r="AK60" s="139">
        <f t="shared" si="123"/>
        <v>2</v>
      </c>
      <c r="AL60" s="137">
        <f t="shared" si="124"/>
        <v>3</v>
      </c>
      <c r="AM60" s="137">
        <f t="shared" si="125"/>
        <v>3</v>
      </c>
      <c r="AN60" s="137">
        <f t="shared" si="126"/>
        <v>7</v>
      </c>
      <c r="AO60" s="137">
        <f t="shared" si="127"/>
        <v>3</v>
      </c>
      <c r="AP60" s="137">
        <f t="shared" si="127"/>
        <v>5</v>
      </c>
      <c r="AQ60" s="137">
        <f t="shared" si="128"/>
        <v>3</v>
      </c>
      <c r="AR60" s="137">
        <f t="shared" si="129"/>
        <v>3</v>
      </c>
      <c r="AS60" s="138">
        <f t="shared" si="130"/>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3</v>
      </c>
      <c r="BI60" s="141">
        <v>6</v>
      </c>
      <c r="BJ60" s="141">
        <v>5</v>
      </c>
      <c r="BK60" s="141">
        <v>1</v>
      </c>
      <c r="BL60" s="141">
        <v>1</v>
      </c>
      <c r="BM60" s="141">
        <v>3</v>
      </c>
      <c r="BN60" s="141">
        <v>7</v>
      </c>
      <c r="BO60" s="141">
        <v>0</v>
      </c>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c r="A61" s="80">
        <f>ROWS($A$3:A59)</f>
        <v>57</v>
      </c>
      <c r="B61" s="52"/>
      <c r="C61" s="201"/>
      <c r="D61" s="260" t="s">
        <v>1</v>
      </c>
      <c r="E61" s="435"/>
      <c r="F61" s="116">
        <v>69092.44</v>
      </c>
      <c r="G61" s="137">
        <v>56207.8</v>
      </c>
      <c r="H61" s="137">
        <v>181809.84</v>
      </c>
      <c r="I61" s="138">
        <v>83635.16</v>
      </c>
      <c r="J61" s="141"/>
      <c r="K61" s="116">
        <f t="shared" si="100"/>
        <v>3640.5994290985</v>
      </c>
      <c r="L61" s="137">
        <f t="shared" si="101"/>
        <v>2435.46</v>
      </c>
      <c r="M61" s="137">
        <f t="shared" si="102"/>
        <v>2670.3195366896002</v>
      </c>
      <c r="N61" s="137">
        <f t="shared" si="103"/>
        <v>18759.650000000001</v>
      </c>
      <c r="O61" s="137">
        <f t="shared" si="104"/>
        <v>7507.4710391156004</v>
      </c>
      <c r="P61" s="137">
        <f>'2012'!AZ61+'2012'!BA61</f>
        <v>2511.9478698377002</v>
      </c>
      <c r="Q61" s="137">
        <f>'2012'!AU61</f>
        <v>5384.5298784226998</v>
      </c>
      <c r="R61" s="137">
        <f t="shared" si="105"/>
        <v>6609.3052492992001</v>
      </c>
      <c r="S61" s="137">
        <f t="shared" si="106"/>
        <v>17652.689999999999</v>
      </c>
      <c r="T61" s="137">
        <f t="shared" si="107"/>
        <v>713.74209477930003</v>
      </c>
      <c r="U61" s="139">
        <f t="shared" si="107"/>
        <v>1207.4505157019</v>
      </c>
      <c r="V61" s="137">
        <f t="shared" si="108"/>
        <v>14511.3994995348</v>
      </c>
      <c r="W61" s="137">
        <f t="shared" si="109"/>
        <v>17414.11</v>
      </c>
      <c r="X61" s="137">
        <f t="shared" si="110"/>
        <v>12525.99</v>
      </c>
      <c r="Y61" s="137">
        <f t="shared" si="111"/>
        <v>6488.9607463743996</v>
      </c>
      <c r="Z61" s="137">
        <f t="shared" si="112"/>
        <v>218.49048465249999</v>
      </c>
      <c r="AA61" s="137">
        <f t="shared" si="113"/>
        <v>2405</v>
      </c>
      <c r="AB61" s="139">
        <f t="shared" si="114"/>
        <v>2643.84</v>
      </c>
      <c r="AC61" s="137">
        <f t="shared" si="115"/>
        <v>50256.04</v>
      </c>
      <c r="AD61" s="137">
        <f t="shared" si="116"/>
        <v>12541.48</v>
      </c>
      <c r="AE61" s="137">
        <f t="shared" si="117"/>
        <v>29089.230000000003</v>
      </c>
      <c r="AF61" s="137">
        <f t="shared" si="118"/>
        <v>11378.64</v>
      </c>
      <c r="AG61" s="137">
        <f t="shared" si="119"/>
        <v>27556.19</v>
      </c>
      <c r="AH61" s="137">
        <f t="shared" si="120"/>
        <v>9555.6299999999992</v>
      </c>
      <c r="AI61" s="137">
        <f t="shared" si="121"/>
        <v>3414.5</v>
      </c>
      <c r="AJ61" s="137">
        <f t="shared" si="122"/>
        <v>20602.939999999999</v>
      </c>
      <c r="AK61" s="139">
        <f t="shared" si="123"/>
        <v>17415.176874928398</v>
      </c>
      <c r="AL61" s="137">
        <f t="shared" si="124"/>
        <v>19750.628003054801</v>
      </c>
      <c r="AM61" s="137">
        <f t="shared" si="125"/>
        <v>2982.4588136552002</v>
      </c>
      <c r="AN61" s="137">
        <f t="shared" si="126"/>
        <v>8762.4028419921997</v>
      </c>
      <c r="AO61" s="137">
        <f t="shared" si="127"/>
        <v>21889.07</v>
      </c>
      <c r="AP61" s="137">
        <f t="shared" si="127"/>
        <v>13694.94</v>
      </c>
      <c r="AQ61" s="137">
        <f t="shared" si="128"/>
        <v>8540.17</v>
      </c>
      <c r="AR61" s="137">
        <f t="shared" si="129"/>
        <v>882.97538220659999</v>
      </c>
      <c r="AS61" s="138">
        <f t="shared" si="130"/>
        <v>7132.5229704204003</v>
      </c>
      <c r="AT61" s="137">
        <v>3.0137999999999998</v>
      </c>
      <c r="AU61" s="137">
        <v>5384.5298784226998</v>
      </c>
      <c r="AV61" s="137">
        <v>17652.689999999999</v>
      </c>
      <c r="AW61" s="137">
        <v>18759.650000000001</v>
      </c>
      <c r="AX61" s="137">
        <v>6606.2914492992004</v>
      </c>
      <c r="AY61" s="137">
        <v>2435.46</v>
      </c>
      <c r="AZ61" s="137">
        <v>0</v>
      </c>
      <c r="BA61" s="137">
        <v>2511.9478698377002</v>
      </c>
      <c r="BB61" s="137">
        <v>713.74209477930003</v>
      </c>
      <c r="BC61" s="137">
        <v>1207.4505157019</v>
      </c>
      <c r="BD61" s="137">
        <v>2670.3195366896002</v>
      </c>
      <c r="BE61" s="137">
        <v>7507.4710391156004</v>
      </c>
      <c r="BF61" s="139">
        <v>3640.5994290985</v>
      </c>
      <c r="BG61" s="137">
        <v>365.5694995348</v>
      </c>
      <c r="BH61" s="137">
        <v>2893.58</v>
      </c>
      <c r="BI61" s="137">
        <v>9632.41</v>
      </c>
      <c r="BJ61" s="137">
        <v>14145.83</v>
      </c>
      <c r="BK61" s="137">
        <v>3.9557544061000001</v>
      </c>
      <c r="BL61" s="137">
        <v>418.254256134</v>
      </c>
      <c r="BM61" s="137">
        <v>218.49048465249999</v>
      </c>
      <c r="BN61" s="137">
        <v>6066.7507358343</v>
      </c>
      <c r="BO61" s="137">
        <v>0</v>
      </c>
      <c r="BP61" s="137">
        <v>2643.84</v>
      </c>
      <c r="BQ61" s="137">
        <v>2405</v>
      </c>
      <c r="BR61" s="139">
        <v>17414.11</v>
      </c>
      <c r="BS61" s="137">
        <v>2995.67</v>
      </c>
      <c r="BT61" s="137">
        <v>26093.56</v>
      </c>
      <c r="BU61" s="137">
        <v>12541.48</v>
      </c>
      <c r="BV61" s="137">
        <v>27556.19</v>
      </c>
      <c r="BW61" s="137">
        <v>3414.5</v>
      </c>
      <c r="BX61" s="137">
        <v>50256.04</v>
      </c>
      <c r="BY61" s="137">
        <v>20602.939999999999</v>
      </c>
      <c r="BZ61" s="137">
        <v>9555.6299999999992</v>
      </c>
      <c r="CA61" s="137">
        <v>11378.64</v>
      </c>
      <c r="CB61" s="139">
        <v>17415.176874928398</v>
      </c>
      <c r="CC61" s="137">
        <v>21889.07</v>
      </c>
      <c r="CD61" s="137">
        <v>13694.94</v>
      </c>
      <c r="CE61" s="137">
        <v>19750.628003054801</v>
      </c>
      <c r="CF61" s="137">
        <v>132.02297042039999</v>
      </c>
      <c r="CG61" s="137">
        <v>7000.5</v>
      </c>
      <c r="CH61" s="137">
        <v>2982.4588136552002</v>
      </c>
      <c r="CI61" s="137">
        <v>882.97538220659999</v>
      </c>
      <c r="CJ61" s="137">
        <v>8762.4028419921997</v>
      </c>
      <c r="CK61" s="138">
        <v>8540.17</v>
      </c>
      <c r="CL61" s="140">
        <v>397044.05</v>
      </c>
    </row>
    <row r="62" spans="1:90">
      <c r="A62" s="80">
        <f>ROWS($A$3:A60)</f>
        <v>58</v>
      </c>
      <c r="B62" s="92" t="s">
        <v>56</v>
      </c>
      <c r="C62" s="393">
        <v>2010</v>
      </c>
      <c r="D62" s="259" t="s">
        <v>13</v>
      </c>
      <c r="E62" s="437">
        <v>40695</v>
      </c>
      <c r="F62" s="116">
        <v>787</v>
      </c>
      <c r="G62" s="137">
        <v>403</v>
      </c>
      <c r="H62" s="137">
        <v>1002</v>
      </c>
      <c r="I62" s="138">
        <v>385</v>
      </c>
      <c r="J62" s="141"/>
      <c r="K62" s="116">
        <f t="shared" si="100"/>
        <v>85</v>
      </c>
      <c r="L62" s="137">
        <f t="shared" si="101"/>
        <v>181</v>
      </c>
      <c r="M62" s="137">
        <f t="shared" si="102"/>
        <v>51</v>
      </c>
      <c r="N62" s="137">
        <f t="shared" si="103"/>
        <v>42</v>
      </c>
      <c r="O62" s="137">
        <f t="shared" si="104"/>
        <v>17</v>
      </c>
      <c r="P62" s="137">
        <f>'2012'!AZ62+'2012'!BA62</f>
        <v>118</v>
      </c>
      <c r="Q62" s="137">
        <f>'2012'!AU62</f>
        <v>29</v>
      </c>
      <c r="R62" s="137">
        <f t="shared" si="105"/>
        <v>51</v>
      </c>
      <c r="S62" s="137">
        <f t="shared" si="106"/>
        <v>43</v>
      </c>
      <c r="T62" s="137">
        <f t="shared" si="107"/>
        <v>77</v>
      </c>
      <c r="U62" s="139">
        <f t="shared" si="107"/>
        <v>93</v>
      </c>
      <c r="V62" s="137">
        <f t="shared" si="108"/>
        <v>80</v>
      </c>
      <c r="W62" s="137">
        <f t="shared" si="109"/>
        <v>49</v>
      </c>
      <c r="X62" s="137">
        <f t="shared" si="110"/>
        <v>54</v>
      </c>
      <c r="Y62" s="137">
        <f t="shared" si="111"/>
        <v>67</v>
      </c>
      <c r="Z62" s="137">
        <f t="shared" si="112"/>
        <v>41</v>
      </c>
      <c r="AA62" s="137">
        <f t="shared" si="113"/>
        <v>50</v>
      </c>
      <c r="AB62" s="139">
        <f t="shared" si="114"/>
        <v>62</v>
      </c>
      <c r="AC62" s="137">
        <f t="shared" si="115"/>
        <v>123</v>
      </c>
      <c r="AD62" s="137">
        <f t="shared" si="116"/>
        <v>77</v>
      </c>
      <c r="AE62" s="137">
        <f t="shared" si="117"/>
        <v>131</v>
      </c>
      <c r="AF62" s="137">
        <f t="shared" si="118"/>
        <v>134</v>
      </c>
      <c r="AG62" s="137">
        <f t="shared" si="119"/>
        <v>139</v>
      </c>
      <c r="AH62" s="137">
        <f t="shared" si="120"/>
        <v>102</v>
      </c>
      <c r="AI62" s="137">
        <f t="shared" si="121"/>
        <v>43</v>
      </c>
      <c r="AJ62" s="137">
        <f t="shared" si="122"/>
        <v>65</v>
      </c>
      <c r="AK62" s="139">
        <f t="shared" si="123"/>
        <v>188</v>
      </c>
      <c r="AL62" s="137">
        <f t="shared" si="124"/>
        <v>41</v>
      </c>
      <c r="AM62" s="137">
        <f t="shared" si="125"/>
        <v>49</v>
      </c>
      <c r="AN62" s="137">
        <f t="shared" si="126"/>
        <v>82</v>
      </c>
      <c r="AO62" s="137">
        <f t="shared" si="127"/>
        <v>47</v>
      </c>
      <c r="AP62" s="137">
        <f t="shared" si="127"/>
        <v>13</v>
      </c>
      <c r="AQ62" s="137">
        <f t="shared" si="128"/>
        <v>66</v>
      </c>
      <c r="AR62" s="137">
        <f t="shared" si="129"/>
        <v>44</v>
      </c>
      <c r="AS62" s="138">
        <f t="shared" si="130"/>
        <v>43</v>
      </c>
      <c r="AT62" s="137">
        <v>4</v>
      </c>
      <c r="AU62" s="137">
        <v>29</v>
      </c>
      <c r="AV62" s="137">
        <v>43</v>
      </c>
      <c r="AW62" s="137">
        <v>42</v>
      </c>
      <c r="AX62" s="137">
        <v>47</v>
      </c>
      <c r="AY62" s="137">
        <v>181</v>
      </c>
      <c r="AZ62" s="137">
        <v>8</v>
      </c>
      <c r="BA62" s="137">
        <v>110</v>
      </c>
      <c r="BB62" s="137">
        <v>77</v>
      </c>
      <c r="BC62" s="137">
        <v>93</v>
      </c>
      <c r="BD62" s="137">
        <v>51</v>
      </c>
      <c r="BE62" s="137">
        <v>17</v>
      </c>
      <c r="BF62" s="139">
        <v>85</v>
      </c>
      <c r="BG62" s="137">
        <v>10</v>
      </c>
      <c r="BH62" s="137">
        <v>4</v>
      </c>
      <c r="BI62" s="137">
        <v>50</v>
      </c>
      <c r="BJ62" s="137">
        <v>70</v>
      </c>
      <c r="BK62" s="137">
        <v>9</v>
      </c>
      <c r="BL62" s="137">
        <v>3</v>
      </c>
      <c r="BM62" s="137">
        <v>41</v>
      </c>
      <c r="BN62" s="137">
        <v>55</v>
      </c>
      <c r="BO62" s="137">
        <v>7</v>
      </c>
      <c r="BP62" s="137">
        <v>62</v>
      </c>
      <c r="BQ62" s="137">
        <v>43</v>
      </c>
      <c r="BR62" s="139">
        <v>49</v>
      </c>
      <c r="BS62" s="137">
        <v>9</v>
      </c>
      <c r="BT62" s="137">
        <v>122</v>
      </c>
      <c r="BU62" s="137">
        <v>77</v>
      </c>
      <c r="BV62" s="137">
        <v>139</v>
      </c>
      <c r="BW62" s="137">
        <v>43</v>
      </c>
      <c r="BX62" s="137">
        <v>123</v>
      </c>
      <c r="BY62" s="137">
        <v>65</v>
      </c>
      <c r="BZ62" s="137">
        <v>102</v>
      </c>
      <c r="CA62" s="137">
        <v>134</v>
      </c>
      <c r="CB62" s="139">
        <v>188</v>
      </c>
      <c r="CC62" s="137">
        <v>47</v>
      </c>
      <c r="CD62" s="137">
        <v>13</v>
      </c>
      <c r="CE62" s="137">
        <v>41</v>
      </c>
      <c r="CF62" s="137">
        <v>3</v>
      </c>
      <c r="CG62" s="137">
        <v>40</v>
      </c>
      <c r="CH62" s="137">
        <v>49</v>
      </c>
      <c r="CI62" s="137">
        <v>44</v>
      </c>
      <c r="CJ62" s="137">
        <v>82</v>
      </c>
      <c r="CK62" s="138">
        <v>66</v>
      </c>
      <c r="CL62" s="140">
        <v>2577</v>
      </c>
    </row>
    <row r="63" spans="1:90">
      <c r="A63" s="80">
        <f>ROWS($A$3:A61)</f>
        <v>59</v>
      </c>
      <c r="B63" s="92"/>
      <c r="C63" s="203"/>
      <c r="D63" s="259" t="s">
        <v>1</v>
      </c>
      <c r="E63" s="435"/>
      <c r="F63" s="116">
        <v>281340</v>
      </c>
      <c r="G63" s="137">
        <v>198590</v>
      </c>
      <c r="H63" s="137">
        <v>152061</v>
      </c>
      <c r="I63" s="138">
        <v>300773</v>
      </c>
      <c r="J63" s="141"/>
      <c r="K63" s="116">
        <f t="shared" si="100"/>
        <v>39949</v>
      </c>
      <c r="L63" s="137">
        <f t="shared" si="101"/>
        <v>7799</v>
      </c>
      <c r="M63" s="137">
        <f t="shared" si="102"/>
        <v>51768</v>
      </c>
      <c r="N63" s="137">
        <f t="shared" si="103"/>
        <v>21225</v>
      </c>
      <c r="O63" s="137">
        <f t="shared" si="104"/>
        <v>59293</v>
      </c>
      <c r="P63" s="137">
        <f>'2012'!AZ63+'2012'!BA63</f>
        <v>27440</v>
      </c>
      <c r="Q63" s="137">
        <f>'2012'!AU63</f>
        <v>26703</v>
      </c>
      <c r="R63" s="137">
        <f t="shared" si="105"/>
        <v>17224</v>
      </c>
      <c r="S63" s="137">
        <f t="shared" si="106"/>
        <v>9237</v>
      </c>
      <c r="T63" s="137">
        <f t="shared" si="107"/>
        <v>13258</v>
      </c>
      <c r="U63" s="139">
        <f t="shared" si="107"/>
        <v>7444</v>
      </c>
      <c r="V63" s="137">
        <f t="shared" si="108"/>
        <v>19319</v>
      </c>
      <c r="W63" s="137">
        <f t="shared" si="109"/>
        <v>16339</v>
      </c>
      <c r="X63" s="137">
        <f t="shared" si="110"/>
        <v>43301</v>
      </c>
      <c r="Y63" s="137">
        <f t="shared" si="111"/>
        <v>41183</v>
      </c>
      <c r="Z63" s="137">
        <f t="shared" si="112"/>
        <v>29380</v>
      </c>
      <c r="AA63" s="137">
        <f t="shared" si="113"/>
        <v>26209</v>
      </c>
      <c r="AB63" s="139">
        <f t="shared" si="114"/>
        <v>22860</v>
      </c>
      <c r="AC63" s="137">
        <f t="shared" si="115"/>
        <v>17562</v>
      </c>
      <c r="AD63" s="137">
        <f t="shared" si="116"/>
        <v>8039</v>
      </c>
      <c r="AE63" s="137">
        <f t="shared" si="117"/>
        <v>19005</v>
      </c>
      <c r="AF63" s="137">
        <f t="shared" si="118"/>
        <v>10140</v>
      </c>
      <c r="AG63" s="137">
        <f t="shared" si="119"/>
        <v>18925</v>
      </c>
      <c r="AH63" s="137">
        <f t="shared" si="120"/>
        <v>24693</v>
      </c>
      <c r="AI63" s="137">
        <f t="shared" si="121"/>
        <v>17872</v>
      </c>
      <c r="AJ63" s="137">
        <f t="shared" si="122"/>
        <v>14632</v>
      </c>
      <c r="AK63" s="139">
        <f t="shared" si="123"/>
        <v>21193</v>
      </c>
      <c r="AL63" s="137">
        <f t="shared" si="124"/>
        <v>30522</v>
      </c>
      <c r="AM63" s="137">
        <f t="shared" si="125"/>
        <v>26135</v>
      </c>
      <c r="AN63" s="137">
        <f t="shared" si="126"/>
        <v>20579</v>
      </c>
      <c r="AO63" s="137">
        <f t="shared" si="127"/>
        <v>65501</v>
      </c>
      <c r="AP63" s="137">
        <f t="shared" si="127"/>
        <v>12089</v>
      </c>
      <c r="AQ63" s="137">
        <f t="shared" si="128"/>
        <v>43410</v>
      </c>
      <c r="AR63" s="137">
        <f t="shared" si="129"/>
        <v>8478</v>
      </c>
      <c r="AS63" s="138">
        <f t="shared" si="130"/>
        <v>94058</v>
      </c>
      <c r="AT63" s="137">
        <v>1265</v>
      </c>
      <c r="AU63" s="137">
        <v>26703</v>
      </c>
      <c r="AV63" s="137">
        <v>9237</v>
      </c>
      <c r="AW63" s="137">
        <v>21225</v>
      </c>
      <c r="AX63" s="137">
        <v>15959</v>
      </c>
      <c r="AY63" s="137">
        <v>7799</v>
      </c>
      <c r="AZ63" s="137">
        <v>2749</v>
      </c>
      <c r="BA63" s="137">
        <v>24691</v>
      </c>
      <c r="BB63" s="137">
        <v>13258</v>
      </c>
      <c r="BC63" s="137">
        <v>7444</v>
      </c>
      <c r="BD63" s="137">
        <v>51768</v>
      </c>
      <c r="BE63" s="137">
        <v>59293</v>
      </c>
      <c r="BF63" s="139">
        <v>39949</v>
      </c>
      <c r="BG63" s="137">
        <v>3662</v>
      </c>
      <c r="BH63" s="137">
        <v>6757</v>
      </c>
      <c r="BI63" s="137">
        <v>36544</v>
      </c>
      <c r="BJ63" s="137">
        <v>15657</v>
      </c>
      <c r="BK63" s="137">
        <v>4245</v>
      </c>
      <c r="BL63" s="137">
        <v>2329</v>
      </c>
      <c r="BM63" s="137">
        <v>29380</v>
      </c>
      <c r="BN63" s="137">
        <v>34609</v>
      </c>
      <c r="BO63" s="137">
        <v>3968</v>
      </c>
      <c r="BP63" s="137">
        <v>22860</v>
      </c>
      <c r="BQ63" s="137">
        <v>22241</v>
      </c>
      <c r="BR63" s="139">
        <v>16339</v>
      </c>
      <c r="BS63" s="137">
        <v>1786</v>
      </c>
      <c r="BT63" s="137">
        <v>17219</v>
      </c>
      <c r="BU63" s="137">
        <v>8039</v>
      </c>
      <c r="BV63" s="137">
        <v>18925</v>
      </c>
      <c r="BW63" s="137">
        <v>17872</v>
      </c>
      <c r="BX63" s="137">
        <v>17562</v>
      </c>
      <c r="BY63" s="137">
        <v>14632</v>
      </c>
      <c r="BZ63" s="137">
        <v>24693</v>
      </c>
      <c r="CA63" s="137">
        <v>10140</v>
      </c>
      <c r="CB63" s="139">
        <v>21193</v>
      </c>
      <c r="CC63" s="137">
        <v>65501</v>
      </c>
      <c r="CD63" s="137">
        <v>12089</v>
      </c>
      <c r="CE63" s="137">
        <v>30522</v>
      </c>
      <c r="CF63" s="137">
        <v>827</v>
      </c>
      <c r="CG63" s="137">
        <v>93231</v>
      </c>
      <c r="CH63" s="137">
        <v>26135</v>
      </c>
      <c r="CI63" s="137">
        <v>8478</v>
      </c>
      <c r="CJ63" s="137">
        <v>20579</v>
      </c>
      <c r="CK63" s="138">
        <v>43410</v>
      </c>
      <c r="CL63" s="140">
        <v>932763</v>
      </c>
    </row>
    <row r="64" spans="1:90">
      <c r="A64" s="80">
        <f>ROWS($A$3:A62)</f>
        <v>60</v>
      </c>
      <c r="B64" s="59" t="s">
        <v>80</v>
      </c>
      <c r="C64" s="201"/>
      <c r="D64" s="260"/>
      <c r="E64" s="435"/>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2012</v>
      </c>
      <c r="D65" s="260" t="s">
        <v>59</v>
      </c>
      <c r="E65" s="483">
        <v>42909</v>
      </c>
      <c r="F65" s="496">
        <f>SUM(AT65:BF65)</f>
        <v>314479.37931325939</v>
      </c>
      <c r="G65" s="494">
        <f>SUM(BG65:BR65)</f>
        <v>89897.598673236018</v>
      </c>
      <c r="H65" s="494">
        <f>SUM(BS65:CB65)</f>
        <v>243038.02430056274</v>
      </c>
      <c r="I65" s="495">
        <f>SUM(CC65:CK65)</f>
        <v>253397.00401661822</v>
      </c>
      <c r="J65" s="141"/>
      <c r="K65" s="145">
        <f>BF65</f>
        <v>67088.18121349439</v>
      </c>
      <c r="L65" s="146">
        <f>AY65</f>
        <v>21694.709696189002</v>
      </c>
      <c r="M65" s="146">
        <f>BD65</f>
        <v>50743.632540982115</v>
      </c>
      <c r="N65" s="146">
        <f>AW65</f>
        <v>23858.964067028599</v>
      </c>
      <c r="O65" s="146">
        <f>BE65</f>
        <v>13645.5788599189</v>
      </c>
      <c r="P65" s="146">
        <f>'2016'!AZ65+'2016'!BA65</f>
        <v>7281.3166639667988</v>
      </c>
      <c r="Q65" s="146">
        <f>'2016'!AU65</f>
        <v>13241.415086714902</v>
      </c>
      <c r="R65" s="146">
        <f>AT65+AX65</f>
        <v>298.92548990300003</v>
      </c>
      <c r="S65" s="146">
        <f>AV65</f>
        <v>16464.466047333601</v>
      </c>
      <c r="T65" s="146">
        <f>BB65</f>
        <v>24314.555380037702</v>
      </c>
      <c r="U65" s="147">
        <f>BC65</f>
        <v>75847.634267690344</v>
      </c>
      <c r="V65" s="146">
        <f>BG65+BJ65</f>
        <v>4782.2159732278005</v>
      </c>
      <c r="W65" s="146">
        <f>BR65</f>
        <v>19006.765023481599</v>
      </c>
      <c r="X65" s="146">
        <f>BH65+BI65</f>
        <v>2395.2442394348</v>
      </c>
      <c r="Y65" s="146">
        <f>BK65+BL65+BN65</f>
        <v>3495.0278979200002</v>
      </c>
      <c r="Z65" s="146">
        <f>BM65</f>
        <v>33553.801581314015</v>
      </c>
      <c r="AA65" s="146">
        <f>BO65+BQ65</f>
        <v>11118.094937060299</v>
      </c>
      <c r="AB65" s="147">
        <f>BP65</f>
        <v>15546.4490207975</v>
      </c>
      <c r="AC65" s="146">
        <f>BX65</f>
        <v>41771.511534796999</v>
      </c>
      <c r="AD65" s="146">
        <f>BU65</f>
        <v>11015.238704522701</v>
      </c>
      <c r="AE65" s="146">
        <f>BS65+BT65</f>
        <v>27698.816682424698</v>
      </c>
      <c r="AF65" s="146">
        <f>CA65</f>
        <v>15108.251329657398</v>
      </c>
      <c r="AG65" s="146">
        <f>BV65</f>
        <v>22911.120215382292</v>
      </c>
      <c r="AH65" s="146">
        <f>BZ65</f>
        <v>21429.034589089897</v>
      </c>
      <c r="AI65" s="146">
        <f>BW65</f>
        <v>32481.177064181302</v>
      </c>
      <c r="AJ65" s="146">
        <f>BY65</f>
        <v>27337.876733838995</v>
      </c>
      <c r="AK65" s="147">
        <f>CB65</f>
        <v>43284.997446668494</v>
      </c>
      <c r="AL65" s="146">
        <f>CE65</f>
        <v>37587.49923149489</v>
      </c>
      <c r="AM65" s="146">
        <f>CH65</f>
        <v>11780.271234555999</v>
      </c>
      <c r="AN65" s="146">
        <f>CJ65</f>
        <v>53315.547431706007</v>
      </c>
      <c r="AO65" s="146">
        <f>CC65</f>
        <v>48696.591738932875</v>
      </c>
      <c r="AP65" s="146">
        <f>CD65</f>
        <v>13425.063013786003</v>
      </c>
      <c r="AQ65" s="146">
        <f>CK65</f>
        <v>43548.144464026969</v>
      </c>
      <c r="AR65" s="146">
        <f>CI65</f>
        <v>10746.678063158999</v>
      </c>
      <c r="AS65" s="150">
        <f>CF65+CG65</f>
        <v>34297.208838956503</v>
      </c>
      <c r="AT65" s="493">
        <v>0</v>
      </c>
      <c r="AU65" s="493">
        <v>13241.415086714902</v>
      </c>
      <c r="AV65" s="493">
        <v>16464.466047333601</v>
      </c>
      <c r="AW65" s="493">
        <v>23858.964067028599</v>
      </c>
      <c r="AX65" s="493">
        <v>298.92548990300003</v>
      </c>
      <c r="AY65" s="493">
        <v>21694.709696189002</v>
      </c>
      <c r="AZ65" s="493">
        <v>0</v>
      </c>
      <c r="BA65" s="493">
        <v>7281.3166639667988</v>
      </c>
      <c r="BB65" s="493">
        <v>24314.555380037702</v>
      </c>
      <c r="BC65" s="493">
        <v>75847.634267690344</v>
      </c>
      <c r="BD65" s="493">
        <v>50743.632540982115</v>
      </c>
      <c r="BE65" s="493">
        <v>13645.5788599189</v>
      </c>
      <c r="BF65" s="510">
        <v>67088.18121349439</v>
      </c>
      <c r="BG65" s="493">
        <v>1368.2561210222</v>
      </c>
      <c r="BH65" s="493">
        <v>0</v>
      </c>
      <c r="BI65" s="493">
        <v>2395.2442394348</v>
      </c>
      <c r="BJ65" s="493">
        <v>3413.9598522056003</v>
      </c>
      <c r="BK65" s="493">
        <v>0</v>
      </c>
      <c r="BL65" s="493">
        <v>0</v>
      </c>
      <c r="BM65" s="493">
        <v>33553.801581314015</v>
      </c>
      <c r="BN65" s="493">
        <v>3495.0278979200002</v>
      </c>
      <c r="BO65" s="493">
        <v>408.51585075379995</v>
      </c>
      <c r="BP65" s="493">
        <v>15546.4490207975</v>
      </c>
      <c r="BQ65" s="493">
        <v>10709.579086306499</v>
      </c>
      <c r="BR65" s="510">
        <v>19006.765023481599</v>
      </c>
      <c r="BS65" s="493">
        <v>1030.3934755529999</v>
      </c>
      <c r="BT65" s="493">
        <v>26668.423206871699</v>
      </c>
      <c r="BU65" s="493">
        <v>11015.238704522701</v>
      </c>
      <c r="BV65" s="493">
        <v>22911.120215382292</v>
      </c>
      <c r="BW65" s="493">
        <v>32481.177064181302</v>
      </c>
      <c r="BX65" s="493">
        <v>41771.511534796999</v>
      </c>
      <c r="BY65" s="493">
        <v>27337.876733838995</v>
      </c>
      <c r="BZ65" s="493">
        <v>21429.034589089897</v>
      </c>
      <c r="CA65" s="493">
        <v>15108.251329657398</v>
      </c>
      <c r="CB65" s="510">
        <v>43284.997446668494</v>
      </c>
      <c r="CC65" s="493">
        <v>48696.591738932875</v>
      </c>
      <c r="CD65" s="493">
        <v>13425.063013786003</v>
      </c>
      <c r="CE65" s="493">
        <v>37587.49923149489</v>
      </c>
      <c r="CF65" s="493">
        <v>438.39042787099999</v>
      </c>
      <c r="CG65" s="493">
        <v>33858.8184110855</v>
      </c>
      <c r="CH65" s="493">
        <v>11780.271234555999</v>
      </c>
      <c r="CI65" s="493">
        <v>10746.678063158999</v>
      </c>
      <c r="CJ65" s="493">
        <v>53315.547431706007</v>
      </c>
      <c r="CK65" s="509">
        <v>43548.144464026969</v>
      </c>
      <c r="CL65" s="511">
        <v>900812.00630367652</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2012</v>
      </c>
      <c r="D67" s="260" t="s">
        <v>3</v>
      </c>
      <c r="E67" s="483">
        <v>42909</v>
      </c>
      <c r="F67" s="526">
        <f>IF(F65/F35%&gt;100,100,F65/F35%)</f>
        <v>67.700732230516053</v>
      </c>
      <c r="G67" s="523">
        <f t="shared" ref="G67:BR67" si="131">IF(G65/G35%&gt;100,100,G65/G35%)</f>
        <v>44.643438219198686</v>
      </c>
      <c r="H67" s="523">
        <f t="shared" si="131"/>
        <v>76.362455753014814</v>
      </c>
      <c r="I67" s="525">
        <f t="shared" si="131"/>
        <v>59.505633380053453</v>
      </c>
      <c r="J67" s="173"/>
      <c r="K67" s="170">
        <f t="shared" si="131"/>
        <v>100</v>
      </c>
      <c r="L67" s="171">
        <f t="shared" si="131"/>
        <v>85.090640477678861</v>
      </c>
      <c r="M67" s="171">
        <f t="shared" si="131"/>
        <v>74.572542898895037</v>
      </c>
      <c r="N67" s="171">
        <f t="shared" si="131"/>
        <v>84.828856101218093</v>
      </c>
      <c r="O67" s="171">
        <f t="shared" si="131"/>
        <v>52.10224841511608</v>
      </c>
      <c r="P67" s="171">
        <f t="shared" si="131"/>
        <v>12.537349835505964</v>
      </c>
      <c r="Q67" s="171">
        <f t="shared" si="131"/>
        <v>60.029989512716028</v>
      </c>
      <c r="R67" s="171">
        <f t="shared" si="131"/>
        <v>0.86227677590503937</v>
      </c>
      <c r="S67" s="171">
        <f t="shared" si="131"/>
        <v>83.861182943684611</v>
      </c>
      <c r="T67" s="171">
        <f t="shared" si="131"/>
        <v>58.980122207489877</v>
      </c>
      <c r="U67" s="172">
        <f t="shared" si="131"/>
        <v>99.351131430111934</v>
      </c>
      <c r="V67" s="171">
        <f t="shared" si="131"/>
        <v>29.838497368364635</v>
      </c>
      <c r="W67" s="171">
        <f t="shared" si="131"/>
        <v>100</v>
      </c>
      <c r="X67" s="171">
        <f t="shared" si="131"/>
        <v>6.0010127760555196</v>
      </c>
      <c r="Y67" s="171">
        <f t="shared" si="131"/>
        <v>8.1693887567668657</v>
      </c>
      <c r="Z67" s="171">
        <f t="shared" si="131"/>
        <v>72.434431235701524</v>
      </c>
      <c r="AA67" s="171">
        <f t="shared" si="131"/>
        <v>55.16022493084094</v>
      </c>
      <c r="AB67" s="172">
        <f t="shared" si="131"/>
        <v>90.113894161821804</v>
      </c>
      <c r="AC67" s="171">
        <f t="shared" si="131"/>
        <v>100</v>
      </c>
      <c r="AD67" s="171">
        <f t="shared" si="131"/>
        <v>49.384616473986547</v>
      </c>
      <c r="AE67" s="171">
        <f t="shared" si="131"/>
        <v>53.119854024287925</v>
      </c>
      <c r="AF67" s="171">
        <f t="shared" si="131"/>
        <v>65.268063459726108</v>
      </c>
      <c r="AG67" s="171">
        <f t="shared" si="131"/>
        <v>41.281297685373502</v>
      </c>
      <c r="AH67" s="171">
        <f t="shared" si="131"/>
        <v>63.672662573436028</v>
      </c>
      <c r="AI67" s="171">
        <f t="shared" si="131"/>
        <v>100</v>
      </c>
      <c r="AJ67" s="171">
        <f t="shared" si="131"/>
        <v>100</v>
      </c>
      <c r="AK67" s="172">
        <f t="shared" si="131"/>
        <v>100</v>
      </c>
      <c r="AL67" s="171">
        <f t="shared" si="131"/>
        <v>100</v>
      </c>
      <c r="AM67" s="171">
        <f t="shared" si="131"/>
        <v>15.432939310585336</v>
      </c>
      <c r="AN67" s="171">
        <f t="shared" si="131"/>
        <v>61.839504769075354</v>
      </c>
      <c r="AO67" s="171">
        <f t="shared" si="131"/>
        <v>100</v>
      </c>
      <c r="AP67" s="171">
        <f t="shared" si="131"/>
        <v>66.814627053132938</v>
      </c>
      <c r="AQ67" s="171">
        <f t="shared" si="131"/>
        <v>79.907784623338415</v>
      </c>
      <c r="AR67" s="171">
        <f t="shared" si="131"/>
        <v>32.194961243735769</v>
      </c>
      <c r="AS67" s="174">
        <f t="shared" si="131"/>
        <v>43.568055333337355</v>
      </c>
      <c r="AT67" s="523">
        <f t="shared" si="131"/>
        <v>0</v>
      </c>
      <c r="AU67" s="523">
        <f t="shared" si="131"/>
        <v>60.029989512716028</v>
      </c>
      <c r="AV67" s="523">
        <f t="shared" si="131"/>
        <v>83.861182943684611</v>
      </c>
      <c r="AW67" s="523">
        <f t="shared" si="131"/>
        <v>84.828856101218093</v>
      </c>
      <c r="AX67" s="523">
        <f t="shared" si="131"/>
        <v>0.92932130169433569</v>
      </c>
      <c r="AY67" s="523">
        <f t="shared" si="131"/>
        <v>85.090640477678861</v>
      </c>
      <c r="AZ67" s="523">
        <f t="shared" si="131"/>
        <v>0</v>
      </c>
      <c r="BA67" s="523">
        <f t="shared" si="131"/>
        <v>13.509938889651918</v>
      </c>
      <c r="BB67" s="523">
        <f t="shared" si="131"/>
        <v>58.980122207489877</v>
      </c>
      <c r="BC67" s="523">
        <f t="shared" si="131"/>
        <v>99.351131430111934</v>
      </c>
      <c r="BD67" s="523">
        <f t="shared" si="131"/>
        <v>74.572542898895037</v>
      </c>
      <c r="BE67" s="523">
        <f t="shared" si="131"/>
        <v>52.10224841511608</v>
      </c>
      <c r="BF67" s="524">
        <f t="shared" si="131"/>
        <v>100</v>
      </c>
      <c r="BG67" s="523">
        <f t="shared" si="131"/>
        <v>90.194866250639421</v>
      </c>
      <c r="BH67" s="523">
        <f t="shared" si="131"/>
        <v>0</v>
      </c>
      <c r="BI67" s="523">
        <f t="shared" si="131"/>
        <v>6.4050813975687237</v>
      </c>
      <c r="BJ67" s="523">
        <f t="shared" si="131"/>
        <v>23.528324274332189</v>
      </c>
      <c r="BK67" s="523">
        <f t="shared" si="131"/>
        <v>0</v>
      </c>
      <c r="BL67" s="523">
        <f t="shared" si="131"/>
        <v>0</v>
      </c>
      <c r="BM67" s="523">
        <f t="shared" si="131"/>
        <v>72.434431235701524</v>
      </c>
      <c r="BN67" s="523">
        <f t="shared" si="131"/>
        <v>9.1740239334330784</v>
      </c>
      <c r="BO67" s="523">
        <f t="shared" si="131"/>
        <v>40.089877404690874</v>
      </c>
      <c r="BP67" s="523">
        <f t="shared" si="131"/>
        <v>90.113894161821804</v>
      </c>
      <c r="BQ67" s="523">
        <f t="shared" si="131"/>
        <v>55.962685302327948</v>
      </c>
      <c r="BR67" s="524">
        <f t="shared" si="131"/>
        <v>100</v>
      </c>
      <c r="BS67" s="523">
        <f t="shared" ref="BS67:CL67" si="132">IF(BS65/BS35%&gt;100,100,BS65/BS35%)</f>
        <v>29.901145547098082</v>
      </c>
      <c r="BT67" s="523">
        <f t="shared" si="132"/>
        <v>54.762871589945583</v>
      </c>
      <c r="BU67" s="523">
        <f t="shared" si="132"/>
        <v>49.384616473986547</v>
      </c>
      <c r="BV67" s="523">
        <f t="shared" si="132"/>
        <v>41.281297685373502</v>
      </c>
      <c r="BW67" s="523">
        <f t="shared" si="132"/>
        <v>100</v>
      </c>
      <c r="BX67" s="523">
        <f t="shared" si="132"/>
        <v>100</v>
      </c>
      <c r="BY67" s="523">
        <f t="shared" si="132"/>
        <v>100</v>
      </c>
      <c r="BZ67" s="523">
        <f t="shared" si="132"/>
        <v>63.672662573436028</v>
      </c>
      <c r="CA67" s="523">
        <f t="shared" si="132"/>
        <v>65.268063459726108</v>
      </c>
      <c r="CB67" s="524">
        <f t="shared" si="132"/>
        <v>100</v>
      </c>
      <c r="CC67" s="523">
        <f t="shared" si="132"/>
        <v>100</v>
      </c>
      <c r="CD67" s="523">
        <f t="shared" si="132"/>
        <v>66.814627053132938</v>
      </c>
      <c r="CE67" s="523">
        <f t="shared" si="132"/>
        <v>100</v>
      </c>
      <c r="CF67" s="523">
        <f t="shared" si="132"/>
        <v>9.3393785230293993</v>
      </c>
      <c r="CG67" s="523">
        <f t="shared" si="132"/>
        <v>45.738471653701353</v>
      </c>
      <c r="CH67" s="523">
        <f t="shared" si="132"/>
        <v>15.432939310585336</v>
      </c>
      <c r="CI67" s="523">
        <f t="shared" si="132"/>
        <v>32.194961243735769</v>
      </c>
      <c r="CJ67" s="523">
        <f t="shared" si="132"/>
        <v>61.839504769075354</v>
      </c>
      <c r="CK67" s="525">
        <f t="shared" si="132"/>
        <v>79.907784623338415</v>
      </c>
      <c r="CL67" s="478">
        <f t="shared" si="132"/>
        <v>63.887920060573322</v>
      </c>
    </row>
    <row r="68" spans="1:90">
      <c r="A68" s="80">
        <f>ROWS($A$3:A66)</f>
        <v>64</v>
      </c>
      <c r="B68" s="59" t="s">
        <v>81</v>
      </c>
      <c r="C68" s="201"/>
      <c r="D68" s="260"/>
      <c r="E68" s="435"/>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265</v>
      </c>
      <c r="C69" s="202">
        <v>2010</v>
      </c>
      <c r="D69" s="259" t="s">
        <v>13</v>
      </c>
      <c r="E69" s="435"/>
      <c r="F69" s="116">
        <v>831</v>
      </c>
      <c r="G69" s="137">
        <v>232</v>
      </c>
      <c r="H69" s="137">
        <v>1049</v>
      </c>
      <c r="I69" s="138">
        <v>930</v>
      </c>
      <c r="J69" s="141"/>
      <c r="K69" s="116">
        <f>BF69</f>
        <v>92</v>
      </c>
      <c r="L69" s="137">
        <f>AY69</f>
        <v>142</v>
      </c>
      <c r="M69" s="137">
        <f>BD69</f>
        <v>101</v>
      </c>
      <c r="N69" s="137">
        <f>AW69</f>
        <v>45</v>
      </c>
      <c r="O69" s="137">
        <f>BE69</f>
        <v>46</v>
      </c>
      <c r="P69" s="137">
        <f>SUM(AZ69,BA69)</f>
        <v>69</v>
      </c>
      <c r="Q69" s="137">
        <f>'2010'!AU69</f>
        <v>29</v>
      </c>
      <c r="R69" s="137">
        <f>SUM(AT69+AX69)</f>
        <v>62</v>
      </c>
      <c r="S69" s="137">
        <f>AV69</f>
        <v>47</v>
      </c>
      <c r="T69" s="137">
        <f>BB69</f>
        <v>74</v>
      </c>
      <c r="U69" s="139">
        <f>BC69</f>
        <v>124</v>
      </c>
      <c r="V69" s="137">
        <f>SUM(BG69,BJ69)</f>
        <v>21</v>
      </c>
      <c r="W69" s="137">
        <f>BR69</f>
        <v>38</v>
      </c>
      <c r="X69" s="137">
        <f>SUM(BH69,BI69)</f>
        <v>38</v>
      </c>
      <c r="Y69" s="137">
        <f>SUM(BK69,BL69,BN69)</f>
        <v>33</v>
      </c>
      <c r="Z69" s="137">
        <f>BM69</f>
        <v>35</v>
      </c>
      <c r="AA69" s="137">
        <f>SUM(BO69,BQ69)</f>
        <v>35</v>
      </c>
      <c r="AB69" s="139">
        <f>BP69</f>
        <v>26</v>
      </c>
      <c r="AC69" s="137">
        <f>BX69</f>
        <v>101</v>
      </c>
      <c r="AD69" s="137">
        <f>BU69</f>
        <v>69</v>
      </c>
      <c r="AE69" s="137">
        <f>SUM(BS69+BT69)</f>
        <v>270</v>
      </c>
      <c r="AF69" s="137">
        <f>CA69</f>
        <v>102</v>
      </c>
      <c r="AG69" s="137">
        <f>BV69</f>
        <v>132</v>
      </c>
      <c r="AH69" s="137">
        <f>BZ69</f>
        <v>106</v>
      </c>
      <c r="AI69" s="137">
        <f>BW69</f>
        <v>50</v>
      </c>
      <c r="AJ69" s="137">
        <f>BY69</f>
        <v>40</v>
      </c>
      <c r="AK69" s="139">
        <f>CB69</f>
        <v>179</v>
      </c>
      <c r="AL69" s="137">
        <f>CE69</f>
        <v>66</v>
      </c>
      <c r="AM69" s="137">
        <f>CH69</f>
        <v>67</v>
      </c>
      <c r="AN69" s="137">
        <f>CJ69</f>
        <v>325</v>
      </c>
      <c r="AO69" s="137">
        <f>CC69</f>
        <v>86</v>
      </c>
      <c r="AP69" s="137">
        <f>CD69</f>
        <v>39</v>
      </c>
      <c r="AQ69" s="137">
        <f>CK69</f>
        <v>77</v>
      </c>
      <c r="AR69" s="137">
        <f>CI69</f>
        <v>194</v>
      </c>
      <c r="AS69" s="138">
        <f>SUM(CF69:CG69)</f>
        <v>76</v>
      </c>
      <c r="AT69" s="137">
        <v>8</v>
      </c>
      <c r="AU69" s="137">
        <v>29</v>
      </c>
      <c r="AV69" s="137">
        <v>47</v>
      </c>
      <c r="AW69" s="137">
        <v>45</v>
      </c>
      <c r="AX69" s="137">
        <v>54</v>
      </c>
      <c r="AY69" s="137">
        <v>142</v>
      </c>
      <c r="AZ69" s="137">
        <v>5</v>
      </c>
      <c r="BA69" s="137">
        <v>64</v>
      </c>
      <c r="BB69" s="137">
        <v>74</v>
      </c>
      <c r="BC69" s="137">
        <v>124</v>
      </c>
      <c r="BD69" s="137">
        <v>101</v>
      </c>
      <c r="BE69" s="137">
        <v>46</v>
      </c>
      <c r="BF69" s="139">
        <v>92</v>
      </c>
      <c r="BG69" s="137">
        <v>4</v>
      </c>
      <c r="BH69" s="137">
        <v>5</v>
      </c>
      <c r="BI69" s="137">
        <v>33</v>
      </c>
      <c r="BJ69" s="137">
        <v>17</v>
      </c>
      <c r="BK69" s="137" t="s">
        <v>233</v>
      </c>
      <c r="BL69" s="137" t="s">
        <v>267</v>
      </c>
      <c r="BM69" s="137">
        <v>35</v>
      </c>
      <c r="BN69" s="137">
        <v>33</v>
      </c>
      <c r="BO69" s="137" t="s">
        <v>233</v>
      </c>
      <c r="BP69" s="137">
        <v>26</v>
      </c>
      <c r="BQ69" s="137">
        <v>35</v>
      </c>
      <c r="BR69" s="139">
        <v>38</v>
      </c>
      <c r="BS69" s="137">
        <v>15</v>
      </c>
      <c r="BT69" s="137">
        <v>255</v>
      </c>
      <c r="BU69" s="137">
        <v>69</v>
      </c>
      <c r="BV69" s="137">
        <v>132</v>
      </c>
      <c r="BW69" s="137">
        <v>50</v>
      </c>
      <c r="BX69" s="137">
        <v>101</v>
      </c>
      <c r="BY69" s="137">
        <v>40</v>
      </c>
      <c r="BZ69" s="137">
        <v>106</v>
      </c>
      <c r="CA69" s="137">
        <v>102</v>
      </c>
      <c r="CB69" s="139">
        <v>179</v>
      </c>
      <c r="CC69" s="137">
        <v>86</v>
      </c>
      <c r="CD69" s="137">
        <v>39</v>
      </c>
      <c r="CE69" s="137">
        <v>66</v>
      </c>
      <c r="CF69" s="137" t="s">
        <v>267</v>
      </c>
      <c r="CG69" s="137">
        <v>76</v>
      </c>
      <c r="CH69" s="137">
        <v>67</v>
      </c>
      <c r="CI69" s="137">
        <v>194</v>
      </c>
      <c r="CJ69" s="137">
        <v>325</v>
      </c>
      <c r="CK69" s="138">
        <v>77</v>
      </c>
      <c r="CL69" s="140">
        <v>3042</v>
      </c>
    </row>
    <row r="70" spans="1:90">
      <c r="A70" s="80">
        <f>ROWS($A$3:A68)</f>
        <v>66</v>
      </c>
      <c r="B70" s="92" t="s">
        <v>70</v>
      </c>
      <c r="C70" s="252"/>
      <c r="D70" s="259" t="s">
        <v>1</v>
      </c>
      <c r="E70" s="435"/>
      <c r="F70" s="302">
        <v>25349</v>
      </c>
      <c r="G70" s="141">
        <v>9639</v>
      </c>
      <c r="H70" s="141">
        <v>32376</v>
      </c>
      <c r="I70" s="298">
        <v>31003</v>
      </c>
      <c r="J70" s="141"/>
      <c r="K70" s="116">
        <f>BF70</f>
        <v>3020</v>
      </c>
      <c r="L70" s="137">
        <f>AY70</f>
        <v>2688</v>
      </c>
      <c r="M70" s="137">
        <f>BD70</f>
        <v>3322</v>
      </c>
      <c r="N70" s="137">
        <f>AW70</f>
        <v>1586</v>
      </c>
      <c r="O70" s="137">
        <f>BE70</f>
        <v>2579</v>
      </c>
      <c r="P70" s="137">
        <f>SUM(AZ70,BA70)</f>
        <v>1713</v>
      </c>
      <c r="Q70" s="137">
        <f>'2010'!AU70</f>
        <v>1115</v>
      </c>
      <c r="R70" s="137">
        <f>SUM(AT70+AX70)</f>
        <v>1244</v>
      </c>
      <c r="S70" s="137">
        <f>AV70</f>
        <v>1401</v>
      </c>
      <c r="T70" s="137">
        <f>BB70</f>
        <v>2066</v>
      </c>
      <c r="U70" s="139">
        <f>BC70</f>
        <v>4615</v>
      </c>
      <c r="V70" s="137">
        <f>SUM(BG70,BJ70)</f>
        <v>440</v>
      </c>
      <c r="W70" s="137">
        <f>BR70</f>
        <v>1468</v>
      </c>
      <c r="X70" s="137">
        <f>SUM(BH70,BI70)</f>
        <v>1104</v>
      </c>
      <c r="Y70" s="137">
        <f>SUM(BK70,BL70,BN70)</f>
        <v>1208</v>
      </c>
      <c r="Z70" s="137">
        <f>BM70</f>
        <v>1904</v>
      </c>
      <c r="AA70" s="137">
        <f>SUM(BO70,BQ70)</f>
        <v>1973</v>
      </c>
      <c r="AB70" s="139">
        <f>BP70</f>
        <v>1086</v>
      </c>
      <c r="AC70" s="137">
        <f>BX70</f>
        <v>3397</v>
      </c>
      <c r="AD70" s="137">
        <f>BU70</f>
        <v>1320</v>
      </c>
      <c r="AE70" s="137">
        <f>SUM(BS70+BT70)</f>
        <v>7008</v>
      </c>
      <c r="AF70" s="137">
        <f>CA70</f>
        <v>3239</v>
      </c>
      <c r="AG70" s="137">
        <f>BV70</f>
        <v>3349</v>
      </c>
      <c r="AH70" s="137">
        <f>BZ70</f>
        <v>2996</v>
      </c>
      <c r="AI70" s="137">
        <f>BW70</f>
        <v>1620</v>
      </c>
      <c r="AJ70" s="137">
        <f>BY70</f>
        <v>2536</v>
      </c>
      <c r="AK70" s="139">
        <f>CB70</f>
        <v>6911</v>
      </c>
      <c r="AL70" s="137">
        <f>CE70</f>
        <v>3625</v>
      </c>
      <c r="AM70" s="137">
        <f>CH70</f>
        <v>3116</v>
      </c>
      <c r="AN70" s="137">
        <f>CJ70</f>
        <v>8895</v>
      </c>
      <c r="AO70" s="137">
        <f>CC70</f>
        <v>3425</v>
      </c>
      <c r="AP70" s="137">
        <f>CD70</f>
        <v>3086</v>
      </c>
      <c r="AQ70" s="137">
        <f>CK70</f>
        <v>3085</v>
      </c>
      <c r="AR70" s="137">
        <f>CI70</f>
        <v>3123</v>
      </c>
      <c r="AS70" s="138">
        <f>SUM(CF70:CG70)</f>
        <v>2648</v>
      </c>
      <c r="AT70" s="141">
        <v>190</v>
      </c>
      <c r="AU70" s="141">
        <v>1115</v>
      </c>
      <c r="AV70" s="141">
        <v>1401</v>
      </c>
      <c r="AW70" s="141">
        <v>1586</v>
      </c>
      <c r="AX70" s="141">
        <v>1054</v>
      </c>
      <c r="AY70" s="141">
        <v>2688</v>
      </c>
      <c r="AZ70" s="141">
        <v>99</v>
      </c>
      <c r="BA70" s="141">
        <v>1614</v>
      </c>
      <c r="BB70" s="141">
        <v>2066</v>
      </c>
      <c r="BC70" s="141">
        <v>4615</v>
      </c>
      <c r="BD70" s="141">
        <v>3322</v>
      </c>
      <c r="BE70" s="141">
        <v>2579</v>
      </c>
      <c r="BF70" s="297">
        <v>3020</v>
      </c>
      <c r="BG70" s="141">
        <v>213</v>
      </c>
      <c r="BH70" s="141" t="s">
        <v>233</v>
      </c>
      <c r="BI70" s="141">
        <v>1104</v>
      </c>
      <c r="BJ70" s="141">
        <v>227</v>
      </c>
      <c r="BK70" s="141" t="s">
        <v>233</v>
      </c>
      <c r="BL70" s="141" t="s">
        <v>267</v>
      </c>
      <c r="BM70" s="141">
        <v>1904</v>
      </c>
      <c r="BN70" s="141">
        <v>1208</v>
      </c>
      <c r="BO70" s="141" t="s">
        <v>233</v>
      </c>
      <c r="BP70" s="141">
        <v>1086</v>
      </c>
      <c r="BQ70" s="141">
        <v>1973</v>
      </c>
      <c r="BR70" s="297">
        <v>1468</v>
      </c>
      <c r="BS70" s="141">
        <v>244</v>
      </c>
      <c r="BT70" s="141">
        <v>6764</v>
      </c>
      <c r="BU70" s="141">
        <v>1320</v>
      </c>
      <c r="BV70" s="141">
        <v>3349</v>
      </c>
      <c r="BW70" s="141">
        <v>1620</v>
      </c>
      <c r="BX70" s="141">
        <v>3397</v>
      </c>
      <c r="BY70" s="141">
        <v>2536</v>
      </c>
      <c r="BZ70" s="141">
        <v>2996</v>
      </c>
      <c r="CA70" s="141">
        <v>3239</v>
      </c>
      <c r="CB70" s="297">
        <v>6911</v>
      </c>
      <c r="CC70" s="141">
        <v>3425</v>
      </c>
      <c r="CD70" s="141">
        <v>3086</v>
      </c>
      <c r="CE70" s="141">
        <v>3625</v>
      </c>
      <c r="CF70" s="137" t="s">
        <v>267</v>
      </c>
      <c r="CG70" s="141">
        <v>2648</v>
      </c>
      <c r="CH70" s="141">
        <v>3116</v>
      </c>
      <c r="CI70" s="141">
        <v>3123</v>
      </c>
      <c r="CJ70" s="141">
        <v>8895</v>
      </c>
      <c r="CK70" s="298">
        <v>3085</v>
      </c>
      <c r="CL70" s="258">
        <v>98367</v>
      </c>
    </row>
    <row r="71" spans="1:90">
      <c r="A71" s="80">
        <f>ROWS($A$3:A69)</f>
        <v>67</v>
      </c>
      <c r="B71" s="54" t="s">
        <v>266</v>
      </c>
      <c r="C71" s="252"/>
      <c r="D71" s="259" t="s">
        <v>1</v>
      </c>
      <c r="E71" s="435"/>
      <c r="F71" s="167">
        <f>IF(ISERROR(F70/F69)=FALSE,F70/F69," -")</f>
        <v>30.504211793020456</v>
      </c>
      <c r="G71" s="168">
        <f>IF(ISERROR(G70/G69)=FALSE,G70/G69," -")</f>
        <v>41.547413793103445</v>
      </c>
      <c r="H71" s="168">
        <f>IF(ISERROR(H70/H69)=FALSE,H70/H69," -")</f>
        <v>30.863679694947567</v>
      </c>
      <c r="I71" s="169">
        <f>IF(ISERROR(I70/I69)=FALSE,I70/I69," -")</f>
        <v>33.336559139784946</v>
      </c>
      <c r="J71" s="173"/>
      <c r="K71" s="167">
        <f t="shared" ref="K71:BV71" si="133">IF(ISERROR(K70/K69)=FALSE,K70/K69," -")</f>
        <v>32.826086956521742</v>
      </c>
      <c r="L71" s="168">
        <f t="shared" si="133"/>
        <v>18.929577464788732</v>
      </c>
      <c r="M71" s="168">
        <f t="shared" si="133"/>
        <v>32.89108910891089</v>
      </c>
      <c r="N71" s="168">
        <f t="shared" si="133"/>
        <v>35.244444444444447</v>
      </c>
      <c r="O71" s="168">
        <f t="shared" si="133"/>
        <v>56.065217391304351</v>
      </c>
      <c r="P71" s="168">
        <f t="shared" si="133"/>
        <v>24.826086956521738</v>
      </c>
      <c r="Q71" s="168">
        <f t="shared" si="133"/>
        <v>38.448275862068968</v>
      </c>
      <c r="R71" s="168">
        <f t="shared" si="133"/>
        <v>20.06451612903226</v>
      </c>
      <c r="S71" s="168">
        <f t="shared" si="133"/>
        <v>29.808510638297872</v>
      </c>
      <c r="T71" s="168">
        <f t="shared" si="133"/>
        <v>27.918918918918919</v>
      </c>
      <c r="U71" s="176">
        <f t="shared" si="133"/>
        <v>37.217741935483872</v>
      </c>
      <c r="V71" s="168">
        <f t="shared" si="133"/>
        <v>20.952380952380953</v>
      </c>
      <c r="W71" s="168">
        <f t="shared" si="133"/>
        <v>38.631578947368418</v>
      </c>
      <c r="X71" s="168">
        <f t="shared" si="133"/>
        <v>29.05263157894737</v>
      </c>
      <c r="Y71" s="168">
        <f t="shared" si="133"/>
        <v>36.606060606060609</v>
      </c>
      <c r="Z71" s="168">
        <f t="shared" si="133"/>
        <v>54.4</v>
      </c>
      <c r="AA71" s="168">
        <f t="shared" si="133"/>
        <v>56.371428571428574</v>
      </c>
      <c r="AB71" s="176">
        <f t="shared" si="133"/>
        <v>41.769230769230766</v>
      </c>
      <c r="AC71" s="168">
        <f t="shared" si="133"/>
        <v>33.633663366336634</v>
      </c>
      <c r="AD71" s="168">
        <f t="shared" si="133"/>
        <v>19.130434782608695</v>
      </c>
      <c r="AE71" s="168">
        <f t="shared" si="133"/>
        <v>25.955555555555556</v>
      </c>
      <c r="AF71" s="168">
        <f t="shared" si="133"/>
        <v>31.754901960784313</v>
      </c>
      <c r="AG71" s="168">
        <f t="shared" si="133"/>
        <v>25.371212121212121</v>
      </c>
      <c r="AH71" s="168">
        <f t="shared" si="133"/>
        <v>28.264150943396228</v>
      </c>
      <c r="AI71" s="168">
        <f t="shared" si="133"/>
        <v>32.4</v>
      </c>
      <c r="AJ71" s="168">
        <f t="shared" si="133"/>
        <v>63.4</v>
      </c>
      <c r="AK71" s="176">
        <f t="shared" si="133"/>
        <v>38.608938547486034</v>
      </c>
      <c r="AL71" s="168">
        <f t="shared" si="133"/>
        <v>54.924242424242422</v>
      </c>
      <c r="AM71" s="168">
        <f t="shared" si="133"/>
        <v>46.507462686567166</v>
      </c>
      <c r="AN71" s="168">
        <f t="shared" si="133"/>
        <v>27.369230769230768</v>
      </c>
      <c r="AO71" s="168">
        <f t="shared" si="133"/>
        <v>39.825581395348834</v>
      </c>
      <c r="AP71" s="168">
        <f t="shared" si="133"/>
        <v>79.128205128205124</v>
      </c>
      <c r="AQ71" s="168">
        <f t="shared" si="133"/>
        <v>40.064935064935064</v>
      </c>
      <c r="AR71" s="168">
        <f t="shared" si="133"/>
        <v>16.097938144329898</v>
      </c>
      <c r="AS71" s="169">
        <f t="shared" si="133"/>
        <v>34.842105263157897</v>
      </c>
      <c r="AT71" s="168">
        <f t="shared" si="133"/>
        <v>23.75</v>
      </c>
      <c r="AU71" s="168">
        <f t="shared" si="133"/>
        <v>38.448275862068968</v>
      </c>
      <c r="AV71" s="168">
        <f t="shared" si="133"/>
        <v>29.808510638297872</v>
      </c>
      <c r="AW71" s="168">
        <f t="shared" si="133"/>
        <v>35.244444444444447</v>
      </c>
      <c r="AX71" s="168">
        <f t="shared" si="133"/>
        <v>19.518518518518519</v>
      </c>
      <c r="AY71" s="168">
        <f t="shared" si="133"/>
        <v>18.929577464788732</v>
      </c>
      <c r="AZ71" s="168">
        <f t="shared" si="133"/>
        <v>19.8</v>
      </c>
      <c r="BA71" s="168">
        <f t="shared" si="133"/>
        <v>25.21875</v>
      </c>
      <c r="BB71" s="168">
        <f t="shared" si="133"/>
        <v>27.918918918918919</v>
      </c>
      <c r="BC71" s="168">
        <f t="shared" si="133"/>
        <v>37.217741935483872</v>
      </c>
      <c r="BD71" s="168">
        <f t="shared" si="133"/>
        <v>32.89108910891089</v>
      </c>
      <c r="BE71" s="168">
        <f t="shared" si="133"/>
        <v>56.065217391304351</v>
      </c>
      <c r="BF71" s="176">
        <f t="shared" si="133"/>
        <v>32.826086956521742</v>
      </c>
      <c r="BG71" s="168">
        <f t="shared" si="133"/>
        <v>53.25</v>
      </c>
      <c r="BH71" s="168" t="str">
        <f t="shared" si="133"/>
        <v xml:space="preserve"> -</v>
      </c>
      <c r="BI71" s="168">
        <f t="shared" si="133"/>
        <v>33.454545454545453</v>
      </c>
      <c r="BJ71" s="168">
        <f t="shared" si="133"/>
        <v>13.352941176470589</v>
      </c>
      <c r="BK71" s="168" t="str">
        <f t="shared" si="133"/>
        <v xml:space="preserve"> -</v>
      </c>
      <c r="BL71" s="168" t="str">
        <f t="shared" si="133"/>
        <v xml:space="preserve"> -</v>
      </c>
      <c r="BM71" s="168">
        <f t="shared" si="133"/>
        <v>54.4</v>
      </c>
      <c r="BN71" s="168">
        <f t="shared" si="133"/>
        <v>36.606060606060609</v>
      </c>
      <c r="BO71" s="168" t="str">
        <f t="shared" si="133"/>
        <v xml:space="preserve"> -</v>
      </c>
      <c r="BP71" s="168">
        <f t="shared" si="133"/>
        <v>41.769230769230766</v>
      </c>
      <c r="BQ71" s="168">
        <f t="shared" si="133"/>
        <v>56.371428571428574</v>
      </c>
      <c r="BR71" s="176">
        <f t="shared" si="133"/>
        <v>38.631578947368418</v>
      </c>
      <c r="BS71" s="168">
        <f t="shared" si="133"/>
        <v>16.266666666666666</v>
      </c>
      <c r="BT71" s="168">
        <f t="shared" si="133"/>
        <v>26.525490196078433</v>
      </c>
      <c r="BU71" s="168">
        <f t="shared" si="133"/>
        <v>19.130434782608695</v>
      </c>
      <c r="BV71" s="168">
        <f t="shared" si="133"/>
        <v>25.371212121212121</v>
      </c>
      <c r="BW71" s="168">
        <f t="shared" ref="BW71:CK71" si="134">IF(ISERROR(BW70/BW69)=FALSE,BW70/BW69," -")</f>
        <v>32.4</v>
      </c>
      <c r="BX71" s="168">
        <f t="shared" si="134"/>
        <v>33.633663366336634</v>
      </c>
      <c r="BY71" s="168">
        <f t="shared" si="134"/>
        <v>63.4</v>
      </c>
      <c r="BZ71" s="168">
        <f t="shared" si="134"/>
        <v>28.264150943396228</v>
      </c>
      <c r="CA71" s="168">
        <f t="shared" si="134"/>
        <v>31.754901960784313</v>
      </c>
      <c r="CB71" s="176">
        <f t="shared" si="134"/>
        <v>38.608938547486034</v>
      </c>
      <c r="CC71" s="168">
        <f t="shared" si="134"/>
        <v>39.825581395348834</v>
      </c>
      <c r="CD71" s="168">
        <f t="shared" si="134"/>
        <v>79.128205128205124</v>
      </c>
      <c r="CE71" s="168">
        <f t="shared" si="134"/>
        <v>54.924242424242422</v>
      </c>
      <c r="CF71" s="168" t="str">
        <f t="shared" si="134"/>
        <v xml:space="preserve"> -</v>
      </c>
      <c r="CG71" s="168">
        <f t="shared" si="134"/>
        <v>34.842105263157897</v>
      </c>
      <c r="CH71" s="168">
        <f t="shared" si="134"/>
        <v>46.507462686567166</v>
      </c>
      <c r="CI71" s="168">
        <f t="shared" si="134"/>
        <v>16.097938144329898</v>
      </c>
      <c r="CJ71" s="168">
        <f t="shared" si="134"/>
        <v>27.369230769230768</v>
      </c>
      <c r="CK71" s="168">
        <f t="shared" si="134"/>
        <v>40.064935064935064</v>
      </c>
      <c r="CL71" s="177">
        <f>IF(OR(CL69&lt;0.1,CL70&lt;0.1),0,CL70/CL69)</f>
        <v>32.336291913214993</v>
      </c>
    </row>
    <row r="72" spans="1:90">
      <c r="A72" s="80">
        <f>ROWS($A$3:A70)</f>
        <v>68</v>
      </c>
      <c r="B72" s="59" t="s">
        <v>83</v>
      </c>
      <c r="C72" s="201"/>
      <c r="D72" s="260"/>
      <c r="E72" s="435"/>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202">
        <v>2010</v>
      </c>
      <c r="D73" s="259" t="s">
        <v>13</v>
      </c>
      <c r="E73" s="435"/>
      <c r="F73" s="116">
        <v>2934</v>
      </c>
      <c r="G73" s="137">
        <v>1628</v>
      </c>
      <c r="H73" s="137">
        <v>1925</v>
      </c>
      <c r="I73" s="138">
        <v>2407</v>
      </c>
      <c r="J73" s="141"/>
      <c r="K73" s="116">
        <f t="shared" ref="K73:K78" si="135">BF73</f>
        <v>261</v>
      </c>
      <c r="L73" s="137">
        <f t="shared" ref="L73:L78" si="136">AY73</f>
        <v>128</v>
      </c>
      <c r="M73" s="137">
        <f t="shared" ref="M73:M78" si="137">BD73</f>
        <v>692</v>
      </c>
      <c r="N73" s="137">
        <f t="shared" ref="N73:N78" si="138">AW73</f>
        <v>93</v>
      </c>
      <c r="O73" s="137">
        <f t="shared" ref="O73:O78" si="139">BE73</f>
        <v>141</v>
      </c>
      <c r="P73" s="137">
        <f t="shared" ref="P73:P78" si="140">SUM(AZ73,BA73)</f>
        <v>467</v>
      </c>
      <c r="Q73" s="137">
        <f>'2010'!AU73</f>
        <v>256</v>
      </c>
      <c r="R73" s="137">
        <f t="shared" ref="R73:R78" si="141">SUM(AT73,AX73)</f>
        <v>320</v>
      </c>
      <c r="S73" s="137">
        <f t="shared" ref="S73:S78" si="142">AV73</f>
        <v>167</v>
      </c>
      <c r="T73" s="137">
        <f t="shared" ref="T73:U78" si="143">BB73</f>
        <v>195</v>
      </c>
      <c r="U73" s="139">
        <f t="shared" si="143"/>
        <v>214</v>
      </c>
      <c r="V73" s="137">
        <f t="shared" ref="V73:V78" si="144">SUM(BG73,BJ73)</f>
        <v>118</v>
      </c>
      <c r="W73" s="137">
        <f t="shared" ref="W73:W78" si="145">BR73</f>
        <v>139</v>
      </c>
      <c r="X73" s="137">
        <f t="shared" ref="X73:X78" si="146">SUM(BH73,BI73)</f>
        <v>350</v>
      </c>
      <c r="Y73" s="137">
        <f t="shared" ref="Y73:Y78" si="147">SUM(BK73,BL73,BN73)</f>
        <v>461</v>
      </c>
      <c r="Z73" s="137">
        <f t="shared" ref="Z73:Z78" si="148">BM73</f>
        <v>333</v>
      </c>
      <c r="AA73" s="137">
        <f t="shared" ref="AA73:AA78" si="149">SUM(BO73,BQ73)</f>
        <v>125</v>
      </c>
      <c r="AB73" s="139">
        <f t="shared" ref="AB73:AB78" si="150">BP73</f>
        <v>92</v>
      </c>
      <c r="AC73" s="137">
        <f t="shared" ref="AC73:AC78" si="151">BX73</f>
        <v>196</v>
      </c>
      <c r="AD73" s="137">
        <f t="shared" ref="AD73:AD78" si="152">BU73</f>
        <v>154</v>
      </c>
      <c r="AE73" s="137">
        <f t="shared" ref="AE73:AE78" si="153">SUM(BS73,BT73)</f>
        <v>313</v>
      </c>
      <c r="AF73" s="137">
        <f t="shared" ref="AF73:AF78" si="154">CA73</f>
        <v>95</v>
      </c>
      <c r="AG73" s="137">
        <f t="shared" ref="AG73:AG78" si="155">BV73</f>
        <v>426</v>
      </c>
      <c r="AH73" s="137">
        <f t="shared" ref="AH73:AH78" si="156">BZ73</f>
        <v>194</v>
      </c>
      <c r="AI73" s="137">
        <f t="shared" ref="AI73:AI78" si="157">BW73</f>
        <v>199</v>
      </c>
      <c r="AJ73" s="137">
        <f t="shared" ref="AJ73:AJ78" si="158">BY73</f>
        <v>150</v>
      </c>
      <c r="AK73" s="139">
        <f t="shared" ref="AK73:AK78" si="159">CB73</f>
        <v>198</v>
      </c>
      <c r="AL73" s="137">
        <f t="shared" ref="AL73:AL78" si="160">CE73</f>
        <v>317</v>
      </c>
      <c r="AM73" s="137">
        <f t="shared" ref="AM73:AM78" si="161">CH73</f>
        <v>348</v>
      </c>
      <c r="AN73" s="137">
        <f t="shared" ref="AN73:AN78" si="162">CJ73</f>
        <v>190</v>
      </c>
      <c r="AO73" s="137">
        <f t="shared" ref="AO73:AP78" si="163">CC73</f>
        <v>306</v>
      </c>
      <c r="AP73" s="137">
        <f t="shared" si="163"/>
        <v>195</v>
      </c>
      <c r="AQ73" s="137">
        <f t="shared" ref="AQ73:AQ78" si="164">CK73</f>
        <v>347</v>
      </c>
      <c r="AR73" s="137">
        <f t="shared" ref="AR73:AR78" si="165">CI73</f>
        <v>181</v>
      </c>
      <c r="AS73" s="138">
        <f t="shared" ref="AS73:AS78" si="166">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c r="A74" s="80">
        <f>ROWS($A$3:A72)</f>
        <v>70</v>
      </c>
      <c r="B74" s="92" t="s">
        <v>85</v>
      </c>
      <c r="C74" s="203"/>
      <c r="D74" s="259" t="s">
        <v>13</v>
      </c>
      <c r="E74" s="435"/>
      <c r="F74" s="116">
        <v>465</v>
      </c>
      <c r="G74" s="137">
        <v>243</v>
      </c>
      <c r="H74" s="137">
        <v>314</v>
      </c>
      <c r="I74" s="138">
        <v>188</v>
      </c>
      <c r="J74" s="141"/>
      <c r="K74" s="116">
        <f t="shared" si="135"/>
        <v>46</v>
      </c>
      <c r="L74" s="137">
        <f t="shared" si="136"/>
        <v>76</v>
      </c>
      <c r="M74" s="137">
        <f t="shared" si="137"/>
        <v>12</v>
      </c>
      <c r="N74" s="137">
        <f t="shared" si="138"/>
        <v>30</v>
      </c>
      <c r="O74" s="137">
        <f t="shared" si="139"/>
        <v>12</v>
      </c>
      <c r="P74" s="137">
        <f t="shared" si="140"/>
        <v>50</v>
      </c>
      <c r="Q74" s="137">
        <f>'2010'!AU74</f>
        <v>20</v>
      </c>
      <c r="R74" s="137">
        <f t="shared" si="141"/>
        <v>137</v>
      </c>
      <c r="S74" s="137">
        <f t="shared" si="142"/>
        <v>47</v>
      </c>
      <c r="T74" s="137">
        <f t="shared" si="143"/>
        <v>16</v>
      </c>
      <c r="U74" s="139">
        <f t="shared" si="143"/>
        <v>19</v>
      </c>
      <c r="V74" s="137">
        <f t="shared" si="144"/>
        <v>27</v>
      </c>
      <c r="W74" s="137">
        <f t="shared" si="145"/>
        <v>10</v>
      </c>
      <c r="X74" s="137">
        <f t="shared" si="146"/>
        <v>51</v>
      </c>
      <c r="Y74" s="137">
        <f t="shared" si="147"/>
        <v>86</v>
      </c>
      <c r="Z74" s="137">
        <f t="shared" si="148"/>
        <v>18</v>
      </c>
      <c r="AA74" s="137">
        <f t="shared" si="149"/>
        <v>29</v>
      </c>
      <c r="AB74" s="139">
        <f t="shared" si="150"/>
        <v>22</v>
      </c>
      <c r="AC74" s="137">
        <f t="shared" si="151"/>
        <v>9</v>
      </c>
      <c r="AD74" s="137">
        <f t="shared" si="152"/>
        <v>29</v>
      </c>
      <c r="AE74" s="137">
        <f t="shared" si="153"/>
        <v>56</v>
      </c>
      <c r="AF74" s="137">
        <f t="shared" si="154"/>
        <v>29</v>
      </c>
      <c r="AG74" s="137">
        <f t="shared" si="155"/>
        <v>63</v>
      </c>
      <c r="AH74" s="137">
        <f t="shared" si="156"/>
        <v>98</v>
      </c>
      <c r="AI74" s="137">
        <f t="shared" si="157"/>
        <v>11</v>
      </c>
      <c r="AJ74" s="137">
        <f t="shared" si="158"/>
        <v>6</v>
      </c>
      <c r="AK74" s="139">
        <f t="shared" si="159"/>
        <v>13</v>
      </c>
      <c r="AL74" s="137">
        <f t="shared" si="160"/>
        <v>16</v>
      </c>
      <c r="AM74" s="137">
        <f t="shared" si="161"/>
        <v>27</v>
      </c>
      <c r="AN74" s="137">
        <f t="shared" si="162"/>
        <v>29</v>
      </c>
      <c r="AO74" s="137">
        <f t="shared" si="163"/>
        <v>26</v>
      </c>
      <c r="AP74" s="137">
        <f t="shared" si="163"/>
        <v>24</v>
      </c>
      <c r="AQ74" s="137">
        <f t="shared" si="164"/>
        <v>13</v>
      </c>
      <c r="AR74" s="137">
        <f t="shared" si="165"/>
        <v>22</v>
      </c>
      <c r="AS74" s="138">
        <f t="shared" si="166"/>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c r="A75" s="80">
        <f>ROWS($A$3:A73)</f>
        <v>71</v>
      </c>
      <c r="B75" s="92" t="s">
        <v>86</v>
      </c>
      <c r="C75" s="203"/>
      <c r="D75" s="259" t="s">
        <v>13</v>
      </c>
      <c r="E75" s="435"/>
      <c r="F75" s="116">
        <v>3016</v>
      </c>
      <c r="G75" s="137">
        <v>779</v>
      </c>
      <c r="H75" s="137">
        <v>4390</v>
      </c>
      <c r="I75" s="138">
        <v>1072</v>
      </c>
      <c r="J75" s="141"/>
      <c r="K75" s="116">
        <f t="shared" si="135"/>
        <v>12</v>
      </c>
      <c r="L75" s="137">
        <f t="shared" si="136"/>
        <v>446</v>
      </c>
      <c r="M75" s="137">
        <f t="shared" si="137"/>
        <v>200</v>
      </c>
      <c r="N75" s="137">
        <f t="shared" si="138"/>
        <v>33</v>
      </c>
      <c r="O75" s="137" t="str">
        <f t="shared" si="139"/>
        <v>*</v>
      </c>
      <c r="P75" s="137">
        <f t="shared" si="140"/>
        <v>1287</v>
      </c>
      <c r="Q75" s="137">
        <f>'2010'!AU75</f>
        <v>31</v>
      </c>
      <c r="R75" s="137">
        <f t="shared" si="141"/>
        <v>600</v>
      </c>
      <c r="S75" s="137">
        <f t="shared" si="142"/>
        <v>81</v>
      </c>
      <c r="T75" s="137">
        <f t="shared" si="143"/>
        <v>316</v>
      </c>
      <c r="U75" s="139" t="str">
        <f t="shared" si="143"/>
        <v>*</v>
      </c>
      <c r="V75" s="137">
        <f t="shared" si="144"/>
        <v>334</v>
      </c>
      <c r="W75" s="137" t="str">
        <f t="shared" si="145"/>
        <v>*</v>
      </c>
      <c r="X75" s="137">
        <f t="shared" si="146"/>
        <v>145</v>
      </c>
      <c r="Y75" s="137">
        <f t="shared" si="147"/>
        <v>197</v>
      </c>
      <c r="Z75" s="137">
        <f t="shared" si="148"/>
        <v>32</v>
      </c>
      <c r="AA75" s="137">
        <f t="shared" si="149"/>
        <v>63</v>
      </c>
      <c r="AB75" s="139" t="str">
        <f t="shared" si="150"/>
        <v xml:space="preserve"> -</v>
      </c>
      <c r="AC75" s="137" t="str">
        <f t="shared" si="151"/>
        <v xml:space="preserve"> -</v>
      </c>
      <c r="AD75" s="137">
        <f t="shared" si="152"/>
        <v>602</v>
      </c>
      <c r="AE75" s="137">
        <f t="shared" si="153"/>
        <v>1615</v>
      </c>
      <c r="AF75" s="137">
        <f t="shared" si="154"/>
        <v>249</v>
      </c>
      <c r="AG75" s="137">
        <f t="shared" si="155"/>
        <v>1758</v>
      </c>
      <c r="AH75" s="137">
        <f t="shared" si="156"/>
        <v>116</v>
      </c>
      <c r="AI75" s="137" t="str">
        <f t="shared" si="157"/>
        <v>*</v>
      </c>
      <c r="AJ75" s="137" t="str">
        <f t="shared" si="158"/>
        <v>*</v>
      </c>
      <c r="AK75" s="139">
        <f t="shared" si="159"/>
        <v>43</v>
      </c>
      <c r="AL75" s="137" t="str">
        <f t="shared" si="160"/>
        <v>*</v>
      </c>
      <c r="AM75" s="137">
        <f t="shared" si="161"/>
        <v>6</v>
      </c>
      <c r="AN75" s="137">
        <f t="shared" si="162"/>
        <v>137</v>
      </c>
      <c r="AO75" s="137">
        <f t="shared" si="163"/>
        <v>29</v>
      </c>
      <c r="AP75" s="137">
        <f t="shared" si="163"/>
        <v>13</v>
      </c>
      <c r="AQ75" s="137">
        <f t="shared" si="164"/>
        <v>13</v>
      </c>
      <c r="AR75" s="137">
        <f t="shared" si="165"/>
        <v>859</v>
      </c>
      <c r="AS75" s="138">
        <f t="shared" si="166"/>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c r="A76" s="80">
        <f>ROWS($A$3:A74)</f>
        <v>72</v>
      </c>
      <c r="B76" s="92" t="s">
        <v>87</v>
      </c>
      <c r="C76" s="203"/>
      <c r="D76" s="259" t="s">
        <v>13</v>
      </c>
      <c r="E76" s="435"/>
      <c r="F76" s="116">
        <v>4205</v>
      </c>
      <c r="G76" s="137">
        <v>1272</v>
      </c>
      <c r="H76" s="137">
        <v>5289</v>
      </c>
      <c r="I76" s="138">
        <v>5348</v>
      </c>
      <c r="J76" s="141"/>
      <c r="K76" s="116">
        <f t="shared" si="135"/>
        <v>1123</v>
      </c>
      <c r="L76" s="137">
        <f t="shared" si="136"/>
        <v>428</v>
      </c>
      <c r="M76" s="137">
        <f t="shared" si="137"/>
        <v>179</v>
      </c>
      <c r="N76" s="137">
        <f t="shared" si="138"/>
        <v>491</v>
      </c>
      <c r="O76" s="137">
        <f t="shared" si="139"/>
        <v>233</v>
      </c>
      <c r="P76" s="137">
        <f t="shared" si="140"/>
        <v>125</v>
      </c>
      <c r="Q76" s="137">
        <f>'2010'!AU76</f>
        <v>122</v>
      </c>
      <c r="R76" s="137">
        <f t="shared" si="141"/>
        <v>107</v>
      </c>
      <c r="S76" s="137">
        <f t="shared" si="142"/>
        <v>207</v>
      </c>
      <c r="T76" s="137">
        <f t="shared" si="143"/>
        <v>253</v>
      </c>
      <c r="U76" s="139">
        <f t="shared" si="143"/>
        <v>923</v>
      </c>
      <c r="V76" s="137">
        <f t="shared" si="144"/>
        <v>105</v>
      </c>
      <c r="W76" s="137">
        <f t="shared" si="145"/>
        <v>272</v>
      </c>
      <c r="X76" s="137">
        <f t="shared" si="146"/>
        <v>121</v>
      </c>
      <c r="Y76" s="137">
        <f t="shared" si="147"/>
        <v>179</v>
      </c>
      <c r="Z76" s="137">
        <f t="shared" si="148"/>
        <v>235</v>
      </c>
      <c r="AA76" s="137">
        <f t="shared" si="149"/>
        <v>123</v>
      </c>
      <c r="AB76" s="139">
        <f t="shared" si="150"/>
        <v>237</v>
      </c>
      <c r="AC76" s="137">
        <f t="shared" si="151"/>
        <v>688</v>
      </c>
      <c r="AD76" s="137">
        <f t="shared" si="152"/>
        <v>513</v>
      </c>
      <c r="AE76" s="137">
        <f t="shared" si="153"/>
        <v>870</v>
      </c>
      <c r="AF76" s="137">
        <f t="shared" si="154"/>
        <v>551</v>
      </c>
      <c r="AG76" s="137">
        <f t="shared" si="155"/>
        <v>898</v>
      </c>
      <c r="AH76" s="137">
        <f t="shared" si="156"/>
        <v>322</v>
      </c>
      <c r="AI76" s="137">
        <f t="shared" si="157"/>
        <v>392</v>
      </c>
      <c r="AJ76" s="137">
        <f t="shared" si="158"/>
        <v>225</v>
      </c>
      <c r="AK76" s="139">
        <f t="shared" si="159"/>
        <v>830</v>
      </c>
      <c r="AL76" s="137">
        <f t="shared" si="160"/>
        <v>327</v>
      </c>
      <c r="AM76" s="137">
        <f t="shared" si="161"/>
        <v>1026</v>
      </c>
      <c r="AN76" s="137">
        <f t="shared" si="162"/>
        <v>1983</v>
      </c>
      <c r="AO76" s="137">
        <f t="shared" si="163"/>
        <v>441</v>
      </c>
      <c r="AP76" s="137">
        <f t="shared" si="163"/>
        <v>99</v>
      </c>
      <c r="AQ76" s="137">
        <f t="shared" si="164"/>
        <v>498</v>
      </c>
      <c r="AR76" s="137">
        <f t="shared" si="165"/>
        <v>328</v>
      </c>
      <c r="AS76" s="138">
        <f t="shared" si="166"/>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c r="A77" s="80">
        <f>ROWS($A$3:A75)</f>
        <v>73</v>
      </c>
      <c r="B77" s="92" t="s">
        <v>88</v>
      </c>
      <c r="C77" s="203"/>
      <c r="D77" s="259" t="s">
        <v>13</v>
      </c>
      <c r="E77" s="435"/>
      <c r="F77" s="116">
        <v>1140</v>
      </c>
      <c r="G77" s="137">
        <v>76</v>
      </c>
      <c r="H77" s="137">
        <v>119</v>
      </c>
      <c r="I77" s="138">
        <v>662</v>
      </c>
      <c r="J77" s="141"/>
      <c r="K77" s="116">
        <f t="shared" si="135"/>
        <v>123</v>
      </c>
      <c r="L77" s="137">
        <f t="shared" si="136"/>
        <v>22</v>
      </c>
      <c r="M77" s="137">
        <f t="shared" si="137"/>
        <v>132</v>
      </c>
      <c r="N77" s="137">
        <f t="shared" si="138"/>
        <v>21</v>
      </c>
      <c r="O77" s="137">
        <f t="shared" si="139"/>
        <v>46</v>
      </c>
      <c r="P77" s="137">
        <f t="shared" si="140"/>
        <v>29</v>
      </c>
      <c r="Q77" s="137">
        <f>'2010'!AU77</f>
        <v>14</v>
      </c>
      <c r="R77" s="137">
        <f t="shared" si="141"/>
        <v>39</v>
      </c>
      <c r="S77" s="137" t="str">
        <f t="shared" si="142"/>
        <v>*</v>
      </c>
      <c r="T77" s="137">
        <f t="shared" si="143"/>
        <v>168</v>
      </c>
      <c r="U77" s="139">
        <f t="shared" si="143"/>
        <v>538</v>
      </c>
      <c r="V77" s="137">
        <f t="shared" si="144"/>
        <v>0</v>
      </c>
      <c r="W77" s="137">
        <f t="shared" si="145"/>
        <v>10</v>
      </c>
      <c r="X77" s="137">
        <f t="shared" si="146"/>
        <v>0</v>
      </c>
      <c r="Y77" s="137">
        <f t="shared" si="147"/>
        <v>24</v>
      </c>
      <c r="Z77" s="137">
        <f t="shared" si="148"/>
        <v>24</v>
      </c>
      <c r="AA77" s="137">
        <f t="shared" si="149"/>
        <v>6</v>
      </c>
      <c r="AB77" s="139">
        <f t="shared" si="150"/>
        <v>3</v>
      </c>
      <c r="AC77" s="137">
        <f t="shared" si="151"/>
        <v>17</v>
      </c>
      <c r="AD77" s="137">
        <f t="shared" si="152"/>
        <v>6</v>
      </c>
      <c r="AE77" s="137">
        <f t="shared" si="153"/>
        <v>8</v>
      </c>
      <c r="AF77" s="137" t="str">
        <f t="shared" si="154"/>
        <v>*</v>
      </c>
      <c r="AG77" s="137">
        <f t="shared" si="155"/>
        <v>25</v>
      </c>
      <c r="AH77" s="137">
        <f t="shared" si="156"/>
        <v>16</v>
      </c>
      <c r="AI77" s="137">
        <f t="shared" si="157"/>
        <v>21</v>
      </c>
      <c r="AJ77" s="137" t="str">
        <f t="shared" si="158"/>
        <v>*</v>
      </c>
      <c r="AK77" s="139">
        <f t="shared" si="159"/>
        <v>19</v>
      </c>
      <c r="AL77" s="137">
        <f t="shared" si="160"/>
        <v>7</v>
      </c>
      <c r="AM77" s="137">
        <f t="shared" si="161"/>
        <v>156</v>
      </c>
      <c r="AN77" s="137">
        <f t="shared" si="162"/>
        <v>55</v>
      </c>
      <c r="AO77" s="137">
        <f t="shared" si="163"/>
        <v>28</v>
      </c>
      <c r="AP77" s="137">
        <f t="shared" si="163"/>
        <v>7</v>
      </c>
      <c r="AQ77" s="137">
        <f t="shared" si="164"/>
        <v>84</v>
      </c>
      <c r="AR77" s="137">
        <f t="shared" si="165"/>
        <v>13</v>
      </c>
      <c r="AS77" s="138">
        <f t="shared" si="166"/>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c r="A78" s="80">
        <f>ROWS($A$3:A76)</f>
        <v>74</v>
      </c>
      <c r="B78" s="92" t="s">
        <v>89</v>
      </c>
      <c r="C78" s="203"/>
      <c r="D78" s="259" t="s">
        <v>13</v>
      </c>
      <c r="E78" s="435"/>
      <c r="F78" s="116">
        <v>2637</v>
      </c>
      <c r="G78" s="137">
        <v>932</v>
      </c>
      <c r="H78" s="137">
        <v>1574</v>
      </c>
      <c r="I78" s="138">
        <v>1897</v>
      </c>
      <c r="J78" s="141"/>
      <c r="K78" s="116">
        <f t="shared" si="135"/>
        <v>262</v>
      </c>
      <c r="L78" s="137">
        <f t="shared" si="136"/>
        <v>188</v>
      </c>
      <c r="M78" s="137">
        <f t="shared" si="137"/>
        <v>337</v>
      </c>
      <c r="N78" s="137">
        <f t="shared" si="138"/>
        <v>114</v>
      </c>
      <c r="O78" s="137">
        <f t="shared" si="139"/>
        <v>143</v>
      </c>
      <c r="P78" s="137">
        <f t="shared" si="140"/>
        <v>348</v>
      </c>
      <c r="Q78" s="137">
        <f>'2010'!AU78</f>
        <v>161</v>
      </c>
      <c r="R78" s="137">
        <f t="shared" si="141"/>
        <v>319</v>
      </c>
      <c r="S78" s="137">
        <f t="shared" si="142"/>
        <v>138</v>
      </c>
      <c r="T78" s="137">
        <f t="shared" si="143"/>
        <v>281</v>
      </c>
      <c r="U78" s="139">
        <f t="shared" si="143"/>
        <v>323</v>
      </c>
      <c r="V78" s="137">
        <f t="shared" si="144"/>
        <v>66</v>
      </c>
      <c r="W78" s="137">
        <f t="shared" si="145"/>
        <v>63</v>
      </c>
      <c r="X78" s="137">
        <f t="shared" si="146"/>
        <v>131</v>
      </c>
      <c r="Y78" s="137">
        <f t="shared" si="147"/>
        <v>159</v>
      </c>
      <c r="Z78" s="137">
        <f t="shared" si="148"/>
        <v>236</v>
      </c>
      <c r="AA78" s="137">
        <f t="shared" si="149"/>
        <v>107</v>
      </c>
      <c r="AB78" s="139">
        <f t="shared" si="150"/>
        <v>110</v>
      </c>
      <c r="AC78" s="137">
        <f t="shared" si="151"/>
        <v>127</v>
      </c>
      <c r="AD78" s="137">
        <f t="shared" si="152"/>
        <v>118</v>
      </c>
      <c r="AE78" s="137">
        <f t="shared" si="153"/>
        <v>215</v>
      </c>
      <c r="AF78" s="137">
        <f t="shared" si="154"/>
        <v>141</v>
      </c>
      <c r="AG78" s="137">
        <f t="shared" si="155"/>
        <v>402</v>
      </c>
      <c r="AH78" s="137">
        <f t="shared" si="156"/>
        <v>154</v>
      </c>
      <c r="AI78" s="137">
        <f t="shared" si="157"/>
        <v>171</v>
      </c>
      <c r="AJ78" s="137">
        <f t="shared" si="158"/>
        <v>33</v>
      </c>
      <c r="AK78" s="139">
        <f t="shared" si="159"/>
        <v>139</v>
      </c>
      <c r="AL78" s="137">
        <f t="shared" si="160"/>
        <v>67</v>
      </c>
      <c r="AM78" s="137">
        <f t="shared" si="161"/>
        <v>285</v>
      </c>
      <c r="AN78" s="137">
        <f t="shared" si="162"/>
        <v>166</v>
      </c>
      <c r="AO78" s="137">
        <f t="shared" si="163"/>
        <v>228</v>
      </c>
      <c r="AP78" s="137">
        <f t="shared" si="163"/>
        <v>81</v>
      </c>
      <c r="AQ78" s="137">
        <f t="shared" si="164"/>
        <v>293</v>
      </c>
      <c r="AR78" s="137">
        <f t="shared" si="165"/>
        <v>274</v>
      </c>
      <c r="AS78" s="138">
        <f t="shared" si="166"/>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c r="A79" s="80">
        <f>ROWS($A$3:A77)</f>
        <v>75</v>
      </c>
      <c r="B79" s="59" t="s">
        <v>79</v>
      </c>
      <c r="C79" s="202">
        <v>2012</v>
      </c>
      <c r="D79" s="260"/>
      <c r="E79" s="435"/>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c r="A80" s="80">
        <f>ROWS($A$3:A78)</f>
        <v>76</v>
      </c>
      <c r="B80" s="92" t="s">
        <v>90</v>
      </c>
      <c r="C80" s="205">
        <v>2012</v>
      </c>
      <c r="D80" s="259" t="s">
        <v>13</v>
      </c>
      <c r="E80" s="444"/>
      <c r="F80" s="116">
        <f>SUM(AT80:BF80)</f>
        <v>15324</v>
      </c>
      <c r="G80" s="137">
        <f>SUM(BG80:BR80)</f>
        <v>5327</v>
      </c>
      <c r="H80" s="137">
        <f>SUM(BS80:CB80)</f>
        <v>14022</v>
      </c>
      <c r="I80" s="138">
        <f>SUM(CC80:CK80)</f>
        <v>13158</v>
      </c>
      <c r="J80" s="141"/>
      <c r="K80" s="116">
        <f>BF80</f>
        <v>2342</v>
      </c>
      <c r="L80" s="137">
        <f>AY80</f>
        <v>1150</v>
      </c>
      <c r="M80" s="137">
        <f>BD80</f>
        <v>1765</v>
      </c>
      <c r="N80" s="137">
        <f>AW80</f>
        <v>842</v>
      </c>
      <c r="O80" s="137">
        <f>BE80</f>
        <v>617</v>
      </c>
      <c r="P80" s="137">
        <f>AZ80+BA80</f>
        <v>2015</v>
      </c>
      <c r="Q80" s="137">
        <f>AU80</f>
        <v>665</v>
      </c>
      <c r="R80" s="137">
        <f>AT80+AX80</f>
        <v>1309</v>
      </c>
      <c r="S80" s="137">
        <f>AV80</f>
        <v>608</v>
      </c>
      <c r="T80" s="137">
        <f>BB80</f>
        <v>1450</v>
      </c>
      <c r="U80" s="139">
        <f>BC80</f>
        <v>2561</v>
      </c>
      <c r="V80" s="137">
        <f>BG80+BJ80</f>
        <v>620</v>
      </c>
      <c r="W80" s="137">
        <f>BR80</f>
        <v>790</v>
      </c>
      <c r="X80" s="137">
        <f>BH80+BI80</f>
        <v>793</v>
      </c>
      <c r="Y80" s="137">
        <f>BK80+BL80+BN80</f>
        <v>1004</v>
      </c>
      <c r="Z80" s="137">
        <f>BM80</f>
        <v>1059</v>
      </c>
      <c r="AA80" s="137">
        <f>BO80+BQ80</f>
        <v>473</v>
      </c>
      <c r="AB80" s="139">
        <f>BP80</f>
        <v>588</v>
      </c>
      <c r="AC80" s="137">
        <f>BX80</f>
        <v>1288</v>
      </c>
      <c r="AD80" s="137">
        <f>BU80</f>
        <v>1346</v>
      </c>
      <c r="AE80" s="137">
        <f>BS80+BT80</f>
        <v>2454</v>
      </c>
      <c r="AF80" s="137">
        <f>CA80</f>
        <v>1148</v>
      </c>
      <c r="AG80" s="137">
        <f>BV80</f>
        <v>3582</v>
      </c>
      <c r="AH80" s="137">
        <f>BZ80</f>
        <v>1002</v>
      </c>
      <c r="AI80" s="137">
        <f>BW80</f>
        <v>1065</v>
      </c>
      <c r="AJ80" s="137">
        <f>BY80</f>
        <v>547</v>
      </c>
      <c r="AK80" s="139">
        <f>CB80</f>
        <v>1590</v>
      </c>
      <c r="AL80" s="137">
        <f>CE80</f>
        <v>916</v>
      </c>
      <c r="AM80" s="137">
        <f>CH80</f>
        <v>2155</v>
      </c>
      <c r="AN80" s="137">
        <f>CJ80</f>
        <v>3082</v>
      </c>
      <c r="AO80" s="137">
        <f>CC80</f>
        <v>1196</v>
      </c>
      <c r="AP80" s="137">
        <f>CD80</f>
        <v>464</v>
      </c>
      <c r="AQ80" s="137">
        <f>CK80</f>
        <v>1560</v>
      </c>
      <c r="AR80" s="137">
        <f>CI80</f>
        <v>1514</v>
      </c>
      <c r="AS80" s="138">
        <f>CF80+CG80</f>
        <v>2271</v>
      </c>
      <c r="AT80" s="137">
        <v>196</v>
      </c>
      <c r="AU80" s="137">
        <v>665</v>
      </c>
      <c r="AV80" s="137">
        <v>608</v>
      </c>
      <c r="AW80" s="137">
        <v>842</v>
      </c>
      <c r="AX80" s="137">
        <v>1113</v>
      </c>
      <c r="AY80" s="137">
        <v>1150</v>
      </c>
      <c r="AZ80" s="137">
        <v>261</v>
      </c>
      <c r="BA80" s="137">
        <v>1754</v>
      </c>
      <c r="BB80" s="137">
        <v>1450</v>
      </c>
      <c r="BC80" s="137">
        <v>2561</v>
      </c>
      <c r="BD80" s="137">
        <v>1765</v>
      </c>
      <c r="BE80" s="137">
        <v>617</v>
      </c>
      <c r="BF80" s="139">
        <v>2342</v>
      </c>
      <c r="BG80" s="137">
        <v>163</v>
      </c>
      <c r="BH80" s="137">
        <v>68</v>
      </c>
      <c r="BI80" s="137">
        <v>725</v>
      </c>
      <c r="BJ80" s="137">
        <v>457</v>
      </c>
      <c r="BK80" s="137">
        <v>141</v>
      </c>
      <c r="BL80" s="137">
        <v>73</v>
      </c>
      <c r="BM80" s="137">
        <v>1059</v>
      </c>
      <c r="BN80" s="137">
        <v>790</v>
      </c>
      <c r="BO80" s="137">
        <v>38</v>
      </c>
      <c r="BP80" s="137">
        <v>588</v>
      </c>
      <c r="BQ80" s="137">
        <v>435</v>
      </c>
      <c r="BR80" s="139">
        <v>790</v>
      </c>
      <c r="BS80" s="137">
        <v>243</v>
      </c>
      <c r="BT80" s="137">
        <v>2211</v>
      </c>
      <c r="BU80" s="137">
        <v>1346</v>
      </c>
      <c r="BV80" s="137">
        <v>3582</v>
      </c>
      <c r="BW80" s="137">
        <v>1065</v>
      </c>
      <c r="BX80" s="137">
        <v>1288</v>
      </c>
      <c r="BY80" s="137">
        <v>547</v>
      </c>
      <c r="BZ80" s="137">
        <v>1002</v>
      </c>
      <c r="CA80" s="137">
        <v>1148</v>
      </c>
      <c r="CB80" s="139">
        <v>1590</v>
      </c>
      <c r="CC80" s="137">
        <v>1196</v>
      </c>
      <c r="CD80" s="137">
        <v>464</v>
      </c>
      <c r="CE80" s="137">
        <v>916</v>
      </c>
      <c r="CF80" s="137">
        <v>171</v>
      </c>
      <c r="CG80" s="137">
        <v>2100</v>
      </c>
      <c r="CH80" s="137">
        <v>2155</v>
      </c>
      <c r="CI80" s="137">
        <v>1514</v>
      </c>
      <c r="CJ80" s="137">
        <v>3082</v>
      </c>
      <c r="CK80" s="138">
        <v>1560</v>
      </c>
      <c r="CL80" s="465">
        <v>47831</v>
      </c>
    </row>
    <row r="81" spans="1:90">
      <c r="A81" s="80">
        <f>ROWS($A$3:A79)</f>
        <v>77</v>
      </c>
      <c r="B81" s="602" t="s">
        <v>365</v>
      </c>
      <c r="C81" s="590">
        <v>2012</v>
      </c>
      <c r="D81" s="603" t="s">
        <v>13</v>
      </c>
      <c r="E81" s="522">
        <v>43320</v>
      </c>
      <c r="F81" s="154">
        <f>SUM(AT81:BF81)</f>
        <v>1004200</v>
      </c>
      <c r="G81" s="155">
        <f>SUM(BG81:BR81)</f>
        <v>659092</v>
      </c>
      <c r="H81" s="155">
        <f>SUM(BS81:CB81)</f>
        <v>660554</v>
      </c>
      <c r="I81" s="156">
        <f>SUM(CC81:CK81)</f>
        <v>574927</v>
      </c>
      <c r="J81" s="141"/>
      <c r="K81" s="154">
        <f>BF81</f>
        <v>79428</v>
      </c>
      <c r="L81" s="155">
        <f>AY81</f>
        <v>118830</v>
      </c>
      <c r="M81" s="155">
        <f>BD81</f>
        <v>97897</v>
      </c>
      <c r="N81" s="155">
        <f>AW81</f>
        <v>50546</v>
      </c>
      <c r="O81" s="155">
        <f>BE81</f>
        <v>28611</v>
      </c>
      <c r="P81" s="155">
        <f>AZ81+BA81</f>
        <v>149900</v>
      </c>
      <c r="Q81" s="155">
        <f>AU81</f>
        <v>99718</v>
      </c>
      <c r="R81" s="155">
        <f>AT81+AX81</f>
        <v>144000</v>
      </c>
      <c r="S81" s="155">
        <f>AV81</f>
        <v>101946</v>
      </c>
      <c r="T81" s="155">
        <f>BB81</f>
        <v>51704</v>
      </c>
      <c r="U81" s="552">
        <f>BC81</f>
        <v>81620</v>
      </c>
      <c r="V81" s="155">
        <f>BG81+BJ81</f>
        <v>91504</v>
      </c>
      <c r="W81" s="155">
        <f>BR81</f>
        <v>52793</v>
      </c>
      <c r="X81" s="155">
        <f>BH81+BI81</f>
        <v>173152</v>
      </c>
      <c r="Y81" s="155">
        <f>BK81+BL81+BN81</f>
        <v>98891</v>
      </c>
      <c r="Z81" s="155">
        <f>BM81</f>
        <v>78954</v>
      </c>
      <c r="AA81" s="155">
        <f>BO81+BQ81</f>
        <v>107609</v>
      </c>
      <c r="AB81" s="552">
        <f>BP81</f>
        <v>56189</v>
      </c>
      <c r="AC81" s="155">
        <f>BX81</f>
        <v>36078</v>
      </c>
      <c r="AD81" s="155">
        <f>BU81</f>
        <v>57079</v>
      </c>
      <c r="AE81" s="155">
        <f>BS81+BT81</f>
        <v>100632</v>
      </c>
      <c r="AF81" s="155">
        <f>CA81</f>
        <v>71664</v>
      </c>
      <c r="AG81" s="155">
        <f>BV81</f>
        <v>136653</v>
      </c>
      <c r="AH81" s="155">
        <f>BZ81</f>
        <v>57377</v>
      </c>
      <c r="AI81" s="155">
        <f>BW81</f>
        <v>60711</v>
      </c>
      <c r="AJ81" s="155">
        <f>BY81</f>
        <v>76714</v>
      </c>
      <c r="AK81" s="552">
        <f>CB81</f>
        <v>63646</v>
      </c>
      <c r="AL81" s="155">
        <f>CE81</f>
        <v>100265</v>
      </c>
      <c r="AM81" s="155">
        <f>CH81</f>
        <v>74405</v>
      </c>
      <c r="AN81" s="155">
        <f>CJ81</f>
        <v>32153</v>
      </c>
      <c r="AO81" s="155">
        <f>CC81</f>
        <v>79353</v>
      </c>
      <c r="AP81" s="155">
        <f>CD81</f>
        <v>90120</v>
      </c>
      <c r="AQ81" s="155">
        <f>CK81</f>
        <v>69046</v>
      </c>
      <c r="AR81" s="155">
        <f>CI81</f>
        <v>58197</v>
      </c>
      <c r="AS81" s="156">
        <f>CF81+CG81</f>
        <v>71388</v>
      </c>
      <c r="AT81" s="155">
        <v>12371</v>
      </c>
      <c r="AU81" s="155">
        <v>99718</v>
      </c>
      <c r="AV81" s="155">
        <v>101946</v>
      </c>
      <c r="AW81" s="155">
        <v>50546</v>
      </c>
      <c r="AX81" s="155">
        <v>131629</v>
      </c>
      <c r="AY81" s="155">
        <v>118830</v>
      </c>
      <c r="AZ81" s="155">
        <v>15655</v>
      </c>
      <c r="BA81" s="155">
        <v>134245</v>
      </c>
      <c r="BB81" s="155">
        <v>51704</v>
      </c>
      <c r="BC81" s="155">
        <v>81620</v>
      </c>
      <c r="BD81" s="155">
        <v>97897</v>
      </c>
      <c r="BE81" s="155">
        <v>28611</v>
      </c>
      <c r="BF81" s="552">
        <v>79428</v>
      </c>
      <c r="BG81" s="155">
        <v>11133</v>
      </c>
      <c r="BH81" s="155">
        <v>9298</v>
      </c>
      <c r="BI81" s="155">
        <v>163854</v>
      </c>
      <c r="BJ81" s="155">
        <v>80371</v>
      </c>
      <c r="BK81" s="155">
        <v>3399</v>
      </c>
      <c r="BL81" s="155">
        <v>5157</v>
      </c>
      <c r="BM81" s="155">
        <v>78954</v>
      </c>
      <c r="BN81" s="155">
        <v>90335</v>
      </c>
      <c r="BO81" s="155">
        <v>4239</v>
      </c>
      <c r="BP81" s="155">
        <v>56189</v>
      </c>
      <c r="BQ81" s="155">
        <v>103370</v>
      </c>
      <c r="BR81" s="552">
        <v>52793</v>
      </c>
      <c r="BS81" s="155">
        <v>8869</v>
      </c>
      <c r="BT81" s="155">
        <v>91763</v>
      </c>
      <c r="BU81" s="155">
        <v>57079</v>
      </c>
      <c r="BV81" s="155">
        <v>136653</v>
      </c>
      <c r="BW81" s="155">
        <v>60711</v>
      </c>
      <c r="BX81" s="155">
        <v>36078</v>
      </c>
      <c r="BY81" s="155">
        <v>76714</v>
      </c>
      <c r="BZ81" s="155">
        <v>57377</v>
      </c>
      <c r="CA81" s="155">
        <v>71664</v>
      </c>
      <c r="CB81" s="552">
        <v>63646</v>
      </c>
      <c r="CC81" s="155">
        <v>79353</v>
      </c>
      <c r="CD81" s="155">
        <v>90120</v>
      </c>
      <c r="CE81" s="155">
        <v>100265</v>
      </c>
      <c r="CF81" s="155">
        <v>5537</v>
      </c>
      <c r="CG81" s="155">
        <v>65851</v>
      </c>
      <c r="CH81" s="155">
        <v>74405</v>
      </c>
      <c r="CI81" s="155">
        <v>58197</v>
      </c>
      <c r="CJ81" s="155">
        <v>32153</v>
      </c>
      <c r="CK81" s="156">
        <v>69046</v>
      </c>
      <c r="CL81" s="553">
        <f>SUM(AT81:CK81)</f>
        <v>2898773</v>
      </c>
    </row>
    <row r="82" spans="1:90">
      <c r="A82" s="80">
        <f>ROWS($A$3:A80)</f>
        <v>78</v>
      </c>
      <c r="B82" s="610" t="s">
        <v>367</v>
      </c>
      <c r="C82" s="590">
        <v>2012</v>
      </c>
      <c r="D82" s="603" t="s">
        <v>13</v>
      </c>
      <c r="E82" s="522">
        <v>43320</v>
      </c>
      <c r="F82" s="530">
        <f t="shared" ref="F82:AQ82" si="167">F81/F80</f>
        <v>65.531192900026099</v>
      </c>
      <c r="G82" s="531">
        <f t="shared" si="167"/>
        <v>123.72667542706965</v>
      </c>
      <c r="H82" s="531">
        <f t="shared" si="167"/>
        <v>47.108401084010843</v>
      </c>
      <c r="I82" s="532">
        <f t="shared" si="167"/>
        <v>43.69410244718042</v>
      </c>
      <c r="J82" s="141"/>
      <c r="K82" s="530">
        <f t="shared" si="167"/>
        <v>33.914602903501283</v>
      </c>
      <c r="L82" s="531">
        <f t="shared" si="167"/>
        <v>103.33043478260869</v>
      </c>
      <c r="M82" s="531">
        <f t="shared" si="167"/>
        <v>55.465722379603399</v>
      </c>
      <c r="N82" s="531">
        <f t="shared" si="167"/>
        <v>60.030878859857481</v>
      </c>
      <c r="O82" s="531">
        <f t="shared" si="167"/>
        <v>46.371150729335497</v>
      </c>
      <c r="P82" s="531">
        <f t="shared" si="167"/>
        <v>74.392059553349881</v>
      </c>
      <c r="Q82" s="531">
        <f t="shared" si="167"/>
        <v>149.95187969924811</v>
      </c>
      <c r="R82" s="531">
        <f t="shared" si="167"/>
        <v>110.00763941940413</v>
      </c>
      <c r="S82" s="531">
        <f t="shared" si="167"/>
        <v>167.67434210526315</v>
      </c>
      <c r="T82" s="531">
        <f t="shared" si="167"/>
        <v>35.657931034482758</v>
      </c>
      <c r="U82" s="555">
        <f t="shared" si="167"/>
        <v>31.870363139398673</v>
      </c>
      <c r="V82" s="531">
        <f t="shared" si="167"/>
        <v>147.58709677419355</v>
      </c>
      <c r="W82" s="531">
        <f t="shared" si="167"/>
        <v>66.826582278481013</v>
      </c>
      <c r="X82" s="531">
        <f t="shared" si="167"/>
        <v>218.35056746532157</v>
      </c>
      <c r="Y82" s="531">
        <f t="shared" si="167"/>
        <v>98.49701195219123</v>
      </c>
      <c r="Z82" s="531">
        <f t="shared" si="167"/>
        <v>74.555240793201136</v>
      </c>
      <c r="AA82" s="531">
        <f t="shared" si="167"/>
        <v>227.5031712473573</v>
      </c>
      <c r="AB82" s="555">
        <f t="shared" si="167"/>
        <v>95.55952380952381</v>
      </c>
      <c r="AC82" s="531">
        <f t="shared" si="167"/>
        <v>28.010869565217391</v>
      </c>
      <c r="AD82" s="531">
        <f t="shared" si="167"/>
        <v>42.406389301634469</v>
      </c>
      <c r="AE82" s="531">
        <f t="shared" si="167"/>
        <v>41.007334963325185</v>
      </c>
      <c r="AF82" s="531">
        <f t="shared" si="167"/>
        <v>62.42508710801394</v>
      </c>
      <c r="AG82" s="531">
        <f t="shared" si="167"/>
        <v>38.149916247906198</v>
      </c>
      <c r="AH82" s="531">
        <f t="shared" si="167"/>
        <v>57.262475049900196</v>
      </c>
      <c r="AI82" s="531">
        <f t="shared" si="167"/>
        <v>57.005633802816902</v>
      </c>
      <c r="AJ82" s="531">
        <f t="shared" si="167"/>
        <v>140.24497257769653</v>
      </c>
      <c r="AK82" s="555">
        <f t="shared" si="167"/>
        <v>40.02893081761006</v>
      </c>
      <c r="AL82" s="531">
        <f t="shared" si="167"/>
        <v>109.45960698689956</v>
      </c>
      <c r="AM82" s="531">
        <f t="shared" si="167"/>
        <v>34.526682134570763</v>
      </c>
      <c r="AN82" s="531">
        <f t="shared" si="167"/>
        <v>10.432511356262168</v>
      </c>
      <c r="AO82" s="531">
        <f t="shared" si="167"/>
        <v>66.348662207357862</v>
      </c>
      <c r="AP82" s="531">
        <f t="shared" si="167"/>
        <v>194.22413793103448</v>
      </c>
      <c r="AQ82" s="531">
        <f t="shared" si="167"/>
        <v>44.26025641025641</v>
      </c>
      <c r="AR82" s="531">
        <f>AR81/AR80</f>
        <v>38.439233817701457</v>
      </c>
      <c r="AS82" s="532">
        <f>AS81/AS80</f>
        <v>31.434610303830912</v>
      </c>
      <c r="AT82" s="531">
        <f>IF(OR(AT80&lt;0.1,AT81&lt;0.1),0,AT81/AT80)</f>
        <v>63.117346938775512</v>
      </c>
      <c r="AU82" s="531">
        <f>IF(OR(AU80&lt;0.1,AU81&lt;0.1),0,AU81/AU80)</f>
        <v>149.95187969924811</v>
      </c>
      <c r="AV82" s="531">
        <f t="shared" ref="AV82:CK82" si="168">IF(OR(AV80&lt;0.1,AV81&lt;0.1),0,AV81/AV80)</f>
        <v>167.67434210526315</v>
      </c>
      <c r="AW82" s="531">
        <f t="shared" si="168"/>
        <v>60.030878859857481</v>
      </c>
      <c r="AX82" s="531">
        <f>IF(OR(AX80&lt;0.1,AX81&lt;0.1),0,AX81/AX80)</f>
        <v>118.26504941599281</v>
      </c>
      <c r="AY82" s="531">
        <f t="shared" si="168"/>
        <v>103.33043478260869</v>
      </c>
      <c r="AZ82" s="531">
        <f t="shared" si="168"/>
        <v>59.980842911877396</v>
      </c>
      <c r="BA82" s="531">
        <f t="shared" si="168"/>
        <v>76.536488027366019</v>
      </c>
      <c r="BB82" s="531">
        <f t="shared" si="168"/>
        <v>35.657931034482758</v>
      </c>
      <c r="BC82" s="531">
        <f t="shared" si="168"/>
        <v>31.870363139398673</v>
      </c>
      <c r="BD82" s="531">
        <f t="shared" si="168"/>
        <v>55.465722379603399</v>
      </c>
      <c r="BE82" s="531">
        <f t="shared" si="168"/>
        <v>46.371150729335497</v>
      </c>
      <c r="BF82" s="555">
        <f t="shared" si="168"/>
        <v>33.914602903501283</v>
      </c>
      <c r="BG82" s="531">
        <f t="shared" si="168"/>
        <v>68.300613496932513</v>
      </c>
      <c r="BH82" s="531">
        <f>IF(OR(BH80&lt;0.1,BH81&lt;0.1),0,BH81/BH80)</f>
        <v>136.73529411764707</v>
      </c>
      <c r="BI82" s="531">
        <f>IF(OR(BI80&lt;0.1,BI81&lt;0.1),0,BI81/BI80)</f>
        <v>226.00551724137932</v>
      </c>
      <c r="BJ82" s="531">
        <f>IF(OR(BJ80&lt;0.1,BJ81&lt;0.1),0,BJ81/BJ80)</f>
        <v>175.86652078774617</v>
      </c>
      <c r="BK82" s="531">
        <f t="shared" si="168"/>
        <v>24.106382978723403</v>
      </c>
      <c r="BL82" s="531">
        <f t="shared" si="168"/>
        <v>70.643835616438352</v>
      </c>
      <c r="BM82" s="531">
        <f>IF(OR(BM80&lt;0.1,BM81&lt;0.1),0,BM81/BM80)</f>
        <v>74.555240793201136</v>
      </c>
      <c r="BN82" s="531">
        <f t="shared" si="168"/>
        <v>114.34810126582279</v>
      </c>
      <c r="BO82" s="531">
        <f t="shared" si="168"/>
        <v>111.55263157894737</v>
      </c>
      <c r="BP82" s="531">
        <f t="shared" si="168"/>
        <v>95.55952380952381</v>
      </c>
      <c r="BQ82" s="531">
        <f>IF(OR(BQ80&lt;0.1,BQ81&lt;0.1),0,BQ81/BQ80)</f>
        <v>237.63218390804599</v>
      </c>
      <c r="BR82" s="555">
        <f t="shared" si="168"/>
        <v>66.826582278481013</v>
      </c>
      <c r="BS82" s="531">
        <f t="shared" si="168"/>
        <v>36.497942386831276</v>
      </c>
      <c r="BT82" s="531">
        <f t="shared" si="168"/>
        <v>41.502939846223427</v>
      </c>
      <c r="BU82" s="531">
        <f t="shared" si="168"/>
        <v>42.406389301634469</v>
      </c>
      <c r="BV82" s="531">
        <f t="shared" si="168"/>
        <v>38.149916247906198</v>
      </c>
      <c r="BW82" s="531">
        <f t="shared" si="168"/>
        <v>57.005633802816902</v>
      </c>
      <c r="BX82" s="531">
        <f t="shared" si="168"/>
        <v>28.010869565217391</v>
      </c>
      <c r="BY82" s="531">
        <f t="shared" si="168"/>
        <v>140.24497257769653</v>
      </c>
      <c r="BZ82" s="531">
        <f t="shared" si="168"/>
        <v>57.262475049900196</v>
      </c>
      <c r="CA82" s="531">
        <f t="shared" si="168"/>
        <v>62.42508710801394</v>
      </c>
      <c r="CB82" s="555">
        <f t="shared" si="168"/>
        <v>40.02893081761006</v>
      </c>
      <c r="CC82" s="531">
        <f t="shared" si="168"/>
        <v>66.348662207357862</v>
      </c>
      <c r="CD82" s="531">
        <f t="shared" si="168"/>
        <v>194.22413793103448</v>
      </c>
      <c r="CE82" s="531">
        <f t="shared" si="168"/>
        <v>109.45960698689956</v>
      </c>
      <c r="CF82" s="531">
        <f t="shared" si="168"/>
        <v>32.380116959064324</v>
      </c>
      <c r="CG82" s="531">
        <f t="shared" si="168"/>
        <v>31.357619047619046</v>
      </c>
      <c r="CH82" s="531">
        <f t="shared" si="168"/>
        <v>34.526682134570763</v>
      </c>
      <c r="CI82" s="531">
        <f t="shared" si="168"/>
        <v>38.439233817701457</v>
      </c>
      <c r="CJ82" s="531">
        <f t="shared" si="168"/>
        <v>10.432511356262168</v>
      </c>
      <c r="CK82" s="532">
        <f t="shared" si="168"/>
        <v>44.26025641025641</v>
      </c>
      <c r="CL82" s="556">
        <f>IF(OR(CL80&lt;0.1,CL81&lt;0.1),0,CL81/CL80)</f>
        <v>60.604482448621184</v>
      </c>
    </row>
    <row r="83" spans="1:90">
      <c r="A83" s="80">
        <f>ROWS($A$3:A81)</f>
        <v>79</v>
      </c>
      <c r="B83" s="602" t="s">
        <v>366</v>
      </c>
      <c r="C83" s="590">
        <v>2012</v>
      </c>
      <c r="D83" s="603" t="s">
        <v>13</v>
      </c>
      <c r="E83" s="522">
        <v>43320</v>
      </c>
      <c r="F83" s="154">
        <f>SUM(AT83:BF83)</f>
        <v>1161070</v>
      </c>
      <c r="G83" s="155">
        <f>SUM(BG83:BR83)</f>
        <v>739651</v>
      </c>
      <c r="H83" s="155">
        <f>SUM(BS83:CB83)</f>
        <v>841421</v>
      </c>
      <c r="I83" s="156">
        <f>SUM(CC83:CK83)</f>
        <v>715432</v>
      </c>
      <c r="J83" s="122"/>
      <c r="K83" s="154">
        <f>BF83</f>
        <v>100873</v>
      </c>
      <c r="L83" s="155">
        <f>AY83</f>
        <v>132881</v>
      </c>
      <c r="M83" s="155">
        <f>BD83</f>
        <v>116457</v>
      </c>
      <c r="N83" s="155">
        <f>AW83</f>
        <v>60663</v>
      </c>
      <c r="O83" s="155">
        <f>BE83</f>
        <v>34288</v>
      </c>
      <c r="P83" s="155">
        <f>AZ83+BA83</f>
        <v>167933</v>
      </c>
      <c r="Q83" s="155">
        <f>AU83</f>
        <v>106640</v>
      </c>
      <c r="R83" s="155">
        <f>AT83+AX83</f>
        <v>155087</v>
      </c>
      <c r="S83" s="155">
        <f>AV83</f>
        <v>108725</v>
      </c>
      <c r="T83" s="155">
        <f>BB83</f>
        <v>66613</v>
      </c>
      <c r="U83" s="552">
        <f>BC83</f>
        <v>110910</v>
      </c>
      <c r="V83" s="155">
        <f>BG83+BJ83</f>
        <v>99885</v>
      </c>
      <c r="W83" s="155">
        <f>BR83</f>
        <v>61826</v>
      </c>
      <c r="X83" s="155">
        <f>BH83+BI83</f>
        <v>187314</v>
      </c>
      <c r="Y83" s="155">
        <f>BK83+BL83+BN83</f>
        <v>111522</v>
      </c>
      <c r="Z83" s="155">
        <f>BM83</f>
        <v>97676</v>
      </c>
      <c r="AA83" s="155">
        <f>BO83+BQ83</f>
        <v>115860</v>
      </c>
      <c r="AB83" s="552">
        <f>BP83</f>
        <v>65568</v>
      </c>
      <c r="AC83" s="155">
        <f>BX83</f>
        <v>56910</v>
      </c>
      <c r="AD83" s="155">
        <f>BU83</f>
        <v>72401</v>
      </c>
      <c r="AE83" s="155">
        <f>BS83+BT83</f>
        <v>124874</v>
      </c>
      <c r="AF83" s="155">
        <f>CA83</f>
        <v>88515</v>
      </c>
      <c r="AG83" s="155">
        <f>BV83</f>
        <v>180004</v>
      </c>
      <c r="AH83" s="155">
        <f>BZ83</f>
        <v>74983</v>
      </c>
      <c r="AI83" s="155">
        <f>BW83</f>
        <v>76156</v>
      </c>
      <c r="AJ83" s="155">
        <f>BY83</f>
        <v>85450</v>
      </c>
      <c r="AK83" s="552">
        <f>CB83</f>
        <v>82128</v>
      </c>
      <c r="AL83" s="155">
        <f>CE83</f>
        <v>109976</v>
      </c>
      <c r="AM83" s="155">
        <f>CH83</f>
        <v>92855</v>
      </c>
      <c r="AN83" s="155">
        <f>CJ83</f>
        <v>48381</v>
      </c>
      <c r="AO83" s="155">
        <f>CC83</f>
        <v>95288</v>
      </c>
      <c r="AP83" s="155">
        <f>CD83</f>
        <v>96463</v>
      </c>
      <c r="AQ83" s="155">
        <f>CK83</f>
        <v>87688</v>
      </c>
      <c r="AR83" s="155">
        <f>CI83</f>
        <v>95036</v>
      </c>
      <c r="AS83" s="156">
        <f>CF83+CG83</f>
        <v>89745</v>
      </c>
      <c r="AT83" s="155">
        <v>13273</v>
      </c>
      <c r="AU83" s="155">
        <v>106640</v>
      </c>
      <c r="AV83" s="155">
        <v>108725</v>
      </c>
      <c r="AW83" s="155">
        <v>60663</v>
      </c>
      <c r="AX83" s="155">
        <v>141814</v>
      </c>
      <c r="AY83" s="155">
        <v>132881</v>
      </c>
      <c r="AZ83" s="155">
        <v>18625</v>
      </c>
      <c r="BA83" s="155">
        <v>149308</v>
      </c>
      <c r="BB83" s="155">
        <v>66613</v>
      </c>
      <c r="BC83" s="155">
        <v>110910</v>
      </c>
      <c r="BD83" s="155">
        <v>116457</v>
      </c>
      <c r="BE83" s="155">
        <v>34288</v>
      </c>
      <c r="BF83" s="552">
        <v>100873</v>
      </c>
      <c r="BG83" s="155">
        <v>12150</v>
      </c>
      <c r="BH83" s="155">
        <v>10136</v>
      </c>
      <c r="BI83" s="155">
        <v>177178</v>
      </c>
      <c r="BJ83" s="155">
        <v>87735</v>
      </c>
      <c r="BK83" s="155">
        <v>4124</v>
      </c>
      <c r="BL83" s="155">
        <v>6040</v>
      </c>
      <c r="BM83" s="155">
        <v>97676</v>
      </c>
      <c r="BN83" s="155">
        <v>101358</v>
      </c>
      <c r="BO83" s="155">
        <v>4757</v>
      </c>
      <c r="BP83" s="155">
        <v>65568</v>
      </c>
      <c r="BQ83" s="155">
        <v>111103</v>
      </c>
      <c r="BR83" s="552">
        <v>61826</v>
      </c>
      <c r="BS83" s="155">
        <v>10018</v>
      </c>
      <c r="BT83" s="155">
        <v>114856</v>
      </c>
      <c r="BU83" s="155">
        <v>72401</v>
      </c>
      <c r="BV83" s="155">
        <v>180004</v>
      </c>
      <c r="BW83" s="155">
        <v>76156</v>
      </c>
      <c r="BX83" s="155">
        <v>56910</v>
      </c>
      <c r="BY83" s="155">
        <v>85450</v>
      </c>
      <c r="BZ83" s="155">
        <v>74983</v>
      </c>
      <c r="CA83" s="155">
        <v>88515</v>
      </c>
      <c r="CB83" s="552">
        <v>82128</v>
      </c>
      <c r="CC83" s="155">
        <v>95288</v>
      </c>
      <c r="CD83" s="155">
        <v>96463</v>
      </c>
      <c r="CE83" s="155">
        <v>109976</v>
      </c>
      <c r="CF83" s="155">
        <v>6475</v>
      </c>
      <c r="CG83" s="155">
        <v>83270</v>
      </c>
      <c r="CH83" s="155">
        <v>92855</v>
      </c>
      <c r="CI83" s="155">
        <v>95036</v>
      </c>
      <c r="CJ83" s="155">
        <v>48381</v>
      </c>
      <c r="CK83" s="156">
        <v>87688</v>
      </c>
      <c r="CL83" s="320">
        <f>SUM(AT83:CK83)</f>
        <v>3457574</v>
      </c>
    </row>
    <row r="84" spans="1:90">
      <c r="A84" s="80">
        <f>ROWS($A$3:A82)</f>
        <v>80</v>
      </c>
      <c r="B84" s="610" t="s">
        <v>368</v>
      </c>
      <c r="C84" s="590">
        <v>2012</v>
      </c>
      <c r="D84" s="603" t="s">
        <v>13</v>
      </c>
      <c r="E84" s="522">
        <v>43320</v>
      </c>
      <c r="F84" s="530">
        <f>F83/F80</f>
        <v>75.768076220308018</v>
      </c>
      <c r="G84" s="531">
        <f>G83/G80</f>
        <v>138.84944621738313</v>
      </c>
      <c r="H84" s="531">
        <f>H83/H80</f>
        <v>60.007202966766506</v>
      </c>
      <c r="I84" s="532">
        <f>I83/I80</f>
        <v>54.372397020823833</v>
      </c>
      <c r="J84" s="122"/>
      <c r="K84" s="530">
        <f t="shared" ref="K84:BV84" si="169">K83/K80</f>
        <v>43.071306575576429</v>
      </c>
      <c r="L84" s="531">
        <f t="shared" si="169"/>
        <v>115.54869565217392</v>
      </c>
      <c r="M84" s="531">
        <f t="shared" si="169"/>
        <v>65.981303116147302</v>
      </c>
      <c r="N84" s="531">
        <f t="shared" si="169"/>
        <v>72.046318289786228</v>
      </c>
      <c r="O84" s="531">
        <f t="shared" si="169"/>
        <v>55.572123176661265</v>
      </c>
      <c r="P84" s="531">
        <f t="shared" si="169"/>
        <v>83.341439205955339</v>
      </c>
      <c r="Q84" s="531">
        <f t="shared" si="169"/>
        <v>160.3609022556391</v>
      </c>
      <c r="R84" s="531">
        <f t="shared" si="169"/>
        <v>118.47746371275782</v>
      </c>
      <c r="S84" s="531">
        <f t="shared" si="169"/>
        <v>178.82401315789474</v>
      </c>
      <c r="T84" s="531">
        <f t="shared" si="169"/>
        <v>45.94</v>
      </c>
      <c r="U84" s="555">
        <f t="shared" si="169"/>
        <v>43.30730183522062</v>
      </c>
      <c r="V84" s="531">
        <f t="shared" si="169"/>
        <v>161.10483870967741</v>
      </c>
      <c r="W84" s="531">
        <f t="shared" si="169"/>
        <v>78.260759493670889</v>
      </c>
      <c r="X84" s="531">
        <f t="shared" si="169"/>
        <v>236.20933165195461</v>
      </c>
      <c r="Y84" s="531">
        <f t="shared" si="169"/>
        <v>111.07768924302789</v>
      </c>
      <c r="Z84" s="531">
        <f t="shared" si="169"/>
        <v>92.234183191690278</v>
      </c>
      <c r="AA84" s="531">
        <f t="shared" si="169"/>
        <v>244.94714587737843</v>
      </c>
      <c r="AB84" s="555">
        <f t="shared" si="169"/>
        <v>111.51020408163265</v>
      </c>
      <c r="AC84" s="531">
        <f t="shared" si="169"/>
        <v>44.184782608695649</v>
      </c>
      <c r="AD84" s="531">
        <f t="shared" si="169"/>
        <v>53.789747399702826</v>
      </c>
      <c r="AE84" s="531">
        <f t="shared" si="169"/>
        <v>50.885900570497149</v>
      </c>
      <c r="AF84" s="531">
        <f t="shared" si="169"/>
        <v>77.103658536585371</v>
      </c>
      <c r="AG84" s="531">
        <f t="shared" si="169"/>
        <v>50.252372975991065</v>
      </c>
      <c r="AH84" s="531">
        <f t="shared" si="169"/>
        <v>74.833333333333329</v>
      </c>
      <c r="AI84" s="531">
        <f t="shared" si="169"/>
        <v>71.507981220657271</v>
      </c>
      <c r="AJ84" s="531">
        <f t="shared" si="169"/>
        <v>156.21572212065814</v>
      </c>
      <c r="AK84" s="555">
        <f t="shared" si="169"/>
        <v>51.652830188679246</v>
      </c>
      <c r="AL84" s="531">
        <f t="shared" si="169"/>
        <v>120.06113537117903</v>
      </c>
      <c r="AM84" s="531">
        <f t="shared" si="169"/>
        <v>43.088167053364266</v>
      </c>
      <c r="AN84" s="531">
        <f t="shared" si="169"/>
        <v>15.697923426346529</v>
      </c>
      <c r="AO84" s="531">
        <f t="shared" si="169"/>
        <v>79.672240802675589</v>
      </c>
      <c r="AP84" s="531">
        <f t="shared" si="169"/>
        <v>207.89439655172413</v>
      </c>
      <c r="AQ84" s="531">
        <f t="shared" si="169"/>
        <v>56.210256410256413</v>
      </c>
      <c r="AR84" s="531">
        <f t="shared" si="169"/>
        <v>62.771466314398943</v>
      </c>
      <c r="AS84" s="532">
        <f t="shared" si="169"/>
        <v>39.517833553500658</v>
      </c>
      <c r="AT84" s="531">
        <f t="shared" si="169"/>
        <v>67.719387755102048</v>
      </c>
      <c r="AU84" s="531">
        <f t="shared" si="169"/>
        <v>160.3609022556391</v>
      </c>
      <c r="AV84" s="531">
        <f t="shared" si="169"/>
        <v>178.82401315789474</v>
      </c>
      <c r="AW84" s="531">
        <f t="shared" si="169"/>
        <v>72.046318289786228</v>
      </c>
      <c r="AX84" s="531">
        <f t="shared" si="169"/>
        <v>127.41599281221923</v>
      </c>
      <c r="AY84" s="531">
        <f t="shared" si="169"/>
        <v>115.54869565217392</v>
      </c>
      <c r="AZ84" s="531">
        <f t="shared" si="169"/>
        <v>71.360153256704976</v>
      </c>
      <c r="BA84" s="531">
        <f t="shared" si="169"/>
        <v>85.124287343215514</v>
      </c>
      <c r="BB84" s="531">
        <f t="shared" si="169"/>
        <v>45.94</v>
      </c>
      <c r="BC84" s="531">
        <f t="shared" si="169"/>
        <v>43.30730183522062</v>
      </c>
      <c r="BD84" s="531">
        <f t="shared" si="169"/>
        <v>65.981303116147302</v>
      </c>
      <c r="BE84" s="531">
        <f t="shared" si="169"/>
        <v>55.572123176661265</v>
      </c>
      <c r="BF84" s="555">
        <f t="shared" si="169"/>
        <v>43.071306575576429</v>
      </c>
      <c r="BG84" s="531">
        <f t="shared" si="169"/>
        <v>74.539877300613497</v>
      </c>
      <c r="BH84" s="531">
        <f t="shared" si="169"/>
        <v>149.05882352941177</v>
      </c>
      <c r="BI84" s="531">
        <f t="shared" si="169"/>
        <v>244.38344827586207</v>
      </c>
      <c r="BJ84" s="531">
        <f t="shared" si="169"/>
        <v>191.98030634573306</v>
      </c>
      <c r="BK84" s="531">
        <f t="shared" si="169"/>
        <v>29.24822695035461</v>
      </c>
      <c r="BL84" s="531">
        <f t="shared" si="169"/>
        <v>82.739726027397253</v>
      </c>
      <c r="BM84" s="531">
        <f t="shared" si="169"/>
        <v>92.234183191690278</v>
      </c>
      <c r="BN84" s="531">
        <f t="shared" si="169"/>
        <v>128.30126582278481</v>
      </c>
      <c r="BO84" s="531">
        <f t="shared" si="169"/>
        <v>125.18421052631579</v>
      </c>
      <c r="BP84" s="531">
        <f t="shared" si="169"/>
        <v>111.51020408163265</v>
      </c>
      <c r="BQ84" s="531">
        <f t="shared" si="169"/>
        <v>255.40919540229885</v>
      </c>
      <c r="BR84" s="555">
        <f t="shared" si="169"/>
        <v>78.260759493670889</v>
      </c>
      <c r="BS84" s="531">
        <f t="shared" si="169"/>
        <v>41.226337448559669</v>
      </c>
      <c r="BT84" s="531">
        <f t="shared" si="169"/>
        <v>51.947535052012661</v>
      </c>
      <c r="BU84" s="531">
        <f t="shared" si="169"/>
        <v>53.789747399702826</v>
      </c>
      <c r="BV84" s="531">
        <f t="shared" si="169"/>
        <v>50.252372975991065</v>
      </c>
      <c r="BW84" s="531">
        <f t="shared" ref="BW84:CL84" si="170">BW83/BW80</f>
        <v>71.507981220657271</v>
      </c>
      <c r="BX84" s="531">
        <f t="shared" si="170"/>
        <v>44.184782608695649</v>
      </c>
      <c r="BY84" s="531">
        <f t="shared" si="170"/>
        <v>156.21572212065814</v>
      </c>
      <c r="BZ84" s="531">
        <f t="shared" si="170"/>
        <v>74.833333333333329</v>
      </c>
      <c r="CA84" s="531">
        <f t="shared" si="170"/>
        <v>77.103658536585371</v>
      </c>
      <c r="CB84" s="555">
        <f t="shared" si="170"/>
        <v>51.652830188679246</v>
      </c>
      <c r="CC84" s="531">
        <f t="shared" si="170"/>
        <v>79.672240802675589</v>
      </c>
      <c r="CD84" s="531">
        <f t="shared" si="170"/>
        <v>207.89439655172413</v>
      </c>
      <c r="CE84" s="531">
        <f t="shared" si="170"/>
        <v>120.06113537117903</v>
      </c>
      <c r="CF84" s="531">
        <f t="shared" si="170"/>
        <v>37.865497076023395</v>
      </c>
      <c r="CG84" s="531">
        <f t="shared" si="170"/>
        <v>39.652380952380952</v>
      </c>
      <c r="CH84" s="531">
        <f t="shared" si="170"/>
        <v>43.088167053364266</v>
      </c>
      <c r="CI84" s="531">
        <f t="shared" si="170"/>
        <v>62.771466314398943</v>
      </c>
      <c r="CJ84" s="531">
        <f t="shared" si="170"/>
        <v>15.697923426346529</v>
      </c>
      <c r="CK84" s="532">
        <f t="shared" si="170"/>
        <v>56.210256410256413</v>
      </c>
      <c r="CL84" s="556">
        <f t="shared" si="170"/>
        <v>72.287303213397166</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4">
        <v>2012</v>
      </c>
      <c r="D86" s="260"/>
      <c r="E86" s="435"/>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9" t="s">
        <v>188</v>
      </c>
      <c r="E87" s="436">
        <v>41486</v>
      </c>
      <c r="F87" s="151">
        <v>22568</v>
      </c>
      <c r="G87" s="151">
        <v>20497</v>
      </c>
      <c r="H87" s="151">
        <v>14947</v>
      </c>
      <c r="I87" s="152">
        <v>20719</v>
      </c>
      <c r="J87" s="280"/>
      <c r="K87" s="116">
        <f>BF87</f>
        <v>18625</v>
      </c>
      <c r="L87" s="137">
        <f>AY87</f>
        <v>23871</v>
      </c>
      <c r="M87" s="137">
        <f>BD87</f>
        <v>14296</v>
      </c>
      <c r="N87" s="137">
        <f>AW87</f>
        <v>20791</v>
      </c>
      <c r="O87" s="137">
        <f>BE87</f>
        <v>22524</v>
      </c>
      <c r="P87" s="143">
        <f>(AZ100*AZ87+BA100*BA87)/(AZ100+BA100)</f>
        <v>24557.886409736308</v>
      </c>
      <c r="Q87" s="137">
        <f>'2008'!AU87</f>
        <v>31866</v>
      </c>
      <c r="R87" s="143">
        <f>(AT100*AT87+AX100*AX87)/(AT100+AX100)</f>
        <v>37320.985915492958</v>
      </c>
      <c r="S87" s="137">
        <f>AV87</f>
        <v>30975</v>
      </c>
      <c r="T87" s="137">
        <f>BB87</f>
        <v>23460</v>
      </c>
      <c r="U87" s="139">
        <f>BC87</f>
        <v>21677</v>
      </c>
      <c r="V87" s="143">
        <f>(BG100*BG87+BJ100*BJ87)/(BG100+BJ100)</f>
        <v>24070.456310679612</v>
      </c>
      <c r="W87" s="137">
        <f>BR87</f>
        <v>11301</v>
      </c>
      <c r="X87" s="143">
        <f>(BH100*BH87+BI100*BI87)/(BH100+BI100)</f>
        <v>22823.8</v>
      </c>
      <c r="Y87" s="143">
        <f>(BK100*BK87+BL100*BL87+BN100*BN87)/(BK100+BL100+BN100)</f>
        <v>36273.313901345289</v>
      </c>
      <c r="Z87" s="137">
        <f>BM87</f>
        <v>10586</v>
      </c>
      <c r="AA87" s="143">
        <f>(BO100*BO87+BQ100*BQ87)/(BO100+BQ100)</f>
        <v>24494.279069767443</v>
      </c>
      <c r="AB87" s="139">
        <f>BP87</f>
        <v>14924</v>
      </c>
      <c r="AC87" s="137">
        <f>BX87</f>
        <v>11646</v>
      </c>
      <c r="AD87" s="137">
        <f>BU87</f>
        <v>23872</v>
      </c>
      <c r="AE87" s="143">
        <f>(BS100*BS87+BT100*BT87)/(BS100+BT100)</f>
        <v>20130.266666666666</v>
      </c>
      <c r="AF87" s="137">
        <f>CA87</f>
        <v>13742</v>
      </c>
      <c r="AG87" s="137">
        <f>BV87</f>
        <v>17999</v>
      </c>
      <c r="AH87" s="137">
        <f>BZ87</f>
        <v>16814</v>
      </c>
      <c r="AI87" s="137">
        <f>BW87</f>
        <v>10752</v>
      </c>
      <c r="AJ87" s="137">
        <f>BY87</f>
        <v>10621</v>
      </c>
      <c r="AK87" s="139">
        <f>CB87</f>
        <v>11539</v>
      </c>
      <c r="AL87" s="137">
        <f>CE87</f>
        <v>13047</v>
      </c>
      <c r="AM87" s="137">
        <f>CH87</f>
        <v>24213</v>
      </c>
      <c r="AN87" s="137">
        <f>CJ87</f>
        <v>20379</v>
      </c>
      <c r="AO87" s="137">
        <f>CC87</f>
        <v>12985</v>
      </c>
      <c r="AP87" s="137">
        <f>CD87</f>
        <v>23587</v>
      </c>
      <c r="AQ87" s="137">
        <f>CK87</f>
        <v>15696</v>
      </c>
      <c r="AR87" s="137">
        <f>CI87</f>
        <v>35047</v>
      </c>
      <c r="AS87" s="144">
        <f>(CF100*CF87+CG100*CG87)/(CF100+CG100)</f>
        <v>25610</v>
      </c>
      <c r="AT87" s="137">
        <v>144542</v>
      </c>
      <c r="AU87" s="151">
        <v>36343</v>
      </c>
      <c r="AV87" s="151">
        <v>30975</v>
      </c>
      <c r="AW87" s="151">
        <v>20791</v>
      </c>
      <c r="AX87" s="151">
        <v>34532</v>
      </c>
      <c r="AY87" s="151">
        <v>23871</v>
      </c>
      <c r="AZ87" s="151">
        <v>45991</v>
      </c>
      <c r="BA87" s="151">
        <v>22246</v>
      </c>
      <c r="BB87" s="151">
        <v>23460</v>
      </c>
      <c r="BC87" s="151">
        <v>21677</v>
      </c>
      <c r="BD87" s="151">
        <v>14296</v>
      </c>
      <c r="BE87" s="151">
        <v>22524</v>
      </c>
      <c r="BF87" s="153">
        <v>18625</v>
      </c>
      <c r="BG87" s="151">
        <v>30828</v>
      </c>
      <c r="BH87" s="151">
        <v>35104</v>
      </c>
      <c r="BI87" s="151">
        <v>22300</v>
      </c>
      <c r="BJ87" s="151">
        <v>18617</v>
      </c>
      <c r="BK87" s="151">
        <v>97724</v>
      </c>
      <c r="BL87" s="151">
        <v>0</v>
      </c>
      <c r="BM87" s="151">
        <v>10586</v>
      </c>
      <c r="BN87" s="151">
        <v>32157</v>
      </c>
      <c r="BO87" s="151">
        <v>52995</v>
      </c>
      <c r="BP87" s="151">
        <v>14924</v>
      </c>
      <c r="BQ87" s="151">
        <v>23104</v>
      </c>
      <c r="BR87" s="153">
        <v>11301</v>
      </c>
      <c r="BS87" s="151">
        <v>36233</v>
      </c>
      <c r="BT87" s="151">
        <v>19575</v>
      </c>
      <c r="BU87" s="151">
        <v>23872</v>
      </c>
      <c r="BV87" s="151">
        <v>17999</v>
      </c>
      <c r="BW87" s="151">
        <v>10752</v>
      </c>
      <c r="BX87" s="151">
        <v>11646</v>
      </c>
      <c r="BY87" s="151">
        <v>10621</v>
      </c>
      <c r="BZ87" s="151">
        <v>16814</v>
      </c>
      <c r="CA87" s="151">
        <v>13742</v>
      </c>
      <c r="CB87" s="153">
        <v>11539</v>
      </c>
      <c r="CC87" s="151">
        <v>12985</v>
      </c>
      <c r="CD87" s="151">
        <v>23587</v>
      </c>
      <c r="CE87" s="151">
        <v>13047</v>
      </c>
      <c r="CF87" s="151">
        <v>0</v>
      </c>
      <c r="CG87" s="151">
        <v>25610</v>
      </c>
      <c r="CH87" s="151">
        <v>24213</v>
      </c>
      <c r="CI87" s="151">
        <v>35047</v>
      </c>
      <c r="CJ87" s="151">
        <v>20379</v>
      </c>
      <c r="CK87" s="151">
        <v>15696</v>
      </c>
      <c r="CL87" s="140">
        <v>19988</v>
      </c>
    </row>
    <row r="88" spans="1:90">
      <c r="A88" s="80">
        <f>ROWS($A$3:A86)</f>
        <v>84</v>
      </c>
      <c r="B88" s="59" t="s">
        <v>190</v>
      </c>
      <c r="C88" s="387">
        <v>2012</v>
      </c>
      <c r="D88" s="260"/>
      <c r="E88" s="444"/>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c r="A89" s="80">
        <f>ROWS($A$3:A87)</f>
        <v>85</v>
      </c>
      <c r="B89" s="388" t="s">
        <v>284</v>
      </c>
      <c r="C89" s="205"/>
      <c r="D89" s="259" t="s">
        <v>192</v>
      </c>
      <c r="E89" s="436">
        <v>41499</v>
      </c>
      <c r="F89" s="381">
        <v>62.5</v>
      </c>
      <c r="G89" s="382">
        <v>68</v>
      </c>
      <c r="H89" s="382">
        <v>72.2</v>
      </c>
      <c r="I89" s="383">
        <v>73.7</v>
      </c>
      <c r="J89" s="382"/>
      <c r="K89" s="381">
        <f>BF89</f>
        <v>77</v>
      </c>
      <c r="L89" s="384">
        <f>AY89</f>
        <v>61.7</v>
      </c>
      <c r="M89" s="384">
        <f>BD89</f>
        <v>49.1</v>
      </c>
      <c r="N89" s="384">
        <f>AW89</f>
        <v>68.8</v>
      </c>
      <c r="O89" s="384">
        <f>BE89</f>
        <v>74.3</v>
      </c>
      <c r="P89" s="384">
        <f>'2012'!BA89</f>
        <v>67.099999999999994</v>
      </c>
      <c r="Q89" s="384">
        <f>'2012'!AU89</f>
        <v>77.7</v>
      </c>
      <c r="R89" s="384">
        <f>AX89</f>
        <v>69.400000000000006</v>
      </c>
      <c r="S89" s="384">
        <f>AV89</f>
        <v>61.7</v>
      </c>
      <c r="T89" s="384">
        <f t="shared" ref="T89:U93" si="171">BB89</f>
        <v>57.6</v>
      </c>
      <c r="U89" s="385">
        <f t="shared" si="171"/>
        <v>61.6</v>
      </c>
      <c r="V89" s="384" t="str">
        <f>BJ89</f>
        <v>-</v>
      </c>
      <c r="W89" s="384">
        <f>BR89</f>
        <v>78.900000000000006</v>
      </c>
      <c r="X89" s="384">
        <f>BI89</f>
        <v>70.099999999999994</v>
      </c>
      <c r="Y89" s="384">
        <f>BN89</f>
        <v>68.900000000000006</v>
      </c>
      <c r="Z89" s="384">
        <f>BM89</f>
        <v>55.2</v>
      </c>
      <c r="AA89" s="384">
        <f>BQ89</f>
        <v>73.8</v>
      </c>
      <c r="AB89" s="385">
        <f>BP89</f>
        <v>69.599999999999994</v>
      </c>
      <c r="AC89" s="384">
        <f>BX89</f>
        <v>74.7</v>
      </c>
      <c r="AD89" s="384">
        <f>BU89</f>
        <v>71.099999999999994</v>
      </c>
      <c r="AE89" s="384">
        <f>BT89</f>
        <v>79.8</v>
      </c>
      <c r="AF89" s="384" t="str">
        <f>CA89</f>
        <v>-</v>
      </c>
      <c r="AG89" s="384">
        <f>BV89</f>
        <v>71.2</v>
      </c>
      <c r="AH89" s="384">
        <f>BZ89</f>
        <v>68.400000000000006</v>
      </c>
      <c r="AI89" s="384">
        <f>BW89</f>
        <v>74.400000000000006</v>
      </c>
      <c r="AJ89" s="384">
        <f>BY89</f>
        <v>72.3</v>
      </c>
      <c r="AK89" s="385">
        <f>CB89</f>
        <v>66.400000000000006</v>
      </c>
      <c r="AL89" s="384">
        <f>CE89</f>
        <v>63.2</v>
      </c>
      <c r="AM89" s="384">
        <f>CH89</f>
        <v>78.7</v>
      </c>
      <c r="AN89" s="384">
        <f>CJ89</f>
        <v>76.5</v>
      </c>
      <c r="AO89" s="384">
        <f t="shared" ref="AO89:AP93" si="172">CC89</f>
        <v>62.9</v>
      </c>
      <c r="AP89" s="384">
        <f t="shared" si="172"/>
        <v>65.400000000000006</v>
      </c>
      <c r="AQ89" s="384">
        <f>CK89</f>
        <v>79.900000000000006</v>
      </c>
      <c r="AR89" s="384">
        <f>CI89</f>
        <v>76.8</v>
      </c>
      <c r="AS89" s="383">
        <f>CG89</f>
        <v>76</v>
      </c>
      <c r="AT89" s="384" t="s">
        <v>58</v>
      </c>
      <c r="AU89" s="382">
        <v>77.7</v>
      </c>
      <c r="AV89" s="382">
        <v>61.7</v>
      </c>
      <c r="AW89" s="382">
        <v>68.8</v>
      </c>
      <c r="AX89" s="382">
        <v>69.400000000000006</v>
      </c>
      <c r="AY89" s="382">
        <v>61.7</v>
      </c>
      <c r="AZ89" s="384" t="s">
        <v>58</v>
      </c>
      <c r="BA89" s="382">
        <v>67.099999999999994</v>
      </c>
      <c r="BB89" s="382">
        <v>57.6</v>
      </c>
      <c r="BC89" s="382">
        <v>61.6</v>
      </c>
      <c r="BD89" s="382">
        <v>49.1</v>
      </c>
      <c r="BE89" s="382">
        <v>74.3</v>
      </c>
      <c r="BF89" s="385">
        <v>77</v>
      </c>
      <c r="BG89" s="384" t="s">
        <v>58</v>
      </c>
      <c r="BH89" s="384" t="s">
        <v>58</v>
      </c>
      <c r="BI89" s="382">
        <v>70.099999999999994</v>
      </c>
      <c r="BJ89" s="382" t="s">
        <v>58</v>
      </c>
      <c r="BK89" s="384" t="s">
        <v>58</v>
      </c>
      <c r="BL89" s="382" t="s">
        <v>58</v>
      </c>
      <c r="BM89" s="382">
        <v>55.2</v>
      </c>
      <c r="BN89" s="382">
        <v>68.900000000000006</v>
      </c>
      <c r="BO89" s="384" t="s">
        <v>58</v>
      </c>
      <c r="BP89" s="382">
        <v>69.599999999999994</v>
      </c>
      <c r="BQ89" s="382">
        <v>73.8</v>
      </c>
      <c r="BR89" s="385">
        <v>78.900000000000006</v>
      </c>
      <c r="BS89" s="384" t="s">
        <v>58</v>
      </c>
      <c r="BT89" s="382">
        <v>79.8</v>
      </c>
      <c r="BU89" s="382">
        <v>71.099999999999994</v>
      </c>
      <c r="BV89" s="382">
        <v>71.2</v>
      </c>
      <c r="BW89" s="382">
        <v>74.400000000000006</v>
      </c>
      <c r="BX89" s="382">
        <v>74.7</v>
      </c>
      <c r="BY89" s="382">
        <v>72.3</v>
      </c>
      <c r="BZ89" s="382">
        <v>68.400000000000006</v>
      </c>
      <c r="CA89" s="382" t="s">
        <v>58</v>
      </c>
      <c r="CB89" s="385">
        <v>66.400000000000006</v>
      </c>
      <c r="CC89" s="382">
        <v>62.9</v>
      </c>
      <c r="CD89" s="382">
        <v>65.400000000000006</v>
      </c>
      <c r="CE89" s="382">
        <v>63.2</v>
      </c>
      <c r="CF89" s="384" t="s">
        <v>58</v>
      </c>
      <c r="CG89" s="382">
        <v>76</v>
      </c>
      <c r="CH89" s="382">
        <v>78.7</v>
      </c>
      <c r="CI89" s="382">
        <v>76.8</v>
      </c>
      <c r="CJ89" s="382">
        <v>76.5</v>
      </c>
      <c r="CK89" s="383">
        <v>79.900000000000006</v>
      </c>
      <c r="CL89" s="319">
        <v>68.3</v>
      </c>
    </row>
    <row r="90" spans="1:90">
      <c r="A90" s="80">
        <f>ROWS($A$3:A88)</f>
        <v>86</v>
      </c>
      <c r="B90" s="92" t="s">
        <v>193</v>
      </c>
      <c r="C90" s="203"/>
      <c r="D90" s="259" t="s">
        <v>192</v>
      </c>
      <c r="E90" s="436">
        <v>41361</v>
      </c>
      <c r="F90" s="381">
        <v>724.8</v>
      </c>
      <c r="G90" s="382">
        <v>709.4</v>
      </c>
      <c r="H90" s="382" t="s">
        <v>58</v>
      </c>
      <c r="I90" s="383">
        <v>791.7</v>
      </c>
      <c r="J90" s="382"/>
      <c r="K90" s="381" t="str">
        <f>BF90</f>
        <v>-</v>
      </c>
      <c r="L90" s="384">
        <f>AY90</f>
        <v>818.8</v>
      </c>
      <c r="M90" s="384">
        <f>BD90</f>
        <v>739.4</v>
      </c>
      <c r="N90" s="384" t="str">
        <f>AW90</f>
        <v>-</v>
      </c>
      <c r="O90" s="384" t="str">
        <f>BE90</f>
        <v>-</v>
      </c>
      <c r="P90" s="384">
        <f>'2012'!BA90</f>
        <v>683.6</v>
      </c>
      <c r="Q90" s="384">
        <f>'2012'!AU90</f>
        <v>801.4</v>
      </c>
      <c r="R90" s="384">
        <f>AX90</f>
        <v>759.9</v>
      </c>
      <c r="S90" s="384" t="str">
        <f>AV90</f>
        <v>-</v>
      </c>
      <c r="T90" s="384">
        <f t="shared" si="171"/>
        <v>708.6</v>
      </c>
      <c r="U90" s="385" t="str">
        <f t="shared" si="171"/>
        <v>-</v>
      </c>
      <c r="V90" s="384" t="str">
        <f>BJ90</f>
        <v>-</v>
      </c>
      <c r="W90" s="384" t="str">
        <f>BR90</f>
        <v>-</v>
      </c>
      <c r="X90" s="384">
        <f>BI90</f>
        <v>699.7</v>
      </c>
      <c r="Y90" s="384">
        <f>BN90</f>
        <v>731.1</v>
      </c>
      <c r="Z90" s="384">
        <f>BM90</f>
        <v>700.5</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2"/>
        <v>-</v>
      </c>
      <c r="AP90" s="384" t="str">
        <f t="shared" si="172"/>
        <v>-</v>
      </c>
      <c r="AQ90" s="384" t="str">
        <f>CK90</f>
        <v>-</v>
      </c>
      <c r="AR90" s="384" t="str">
        <f>CI90</f>
        <v>-</v>
      </c>
      <c r="AS90" s="383">
        <f>CG90</f>
        <v>793.3</v>
      </c>
      <c r="AT90" s="384" t="s">
        <v>58</v>
      </c>
      <c r="AU90" s="382">
        <v>801.4</v>
      </c>
      <c r="AV90" s="384" t="s">
        <v>58</v>
      </c>
      <c r="AW90" s="382" t="s">
        <v>58</v>
      </c>
      <c r="AX90" s="382">
        <v>759.9</v>
      </c>
      <c r="AY90" s="382">
        <v>818.8</v>
      </c>
      <c r="AZ90" s="384" t="s">
        <v>58</v>
      </c>
      <c r="BA90" s="382">
        <v>683.6</v>
      </c>
      <c r="BB90" s="382">
        <v>708.6</v>
      </c>
      <c r="BC90" s="382" t="s">
        <v>58</v>
      </c>
      <c r="BD90" s="382">
        <v>739.4</v>
      </c>
      <c r="BE90" s="384" t="s">
        <v>58</v>
      </c>
      <c r="BF90" s="385" t="s">
        <v>58</v>
      </c>
      <c r="BG90" s="384" t="s">
        <v>58</v>
      </c>
      <c r="BH90" s="384" t="s">
        <v>58</v>
      </c>
      <c r="BI90" s="382">
        <v>699.7</v>
      </c>
      <c r="BJ90" s="382" t="s">
        <v>58</v>
      </c>
      <c r="BK90" s="382" t="s">
        <v>58</v>
      </c>
      <c r="BL90" s="382" t="s">
        <v>58</v>
      </c>
      <c r="BM90" s="382">
        <v>700.5</v>
      </c>
      <c r="BN90" s="382">
        <v>731.1</v>
      </c>
      <c r="BO90" s="384" t="s">
        <v>58</v>
      </c>
      <c r="BP90" s="384" t="s">
        <v>58</v>
      </c>
      <c r="BQ90" s="384" t="s">
        <v>58</v>
      </c>
      <c r="BR90" s="385" t="s">
        <v>58</v>
      </c>
      <c r="BS90" s="384" t="s">
        <v>58</v>
      </c>
      <c r="BT90" s="382" t="s">
        <v>58</v>
      </c>
      <c r="BU90" s="382" t="s">
        <v>58</v>
      </c>
      <c r="BV90" s="382" t="s">
        <v>58</v>
      </c>
      <c r="BW90" s="382" t="s">
        <v>58</v>
      </c>
      <c r="BX90" s="382" t="s">
        <v>58</v>
      </c>
      <c r="BY90" s="382" t="s">
        <v>58</v>
      </c>
      <c r="BZ90" s="382" t="s">
        <v>58</v>
      </c>
      <c r="CA90" s="382" t="s">
        <v>58</v>
      </c>
      <c r="CB90" s="385" t="s">
        <v>58</v>
      </c>
      <c r="CC90" s="382" t="s">
        <v>58</v>
      </c>
      <c r="CD90" s="382" t="s">
        <v>58</v>
      </c>
      <c r="CE90" s="382" t="s">
        <v>58</v>
      </c>
      <c r="CF90" s="384" t="s">
        <v>58</v>
      </c>
      <c r="CG90" s="382">
        <v>793.3</v>
      </c>
      <c r="CH90" s="384" t="s">
        <v>58</v>
      </c>
      <c r="CI90" s="384" t="s">
        <v>58</v>
      </c>
      <c r="CJ90" s="382" t="s">
        <v>58</v>
      </c>
      <c r="CK90" s="383" t="s">
        <v>58</v>
      </c>
      <c r="CL90" s="386">
        <v>724.9</v>
      </c>
    </row>
    <row r="91" spans="1:90">
      <c r="A91" s="80">
        <f>ROWS($A$3:A89)</f>
        <v>87</v>
      </c>
      <c r="B91" s="92" t="s">
        <v>194</v>
      </c>
      <c r="C91" s="203"/>
      <c r="D91" s="259" t="s">
        <v>192</v>
      </c>
      <c r="E91" s="436">
        <v>41361</v>
      </c>
      <c r="F91" s="381">
        <v>28.4</v>
      </c>
      <c r="G91" s="384">
        <v>33.200000000000003</v>
      </c>
      <c r="H91" s="384">
        <v>40</v>
      </c>
      <c r="I91" s="383">
        <v>40.5</v>
      </c>
      <c r="J91" s="382"/>
      <c r="K91" s="381">
        <f>BF91</f>
        <v>36.299999999999997</v>
      </c>
      <c r="L91" s="384">
        <f>AY91</f>
        <v>24</v>
      </c>
      <c r="M91" s="384">
        <f>BD91</f>
        <v>22</v>
      </c>
      <c r="N91" s="384" t="str">
        <f>AW91</f>
        <v>-</v>
      </c>
      <c r="O91" s="384" t="str">
        <f>BE91</f>
        <v>-</v>
      </c>
      <c r="P91" s="384">
        <f>'2012'!BA91</f>
        <v>36.700000000000003</v>
      </c>
      <c r="Q91" s="384">
        <f>'2012'!AU91</f>
        <v>37.4</v>
      </c>
      <c r="R91" s="384">
        <f>AX91</f>
        <v>24.9</v>
      </c>
      <c r="S91" s="384" t="str">
        <f>AV91</f>
        <v>-</v>
      </c>
      <c r="T91" s="384">
        <f t="shared" si="171"/>
        <v>25.6</v>
      </c>
      <c r="U91" s="385">
        <f t="shared" si="171"/>
        <v>29.8</v>
      </c>
      <c r="V91" s="384" t="str">
        <f>BJ91</f>
        <v>-</v>
      </c>
      <c r="W91" s="384">
        <f>BR91</f>
        <v>37.4</v>
      </c>
      <c r="X91" s="384">
        <f>BI91</f>
        <v>35</v>
      </c>
      <c r="Y91" s="384">
        <f>BN91</f>
        <v>33.200000000000003</v>
      </c>
      <c r="Z91" s="384">
        <f>BM91</f>
        <v>26.3</v>
      </c>
      <c r="AA91" s="384">
        <f>BQ91</f>
        <v>34.6</v>
      </c>
      <c r="AB91" s="385" t="str">
        <f>BP91</f>
        <v>-</v>
      </c>
      <c r="AC91" s="384" t="str">
        <f>BX91</f>
        <v>-</v>
      </c>
      <c r="AD91" s="384" t="str">
        <f>BU91</f>
        <v>-</v>
      </c>
      <c r="AE91" s="384" t="str">
        <f>BT91</f>
        <v>-</v>
      </c>
      <c r="AF91" s="384" t="str">
        <f>CA91</f>
        <v>-</v>
      </c>
      <c r="AG91" s="384" t="str">
        <f>BV91</f>
        <v>-</v>
      </c>
      <c r="AH91" s="384">
        <f>BZ91</f>
        <v>34.5</v>
      </c>
      <c r="AI91" s="384" t="str">
        <f>BW91</f>
        <v>-</v>
      </c>
      <c r="AJ91" s="384">
        <f>BY91</f>
        <v>40.799999999999997</v>
      </c>
      <c r="AK91" s="385" t="str">
        <f>CB91</f>
        <v>-</v>
      </c>
      <c r="AL91" s="384">
        <f>CE91</f>
        <v>37.200000000000003</v>
      </c>
      <c r="AM91" s="384">
        <f>CH91</f>
        <v>40.799999999999997</v>
      </c>
      <c r="AN91" s="384" t="str">
        <f>CJ91</f>
        <v>-</v>
      </c>
      <c r="AO91" s="384">
        <f t="shared" si="172"/>
        <v>38.9</v>
      </c>
      <c r="AP91" s="384">
        <f t="shared" si="172"/>
        <v>36.700000000000003</v>
      </c>
      <c r="AQ91" s="384">
        <f>CK91</f>
        <v>39.5</v>
      </c>
      <c r="AR91" s="384" t="str">
        <f>CI91</f>
        <v>-</v>
      </c>
      <c r="AS91" s="383">
        <f>CG91</f>
        <v>41.9</v>
      </c>
      <c r="AT91" s="384" t="s">
        <v>58</v>
      </c>
      <c r="AU91" s="384">
        <v>37.4</v>
      </c>
      <c r="AV91" s="384" t="s">
        <v>58</v>
      </c>
      <c r="AW91" s="382" t="s">
        <v>58</v>
      </c>
      <c r="AX91" s="384">
        <v>24.9</v>
      </c>
      <c r="AY91" s="382">
        <v>24</v>
      </c>
      <c r="AZ91" s="384" t="s">
        <v>58</v>
      </c>
      <c r="BA91" s="382">
        <v>36.700000000000003</v>
      </c>
      <c r="BB91" s="382">
        <v>25.6</v>
      </c>
      <c r="BC91" s="382">
        <v>29.8</v>
      </c>
      <c r="BD91" s="382">
        <v>22</v>
      </c>
      <c r="BE91" s="382" t="s">
        <v>58</v>
      </c>
      <c r="BF91" s="385">
        <v>36.299999999999997</v>
      </c>
      <c r="BG91" s="384" t="s">
        <v>58</v>
      </c>
      <c r="BH91" s="384" t="s">
        <v>58</v>
      </c>
      <c r="BI91" s="382">
        <v>35</v>
      </c>
      <c r="BJ91" s="382" t="s">
        <v>58</v>
      </c>
      <c r="BK91" s="382" t="s">
        <v>58</v>
      </c>
      <c r="BL91" s="382" t="s">
        <v>58</v>
      </c>
      <c r="BM91" s="384">
        <v>26.3</v>
      </c>
      <c r="BN91" s="384">
        <v>33.200000000000003</v>
      </c>
      <c r="BO91" s="384" t="s">
        <v>58</v>
      </c>
      <c r="BP91" s="382" t="s">
        <v>58</v>
      </c>
      <c r="BQ91" s="384">
        <v>34.6</v>
      </c>
      <c r="BR91" s="385">
        <v>37.4</v>
      </c>
      <c r="BS91" s="384" t="s">
        <v>58</v>
      </c>
      <c r="BT91" s="382" t="s">
        <v>58</v>
      </c>
      <c r="BU91" s="382" t="s">
        <v>58</v>
      </c>
      <c r="BV91" s="382" t="s">
        <v>58</v>
      </c>
      <c r="BW91" s="382" t="s">
        <v>58</v>
      </c>
      <c r="BX91" s="382" t="s">
        <v>58</v>
      </c>
      <c r="BY91" s="382">
        <v>40.799999999999997</v>
      </c>
      <c r="BZ91" s="382">
        <v>34.5</v>
      </c>
      <c r="CA91" s="382" t="s">
        <v>58</v>
      </c>
      <c r="CB91" s="385" t="s">
        <v>58</v>
      </c>
      <c r="CC91" s="382">
        <v>38.9</v>
      </c>
      <c r="CD91" s="382">
        <v>36.700000000000003</v>
      </c>
      <c r="CE91" s="382">
        <v>37.200000000000003</v>
      </c>
      <c r="CF91" s="384" t="s">
        <v>58</v>
      </c>
      <c r="CG91" s="382">
        <v>41.9</v>
      </c>
      <c r="CH91" s="382">
        <v>40.799999999999997</v>
      </c>
      <c r="CI91" s="384" t="s">
        <v>58</v>
      </c>
      <c r="CJ91" s="382" t="s">
        <v>58</v>
      </c>
      <c r="CK91" s="383">
        <v>39.5</v>
      </c>
      <c r="CL91" s="386">
        <v>33.4</v>
      </c>
    </row>
    <row r="92" spans="1:90">
      <c r="A92" s="80">
        <f>ROWS($A$3:A90)</f>
        <v>88</v>
      </c>
      <c r="B92" s="92" t="s">
        <v>195</v>
      </c>
      <c r="C92" s="203"/>
      <c r="D92" s="259" t="s">
        <v>192</v>
      </c>
      <c r="E92" s="436">
        <v>41361</v>
      </c>
      <c r="F92" s="381">
        <v>504</v>
      </c>
      <c r="G92" s="382">
        <v>424.8</v>
      </c>
      <c r="H92" s="382">
        <v>475.9</v>
      </c>
      <c r="I92" s="383">
        <v>453.6</v>
      </c>
      <c r="J92" s="382"/>
      <c r="K92" s="381">
        <f>BF92</f>
        <v>519.5</v>
      </c>
      <c r="L92" s="384">
        <f>AY92</f>
        <v>515.70000000000005</v>
      </c>
      <c r="M92" s="384">
        <f>BD92</f>
        <v>462.5</v>
      </c>
      <c r="N92" s="384">
        <f>AW92</f>
        <v>536.1</v>
      </c>
      <c r="O92" s="384" t="str">
        <f>BE92</f>
        <v>-</v>
      </c>
      <c r="P92" s="384">
        <f>'2012'!BA92</f>
        <v>469.5</v>
      </c>
      <c r="Q92" s="384" t="str">
        <f>'2012'!AU92</f>
        <v>-</v>
      </c>
      <c r="R92" s="384">
        <f>AX92</f>
        <v>537.70000000000005</v>
      </c>
      <c r="S92" s="384">
        <f>AV92</f>
        <v>451.5</v>
      </c>
      <c r="T92" s="384">
        <f t="shared" si="171"/>
        <v>538.70000000000005</v>
      </c>
      <c r="U92" s="385">
        <f t="shared" si="171"/>
        <v>470.5</v>
      </c>
      <c r="V92" s="384" t="str">
        <f>BJ92</f>
        <v>-</v>
      </c>
      <c r="W92" s="384">
        <f>BR92</f>
        <v>502</v>
      </c>
      <c r="X92" s="384" t="str">
        <f>BI92</f>
        <v>-</v>
      </c>
      <c r="Y92" s="384">
        <f>BN92</f>
        <v>436.2</v>
      </c>
      <c r="Z92" s="384">
        <f>BM92</f>
        <v>376.3</v>
      </c>
      <c r="AA92" s="384">
        <f>BQ92</f>
        <v>514.29999999999995</v>
      </c>
      <c r="AB92" s="385" t="str">
        <f>BP92</f>
        <v>-</v>
      </c>
      <c r="AC92" s="384" t="str">
        <f>BX92</f>
        <v>-</v>
      </c>
      <c r="AD92" s="384" t="str">
        <f>BU92</f>
        <v>-</v>
      </c>
      <c r="AE92" s="384" t="str">
        <f>BT92</f>
        <v>-</v>
      </c>
      <c r="AF92" s="384" t="str">
        <f>CA92</f>
        <v>-</v>
      </c>
      <c r="AG92" s="384" t="str">
        <f>BV92</f>
        <v>-</v>
      </c>
      <c r="AH92" s="384">
        <f>BZ92</f>
        <v>565.79999999999995</v>
      </c>
      <c r="AI92" s="384">
        <f>BW92</f>
        <v>470.8</v>
      </c>
      <c r="AJ92" s="384">
        <f>BY92</f>
        <v>451.7</v>
      </c>
      <c r="AK92" s="385">
        <f>CB92</f>
        <v>509.3</v>
      </c>
      <c r="AL92" s="384">
        <f>CE92</f>
        <v>487.4</v>
      </c>
      <c r="AM92" s="384">
        <f>CH92</f>
        <v>440.6</v>
      </c>
      <c r="AN92" s="384">
        <f>CJ92</f>
        <v>458.9</v>
      </c>
      <c r="AO92" s="384">
        <f t="shared" si="172"/>
        <v>415.5</v>
      </c>
      <c r="AP92" s="384" t="str">
        <f t="shared" si="172"/>
        <v>-</v>
      </c>
      <c r="AQ92" s="384">
        <f>CK92</f>
        <v>411.5</v>
      </c>
      <c r="AR92" s="384" t="str">
        <f>CI92</f>
        <v>-</v>
      </c>
      <c r="AS92" s="383">
        <f>CG92</f>
        <v>502.7</v>
      </c>
      <c r="AT92" s="384" t="s">
        <v>58</v>
      </c>
      <c r="AU92" s="384" t="s">
        <v>58</v>
      </c>
      <c r="AV92" s="382">
        <v>451.5</v>
      </c>
      <c r="AW92" s="382">
        <v>536.1</v>
      </c>
      <c r="AX92" s="382">
        <v>537.70000000000005</v>
      </c>
      <c r="AY92" s="382">
        <v>515.70000000000005</v>
      </c>
      <c r="AZ92" s="384" t="s">
        <v>58</v>
      </c>
      <c r="BA92" s="382">
        <v>469.5</v>
      </c>
      <c r="BB92" s="382">
        <v>538.70000000000005</v>
      </c>
      <c r="BC92" s="382">
        <v>470.5</v>
      </c>
      <c r="BD92" s="382">
        <v>462.5</v>
      </c>
      <c r="BE92" s="382" t="s">
        <v>58</v>
      </c>
      <c r="BF92" s="385">
        <v>519.5</v>
      </c>
      <c r="BG92" s="384" t="s">
        <v>58</v>
      </c>
      <c r="BH92" s="384" t="s">
        <v>58</v>
      </c>
      <c r="BI92" s="382" t="s">
        <v>58</v>
      </c>
      <c r="BJ92" s="382" t="s">
        <v>58</v>
      </c>
      <c r="BK92" s="382" t="s">
        <v>58</v>
      </c>
      <c r="BL92" s="382" t="s">
        <v>58</v>
      </c>
      <c r="BM92" s="382">
        <v>376.3</v>
      </c>
      <c r="BN92" s="382">
        <v>436.2</v>
      </c>
      <c r="BO92" s="384" t="s">
        <v>58</v>
      </c>
      <c r="BP92" s="382" t="s">
        <v>58</v>
      </c>
      <c r="BQ92" s="382">
        <v>514.29999999999995</v>
      </c>
      <c r="BR92" s="385">
        <v>502</v>
      </c>
      <c r="BS92" s="384" t="s">
        <v>58</v>
      </c>
      <c r="BT92" s="382" t="s">
        <v>58</v>
      </c>
      <c r="BU92" s="382" t="s">
        <v>58</v>
      </c>
      <c r="BV92" s="382" t="s">
        <v>58</v>
      </c>
      <c r="BW92" s="382">
        <v>470.8</v>
      </c>
      <c r="BX92" s="382" t="s">
        <v>58</v>
      </c>
      <c r="BY92" s="382">
        <v>451.7</v>
      </c>
      <c r="BZ92" s="382">
        <v>565.79999999999995</v>
      </c>
      <c r="CA92" s="382" t="s">
        <v>58</v>
      </c>
      <c r="CB92" s="385">
        <v>509.3</v>
      </c>
      <c r="CC92" s="382">
        <v>415.5</v>
      </c>
      <c r="CD92" s="382" t="s">
        <v>58</v>
      </c>
      <c r="CE92" s="382">
        <v>487.4</v>
      </c>
      <c r="CF92" s="384" t="s">
        <v>58</v>
      </c>
      <c r="CG92" s="382">
        <v>502.7</v>
      </c>
      <c r="CH92" s="382">
        <v>440.6</v>
      </c>
      <c r="CI92" s="384" t="s">
        <v>58</v>
      </c>
      <c r="CJ92" s="382">
        <v>458.9</v>
      </c>
      <c r="CK92" s="383">
        <v>411.5</v>
      </c>
      <c r="CL92" s="386">
        <v>471.3</v>
      </c>
    </row>
    <row r="93" spans="1:90">
      <c r="A93" s="80">
        <f>ROWS($A$3:A91)</f>
        <v>89</v>
      </c>
      <c r="B93" s="54" t="s">
        <v>94</v>
      </c>
      <c r="C93" s="261"/>
      <c r="D93" s="260" t="s">
        <v>3</v>
      </c>
      <c r="E93" s="436"/>
      <c r="F93" s="117">
        <v>0.37</v>
      </c>
      <c r="G93" s="118">
        <v>0.37</v>
      </c>
      <c r="H93" s="118">
        <v>0.69</v>
      </c>
      <c r="I93" s="119">
        <v>0.54</v>
      </c>
      <c r="J93" s="122"/>
      <c r="K93" s="117">
        <f>BF93</f>
        <v>0.99</v>
      </c>
      <c r="L93" s="118">
        <f>AY93</f>
        <v>0.69</v>
      </c>
      <c r="M93" s="118">
        <f>BD93</f>
        <v>0.7</v>
      </c>
      <c r="N93" s="118">
        <f>AW93</f>
        <v>0.74</v>
      </c>
      <c r="O93" s="118">
        <f>BE93</f>
        <v>0.6</v>
      </c>
      <c r="P93" s="190">
        <f>(AZ35*AZ93+BA35*BA93)/P35</f>
        <v>0.12064121769375141</v>
      </c>
      <c r="Q93" s="118">
        <f>'2012'!AU93</f>
        <v>0.48</v>
      </c>
      <c r="R93" s="190">
        <f>(AT35*AT93+AX35*AX93)/R35</f>
        <v>1.7214353708137422E-2</v>
      </c>
      <c r="S93" s="118">
        <f>AV93</f>
        <v>0.56999999999999995</v>
      </c>
      <c r="T93" s="118">
        <f t="shared" si="171"/>
        <v>0.56999999999999995</v>
      </c>
      <c r="U93" s="120">
        <f t="shared" si="171"/>
        <v>0.97</v>
      </c>
      <c r="V93" s="190">
        <f>(BG35*BG93+BJ35*BJ93)/V35</f>
        <v>0.32098958008360889</v>
      </c>
      <c r="W93" s="118">
        <f>BR93</f>
        <v>0.82</v>
      </c>
      <c r="X93" s="190">
        <f>(BH35*BH93+BI35*BI93)/X35</f>
        <v>6.5584005612065954E-2</v>
      </c>
      <c r="Y93" s="190">
        <f>(BK35*BK93+BL35*BL93+BN35*BN93)/Y35</f>
        <v>0.10728694310691411</v>
      </c>
      <c r="Z93" s="118">
        <f>BM93</f>
        <v>0.7</v>
      </c>
      <c r="AA93" s="190">
        <f>(BO35*BO93+BQ35*BQ93)/AA35</f>
        <v>0.46039442349672549</v>
      </c>
      <c r="AB93" s="120">
        <f>BP93</f>
        <v>0.78</v>
      </c>
      <c r="AC93" s="118">
        <f>BX93</f>
        <v>0.65</v>
      </c>
      <c r="AD93" s="118">
        <f>BU93</f>
        <v>0.36</v>
      </c>
      <c r="AE93" s="190">
        <f>(BS35*BS93+BT35*BT93)/AE35</f>
        <v>0.1160348266339368</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2"/>
        <v>1</v>
      </c>
      <c r="AP93" s="118">
        <f t="shared" si="172"/>
        <v>0.61</v>
      </c>
      <c r="AQ93" s="118">
        <f>CK93</f>
        <v>0.72</v>
      </c>
      <c r="AR93" s="118">
        <f>CI93</f>
        <v>0.24</v>
      </c>
      <c r="AS93" s="191">
        <f>(CF35*CF93+CG35*CG93)/AS35</f>
        <v>0.45045947078924298</v>
      </c>
      <c r="AT93" s="118">
        <v>0.11</v>
      </c>
      <c r="AU93" s="118">
        <v>0.48</v>
      </c>
      <c r="AV93" s="118">
        <v>0.56999999999999995</v>
      </c>
      <c r="AW93" s="118">
        <v>0.74</v>
      </c>
      <c r="AX93" s="118">
        <v>0.01</v>
      </c>
      <c r="AY93" s="118">
        <v>0.69</v>
      </c>
      <c r="AZ93" s="118">
        <v>0</v>
      </c>
      <c r="BA93" s="118">
        <v>0.13</v>
      </c>
      <c r="BB93" s="118">
        <v>0.56999999999999995</v>
      </c>
      <c r="BC93" s="118">
        <v>0.97</v>
      </c>
      <c r="BD93" s="118">
        <v>0.7</v>
      </c>
      <c r="BE93" s="118">
        <v>0.6</v>
      </c>
      <c r="BF93" s="120">
        <v>0.99</v>
      </c>
      <c r="BG93" s="118">
        <v>1</v>
      </c>
      <c r="BH93" s="118">
        <v>0</v>
      </c>
      <c r="BI93" s="118">
        <v>7.0000000000000007E-2</v>
      </c>
      <c r="BJ93" s="118">
        <v>0.25</v>
      </c>
      <c r="BK93" s="342">
        <v>0.01</v>
      </c>
      <c r="BL93" s="118">
        <v>0</v>
      </c>
      <c r="BM93" s="118">
        <v>0.7</v>
      </c>
      <c r="BN93" s="118">
        <v>0.12</v>
      </c>
      <c r="BO93" s="118">
        <v>0.28000000000000003</v>
      </c>
      <c r="BP93" s="118">
        <v>0.78</v>
      </c>
      <c r="BQ93" s="118">
        <v>0.47</v>
      </c>
      <c r="BR93" s="120">
        <v>0.82</v>
      </c>
      <c r="BS93" s="118">
        <v>0.06</v>
      </c>
      <c r="BT93" s="118">
        <v>0.12</v>
      </c>
      <c r="BU93" s="118">
        <v>0.36</v>
      </c>
      <c r="BV93" s="118">
        <v>0.34</v>
      </c>
      <c r="BW93" s="118">
        <v>0.96</v>
      </c>
      <c r="BX93" s="118">
        <v>0.65</v>
      </c>
      <c r="BY93" s="118">
        <v>0.63</v>
      </c>
      <c r="BZ93" s="118">
        <v>0.65</v>
      </c>
      <c r="CA93" s="118">
        <v>0.28999999999999998</v>
      </c>
      <c r="CB93" s="120">
        <v>0.71</v>
      </c>
      <c r="CC93" s="118">
        <v>1</v>
      </c>
      <c r="CD93" s="118">
        <v>0.61</v>
      </c>
      <c r="CE93" s="118">
        <v>0.61</v>
      </c>
      <c r="CF93" s="118">
        <v>0.3</v>
      </c>
      <c r="CG93" s="118">
        <v>0.46</v>
      </c>
      <c r="CH93" s="118">
        <v>0.2</v>
      </c>
      <c r="CI93" s="118">
        <v>0.24</v>
      </c>
      <c r="CJ93" s="118">
        <v>0.57999999999999996</v>
      </c>
      <c r="CK93" s="119">
        <v>0.72</v>
      </c>
      <c r="CL93" s="121">
        <v>0.54</v>
      </c>
    </row>
    <row r="94" spans="1:90">
      <c r="A94" s="80">
        <f>ROWS($A$3:A92)</f>
        <v>90</v>
      </c>
      <c r="B94" s="59" t="s">
        <v>247</v>
      </c>
      <c r="C94" s="201"/>
      <c r="D94" s="260"/>
      <c r="E94" s="436"/>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c r="A95" s="80">
        <f>ROWS($A$3:A93)</f>
        <v>91</v>
      </c>
      <c r="B95" s="236" t="s">
        <v>95</v>
      </c>
      <c r="C95" s="393">
        <v>2010</v>
      </c>
      <c r="D95" s="259" t="s">
        <v>10</v>
      </c>
      <c r="E95" s="437">
        <v>40441</v>
      </c>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'2012'!BA95</f>
        <v>27400</v>
      </c>
      <c r="Q95" s="137">
        <f>'2012'!AU95</f>
        <v>17100</v>
      </c>
      <c r="R95" s="137">
        <f>AX95</f>
        <v>28800</v>
      </c>
      <c r="S95" s="137">
        <f>AV95</f>
        <v>12300</v>
      </c>
      <c r="T95" s="137">
        <f t="shared" ref="T95:U98" si="173">BB95</f>
        <v>43200</v>
      </c>
      <c r="U95" s="139">
        <f t="shared" si="173"/>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74">CC95</f>
        <v>49800</v>
      </c>
      <c r="AP95" s="137">
        <f t="shared" si="174"/>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c r="A96" s="80">
        <f>ROWS($A$3:A94)</f>
        <v>92</v>
      </c>
      <c r="B96" s="92" t="s">
        <v>96</v>
      </c>
      <c r="C96" s="394">
        <v>2010</v>
      </c>
      <c r="D96" s="259" t="s">
        <v>10</v>
      </c>
      <c r="E96" s="437">
        <v>40441</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'2012'!BA96</f>
        <v>26046</v>
      </c>
      <c r="Q96" s="137">
        <f>'2012'!AU96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0">
      <c r="A97" s="80">
        <f>ROWS($A$3:A95)</f>
        <v>93</v>
      </c>
      <c r="B97" s="55" t="s">
        <v>77</v>
      </c>
      <c r="C97" s="202">
        <v>2001</v>
      </c>
      <c r="D97" s="259" t="s">
        <v>13</v>
      </c>
      <c r="E97" s="437">
        <v>40441</v>
      </c>
      <c r="F97" s="154">
        <v>122737</v>
      </c>
      <c r="G97" s="155">
        <v>30239</v>
      </c>
      <c r="H97" s="155">
        <v>82089</v>
      </c>
      <c r="I97" s="156">
        <v>186831</v>
      </c>
      <c r="J97" s="281"/>
      <c r="K97" s="157">
        <f>BF97</f>
        <v>29042</v>
      </c>
      <c r="L97" s="113">
        <f>AY97</f>
        <v>8671</v>
      </c>
      <c r="M97" s="113">
        <f>BD97</f>
        <v>9647</v>
      </c>
      <c r="N97" s="113">
        <f>AW97</f>
        <v>12155</v>
      </c>
      <c r="O97" s="113">
        <f>BE97</f>
        <v>8882</v>
      </c>
      <c r="P97" s="113">
        <f>'2012'!AZ97+'2012'!BA97</f>
        <v>6750</v>
      </c>
      <c r="Q97" s="113">
        <f>'2012'!AU97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c r="A98" s="80">
        <f>ROWS($A$3:A96)</f>
        <v>94</v>
      </c>
      <c r="B98" s="55" t="s">
        <v>96</v>
      </c>
      <c r="C98" s="205">
        <f>C97</f>
        <v>2001</v>
      </c>
      <c r="D98" s="259" t="s">
        <v>10</v>
      </c>
      <c r="E98" s="437">
        <v>40441</v>
      </c>
      <c r="F98" s="154">
        <v>618865</v>
      </c>
      <c r="G98" s="155">
        <v>149025</v>
      </c>
      <c r="H98" s="155">
        <v>366598</v>
      </c>
      <c r="I98" s="156">
        <v>1009287</v>
      </c>
      <c r="J98" s="281"/>
      <c r="K98" s="157">
        <f>BF98</f>
        <v>150712</v>
      </c>
      <c r="L98" s="113">
        <f>AY98</f>
        <v>42810</v>
      </c>
      <c r="M98" s="113">
        <f>BD98</f>
        <v>45971</v>
      </c>
      <c r="N98" s="113">
        <f>AW98</f>
        <v>57752</v>
      </c>
      <c r="O98" s="113">
        <f>BE98</f>
        <v>42099</v>
      </c>
      <c r="P98" s="113">
        <f>'2012'!AZ98+'2012'!BA98</f>
        <v>34324</v>
      </c>
      <c r="Q98" s="113">
        <f>'2012'!AU98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c r="A99" s="80">
        <f>ROWS($A$3:A97)</f>
        <v>95</v>
      </c>
      <c r="B99" s="55"/>
      <c r="C99" s="203"/>
      <c r="D99" s="259"/>
      <c r="E99" s="435"/>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c r="A100" s="80">
        <f>ROWS($A$3:A98)</f>
        <v>96</v>
      </c>
      <c r="B100" s="55" t="s">
        <v>255</v>
      </c>
      <c r="C100" s="203">
        <f>C86</f>
        <v>2012</v>
      </c>
      <c r="D100" s="259" t="s">
        <v>13</v>
      </c>
      <c r="E100" s="436">
        <f>E87</f>
        <v>41486</v>
      </c>
      <c r="F100" s="154">
        <v>2341</v>
      </c>
      <c r="G100" s="155">
        <v>1162</v>
      </c>
      <c r="H100" s="155">
        <v>1497</v>
      </c>
      <c r="I100" s="156">
        <v>941</v>
      </c>
      <c r="J100" s="281"/>
      <c r="K100" s="157">
        <f>BF100</f>
        <v>180</v>
      </c>
      <c r="L100" s="113">
        <f>AY100</f>
        <v>202</v>
      </c>
      <c r="M100" s="113">
        <f>BD100</f>
        <v>132</v>
      </c>
      <c r="N100" s="113">
        <f>AW100</f>
        <v>138</v>
      </c>
      <c r="O100" s="113">
        <f>BE100</f>
        <v>77</v>
      </c>
      <c r="P100" s="113">
        <f>'2009'!AZ101+'2009'!BA101</f>
        <v>658</v>
      </c>
      <c r="Q100" s="113">
        <f>'2009'!AU101</f>
        <v>260</v>
      </c>
      <c r="R100" s="113">
        <f>AT100+AX100</f>
        <v>355</v>
      </c>
      <c r="S100" s="113">
        <f>AV100</f>
        <v>334</v>
      </c>
      <c r="T100" s="113">
        <f>BB100</f>
        <v>114</v>
      </c>
      <c r="U100" s="112">
        <f>BC100</f>
        <v>153</v>
      </c>
      <c r="V100" s="113">
        <f>BG100+BJ100</f>
        <v>103</v>
      </c>
      <c r="W100" s="113">
        <f>BR100</f>
        <v>51</v>
      </c>
      <c r="X100" s="113">
        <f>BH100+BI100</f>
        <v>440</v>
      </c>
      <c r="Y100" s="113">
        <f>BK100+BL100+BN100</f>
        <v>223</v>
      </c>
      <c r="Z100" s="113">
        <f>BM100</f>
        <v>127</v>
      </c>
      <c r="AA100" s="113">
        <f>BO100+BQ100</f>
        <v>172</v>
      </c>
      <c r="AB100" s="112">
        <f>BP100</f>
        <v>46</v>
      </c>
      <c r="AC100" s="113">
        <f>BX100</f>
        <v>94</v>
      </c>
      <c r="AD100" s="113">
        <f>BU100</f>
        <v>147</v>
      </c>
      <c r="AE100" s="113">
        <f>BS100+BT100</f>
        <v>180</v>
      </c>
      <c r="AF100" s="113">
        <f>CA100</f>
        <v>180</v>
      </c>
      <c r="AG100" s="113">
        <f>BV100</f>
        <v>421</v>
      </c>
      <c r="AH100" s="113">
        <f>BZ100</f>
        <v>115</v>
      </c>
      <c r="AI100" s="113">
        <f>BW100</f>
        <v>132</v>
      </c>
      <c r="AJ100" s="113">
        <f>BY100</f>
        <v>118</v>
      </c>
      <c r="AK100" s="112">
        <f>CB100</f>
        <v>110</v>
      </c>
      <c r="AL100" s="113">
        <f>CE100</f>
        <v>111</v>
      </c>
      <c r="AM100" s="113">
        <f>CH100</f>
        <v>122</v>
      </c>
      <c r="AN100" s="113">
        <f>CJ100</f>
        <v>82</v>
      </c>
      <c r="AO100" s="113">
        <f>CC100</f>
        <v>148</v>
      </c>
      <c r="AP100" s="113">
        <f>CD100</f>
        <v>125</v>
      </c>
      <c r="AQ100" s="113">
        <f>CK100</f>
        <v>224</v>
      </c>
      <c r="AR100" s="113">
        <f>CI100</f>
        <v>39</v>
      </c>
      <c r="AS100" s="158">
        <f>CF100+CG100</f>
        <v>90</v>
      </c>
      <c r="AT100" s="113">
        <v>9</v>
      </c>
      <c r="AU100" s="113">
        <v>163</v>
      </c>
      <c r="AV100" s="113">
        <v>334</v>
      </c>
      <c r="AW100" s="113">
        <v>138</v>
      </c>
      <c r="AX100" s="113">
        <v>346</v>
      </c>
      <c r="AY100" s="113">
        <v>202</v>
      </c>
      <c r="AZ100" s="113">
        <v>48</v>
      </c>
      <c r="BA100" s="113">
        <v>445</v>
      </c>
      <c r="BB100" s="113">
        <v>114</v>
      </c>
      <c r="BC100" s="113">
        <v>153</v>
      </c>
      <c r="BD100" s="113">
        <v>132</v>
      </c>
      <c r="BE100" s="113">
        <v>77</v>
      </c>
      <c r="BF100" s="112">
        <v>180</v>
      </c>
      <c r="BG100" s="159">
        <v>46</v>
      </c>
      <c r="BH100" s="113">
        <v>18</v>
      </c>
      <c r="BI100" s="113">
        <v>422</v>
      </c>
      <c r="BJ100" s="113">
        <v>57</v>
      </c>
      <c r="BK100" s="113">
        <v>14</v>
      </c>
      <c r="BL100" s="113">
        <v>0</v>
      </c>
      <c r="BM100" s="113">
        <v>127</v>
      </c>
      <c r="BN100" s="113">
        <v>209</v>
      </c>
      <c r="BO100" s="159">
        <v>8</v>
      </c>
      <c r="BP100" s="113">
        <v>46</v>
      </c>
      <c r="BQ100" s="113">
        <v>164</v>
      </c>
      <c r="BR100" s="112">
        <v>51</v>
      </c>
      <c r="BS100" s="159">
        <v>6</v>
      </c>
      <c r="BT100" s="113">
        <v>174</v>
      </c>
      <c r="BU100" s="113">
        <v>147</v>
      </c>
      <c r="BV100" s="113">
        <v>421</v>
      </c>
      <c r="BW100" s="113">
        <v>132</v>
      </c>
      <c r="BX100" s="113">
        <v>94</v>
      </c>
      <c r="BY100" s="113">
        <v>118</v>
      </c>
      <c r="BZ100" s="113">
        <v>115</v>
      </c>
      <c r="CA100" s="113">
        <v>180</v>
      </c>
      <c r="CB100" s="112">
        <v>110</v>
      </c>
      <c r="CC100" s="113">
        <v>148</v>
      </c>
      <c r="CD100" s="113">
        <v>125</v>
      </c>
      <c r="CE100" s="113">
        <v>111</v>
      </c>
      <c r="CF100" s="113">
        <v>0</v>
      </c>
      <c r="CG100" s="113">
        <v>90</v>
      </c>
      <c r="CH100" s="113">
        <v>122</v>
      </c>
      <c r="CI100" s="113">
        <v>39</v>
      </c>
      <c r="CJ100" s="113">
        <v>82</v>
      </c>
      <c r="CK100" s="158">
        <v>224</v>
      </c>
      <c r="CL100" s="123">
        <v>5941</v>
      </c>
    </row>
    <row r="101" spans="1:90">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c r="A103" s="80">
        <f>ROWS($A$3:A101)</f>
        <v>99</v>
      </c>
      <c r="B103" s="55"/>
      <c r="C103" s="203"/>
      <c r="D103" s="259"/>
      <c r="E103" s="435"/>
      <c r="F103" s="154"/>
      <c r="G103" s="155"/>
      <c r="H103" s="155"/>
      <c r="I103" s="156"/>
      <c r="J103" s="281"/>
      <c r="K103" s="157">
        <f>BF103</f>
        <v>0</v>
      </c>
      <c r="L103" s="113">
        <f>AY103</f>
        <v>0</v>
      </c>
      <c r="M103" s="113">
        <f>BD103</f>
        <v>0</v>
      </c>
      <c r="N103" s="113">
        <f>AW103</f>
        <v>0</v>
      </c>
      <c r="O103" s="113">
        <f>BE103</f>
        <v>0</v>
      </c>
      <c r="P103" s="113">
        <f>'2012'!AZ103+'2012'!BA103</f>
        <v>0</v>
      </c>
      <c r="Q103" s="113">
        <f>'2012'!AU103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c r="A104" s="80">
        <f>ROWS($A$3:A102)</f>
        <v>100</v>
      </c>
      <c r="B104" s="55"/>
      <c r="C104" s="203"/>
      <c r="D104" s="259"/>
      <c r="E104" s="435"/>
      <c r="F104" s="154"/>
      <c r="G104" s="155"/>
      <c r="H104" s="155"/>
      <c r="I104" s="156"/>
      <c r="J104" s="281"/>
      <c r="K104" s="157">
        <f>BF104</f>
        <v>0</v>
      </c>
      <c r="L104" s="113">
        <f>AY104</f>
        <v>0</v>
      </c>
      <c r="M104" s="113">
        <f>BD104</f>
        <v>0</v>
      </c>
      <c r="N104" s="113">
        <f>AW104</f>
        <v>0</v>
      </c>
      <c r="O104" s="113">
        <f>BE104</f>
        <v>0</v>
      </c>
      <c r="P104" s="113">
        <f>'2012'!AZ104+'2012'!BA104</f>
        <v>0</v>
      </c>
      <c r="Q104" s="113">
        <f>'2012'!AU104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80">
        <f>ROWS($A$3:A103)</f>
        <v>101</v>
      </c>
      <c r="B105" s="55"/>
      <c r="C105" s="203"/>
      <c r="D105" s="259"/>
      <c r="E105" s="435"/>
      <c r="F105" s="154"/>
      <c r="G105" s="155"/>
      <c r="H105" s="155"/>
      <c r="I105" s="156"/>
      <c r="J105" s="281"/>
      <c r="K105" s="157">
        <f>BF105</f>
        <v>0</v>
      </c>
      <c r="L105" s="113">
        <f>AY105</f>
        <v>0</v>
      </c>
      <c r="M105" s="113">
        <f>BD105</f>
        <v>0</v>
      </c>
      <c r="N105" s="113">
        <f>AW105</f>
        <v>0</v>
      </c>
      <c r="O105" s="113">
        <f>BE105</f>
        <v>0</v>
      </c>
      <c r="P105" s="113">
        <f>'2012'!AZ105+'2012'!BA105</f>
        <v>0</v>
      </c>
      <c r="Q105" s="113">
        <f>'2012'!AU105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c r="A106" s="80">
        <f>ROWS($A$3:A104)</f>
        <v>102</v>
      </c>
      <c r="B106" s="56"/>
      <c r="C106" s="206"/>
      <c r="D106" s="265"/>
      <c r="E106" s="439"/>
      <c r="F106" s="160"/>
      <c r="G106" s="161"/>
      <c r="H106" s="161"/>
      <c r="I106" s="162"/>
      <c r="J106" s="282"/>
      <c r="K106" s="163">
        <f>BF106</f>
        <v>0</v>
      </c>
      <c r="L106" s="164">
        <f>AY106</f>
        <v>0</v>
      </c>
      <c r="M106" s="164">
        <f>BD106</f>
        <v>0</v>
      </c>
      <c r="N106" s="164">
        <f>AW106</f>
        <v>0</v>
      </c>
      <c r="O106" s="164">
        <f>BE106</f>
        <v>0</v>
      </c>
      <c r="P106" s="164">
        <f>'2012'!AZ106+'2012'!BA106</f>
        <v>0</v>
      </c>
      <c r="Q106" s="164">
        <f>'2012'!AU106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c r="B107" s="57"/>
      <c r="C107" s="203"/>
      <c r="D107" s="48"/>
      <c r="E107" s="322"/>
      <c r="F107" s="155">
        <f t="shared" ref="F107:AK107" si="177">SUM(F7:F92)</f>
        <v>16019939.797868181</v>
      </c>
      <c r="G107" s="155">
        <f t="shared" si="177"/>
        <v>9338374.926108975</v>
      </c>
      <c r="H107" s="155">
        <f t="shared" si="177"/>
        <v>9760345.8408369962</v>
      </c>
      <c r="I107" s="155">
        <f t="shared" si="177"/>
        <v>9935018.8545897584</v>
      </c>
      <c r="J107" s="155">
        <f t="shared" si="177"/>
        <v>0</v>
      </c>
      <c r="K107" s="155">
        <f t="shared" si="177"/>
        <v>1667280.0441455327</v>
      </c>
      <c r="L107" s="155">
        <f t="shared" si="177"/>
        <v>1358568.8116832005</v>
      </c>
      <c r="M107" s="155">
        <f t="shared" si="177"/>
        <v>1227874.4327317835</v>
      </c>
      <c r="N107" s="155">
        <f t="shared" si="177"/>
        <v>954603.20097646967</v>
      </c>
      <c r="O107" s="155">
        <f t="shared" si="177"/>
        <v>709552.30338156852</v>
      </c>
      <c r="P107" s="155">
        <f t="shared" si="177"/>
        <v>1753567.6839434437</v>
      </c>
      <c r="Q107" s="155">
        <f t="shared" si="177"/>
        <v>1277191.4407479754</v>
      </c>
      <c r="R107" s="155">
        <f t="shared" si="177"/>
        <v>3159234.3444468495</v>
      </c>
      <c r="S107" s="155">
        <f t="shared" si="177"/>
        <v>1487834.0115972019</v>
      </c>
      <c r="T107" s="155">
        <f t="shared" si="177"/>
        <v>925575.13958048157</v>
      </c>
      <c r="U107" s="155">
        <f t="shared" si="177"/>
        <v>1809627.847200912</v>
      </c>
      <c r="V107" s="155">
        <f t="shared" si="177"/>
        <v>1057022.5508610853</v>
      </c>
      <c r="W107" s="155">
        <f t="shared" si="177"/>
        <v>680743.09306204156</v>
      </c>
      <c r="X107" s="155">
        <f t="shared" si="177"/>
        <v>2320112.3485857304</v>
      </c>
      <c r="Y107" s="155">
        <f t="shared" si="177"/>
        <v>2721858.2943355828</v>
      </c>
      <c r="Z107" s="155">
        <f t="shared" si="177"/>
        <v>932697.51003485546</v>
      </c>
      <c r="AA107" s="155">
        <f t="shared" si="177"/>
        <v>1091349.4001213708</v>
      </c>
      <c r="AB107" s="155">
        <f t="shared" si="177"/>
        <v>688689.08947516314</v>
      </c>
      <c r="AC107" s="155">
        <f t="shared" si="177"/>
        <v>1027190.8586046399</v>
      </c>
      <c r="AD107" s="155">
        <f t="shared" si="177"/>
        <v>709330.34172999696</v>
      </c>
      <c r="AE107" s="155">
        <f t="shared" si="177"/>
        <v>1829061.6021387537</v>
      </c>
      <c r="AF107" s="155">
        <f t="shared" si="177"/>
        <v>899786.10856351769</v>
      </c>
      <c r="AG107" s="155">
        <f t="shared" si="177"/>
        <v>1855807.7012761724</v>
      </c>
      <c r="AH107" s="155">
        <f t="shared" si="177"/>
        <v>1046866.6466047368</v>
      </c>
      <c r="AI107" s="155">
        <f t="shared" si="177"/>
        <v>780118.18504919286</v>
      </c>
      <c r="AJ107" s="155">
        <f t="shared" si="177"/>
        <v>786536.83095643658</v>
      </c>
      <c r="AK107" s="155">
        <f t="shared" si="177"/>
        <v>974934.02110031794</v>
      </c>
      <c r="AL107" s="155">
        <f t="shared" ref="AL107:BQ107" si="178">SUM(AL7:AL92)</f>
        <v>997242.56618674437</v>
      </c>
      <c r="AM107" s="155">
        <f t="shared" si="178"/>
        <v>1430774.1182497498</v>
      </c>
      <c r="AN107" s="155">
        <f t="shared" si="178"/>
        <v>1635882.7154592539</v>
      </c>
      <c r="AO107" s="155">
        <f t="shared" si="178"/>
        <v>1299608.1449070808</v>
      </c>
      <c r="AP107" s="155">
        <f t="shared" si="178"/>
        <v>841513.93895561516</v>
      </c>
      <c r="AQ107" s="155">
        <f t="shared" si="178"/>
        <v>1077164.4305667174</v>
      </c>
      <c r="AR107" s="155">
        <f t="shared" si="178"/>
        <v>925821.25376010814</v>
      </c>
      <c r="AS107" s="155">
        <f t="shared" si="178"/>
        <v>1902221.6559988994</v>
      </c>
      <c r="AT107" s="155">
        <f t="shared" si="178"/>
        <v>1715776.2738050856</v>
      </c>
      <c r="AU107" s="155">
        <f t="shared" si="178"/>
        <v>1281937.8508590865</v>
      </c>
      <c r="AV107" s="155">
        <f t="shared" si="178"/>
        <v>1487834.0115972019</v>
      </c>
      <c r="AW107" s="155">
        <f t="shared" si="178"/>
        <v>954603.20097646967</v>
      </c>
      <c r="AX107" s="155">
        <f t="shared" si="178"/>
        <v>1593689.1692672244</v>
      </c>
      <c r="AY107" s="155">
        <f t="shared" si="178"/>
        <v>1358568.8116832005</v>
      </c>
      <c r="AZ107" s="155">
        <f t="shared" si="178"/>
        <v>404751.00151676551</v>
      </c>
      <c r="BA107" s="155">
        <f t="shared" si="178"/>
        <v>1393886.5514272149</v>
      </c>
      <c r="BB107" s="155">
        <f t="shared" si="178"/>
        <v>925575.13958048157</v>
      </c>
      <c r="BC107" s="155">
        <f t="shared" si="178"/>
        <v>1809627.847200912</v>
      </c>
      <c r="BD107" s="155">
        <f t="shared" si="178"/>
        <v>1227874.4327317835</v>
      </c>
      <c r="BE107" s="155">
        <f t="shared" si="178"/>
        <v>709552.30338156852</v>
      </c>
      <c r="BF107" s="155">
        <f t="shared" si="178"/>
        <v>1667280.0441455327</v>
      </c>
      <c r="BG107" s="155">
        <f t="shared" si="178"/>
        <v>223764.3489551211</v>
      </c>
      <c r="BH107" s="155">
        <f t="shared" si="178"/>
        <v>818867.47831690463</v>
      </c>
      <c r="BI107" s="155">
        <f t="shared" si="178"/>
        <v>1537935.0857813901</v>
      </c>
      <c r="BJ107" s="155">
        <f t="shared" si="178"/>
        <v>859525.78747207671</v>
      </c>
      <c r="BK107" s="155">
        <f t="shared" si="178"/>
        <v>495135.41251772351</v>
      </c>
      <c r="BL107" s="155">
        <f t="shared" si="178"/>
        <v>766127.01486419607</v>
      </c>
      <c r="BM107" s="155">
        <f t="shared" si="178"/>
        <v>932697.51003485546</v>
      </c>
      <c r="BN107" s="155">
        <f t="shared" si="178"/>
        <v>1558409.4085712023</v>
      </c>
      <c r="BO107" s="155">
        <f t="shared" si="178"/>
        <v>337971.69269929652</v>
      </c>
      <c r="BP107" s="155">
        <f t="shared" si="178"/>
        <v>688689.08947516314</v>
      </c>
      <c r="BQ107" s="155">
        <f t="shared" si="178"/>
        <v>806638.11304572027</v>
      </c>
      <c r="BR107" s="155">
        <f t="shared" ref="BR107:CL107" si="179">SUM(BR7:BR92)</f>
        <v>680743.09306204156</v>
      </c>
      <c r="BS107" s="155">
        <f t="shared" si="179"/>
        <v>607554.32431197446</v>
      </c>
      <c r="BT107" s="155">
        <f t="shared" si="179"/>
        <v>1259561.7120807683</v>
      </c>
      <c r="BU107" s="155">
        <f t="shared" si="179"/>
        <v>709330.34172999696</v>
      </c>
      <c r="BV107" s="155">
        <f t="shared" si="179"/>
        <v>1855807.7012761724</v>
      </c>
      <c r="BW107" s="155">
        <f t="shared" si="179"/>
        <v>780118.18504919286</v>
      </c>
      <c r="BX107" s="155">
        <f t="shared" si="179"/>
        <v>1027190.8586046399</v>
      </c>
      <c r="BY107" s="155">
        <f t="shared" si="179"/>
        <v>786536.83095643658</v>
      </c>
      <c r="BZ107" s="155">
        <f t="shared" si="179"/>
        <v>1046866.6466047368</v>
      </c>
      <c r="CA107" s="155">
        <f t="shared" si="179"/>
        <v>899786.10856351769</v>
      </c>
      <c r="CB107" s="155">
        <f t="shared" si="179"/>
        <v>974934.02110031794</v>
      </c>
      <c r="CC107" s="155">
        <f t="shared" si="179"/>
        <v>1299608.1449070808</v>
      </c>
      <c r="CD107" s="155">
        <f t="shared" si="179"/>
        <v>841513.93895561516</v>
      </c>
      <c r="CE107" s="155">
        <f t="shared" si="179"/>
        <v>997242.56618674437</v>
      </c>
      <c r="CF107" s="155">
        <f t="shared" si="179"/>
        <v>404340.89350422815</v>
      </c>
      <c r="CG107" s="155">
        <f t="shared" si="179"/>
        <v>1499834.0632190267</v>
      </c>
      <c r="CH107" s="155">
        <f t="shared" si="179"/>
        <v>1430774.1182497498</v>
      </c>
      <c r="CI107" s="155">
        <f t="shared" si="179"/>
        <v>925821.25376010814</v>
      </c>
      <c r="CJ107" s="155">
        <f t="shared" si="179"/>
        <v>1635882.7154592539</v>
      </c>
      <c r="CK107" s="155">
        <f t="shared" si="179"/>
        <v>1077164.4305667174</v>
      </c>
      <c r="CL107" s="155">
        <f t="shared" si="179"/>
        <v>44988760.191327296</v>
      </c>
    </row>
    <row r="108" spans="1:90">
      <c r="B108" s="71" t="s">
        <v>209</v>
      </c>
    </row>
    <row r="109" spans="1:90">
      <c r="B109" s="73" t="s">
        <v>277</v>
      </c>
    </row>
    <row r="110" spans="1:90">
      <c r="B110" s="73" t="s">
        <v>205</v>
      </c>
    </row>
    <row r="111" spans="1:90">
      <c r="B111" s="73" t="s">
        <v>206</v>
      </c>
    </row>
    <row r="112" spans="1:90">
      <c r="B112" s="73" t="s">
        <v>286</v>
      </c>
    </row>
    <row r="113" spans="1:90">
      <c r="B113" s="73" t="s">
        <v>78</v>
      </c>
    </row>
    <row r="114" spans="1:90">
      <c r="B114" s="73" t="s">
        <v>207</v>
      </c>
    </row>
    <row r="115" spans="1:90">
      <c r="B115" s="73" t="s">
        <v>211</v>
      </c>
    </row>
    <row r="117" spans="1:90" s="69" customFormat="1" ht="11.25">
      <c r="A117" s="327"/>
      <c r="B117" s="328" t="s">
        <v>63</v>
      </c>
      <c r="C117" s="322"/>
      <c r="D117" s="329" t="s">
        <v>11</v>
      </c>
      <c r="E117" s="441"/>
      <c r="F117" s="323"/>
      <c r="G117" s="323"/>
      <c r="H117" s="323"/>
      <c r="I117" s="323"/>
      <c r="J117" s="324"/>
      <c r="K117" s="323">
        <f>BF117</f>
        <v>3500</v>
      </c>
      <c r="L117" s="323">
        <f>AY117</f>
        <v>3600</v>
      </c>
      <c r="M117" s="323">
        <f>BD117</f>
        <v>2600</v>
      </c>
      <c r="N117" s="323">
        <f>AW117</f>
        <v>1600</v>
      </c>
      <c r="O117" s="323">
        <f>BE117</f>
        <v>1100</v>
      </c>
      <c r="P117" s="323">
        <f>'2012'!AZ117+'2012'!BA117</f>
        <v>5400</v>
      </c>
      <c r="Q117" s="323">
        <f>'2012'!AU117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325">
        <v>2011</v>
      </c>
      <c r="D118" s="329" t="s">
        <v>285</v>
      </c>
      <c r="E118" s="442"/>
      <c r="F118" s="323">
        <v>643</v>
      </c>
      <c r="G118" s="324">
        <v>324</v>
      </c>
      <c r="H118" s="324">
        <v>500</v>
      </c>
      <c r="I118" s="323">
        <v>456</v>
      </c>
      <c r="J118" s="324"/>
      <c r="K118" s="323">
        <f>BF118</f>
        <v>76</v>
      </c>
      <c r="L118" s="324">
        <f>AY118</f>
        <v>48</v>
      </c>
      <c r="M118" s="324">
        <f>BD118</f>
        <v>58</v>
      </c>
      <c r="N118" s="324">
        <f>AW118</f>
        <v>29</v>
      </c>
      <c r="O118" s="324">
        <f>BE118</f>
        <v>29</v>
      </c>
      <c r="P118" s="423">
        <f>AZ118+BA118</f>
        <v>91</v>
      </c>
      <c r="Q118" s="323">
        <f>AU118</f>
        <v>22</v>
      </c>
      <c r="R118" s="423">
        <f>AT118+AX118</f>
        <v>76</v>
      </c>
      <c r="S118" s="324">
        <f>AV118</f>
        <v>30</v>
      </c>
      <c r="T118" s="324">
        <f>BB118</f>
        <v>71</v>
      </c>
      <c r="U118" s="323">
        <f>BC118</f>
        <v>114</v>
      </c>
      <c r="V118" s="423">
        <f>BG118+BJ118</f>
        <v>44</v>
      </c>
      <c r="W118" s="324">
        <f>BR118</f>
        <v>25</v>
      </c>
      <c r="X118" s="423">
        <f>BH118+BI118</f>
        <v>59</v>
      </c>
      <c r="Y118" s="423">
        <f>BK118+BL118+BN118</f>
        <v>77</v>
      </c>
      <c r="Z118" s="324">
        <f>BM118</f>
        <v>56</v>
      </c>
      <c r="AA118" s="423">
        <f>BO118+BQ118</f>
        <v>34</v>
      </c>
      <c r="AB118" s="323">
        <f>BP118</f>
        <v>29</v>
      </c>
      <c r="AC118" s="324">
        <f>BX118</f>
        <v>38</v>
      </c>
      <c r="AD118" s="324">
        <f>BU118</f>
        <v>42</v>
      </c>
      <c r="AE118" s="423">
        <f>BS118+BT118</f>
        <v>116</v>
      </c>
      <c r="AF118" s="324">
        <f>CA118</f>
        <v>40</v>
      </c>
      <c r="AG118" s="324">
        <f>BV118</f>
        <v>115</v>
      </c>
      <c r="AH118" s="324">
        <f>BZ118</f>
        <v>62</v>
      </c>
      <c r="AI118" s="324">
        <f>BW118</f>
        <v>32</v>
      </c>
      <c r="AJ118" s="324">
        <f>BY118</f>
        <v>21</v>
      </c>
      <c r="AK118" s="323">
        <f>CB118</f>
        <v>35</v>
      </c>
      <c r="AL118" s="324">
        <f>CE118</f>
        <v>25</v>
      </c>
      <c r="AM118" s="324">
        <f>CH118</f>
        <v>84</v>
      </c>
      <c r="AN118" s="324">
        <f>CJ118</f>
        <v>105</v>
      </c>
      <c r="AO118" s="324">
        <f>CC118</f>
        <v>32</v>
      </c>
      <c r="AP118" s="324">
        <f>CD118</f>
        <v>15</v>
      </c>
      <c r="AQ118" s="324">
        <f>CK118</f>
        <v>53</v>
      </c>
      <c r="AR118" s="324">
        <f>CI118</f>
        <v>61</v>
      </c>
      <c r="AS118" s="423">
        <f>CF118+CG118</f>
        <v>79</v>
      </c>
      <c r="AT118" s="324">
        <v>18</v>
      </c>
      <c r="AU118" s="324">
        <v>22</v>
      </c>
      <c r="AV118" s="324">
        <v>30</v>
      </c>
      <c r="AW118" s="324">
        <v>29</v>
      </c>
      <c r="AX118" s="324">
        <v>58</v>
      </c>
      <c r="AY118" s="324">
        <v>48</v>
      </c>
      <c r="AZ118" s="324">
        <v>11</v>
      </c>
      <c r="BA118" s="324">
        <v>80</v>
      </c>
      <c r="BB118" s="324">
        <v>71</v>
      </c>
      <c r="BC118" s="324">
        <v>114</v>
      </c>
      <c r="BD118" s="324">
        <v>58</v>
      </c>
      <c r="BE118" s="324">
        <v>29</v>
      </c>
      <c r="BF118" s="323">
        <v>76</v>
      </c>
      <c r="BG118" s="324">
        <v>12</v>
      </c>
      <c r="BH118" s="324">
        <v>10</v>
      </c>
      <c r="BI118" s="324">
        <v>49</v>
      </c>
      <c r="BJ118" s="324">
        <v>32</v>
      </c>
      <c r="BK118" s="324">
        <v>10</v>
      </c>
      <c r="BL118" s="324">
        <v>5</v>
      </c>
      <c r="BM118" s="324">
        <v>56</v>
      </c>
      <c r="BN118" s="324">
        <v>62</v>
      </c>
      <c r="BO118" s="324">
        <v>8</v>
      </c>
      <c r="BP118" s="324">
        <v>29</v>
      </c>
      <c r="BQ118" s="324">
        <v>26</v>
      </c>
      <c r="BR118" s="323">
        <v>25</v>
      </c>
      <c r="BS118" s="324">
        <v>16</v>
      </c>
      <c r="BT118" s="324">
        <v>100</v>
      </c>
      <c r="BU118" s="324">
        <v>42</v>
      </c>
      <c r="BV118" s="324">
        <v>115</v>
      </c>
      <c r="BW118" s="324">
        <v>32</v>
      </c>
      <c r="BX118" s="324">
        <v>38</v>
      </c>
      <c r="BY118" s="324">
        <v>21</v>
      </c>
      <c r="BZ118" s="324">
        <v>62</v>
      </c>
      <c r="CA118" s="324">
        <v>40</v>
      </c>
      <c r="CB118" s="323">
        <v>35</v>
      </c>
      <c r="CC118" s="324">
        <v>32</v>
      </c>
      <c r="CD118" s="324">
        <v>15</v>
      </c>
      <c r="CE118" s="324">
        <v>25</v>
      </c>
      <c r="CF118" s="324">
        <v>7</v>
      </c>
      <c r="CG118" s="324">
        <v>72</v>
      </c>
      <c r="CH118" s="324">
        <v>84</v>
      </c>
      <c r="CI118" s="324">
        <v>61</v>
      </c>
      <c r="CJ118" s="324">
        <v>105</v>
      </c>
      <c r="CK118" s="323">
        <v>53</v>
      </c>
      <c r="CL118" s="323">
        <v>1922</v>
      </c>
    </row>
    <row r="119" spans="1:90" s="69" customFormat="1" ht="11.25">
      <c r="B119" s="328" t="s">
        <v>289</v>
      </c>
      <c r="C119" s="322">
        <v>2010</v>
      </c>
      <c r="D119" s="69" t="s">
        <v>13</v>
      </c>
      <c r="E119" s="443">
        <v>40441</v>
      </c>
      <c r="F119" s="323"/>
      <c r="G119" s="323">
        <v>324</v>
      </c>
      <c r="H119" s="323">
        <v>500</v>
      </c>
      <c r="I119" s="323">
        <v>456</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322"/>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288</v>
      </c>
      <c r="C121" s="322">
        <v>2010</v>
      </c>
      <c r="D121" s="69" t="s">
        <v>13</v>
      </c>
      <c r="E121" s="443">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322"/>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1.25">
      <c r="B123" s="328" t="s">
        <v>235</v>
      </c>
      <c r="C123" s="322">
        <v>2012</v>
      </c>
      <c r="D123" s="69" t="s">
        <v>13</v>
      </c>
      <c r="E123" s="443">
        <v>41673</v>
      </c>
      <c r="F123" s="323">
        <v>3148</v>
      </c>
      <c r="G123" s="323">
        <v>681</v>
      </c>
      <c r="H123" s="323">
        <v>2722</v>
      </c>
      <c r="I123" s="323">
        <v>4220</v>
      </c>
      <c r="J123" s="323"/>
      <c r="K123" s="323">
        <f>BF123</f>
        <v>663</v>
      </c>
      <c r="L123" s="323">
        <f>AY123</f>
        <v>209</v>
      </c>
      <c r="M123" s="323">
        <f>BD123</f>
        <v>209</v>
      </c>
      <c r="N123" s="323">
        <f>AW123</f>
        <v>271</v>
      </c>
      <c r="O123" s="323">
        <f>BE123</f>
        <v>185</v>
      </c>
      <c r="P123" s="323">
        <f>'2012'!BA123</f>
        <v>100</v>
      </c>
      <c r="Q123" s="323">
        <f>'2012'!AU123</f>
        <v>76</v>
      </c>
      <c r="R123" s="323">
        <f>AX123</f>
        <v>120</v>
      </c>
      <c r="S123" s="323">
        <f>AV123</f>
        <v>88</v>
      </c>
      <c r="T123" s="323">
        <f>BB123</f>
        <v>190</v>
      </c>
      <c r="U123" s="323">
        <f>BC123</f>
        <v>592</v>
      </c>
      <c r="V123" s="323">
        <f>BJ123</f>
        <v>20</v>
      </c>
      <c r="W123" s="323">
        <f>BR123</f>
        <v>113</v>
      </c>
      <c r="X123" s="323">
        <f>BI123</f>
        <v>26</v>
      </c>
      <c r="Y123" s="323">
        <f>BN123</f>
        <v>76</v>
      </c>
      <c r="Z123" s="323">
        <f>BM123</f>
        <v>187</v>
      </c>
      <c r="AA123" s="323">
        <f>BQ123</f>
        <v>61</v>
      </c>
      <c r="AB123" s="323">
        <f>BP123</f>
        <v>105</v>
      </c>
      <c r="AC123" s="323">
        <f>BX123</f>
        <v>438</v>
      </c>
      <c r="AD123" s="323">
        <f>BU123</f>
        <v>174</v>
      </c>
      <c r="AE123" s="323">
        <f>BT123</f>
        <v>432</v>
      </c>
      <c r="AF123" s="323">
        <f>CA123</f>
        <v>177</v>
      </c>
      <c r="AG123" s="323">
        <f>BV123</f>
        <v>459</v>
      </c>
      <c r="AH123" s="323">
        <f>BZ123</f>
        <v>217</v>
      </c>
      <c r="AI123" s="323">
        <f>BW123</f>
        <v>201</v>
      </c>
      <c r="AJ123" s="323">
        <f>BY123</f>
        <v>116</v>
      </c>
      <c r="AK123" s="323">
        <f>CB123</f>
        <v>330</v>
      </c>
      <c r="AL123" s="323">
        <f>CE123</f>
        <v>71</v>
      </c>
      <c r="AM123" s="323">
        <f>CH123</f>
        <v>795</v>
      </c>
      <c r="AN123" s="323">
        <f>CJ123</f>
        <v>1543</v>
      </c>
      <c r="AO123" s="323">
        <f>CC123</f>
        <v>201</v>
      </c>
      <c r="AP123" s="323">
        <f>CD123</f>
        <v>33</v>
      </c>
      <c r="AQ123" s="323">
        <f>CK123</f>
        <v>332</v>
      </c>
      <c r="AR123" s="323">
        <f>CI123</f>
        <v>287</v>
      </c>
      <c r="AS123" s="323">
        <f>CG123</f>
        <v>475</v>
      </c>
      <c r="AT123" s="323">
        <v>15</v>
      </c>
      <c r="AU123" s="323">
        <v>76</v>
      </c>
      <c r="AV123" s="323">
        <v>88</v>
      </c>
      <c r="AW123" s="323">
        <v>271</v>
      </c>
      <c r="AX123" s="323">
        <v>120</v>
      </c>
      <c r="AY123" s="323">
        <v>209</v>
      </c>
      <c r="AZ123" s="323">
        <v>3</v>
      </c>
      <c r="BA123" s="323">
        <v>100</v>
      </c>
      <c r="BB123" s="323">
        <v>190</v>
      </c>
      <c r="BC123" s="323">
        <v>592</v>
      </c>
      <c r="BD123" s="323">
        <v>209</v>
      </c>
      <c r="BE123" s="323">
        <v>185</v>
      </c>
      <c r="BF123" s="323">
        <v>663</v>
      </c>
      <c r="BG123" s="323" t="s">
        <v>58</v>
      </c>
      <c r="BH123" s="323">
        <v>2</v>
      </c>
      <c r="BI123" s="323">
        <v>26</v>
      </c>
      <c r="BJ123" s="323">
        <v>20</v>
      </c>
      <c r="BK123" s="323">
        <v>6</v>
      </c>
      <c r="BL123" s="323">
        <v>2</v>
      </c>
      <c r="BM123" s="323">
        <v>187</v>
      </c>
      <c r="BN123" s="323">
        <v>76</v>
      </c>
      <c r="BO123" s="323">
        <v>1</v>
      </c>
      <c r="BP123" s="323">
        <v>105</v>
      </c>
      <c r="BQ123" s="323">
        <v>61</v>
      </c>
      <c r="BR123" s="323">
        <v>113</v>
      </c>
      <c r="BS123" s="323">
        <v>5</v>
      </c>
      <c r="BT123" s="323">
        <v>432</v>
      </c>
      <c r="BU123" s="323">
        <v>174</v>
      </c>
      <c r="BV123" s="323">
        <v>459</v>
      </c>
      <c r="BW123" s="323">
        <v>201</v>
      </c>
      <c r="BX123" s="323">
        <v>438</v>
      </c>
      <c r="BY123" s="323">
        <v>116</v>
      </c>
      <c r="BZ123" s="323">
        <v>217</v>
      </c>
      <c r="CA123" s="323">
        <v>177</v>
      </c>
      <c r="CB123" s="323">
        <v>330</v>
      </c>
      <c r="CC123" s="323">
        <v>201</v>
      </c>
      <c r="CD123" s="323">
        <v>33</v>
      </c>
      <c r="CE123" s="323">
        <v>71</v>
      </c>
      <c r="CF123" s="323">
        <v>19</v>
      </c>
      <c r="CG123" s="323">
        <v>475</v>
      </c>
      <c r="CH123" s="323">
        <v>795</v>
      </c>
      <c r="CI123" s="323">
        <v>287</v>
      </c>
      <c r="CJ123" s="323">
        <v>1543</v>
      </c>
      <c r="CK123" s="323">
        <v>332</v>
      </c>
      <c r="CL123" s="323">
        <v>9625</v>
      </c>
    </row>
    <row r="124" spans="1:90" s="69" customFormat="1" ht="11.25">
      <c r="B124" s="328" t="s">
        <v>236</v>
      </c>
      <c r="C124" s="322">
        <v>2010</v>
      </c>
      <c r="D124" s="69" t="s">
        <v>13</v>
      </c>
      <c r="E124" s="443">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c r="B125" s="328" t="s">
        <v>237</v>
      </c>
      <c r="C125" s="322">
        <v>2010</v>
      </c>
      <c r="D125" s="69" t="s">
        <v>13</v>
      </c>
      <c r="E125" s="443">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s="69" customFormat="1" ht="11.25">
      <c r="B126" s="328" t="s">
        <v>287</v>
      </c>
      <c r="C126" s="322"/>
      <c r="E126" s="443"/>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'2012'!AZ126+'2012'!BA126</f>
        <v>6973</v>
      </c>
      <c r="Q126" s="323">
        <f>'2012'!AU126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c r="B127" s="328"/>
      <c r="C127" s="322"/>
      <c r="E127" s="443"/>
      <c r="F127" s="323">
        <f>F126/F35%</f>
        <v>62.946649616588516</v>
      </c>
      <c r="G127" s="323">
        <f>G126/G35%</f>
        <v>42.470501767907514</v>
      </c>
      <c r="H127" s="323">
        <f>H126/H35%</f>
        <v>49.633486139083601</v>
      </c>
      <c r="I127" s="323">
        <f>I126/I35%</f>
        <v>52.657707056925538</v>
      </c>
      <c r="J127" s="323"/>
      <c r="K127" s="323">
        <f t="shared" ref="K127:BV127" si="180">K126/K35%</f>
        <v>99.268413400563006</v>
      </c>
      <c r="L127" s="323">
        <f t="shared" si="180"/>
        <v>69.175556950109822</v>
      </c>
      <c r="M127" s="323">
        <f t="shared" si="180"/>
        <v>70.264233018840187</v>
      </c>
      <c r="N127" s="323">
        <f t="shared" si="180"/>
        <v>73.910260968498903</v>
      </c>
      <c r="O127" s="323">
        <f t="shared" si="180"/>
        <v>59.728904161893858</v>
      </c>
      <c r="P127" s="323">
        <f t="shared" si="180"/>
        <v>12.006474163610379</v>
      </c>
      <c r="Q127" s="323">
        <f t="shared" si="180"/>
        <v>48.340738054220687</v>
      </c>
      <c r="R127" s="323">
        <f t="shared" si="180"/>
        <v>1.4480629993942364</v>
      </c>
      <c r="S127" s="323">
        <f t="shared" si="180"/>
        <v>56.736107573982579</v>
      </c>
      <c r="T127" s="323">
        <f t="shared" si="180"/>
        <v>56.536082474226802</v>
      </c>
      <c r="U127" s="323">
        <f t="shared" si="180"/>
        <v>96.604796772461142</v>
      </c>
      <c r="V127" s="323">
        <f t="shared" si="180"/>
        <v>33.655705996131523</v>
      </c>
      <c r="W127" s="323">
        <f t="shared" si="180"/>
        <v>82.393993866976842</v>
      </c>
      <c r="X127" s="323">
        <f t="shared" si="180"/>
        <v>6.5866613218419605</v>
      </c>
      <c r="Y127" s="323">
        <f t="shared" si="180"/>
        <v>15.782338366602778</v>
      </c>
      <c r="Z127" s="323">
        <f t="shared" si="180"/>
        <v>70.176802020594522</v>
      </c>
      <c r="AA127" s="323">
        <f t="shared" si="180"/>
        <v>45.946616392141294</v>
      </c>
      <c r="AB127" s="323">
        <f t="shared" si="180"/>
        <v>77.637375376767906</v>
      </c>
      <c r="AC127" s="323">
        <f t="shared" si="180"/>
        <v>64.570295397769698</v>
      </c>
      <c r="AD127" s="323">
        <f t="shared" si="180"/>
        <v>35.691548980049312</v>
      </c>
      <c r="AE127" s="323">
        <f t="shared" si="180"/>
        <v>11.176741331696839</v>
      </c>
      <c r="AF127" s="323">
        <f t="shared" si="180"/>
        <v>28.987385519267324</v>
      </c>
      <c r="AG127" s="323">
        <f t="shared" si="180"/>
        <v>34.136936936936934</v>
      </c>
      <c r="AH127" s="323">
        <f t="shared" si="180"/>
        <v>65.443470509582525</v>
      </c>
      <c r="AI127" s="323">
        <f t="shared" si="180"/>
        <v>96.268235137739666</v>
      </c>
      <c r="AJ127" s="323">
        <f t="shared" si="180"/>
        <v>62.795876288659791</v>
      </c>
      <c r="AK127" s="323">
        <f t="shared" si="180"/>
        <v>71.009805967035263</v>
      </c>
      <c r="AL127" s="323">
        <f t="shared" si="180"/>
        <v>61.481306757872389</v>
      </c>
      <c r="AM127" s="323">
        <f t="shared" si="180"/>
        <v>19.664098936225958</v>
      </c>
      <c r="AN127" s="323">
        <f t="shared" si="180"/>
        <v>58.441588568247198</v>
      </c>
      <c r="AO127" s="323">
        <f t="shared" si="180"/>
        <v>101.09655802619555</v>
      </c>
      <c r="AP127" s="323">
        <f t="shared" si="180"/>
        <v>60.687801721992734</v>
      </c>
      <c r="AQ127" s="323">
        <f t="shared" si="180"/>
        <v>72.345774156849785</v>
      </c>
      <c r="AR127" s="323">
        <f t="shared" si="180"/>
        <v>23.502097064110245</v>
      </c>
      <c r="AS127" s="323">
        <f t="shared" si="180"/>
        <v>44.937183216676615</v>
      </c>
      <c r="AT127" s="323">
        <f t="shared" si="180"/>
        <v>11.155537784886045</v>
      </c>
      <c r="AU127" s="323">
        <f t="shared" si="180"/>
        <v>48.340738054220687</v>
      </c>
      <c r="AV127" s="323">
        <f t="shared" si="180"/>
        <v>56.736107573982579</v>
      </c>
      <c r="AW127" s="323">
        <f t="shared" si="180"/>
        <v>73.910260968498903</v>
      </c>
      <c r="AX127" s="323">
        <f t="shared" si="180"/>
        <v>0.69327861717341288</v>
      </c>
      <c r="AY127" s="323">
        <f t="shared" si="180"/>
        <v>69.175556950109822</v>
      </c>
      <c r="AZ127" s="323">
        <f t="shared" si="180"/>
        <v>0</v>
      </c>
      <c r="BA127" s="323">
        <f t="shared" si="180"/>
        <v>12.93788036217901</v>
      </c>
      <c r="BB127" s="323">
        <f t="shared" si="180"/>
        <v>56.536082474226802</v>
      </c>
      <c r="BC127" s="323">
        <f t="shared" si="180"/>
        <v>96.604796772461142</v>
      </c>
      <c r="BD127" s="323">
        <f t="shared" si="180"/>
        <v>70.264233018840187</v>
      </c>
      <c r="BE127" s="323">
        <f t="shared" si="180"/>
        <v>59.728904161893858</v>
      </c>
      <c r="BF127" s="323">
        <f t="shared" si="180"/>
        <v>99.268413400563006</v>
      </c>
      <c r="BG127" s="323">
        <f t="shared" si="180"/>
        <v>118.58932102834542</v>
      </c>
      <c r="BH127" s="323">
        <f t="shared" si="180"/>
        <v>0</v>
      </c>
      <c r="BI127" s="323">
        <f t="shared" si="180"/>
        <v>7.0301636538667243</v>
      </c>
      <c r="BJ127" s="323">
        <f t="shared" si="180"/>
        <v>24.776016540317023</v>
      </c>
      <c r="BK127" s="323">
        <f t="shared" si="180"/>
        <v>112.88913162206445</v>
      </c>
      <c r="BL127" s="323">
        <f t="shared" si="180"/>
        <v>0</v>
      </c>
      <c r="BM127" s="323">
        <f t="shared" si="180"/>
        <v>70.176802020594522</v>
      </c>
      <c r="BN127" s="323">
        <f t="shared" si="180"/>
        <v>12.29755623802399</v>
      </c>
      <c r="BO127" s="323">
        <f t="shared" si="180"/>
        <v>27.576054955839059</v>
      </c>
      <c r="BP127" s="323">
        <f t="shared" si="180"/>
        <v>77.637375376767906</v>
      </c>
      <c r="BQ127" s="323">
        <f t="shared" si="180"/>
        <v>46.924805350890942</v>
      </c>
      <c r="BR127" s="323">
        <f t="shared" si="180"/>
        <v>82.393993866976842</v>
      </c>
      <c r="BS127" s="323">
        <f t="shared" si="180"/>
        <v>6.0940220545560067</v>
      </c>
      <c r="BT127" s="323">
        <f t="shared" si="180"/>
        <v>11.536408066039673</v>
      </c>
      <c r="BU127" s="323">
        <f t="shared" si="180"/>
        <v>35.691548980049312</v>
      </c>
      <c r="BV127" s="323">
        <f t="shared" si="180"/>
        <v>34.136936936936934</v>
      </c>
      <c r="BW127" s="323">
        <f t="shared" ref="BW127:CL127" si="181">BW126/BW35%</f>
        <v>96.268235137739666</v>
      </c>
      <c r="BX127" s="323">
        <f t="shared" si="181"/>
        <v>64.570295397769698</v>
      </c>
      <c r="BY127" s="323">
        <f t="shared" si="181"/>
        <v>62.795876288659791</v>
      </c>
      <c r="BZ127" s="323">
        <f t="shared" si="181"/>
        <v>65.443470509582525</v>
      </c>
      <c r="CA127" s="323">
        <f t="shared" si="181"/>
        <v>28.987385519267324</v>
      </c>
      <c r="CB127" s="323">
        <f t="shared" si="181"/>
        <v>71.009805967035263</v>
      </c>
      <c r="CC127" s="323">
        <f t="shared" si="181"/>
        <v>101.09655802619555</v>
      </c>
      <c r="CD127" s="323">
        <f t="shared" si="181"/>
        <v>60.687801721992734</v>
      </c>
      <c r="CE127" s="323">
        <f t="shared" si="181"/>
        <v>61.481306757872389</v>
      </c>
      <c r="CF127" s="323">
        <f t="shared" si="181"/>
        <v>29.761397528760121</v>
      </c>
      <c r="CG127" s="323">
        <f t="shared" si="181"/>
        <v>45.89946911262107</v>
      </c>
      <c r="CH127" s="323">
        <f t="shared" si="181"/>
        <v>19.664098936225958</v>
      </c>
      <c r="CI127" s="323">
        <f t="shared" si="181"/>
        <v>23.502097064110245</v>
      </c>
      <c r="CJ127" s="323">
        <f t="shared" si="181"/>
        <v>58.441588568247198</v>
      </c>
      <c r="CK127" s="323">
        <f t="shared" si="181"/>
        <v>72.345774156849785</v>
      </c>
      <c r="CL127" s="323">
        <f t="shared" si="181"/>
        <v>53.909820509110716</v>
      </c>
    </row>
    <row r="128" spans="1:90" s="69" customFormat="1" ht="11.25">
      <c r="B128" s="328"/>
      <c r="C128" s="322"/>
      <c r="E128" s="44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c r="B129" s="58" t="s">
        <v>290</v>
      </c>
      <c r="D129" t="s">
        <v>7</v>
      </c>
      <c r="E129" s="440">
        <v>41673</v>
      </c>
      <c r="F129" s="126">
        <v>15500</v>
      </c>
      <c r="G129" s="126">
        <v>7543</v>
      </c>
      <c r="H129" s="126">
        <v>21801</v>
      </c>
      <c r="I129" s="126">
        <v>12214</v>
      </c>
      <c r="K129" s="126">
        <v>4365</v>
      </c>
      <c r="L129" s="126">
        <v>1942</v>
      </c>
      <c r="M129" s="126">
        <v>970</v>
      </c>
      <c r="N129" s="126">
        <v>1591</v>
      </c>
      <c r="O129" s="126">
        <v>539</v>
      </c>
      <c r="P129" s="126">
        <v>993</v>
      </c>
      <c r="Q129" s="126">
        <v>719</v>
      </c>
      <c r="R129" s="126">
        <v>333</v>
      </c>
      <c r="S129" s="126">
        <v>818</v>
      </c>
      <c r="T129" s="126">
        <v>1698</v>
      </c>
      <c r="U129" s="126">
        <v>3822</v>
      </c>
      <c r="V129" s="126">
        <v>764</v>
      </c>
      <c r="W129" s="126">
        <v>1163</v>
      </c>
      <c r="X129" s="126">
        <v>874</v>
      </c>
      <c r="Y129" s="126">
        <v>1013</v>
      </c>
      <c r="Z129" s="126">
        <v>1387</v>
      </c>
      <c r="AA129" s="126">
        <v>1098</v>
      </c>
      <c r="AB129" s="126">
        <v>1421</v>
      </c>
      <c r="AC129" s="126">
        <v>2192</v>
      </c>
      <c r="AD129" s="126">
        <v>2128</v>
      </c>
      <c r="AE129" s="126">
        <v>3534</v>
      </c>
      <c r="AF129" s="126">
        <v>2730</v>
      </c>
      <c r="AG129" s="126">
        <v>4035</v>
      </c>
      <c r="AH129" s="126">
        <v>1382</v>
      </c>
      <c r="AI129" s="126">
        <v>1811</v>
      </c>
      <c r="AJ129" s="126">
        <v>1294</v>
      </c>
      <c r="AK129" s="126">
        <v>3698</v>
      </c>
      <c r="AL129" s="126">
        <v>1907</v>
      </c>
      <c r="AM129" s="126">
        <v>3203</v>
      </c>
      <c r="AN129" s="126">
        <v>3047</v>
      </c>
      <c r="AO129" s="126">
        <v>1640</v>
      </c>
      <c r="AP129" s="126">
        <v>593</v>
      </c>
      <c r="AQ129" s="126">
        <v>2185</v>
      </c>
      <c r="AR129" s="126">
        <v>1023</v>
      </c>
      <c r="AS129" s="126">
        <v>2728</v>
      </c>
      <c r="AT129" s="126">
        <v>25</v>
      </c>
      <c r="AU129" s="126">
        <v>719</v>
      </c>
      <c r="AV129" s="126">
        <v>818</v>
      </c>
      <c r="AW129" s="126">
        <v>1591</v>
      </c>
      <c r="AX129" s="126">
        <v>333</v>
      </c>
      <c r="AY129" s="126">
        <v>1942</v>
      </c>
      <c r="AZ129" s="126">
        <v>16</v>
      </c>
      <c r="BA129" s="126">
        <v>993</v>
      </c>
      <c r="BB129" s="126">
        <v>1698</v>
      </c>
      <c r="BC129" s="126">
        <v>3822</v>
      </c>
      <c r="BD129" s="126">
        <v>970</v>
      </c>
      <c r="BE129" s="126">
        <v>539</v>
      </c>
      <c r="BF129" s="126">
        <v>4365</v>
      </c>
      <c r="BG129" s="126">
        <v>67</v>
      </c>
      <c r="BH129" s="126">
        <v>32</v>
      </c>
      <c r="BI129" s="126">
        <v>874</v>
      </c>
      <c r="BJ129" s="126">
        <v>697</v>
      </c>
      <c r="BK129" s="126">
        <v>94</v>
      </c>
      <c r="BL129" s="126">
        <v>24</v>
      </c>
      <c r="BM129" s="126">
        <v>1387</v>
      </c>
      <c r="BN129" s="126">
        <v>1013</v>
      </c>
      <c r="BO129" s="126">
        <v>34</v>
      </c>
      <c r="BP129" s="126">
        <v>1421</v>
      </c>
      <c r="BQ129" s="126">
        <v>1098</v>
      </c>
      <c r="BR129" s="126">
        <v>1163</v>
      </c>
      <c r="BS129" s="126">
        <v>127</v>
      </c>
      <c r="BT129" s="126">
        <v>3407</v>
      </c>
      <c r="BU129" s="126">
        <v>2128</v>
      </c>
      <c r="BV129" s="126">
        <v>4035</v>
      </c>
      <c r="BW129" s="126">
        <v>1811</v>
      </c>
      <c r="BX129" s="126">
        <v>2192</v>
      </c>
      <c r="BY129" s="126">
        <v>1294</v>
      </c>
      <c r="BZ129" s="126">
        <v>1382</v>
      </c>
      <c r="CA129" s="126">
        <v>2730</v>
      </c>
      <c r="CB129" s="126">
        <v>3698</v>
      </c>
      <c r="CC129" s="126">
        <v>1640</v>
      </c>
      <c r="CD129" s="126">
        <v>593</v>
      </c>
      <c r="CE129" s="126">
        <v>1907</v>
      </c>
      <c r="CF129" s="126">
        <v>102</v>
      </c>
      <c r="CG129" s="126">
        <v>2626</v>
      </c>
      <c r="CH129" s="126">
        <v>3203</v>
      </c>
      <c r="CI129" s="126">
        <v>1023</v>
      </c>
      <c r="CJ129" s="126">
        <v>3047</v>
      </c>
      <c r="CK129" s="126">
        <v>2185</v>
      </c>
      <c r="CL129" s="126">
        <v>64865</v>
      </c>
    </row>
    <row r="131" spans="2:90">
      <c r="B131" s="58" t="s">
        <v>287</v>
      </c>
      <c r="C131" s="198">
        <v>2012</v>
      </c>
      <c r="D131" s="466" t="s">
        <v>1</v>
      </c>
      <c r="E131" s="529">
        <v>42923</v>
      </c>
      <c r="F131" s="126">
        <f>SUM(AT131:BF131)</f>
        <v>320113</v>
      </c>
      <c r="G131" s="126">
        <f>SUM(BG131:BR131)</f>
        <v>98598</v>
      </c>
      <c r="H131" s="126">
        <f>SUM(BS131:CB131)</f>
        <v>167817</v>
      </c>
      <c r="I131" s="126">
        <f>SUM(CC131:CK131)</f>
        <v>239327</v>
      </c>
      <c r="AT131" s="126">
        <v>0</v>
      </c>
      <c r="AU131" s="126">
        <v>13419</v>
      </c>
      <c r="AV131" s="126">
        <v>16543</v>
      </c>
      <c r="AW131" s="126">
        <v>19636</v>
      </c>
      <c r="AX131" s="126">
        <v>803</v>
      </c>
      <c r="AY131" s="126">
        <v>24062</v>
      </c>
      <c r="AZ131" s="126">
        <v>0</v>
      </c>
      <c r="BA131" s="126">
        <v>8008</v>
      </c>
      <c r="BB131" s="126">
        <v>24550</v>
      </c>
      <c r="BC131" s="126">
        <v>77872</v>
      </c>
      <c r="BD131" s="126">
        <v>51045</v>
      </c>
      <c r="BE131" s="126">
        <v>14978</v>
      </c>
      <c r="BF131" s="126">
        <v>69197</v>
      </c>
      <c r="BG131" s="126">
        <v>0</v>
      </c>
      <c r="BH131" s="126">
        <v>0</v>
      </c>
      <c r="BI131" s="126">
        <v>3844</v>
      </c>
      <c r="BJ131" s="126">
        <v>8181</v>
      </c>
      <c r="BK131" s="126">
        <v>0</v>
      </c>
      <c r="BL131" s="126">
        <v>0</v>
      </c>
      <c r="BM131" s="126">
        <v>34736</v>
      </c>
      <c r="BN131" s="126">
        <v>8292</v>
      </c>
      <c r="BO131" s="126">
        <v>0</v>
      </c>
      <c r="BP131" s="126">
        <v>15040</v>
      </c>
      <c r="BQ131" s="126">
        <v>11518</v>
      </c>
      <c r="BR131" s="126">
        <v>16987</v>
      </c>
      <c r="BS131" s="126">
        <v>0</v>
      </c>
      <c r="BT131" s="126">
        <v>5841</v>
      </c>
      <c r="BU131" s="126">
        <v>8978</v>
      </c>
      <c r="BV131" s="126">
        <v>21713</v>
      </c>
      <c r="BW131" s="126">
        <v>30336</v>
      </c>
      <c r="BX131" s="126">
        <v>26325</v>
      </c>
      <c r="BY131" s="126">
        <v>16198</v>
      </c>
      <c r="BZ131" s="126">
        <v>23899</v>
      </c>
      <c r="CA131" s="126">
        <v>5208</v>
      </c>
      <c r="CB131" s="126">
        <v>29319</v>
      </c>
      <c r="CC131" s="126">
        <v>48972</v>
      </c>
      <c r="CD131" s="126">
        <v>16198</v>
      </c>
      <c r="CE131" s="126">
        <v>22826</v>
      </c>
      <c r="CF131" s="126">
        <v>0</v>
      </c>
      <c r="CG131" s="126">
        <v>35458</v>
      </c>
      <c r="CH131" s="126">
        <v>15722</v>
      </c>
      <c r="CI131" s="126">
        <v>7510</v>
      </c>
      <c r="CJ131" s="126">
        <v>52396</v>
      </c>
      <c r="CK131" s="126">
        <v>40245</v>
      </c>
      <c r="CL131" s="126">
        <v>824719</v>
      </c>
    </row>
    <row r="132" spans="2:90">
      <c r="B132" s="528" t="s">
        <v>362</v>
      </c>
      <c r="C132" s="198">
        <v>2012</v>
      </c>
      <c r="D132" s="466" t="s">
        <v>3</v>
      </c>
      <c r="E132" s="529">
        <v>42923</v>
      </c>
      <c r="F132" s="303">
        <f>F131/F35%</f>
        <v>68.913531131462122</v>
      </c>
      <c r="G132" s="303">
        <f>G131/G35%</f>
        <v>48.964085654125775</v>
      </c>
      <c r="H132" s="303">
        <f>H131/H35%</f>
        <v>52.728038231810196</v>
      </c>
      <c r="I132" s="303">
        <f>I131/I35%</f>
        <v>56.201551297797046</v>
      </c>
      <c r="AT132" s="303">
        <f t="shared" ref="AT132:CK132" si="182">AT131/AT35%</f>
        <v>0</v>
      </c>
      <c r="AU132" s="303">
        <f t="shared" si="182"/>
        <v>60.835071175990564</v>
      </c>
      <c r="AV132" s="303">
        <f t="shared" si="182"/>
        <v>84.261192889522732</v>
      </c>
      <c r="AW132" s="303">
        <f t="shared" si="182"/>
        <v>69.814406598876488</v>
      </c>
      <c r="AX132" s="303">
        <f t="shared" si="182"/>
        <v>2.4964247963688364</v>
      </c>
      <c r="AY132" s="303">
        <f t="shared" si="182"/>
        <v>94.3755883275808</v>
      </c>
      <c r="AZ132" s="303">
        <f t="shared" si="182"/>
        <v>0</v>
      </c>
      <c r="BA132" s="303">
        <f t="shared" si="182"/>
        <v>14.858245509870862</v>
      </c>
      <c r="BB132" s="303">
        <f t="shared" si="182"/>
        <v>59.551243177683446</v>
      </c>
      <c r="BC132" s="303">
        <v>100</v>
      </c>
      <c r="BD132" s="303">
        <f t="shared" si="182"/>
        <v>75.015430738030147</v>
      </c>
      <c r="BE132" s="303">
        <f t="shared" si="182"/>
        <v>57.189767086674308</v>
      </c>
      <c r="BF132" s="303">
        <v>100</v>
      </c>
      <c r="BG132" s="303">
        <f t="shared" si="182"/>
        <v>0</v>
      </c>
      <c r="BH132" s="303">
        <f t="shared" si="182"/>
        <v>0</v>
      </c>
      <c r="BI132" s="303">
        <f t="shared" si="182"/>
        <v>10.279174243234571</v>
      </c>
      <c r="BJ132" s="303">
        <f t="shared" si="182"/>
        <v>56.381805651274988</v>
      </c>
      <c r="BK132" s="303">
        <f t="shared" si="182"/>
        <v>0</v>
      </c>
      <c r="BL132" s="303">
        <f t="shared" si="182"/>
        <v>0</v>
      </c>
      <c r="BM132" s="303">
        <f t="shared" si="182"/>
        <v>74.986507782311165</v>
      </c>
      <c r="BN132" s="303">
        <f t="shared" si="182"/>
        <v>21.76549334593275</v>
      </c>
      <c r="BO132" s="303">
        <f t="shared" si="182"/>
        <v>0</v>
      </c>
      <c r="BP132" s="303">
        <f t="shared" si="182"/>
        <v>87.178298168328311</v>
      </c>
      <c r="BQ132" s="303">
        <f t="shared" si="182"/>
        <v>60.187072163871036</v>
      </c>
      <c r="BR132" s="303">
        <f t="shared" si="182"/>
        <v>89.811779634133458</v>
      </c>
      <c r="BS132" s="303">
        <f t="shared" si="182"/>
        <v>0</v>
      </c>
      <c r="BT132" s="303">
        <f t="shared" si="182"/>
        <v>11.99433241611565</v>
      </c>
      <c r="BU132" s="303">
        <f t="shared" si="182"/>
        <v>40.251064783680789</v>
      </c>
      <c r="BV132" s="303">
        <f t="shared" si="182"/>
        <v>39.122522522522523</v>
      </c>
      <c r="BW132" s="303">
        <v>100</v>
      </c>
      <c r="BX132" s="303">
        <f t="shared" si="182"/>
        <v>67.797264930850645</v>
      </c>
      <c r="BY132" s="303">
        <f t="shared" si="182"/>
        <v>66.795876288659798</v>
      </c>
      <c r="BZ132" s="303">
        <f t="shared" si="182"/>
        <v>71.011736740454609</v>
      </c>
      <c r="CA132" s="303">
        <f t="shared" si="182"/>
        <v>22.498703991705547</v>
      </c>
      <c r="CB132" s="303">
        <f t="shared" si="182"/>
        <v>76.4630711454204</v>
      </c>
      <c r="CC132" s="303">
        <v>100</v>
      </c>
      <c r="CD132" s="303">
        <f t="shared" si="182"/>
        <v>80.615139600856011</v>
      </c>
      <c r="CE132" s="303">
        <f t="shared" si="182"/>
        <v>67.301568581200613</v>
      </c>
      <c r="CF132" s="303">
        <f t="shared" si="182"/>
        <v>0</v>
      </c>
      <c r="CG132" s="303">
        <f t="shared" si="182"/>
        <v>47.898739649046973</v>
      </c>
      <c r="CH132" s="303">
        <f t="shared" si="182"/>
        <v>20.596866320809095</v>
      </c>
      <c r="CI132" s="303">
        <f t="shared" si="182"/>
        <v>22.498502097064108</v>
      </c>
      <c r="CJ132" s="303">
        <f t="shared" si="182"/>
        <v>60.772942377284963</v>
      </c>
      <c r="CK132" s="303">
        <f t="shared" si="182"/>
        <v>73.846746669602553</v>
      </c>
      <c r="CL132" s="303">
        <f>CL131/CL35%</f>
        <v>58.491207017364687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CM129"/>
  <sheetViews>
    <sheetView zoomScaleNormal="100" workbookViewId="0">
      <pane xSplit="5" ySplit="4" topLeftCell="BX101"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440" bestFit="1" customWidth="1"/>
    <col min="6" max="89" width="11.42578125" style="126" customWidth="1"/>
    <col min="90" max="90" width="17.85546875" style="126" bestFit="1" customWidth="1"/>
  </cols>
  <sheetData>
    <row r="1" spans="1:91" ht="13.5" thickBot="1">
      <c r="B1" s="70" t="s">
        <v>187</v>
      </c>
      <c r="E1" s="322"/>
    </row>
    <row r="2" spans="1:91">
      <c r="B2" s="81"/>
      <c r="C2" s="199"/>
      <c r="D2" s="82"/>
      <c r="E2" s="277"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34"/>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34"/>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3"/>
      <c r="E5" s="264"/>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0"/>
      <c r="E6" s="435"/>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2011</v>
      </c>
      <c r="D7" s="259" t="s">
        <v>1</v>
      </c>
      <c r="E7" s="435"/>
      <c r="F7" s="116">
        <v>1055768</v>
      </c>
      <c r="G7" s="137">
        <v>691903</v>
      </c>
      <c r="H7" s="137">
        <v>935702</v>
      </c>
      <c r="I7" s="138">
        <v>891769</v>
      </c>
      <c r="J7" s="137"/>
      <c r="K7" s="116">
        <f t="shared" ref="K7:K20" si="0">BF7</f>
        <v>151157</v>
      </c>
      <c r="L7" s="137">
        <f t="shared" ref="L7:L20" si="1">AY7</f>
        <v>85814</v>
      </c>
      <c r="M7" s="137">
        <f t="shared" ref="M7:M20" si="2">BD7</f>
        <v>130441</v>
      </c>
      <c r="N7" s="137">
        <f t="shared" ref="N7:N20" si="3">AW7</f>
        <v>64237</v>
      </c>
      <c r="O7" s="137">
        <f t="shared" ref="O7:O20" si="4">BE7</f>
        <v>62712</v>
      </c>
      <c r="P7" s="137">
        <f>'2011'!AZ7+'2011'!BA7</f>
        <v>119981</v>
      </c>
      <c r="Q7" s="137">
        <f>'2011'!AU7</f>
        <v>61785</v>
      </c>
      <c r="R7" s="137">
        <f>AT7+AX7</f>
        <v>89417</v>
      </c>
      <c r="S7" s="137">
        <f t="shared" ref="S7:S20" si="5">AV7</f>
        <v>64148</v>
      </c>
      <c r="T7" s="137">
        <f t="shared" ref="T7:T20" si="6">BB7</f>
        <v>77675</v>
      </c>
      <c r="U7" s="139">
        <f t="shared" ref="U7:U20" si="7">BC7</f>
        <v>148401</v>
      </c>
      <c r="V7" s="137">
        <f t="shared" ref="V7:V13" si="8">BG7+BJ7</f>
        <v>87896</v>
      </c>
      <c r="W7" s="137">
        <f t="shared" ref="W7:W20" si="9">BR7</f>
        <v>87067</v>
      </c>
      <c r="X7" s="137">
        <f t="shared" ref="X7:X13" si="10">BH7+BI7</f>
        <v>125841</v>
      </c>
      <c r="Y7" s="137">
        <f t="shared" ref="Y7:Y13" si="11">BK7+BL7+BN7</f>
        <v>131550</v>
      </c>
      <c r="Z7" s="137">
        <f t="shared" ref="Z7:Z20" si="12">BM7</f>
        <v>112628</v>
      </c>
      <c r="AA7" s="137">
        <f t="shared" ref="AA7:AA13" si="13">BO7+BQ7</f>
        <v>67168</v>
      </c>
      <c r="AB7" s="139">
        <f t="shared" ref="AB7:AB20" si="14">BP7</f>
        <v>79751</v>
      </c>
      <c r="AC7" s="137">
        <f t="shared" ref="AC7:AC20" si="15">BX7</f>
        <v>102526</v>
      </c>
      <c r="AD7" s="137">
        <f t="shared" ref="AD7:AD20" si="16">BU7</f>
        <v>67988</v>
      </c>
      <c r="AE7" s="137">
        <f t="shared" ref="AE7:AE13" si="17">BS7+BT7</f>
        <v>153139</v>
      </c>
      <c r="AF7" s="137">
        <f t="shared" ref="AF7:AF20" si="18">CA7</f>
        <v>80677</v>
      </c>
      <c r="AG7" s="137">
        <f t="shared" ref="AG7:AG20" si="19">BV7</f>
        <v>186079</v>
      </c>
      <c r="AH7" s="137">
        <f t="shared" ref="AH7:AH20" si="20">BZ7</f>
        <v>81798</v>
      </c>
      <c r="AI7" s="137">
        <f t="shared" ref="AI7:AI20" si="21">BW7</f>
        <v>76943</v>
      </c>
      <c r="AJ7" s="137">
        <f t="shared" ref="AJ7:AJ20" si="22">BY7</f>
        <v>73435</v>
      </c>
      <c r="AK7" s="139">
        <f t="shared" ref="AK7:AK20" si="23">CB7</f>
        <v>113115</v>
      </c>
      <c r="AL7" s="137">
        <f t="shared" ref="AL7:AL20" si="24">CE7</f>
        <v>91771</v>
      </c>
      <c r="AM7" s="137">
        <f t="shared" ref="AM7:AM20" si="25">CH7</f>
        <v>140975</v>
      </c>
      <c r="AN7" s="137">
        <f t="shared" ref="AN7:AN20" si="26">CJ7</f>
        <v>163183</v>
      </c>
      <c r="AO7" s="137">
        <f t="shared" ref="AO7:AO20" si="27">CC7</f>
        <v>109272</v>
      </c>
      <c r="AP7" s="137">
        <f t="shared" ref="AP7:AP20" si="28">CD7</f>
        <v>51919</v>
      </c>
      <c r="AQ7" s="137">
        <f t="shared" ref="AQ7:AQ20" si="29">CK7</f>
        <v>120434</v>
      </c>
      <c r="AR7" s="137">
        <f t="shared" ref="AR7:AR20" si="30">CI7</f>
        <v>66479</v>
      </c>
      <c r="AS7" s="138">
        <f t="shared" ref="AS7:AS13" si="31">CF7+CG7</f>
        <v>147736</v>
      </c>
      <c r="AT7" s="137">
        <v>20735</v>
      </c>
      <c r="AU7" s="137">
        <v>61785</v>
      </c>
      <c r="AV7" s="137">
        <v>64148</v>
      </c>
      <c r="AW7" s="137">
        <v>64237</v>
      </c>
      <c r="AX7" s="137">
        <v>68682</v>
      </c>
      <c r="AY7" s="137">
        <v>85814</v>
      </c>
      <c r="AZ7" s="137">
        <v>9988</v>
      </c>
      <c r="BA7" s="137">
        <v>109993</v>
      </c>
      <c r="BB7" s="137">
        <v>77675</v>
      </c>
      <c r="BC7" s="137">
        <v>148401</v>
      </c>
      <c r="BD7" s="137">
        <v>130441</v>
      </c>
      <c r="BE7" s="137">
        <v>62712</v>
      </c>
      <c r="BF7" s="139">
        <v>151157</v>
      </c>
      <c r="BG7" s="137">
        <v>14021</v>
      </c>
      <c r="BH7" s="137">
        <v>17346</v>
      </c>
      <c r="BI7" s="137">
        <v>108495</v>
      </c>
      <c r="BJ7" s="137">
        <v>73875</v>
      </c>
      <c r="BK7" s="137">
        <v>10883</v>
      </c>
      <c r="BL7" s="137">
        <v>14496</v>
      </c>
      <c r="BM7" s="137">
        <v>112628</v>
      </c>
      <c r="BN7" s="137">
        <v>106171</v>
      </c>
      <c r="BO7" s="137">
        <v>9800</v>
      </c>
      <c r="BP7" s="137">
        <v>79751</v>
      </c>
      <c r="BQ7" s="137">
        <v>57368</v>
      </c>
      <c r="BR7" s="139">
        <v>87067</v>
      </c>
      <c r="BS7" s="137">
        <v>15306</v>
      </c>
      <c r="BT7" s="137">
        <v>137833</v>
      </c>
      <c r="BU7" s="137">
        <v>67988</v>
      </c>
      <c r="BV7" s="137">
        <v>186079</v>
      </c>
      <c r="BW7" s="137">
        <v>76943</v>
      </c>
      <c r="BX7" s="137">
        <v>102526</v>
      </c>
      <c r="BY7" s="137">
        <v>73435</v>
      </c>
      <c r="BZ7" s="137">
        <v>81798</v>
      </c>
      <c r="CA7" s="137">
        <v>80677</v>
      </c>
      <c r="CB7" s="139">
        <v>113115</v>
      </c>
      <c r="CC7" s="137">
        <v>109272</v>
      </c>
      <c r="CD7" s="137">
        <v>51919</v>
      </c>
      <c r="CE7" s="137">
        <v>91771</v>
      </c>
      <c r="CF7" s="137">
        <v>11869</v>
      </c>
      <c r="CG7" s="141">
        <v>135867</v>
      </c>
      <c r="CH7" s="137">
        <v>140975</v>
      </c>
      <c r="CI7" s="137">
        <v>66479</v>
      </c>
      <c r="CJ7" s="137">
        <v>163183</v>
      </c>
      <c r="CK7" s="138">
        <v>120434</v>
      </c>
      <c r="CL7" s="140">
        <v>3575141</v>
      </c>
      <c r="CM7" s="49"/>
    </row>
    <row r="8" spans="1:91" ht="14.25">
      <c r="A8" s="80">
        <f>ROWS($A$3:A6)</f>
        <v>4</v>
      </c>
      <c r="B8" s="92" t="s">
        <v>242</v>
      </c>
      <c r="C8" s="203"/>
      <c r="D8" s="259" t="s">
        <v>1</v>
      </c>
      <c r="E8" s="435"/>
      <c r="F8" s="116">
        <v>172844</v>
      </c>
      <c r="G8" s="137">
        <v>113324</v>
      </c>
      <c r="H8" s="137">
        <v>112461</v>
      </c>
      <c r="I8" s="138">
        <v>109063</v>
      </c>
      <c r="J8" s="137"/>
      <c r="K8" s="116">
        <f t="shared" si="0"/>
        <v>19160</v>
      </c>
      <c r="L8" s="137">
        <f t="shared" si="1"/>
        <v>14983</v>
      </c>
      <c r="M8" s="137">
        <f t="shared" si="2"/>
        <v>14078</v>
      </c>
      <c r="N8" s="137">
        <f t="shared" si="3"/>
        <v>10532</v>
      </c>
      <c r="O8" s="137">
        <f t="shared" si="4"/>
        <v>7835</v>
      </c>
      <c r="P8" s="137">
        <f>'2011'!AZ8+'2011'!BA8</f>
        <v>22445</v>
      </c>
      <c r="Q8" s="137">
        <f>'2011'!AU8</f>
        <v>13823</v>
      </c>
      <c r="R8" s="137">
        <f>AT8+AX8</f>
        <v>27230</v>
      </c>
      <c r="S8" s="137">
        <f t="shared" si="5"/>
        <v>15748</v>
      </c>
      <c r="T8" s="137">
        <f t="shared" si="6"/>
        <v>10004</v>
      </c>
      <c r="U8" s="139">
        <f t="shared" si="7"/>
        <v>17005</v>
      </c>
      <c r="V8" s="137">
        <f t="shared" si="8"/>
        <v>12414</v>
      </c>
      <c r="W8" s="137">
        <f t="shared" si="9"/>
        <v>8346</v>
      </c>
      <c r="X8" s="137">
        <f t="shared" si="10"/>
        <v>27341</v>
      </c>
      <c r="Y8" s="137">
        <f t="shared" si="11"/>
        <v>32291</v>
      </c>
      <c r="Z8" s="137">
        <f t="shared" si="12"/>
        <v>11961</v>
      </c>
      <c r="AA8" s="137">
        <f t="shared" si="13"/>
        <v>12158</v>
      </c>
      <c r="AB8" s="139">
        <f t="shared" si="14"/>
        <v>8813</v>
      </c>
      <c r="AC8" s="137">
        <f t="shared" si="15"/>
        <v>11742</v>
      </c>
      <c r="AD8" s="137">
        <f t="shared" si="16"/>
        <v>7398</v>
      </c>
      <c r="AE8" s="137">
        <f t="shared" si="17"/>
        <v>19090</v>
      </c>
      <c r="AF8" s="137">
        <f t="shared" si="18"/>
        <v>10189</v>
      </c>
      <c r="AG8" s="137">
        <f t="shared" si="19"/>
        <v>21609</v>
      </c>
      <c r="AH8" s="137">
        <f t="shared" si="20"/>
        <v>12590</v>
      </c>
      <c r="AI8" s="137">
        <f t="shared" si="21"/>
        <v>9853</v>
      </c>
      <c r="AJ8" s="137">
        <f t="shared" si="22"/>
        <v>8528</v>
      </c>
      <c r="AK8" s="139">
        <f t="shared" si="23"/>
        <v>11461</v>
      </c>
      <c r="AL8" s="137">
        <f t="shared" si="24"/>
        <v>12268</v>
      </c>
      <c r="AM8" s="137">
        <f t="shared" si="25"/>
        <v>15949</v>
      </c>
      <c r="AN8" s="137">
        <f t="shared" si="26"/>
        <v>16893</v>
      </c>
      <c r="AO8" s="137">
        <f t="shared" si="27"/>
        <v>14210</v>
      </c>
      <c r="AP8" s="137">
        <f t="shared" si="28"/>
        <v>9175</v>
      </c>
      <c r="AQ8" s="137">
        <f t="shared" si="29"/>
        <v>11743</v>
      </c>
      <c r="AR8" s="137">
        <f t="shared" si="30"/>
        <v>9699</v>
      </c>
      <c r="AS8" s="138">
        <f t="shared" si="31"/>
        <v>19125</v>
      </c>
      <c r="AT8" s="137">
        <v>10678</v>
      </c>
      <c r="AU8" s="137">
        <v>13823</v>
      </c>
      <c r="AV8" s="137">
        <v>15748</v>
      </c>
      <c r="AW8" s="137">
        <v>10532</v>
      </c>
      <c r="AX8" s="137">
        <v>16552</v>
      </c>
      <c r="AY8" s="137">
        <v>14983</v>
      </c>
      <c r="AZ8" s="137">
        <v>3543</v>
      </c>
      <c r="BA8" s="137">
        <v>18902</v>
      </c>
      <c r="BB8" s="137">
        <v>10004</v>
      </c>
      <c r="BC8" s="137">
        <v>17005</v>
      </c>
      <c r="BD8" s="137">
        <v>14078</v>
      </c>
      <c r="BE8" s="137">
        <v>7835</v>
      </c>
      <c r="BF8" s="139">
        <v>19160</v>
      </c>
      <c r="BG8" s="137">
        <v>2050</v>
      </c>
      <c r="BH8" s="137">
        <v>8064</v>
      </c>
      <c r="BI8" s="137">
        <v>19277</v>
      </c>
      <c r="BJ8" s="137">
        <v>10364</v>
      </c>
      <c r="BK8" s="137">
        <v>3273</v>
      </c>
      <c r="BL8" s="137">
        <v>8419</v>
      </c>
      <c r="BM8" s="137">
        <v>11961</v>
      </c>
      <c r="BN8" s="137">
        <v>20599</v>
      </c>
      <c r="BO8" s="137">
        <v>3021</v>
      </c>
      <c r="BP8" s="137">
        <v>8813</v>
      </c>
      <c r="BQ8" s="137">
        <v>9137</v>
      </c>
      <c r="BR8" s="139">
        <v>8346</v>
      </c>
      <c r="BS8" s="137">
        <v>4864</v>
      </c>
      <c r="BT8" s="137">
        <v>14226</v>
      </c>
      <c r="BU8" s="137">
        <v>7398</v>
      </c>
      <c r="BV8" s="137">
        <v>21609</v>
      </c>
      <c r="BW8" s="137">
        <v>9853</v>
      </c>
      <c r="BX8" s="137">
        <v>11742</v>
      </c>
      <c r="BY8" s="137">
        <v>8528</v>
      </c>
      <c r="BZ8" s="137">
        <v>12590</v>
      </c>
      <c r="CA8" s="137">
        <v>10189</v>
      </c>
      <c r="CB8" s="139">
        <v>11461</v>
      </c>
      <c r="CC8" s="137">
        <v>14210</v>
      </c>
      <c r="CD8" s="137">
        <v>9175</v>
      </c>
      <c r="CE8" s="137">
        <v>12268</v>
      </c>
      <c r="CF8" s="137">
        <v>3787</v>
      </c>
      <c r="CG8" s="141">
        <v>15338</v>
      </c>
      <c r="CH8" s="137">
        <v>15949</v>
      </c>
      <c r="CI8" s="137">
        <v>9699</v>
      </c>
      <c r="CJ8" s="137">
        <v>16893</v>
      </c>
      <c r="CK8" s="138">
        <v>11743</v>
      </c>
      <c r="CL8" s="140">
        <v>507691</v>
      </c>
      <c r="CM8" s="49"/>
    </row>
    <row r="9" spans="1:91">
      <c r="A9" s="80">
        <f>ROWS($A$3:A7)</f>
        <v>5</v>
      </c>
      <c r="B9" s="92" t="s">
        <v>0</v>
      </c>
      <c r="C9" s="203"/>
      <c r="D9" s="259" t="s">
        <v>1</v>
      </c>
      <c r="E9" s="435"/>
      <c r="F9" s="116">
        <v>531807</v>
      </c>
      <c r="G9" s="137">
        <v>252459</v>
      </c>
      <c r="H9" s="137">
        <v>371924</v>
      </c>
      <c r="I9" s="138">
        <v>476457</v>
      </c>
      <c r="J9" s="137"/>
      <c r="K9" s="116">
        <f t="shared" si="0"/>
        <v>71109</v>
      </c>
      <c r="L9" s="137">
        <f t="shared" si="1"/>
        <v>36218</v>
      </c>
      <c r="M9" s="137">
        <f t="shared" si="2"/>
        <v>75431</v>
      </c>
      <c r="N9" s="137">
        <f t="shared" si="3"/>
        <v>32269</v>
      </c>
      <c r="O9" s="137">
        <f t="shared" si="4"/>
        <v>27214</v>
      </c>
      <c r="P9" s="137">
        <f>'2011'!AZ9+'2011'!BA9</f>
        <v>65849</v>
      </c>
      <c r="Q9" s="137">
        <f>'2011'!AU9</f>
        <v>25778</v>
      </c>
      <c r="R9" s="137">
        <f t="shared" ref="R9:R16" si="32">AT9+AX9</f>
        <v>42786</v>
      </c>
      <c r="S9" s="137">
        <f t="shared" si="5"/>
        <v>28619</v>
      </c>
      <c r="T9" s="137">
        <f t="shared" si="6"/>
        <v>44426</v>
      </c>
      <c r="U9" s="139">
        <f t="shared" si="7"/>
        <v>82108</v>
      </c>
      <c r="V9" s="137">
        <f t="shared" si="8"/>
        <v>25943</v>
      </c>
      <c r="W9" s="137">
        <f t="shared" si="9"/>
        <v>22985</v>
      </c>
      <c r="X9" s="137">
        <f t="shared" si="10"/>
        <v>52640</v>
      </c>
      <c r="Y9" s="137">
        <f t="shared" si="11"/>
        <v>51184</v>
      </c>
      <c r="Z9" s="137">
        <f t="shared" si="12"/>
        <v>51794</v>
      </c>
      <c r="AA9" s="137">
        <f t="shared" si="13"/>
        <v>27099</v>
      </c>
      <c r="AB9" s="139">
        <f t="shared" si="14"/>
        <v>20814</v>
      </c>
      <c r="AC9" s="137">
        <f t="shared" si="15"/>
        <v>42671</v>
      </c>
      <c r="AD9" s="137">
        <f t="shared" si="16"/>
        <v>27611</v>
      </c>
      <c r="AE9" s="137">
        <f t="shared" si="17"/>
        <v>58552</v>
      </c>
      <c r="AF9" s="137">
        <f t="shared" si="18"/>
        <v>27643</v>
      </c>
      <c r="AG9" s="137">
        <f t="shared" si="19"/>
        <v>70855</v>
      </c>
      <c r="AH9" s="137">
        <f t="shared" si="20"/>
        <v>40361</v>
      </c>
      <c r="AI9" s="137">
        <f t="shared" si="21"/>
        <v>32852</v>
      </c>
      <c r="AJ9" s="137">
        <f t="shared" si="22"/>
        <v>27324</v>
      </c>
      <c r="AK9" s="139">
        <f t="shared" si="23"/>
        <v>44056</v>
      </c>
      <c r="AL9" s="137">
        <f t="shared" si="24"/>
        <v>40947</v>
      </c>
      <c r="AM9" s="137">
        <f t="shared" si="25"/>
        <v>82392</v>
      </c>
      <c r="AN9" s="137">
        <f t="shared" si="26"/>
        <v>96452</v>
      </c>
      <c r="AO9" s="137">
        <f t="shared" si="27"/>
        <v>52691</v>
      </c>
      <c r="AP9" s="137">
        <f t="shared" si="28"/>
        <v>23912</v>
      </c>
      <c r="AQ9" s="137">
        <f t="shared" si="29"/>
        <v>59825</v>
      </c>
      <c r="AR9" s="137">
        <f t="shared" si="30"/>
        <v>37063</v>
      </c>
      <c r="AS9" s="138">
        <f t="shared" si="31"/>
        <v>83174</v>
      </c>
      <c r="AT9" s="137">
        <v>4757</v>
      </c>
      <c r="AU9" s="137">
        <v>25778</v>
      </c>
      <c r="AV9" s="137">
        <v>28619</v>
      </c>
      <c r="AW9" s="137">
        <v>32269</v>
      </c>
      <c r="AX9" s="137">
        <v>38029</v>
      </c>
      <c r="AY9" s="137">
        <v>36218</v>
      </c>
      <c r="AZ9" s="137">
        <v>4746</v>
      </c>
      <c r="BA9" s="137">
        <v>61103</v>
      </c>
      <c r="BB9" s="137">
        <v>44426</v>
      </c>
      <c r="BC9" s="137">
        <v>82108</v>
      </c>
      <c r="BD9" s="137">
        <v>75431</v>
      </c>
      <c r="BE9" s="137">
        <v>27214</v>
      </c>
      <c r="BF9" s="139">
        <v>71109</v>
      </c>
      <c r="BG9" s="137">
        <v>3139</v>
      </c>
      <c r="BH9" s="137">
        <v>3935</v>
      </c>
      <c r="BI9" s="137">
        <v>48705</v>
      </c>
      <c r="BJ9" s="137">
        <v>22804</v>
      </c>
      <c r="BK9" s="137">
        <v>2875</v>
      </c>
      <c r="BL9" s="137">
        <v>3464</v>
      </c>
      <c r="BM9" s="137">
        <v>51794</v>
      </c>
      <c r="BN9" s="137">
        <v>44845</v>
      </c>
      <c r="BO9" s="137">
        <v>1662</v>
      </c>
      <c r="BP9" s="137">
        <v>20814</v>
      </c>
      <c r="BQ9" s="137">
        <v>25437</v>
      </c>
      <c r="BR9" s="139">
        <v>22985</v>
      </c>
      <c r="BS9" s="137">
        <v>3641</v>
      </c>
      <c r="BT9" s="137">
        <v>54911</v>
      </c>
      <c r="BU9" s="137">
        <v>27611</v>
      </c>
      <c r="BV9" s="137">
        <v>70855</v>
      </c>
      <c r="BW9" s="137">
        <v>32852</v>
      </c>
      <c r="BX9" s="137">
        <v>42671</v>
      </c>
      <c r="BY9" s="137">
        <v>27324</v>
      </c>
      <c r="BZ9" s="137">
        <v>40361</v>
      </c>
      <c r="CA9" s="137">
        <v>27643</v>
      </c>
      <c r="CB9" s="139">
        <v>44056</v>
      </c>
      <c r="CC9" s="137">
        <v>52691</v>
      </c>
      <c r="CD9" s="137">
        <v>23912</v>
      </c>
      <c r="CE9" s="137">
        <v>40947</v>
      </c>
      <c r="CF9" s="137">
        <v>5267</v>
      </c>
      <c r="CG9" s="141">
        <v>77907</v>
      </c>
      <c r="CH9" s="137">
        <v>82392</v>
      </c>
      <c r="CI9" s="137">
        <v>37063</v>
      </c>
      <c r="CJ9" s="137">
        <v>96452</v>
      </c>
      <c r="CK9" s="138">
        <v>59825</v>
      </c>
      <c r="CL9" s="140">
        <v>1632647</v>
      </c>
      <c r="CM9" s="49"/>
    </row>
    <row r="10" spans="1:91">
      <c r="A10" s="80">
        <f>ROWS($A$3:A8)</f>
        <v>6</v>
      </c>
      <c r="B10" s="92" t="s">
        <v>202</v>
      </c>
      <c r="C10" s="203"/>
      <c r="D10" s="259" t="s">
        <v>1</v>
      </c>
      <c r="E10" s="435"/>
      <c r="F10" s="116">
        <v>334972</v>
      </c>
      <c r="G10" s="137">
        <v>309984</v>
      </c>
      <c r="H10" s="137">
        <v>432794</v>
      </c>
      <c r="I10" s="138">
        <v>291598</v>
      </c>
      <c r="J10" s="137"/>
      <c r="K10" s="116">
        <f t="shared" si="0"/>
        <v>59230</v>
      </c>
      <c r="L10" s="137">
        <f t="shared" si="1"/>
        <v>33682</v>
      </c>
      <c r="M10" s="137">
        <f t="shared" si="2"/>
        <v>38604</v>
      </c>
      <c r="N10" s="137">
        <f t="shared" si="3"/>
        <v>20653</v>
      </c>
      <c r="O10" s="137">
        <f t="shared" si="4"/>
        <v>26976</v>
      </c>
      <c r="P10" s="137">
        <f>'2011'!AZ10+'2011'!BA10</f>
        <v>29543</v>
      </c>
      <c r="Q10" s="137">
        <f>'2011'!AU10</f>
        <v>21368</v>
      </c>
      <c r="R10" s="137">
        <f t="shared" si="32"/>
        <v>17456</v>
      </c>
      <c r="S10" s="137">
        <f t="shared" si="5"/>
        <v>18692</v>
      </c>
      <c r="T10" s="137">
        <f t="shared" si="6"/>
        <v>21802</v>
      </c>
      <c r="U10" s="139">
        <f t="shared" si="7"/>
        <v>46964</v>
      </c>
      <c r="V10" s="137">
        <f t="shared" si="8"/>
        <v>46161</v>
      </c>
      <c r="W10" s="137">
        <f t="shared" si="9"/>
        <v>54649</v>
      </c>
      <c r="X10" s="137">
        <f t="shared" si="10"/>
        <v>41291</v>
      </c>
      <c r="Y10" s="137">
        <f t="shared" si="11"/>
        <v>44178</v>
      </c>
      <c r="Z10" s="137">
        <f t="shared" si="12"/>
        <v>47418</v>
      </c>
      <c r="AA10" s="137">
        <f t="shared" si="13"/>
        <v>26992</v>
      </c>
      <c r="AB10" s="139">
        <f t="shared" si="14"/>
        <v>49293</v>
      </c>
      <c r="AC10" s="137">
        <f t="shared" si="15"/>
        <v>49946</v>
      </c>
      <c r="AD10" s="137">
        <f t="shared" si="16"/>
        <v>31125</v>
      </c>
      <c r="AE10" s="137">
        <f t="shared" si="17"/>
        <v>72063</v>
      </c>
      <c r="AF10" s="137">
        <f t="shared" si="18"/>
        <v>41638</v>
      </c>
      <c r="AG10" s="137">
        <f t="shared" si="19"/>
        <v>88019</v>
      </c>
      <c r="AH10" s="137">
        <f t="shared" si="20"/>
        <v>27336</v>
      </c>
      <c r="AI10" s="137">
        <f t="shared" si="21"/>
        <v>33098</v>
      </c>
      <c r="AJ10" s="137">
        <f t="shared" si="22"/>
        <v>36728</v>
      </c>
      <c r="AK10" s="139">
        <f t="shared" si="23"/>
        <v>55842</v>
      </c>
      <c r="AL10" s="137">
        <f t="shared" si="24"/>
        <v>37394</v>
      </c>
      <c r="AM10" s="137">
        <f t="shared" si="25"/>
        <v>40141</v>
      </c>
      <c r="AN10" s="137">
        <f t="shared" si="26"/>
        <v>46904</v>
      </c>
      <c r="AO10" s="137">
        <f t="shared" si="27"/>
        <v>41283</v>
      </c>
      <c r="AP10" s="137">
        <f t="shared" si="28"/>
        <v>17994</v>
      </c>
      <c r="AQ10" s="137">
        <f t="shared" si="29"/>
        <v>46701</v>
      </c>
      <c r="AR10" s="137">
        <f t="shared" si="30"/>
        <v>18639</v>
      </c>
      <c r="AS10" s="138">
        <f t="shared" si="31"/>
        <v>42543</v>
      </c>
      <c r="AT10" s="141">
        <v>4970</v>
      </c>
      <c r="AU10" s="137">
        <v>21368</v>
      </c>
      <c r="AV10" s="137">
        <v>18692</v>
      </c>
      <c r="AW10" s="137">
        <v>20653</v>
      </c>
      <c r="AX10" s="137">
        <v>12486</v>
      </c>
      <c r="AY10" s="137">
        <v>33682</v>
      </c>
      <c r="AZ10" s="137">
        <v>1421</v>
      </c>
      <c r="BA10" s="137">
        <v>28122</v>
      </c>
      <c r="BB10" s="137">
        <v>21802</v>
      </c>
      <c r="BC10" s="137">
        <v>46964</v>
      </c>
      <c r="BD10" s="137">
        <v>38604</v>
      </c>
      <c r="BE10" s="137">
        <v>26976</v>
      </c>
      <c r="BF10" s="139">
        <v>59230</v>
      </c>
      <c r="BG10" s="137">
        <v>8620</v>
      </c>
      <c r="BH10" s="137">
        <v>4525</v>
      </c>
      <c r="BI10" s="137">
        <v>36766</v>
      </c>
      <c r="BJ10" s="137">
        <v>37541</v>
      </c>
      <c r="BK10" s="137">
        <v>4429</v>
      </c>
      <c r="BL10" s="137">
        <v>1812</v>
      </c>
      <c r="BM10" s="137">
        <v>47418</v>
      </c>
      <c r="BN10" s="137">
        <v>37937</v>
      </c>
      <c r="BO10" s="137">
        <v>5021</v>
      </c>
      <c r="BP10" s="137">
        <v>49293</v>
      </c>
      <c r="BQ10" s="137">
        <v>21971</v>
      </c>
      <c r="BR10" s="139">
        <v>54649</v>
      </c>
      <c r="BS10" s="137">
        <v>6532</v>
      </c>
      <c r="BT10" s="137">
        <v>65531</v>
      </c>
      <c r="BU10" s="137">
        <v>31125</v>
      </c>
      <c r="BV10" s="137">
        <v>88019</v>
      </c>
      <c r="BW10" s="137">
        <v>33098</v>
      </c>
      <c r="BX10" s="137">
        <v>49946</v>
      </c>
      <c r="BY10" s="137">
        <v>36728</v>
      </c>
      <c r="BZ10" s="137">
        <v>27336</v>
      </c>
      <c r="CA10" s="137">
        <v>41638</v>
      </c>
      <c r="CB10" s="139">
        <v>55842</v>
      </c>
      <c r="CC10" s="137">
        <v>41283</v>
      </c>
      <c r="CD10" s="137">
        <v>17994</v>
      </c>
      <c r="CE10" s="137">
        <v>37394</v>
      </c>
      <c r="CF10" s="137">
        <v>2280</v>
      </c>
      <c r="CG10" s="141">
        <v>40263</v>
      </c>
      <c r="CH10" s="137">
        <v>40141</v>
      </c>
      <c r="CI10" s="137">
        <v>18639</v>
      </c>
      <c r="CJ10" s="137">
        <v>46904</v>
      </c>
      <c r="CK10" s="138">
        <v>46701</v>
      </c>
      <c r="CL10" s="140">
        <v>1369348</v>
      </c>
      <c r="CM10" s="49"/>
    </row>
    <row r="11" spans="1:91">
      <c r="A11" s="80">
        <f>ROWS($A$3:A9)</f>
        <v>7</v>
      </c>
      <c r="B11" s="92" t="s">
        <v>2</v>
      </c>
      <c r="C11" s="203"/>
      <c r="D11" s="259" t="s">
        <v>1</v>
      </c>
      <c r="E11" s="435"/>
      <c r="F11" s="116">
        <v>8960</v>
      </c>
      <c r="G11" s="137">
        <v>10140</v>
      </c>
      <c r="H11" s="137">
        <v>11771</v>
      </c>
      <c r="I11" s="138">
        <v>7971</v>
      </c>
      <c r="J11" s="137"/>
      <c r="K11" s="116">
        <f t="shared" si="0"/>
        <v>1155</v>
      </c>
      <c r="L11" s="137">
        <f t="shared" si="1"/>
        <v>524</v>
      </c>
      <c r="M11" s="137">
        <f t="shared" si="2"/>
        <v>1053</v>
      </c>
      <c r="N11" s="137">
        <f t="shared" si="3"/>
        <v>309</v>
      </c>
      <c r="O11" s="137">
        <f t="shared" si="4"/>
        <v>255</v>
      </c>
      <c r="P11" s="137">
        <f>'2011'!AZ11+'2011'!BA11</f>
        <v>1448</v>
      </c>
      <c r="Q11" s="137">
        <f>'2011'!AU11</f>
        <v>251</v>
      </c>
      <c r="R11" s="137">
        <f t="shared" si="32"/>
        <v>1179</v>
      </c>
      <c r="S11" s="137">
        <f t="shared" si="5"/>
        <v>613</v>
      </c>
      <c r="T11" s="137">
        <f t="shared" si="6"/>
        <v>818</v>
      </c>
      <c r="U11" s="139">
        <f t="shared" si="7"/>
        <v>1356</v>
      </c>
      <c r="V11" s="137">
        <f t="shared" si="8"/>
        <v>2337</v>
      </c>
      <c r="W11" s="137">
        <f t="shared" si="9"/>
        <v>515</v>
      </c>
      <c r="X11" s="137">
        <f t="shared" si="10"/>
        <v>3122</v>
      </c>
      <c r="Y11" s="137">
        <f t="shared" si="11"/>
        <v>2690</v>
      </c>
      <c r="Z11" s="137">
        <f t="shared" si="12"/>
        <v>756</v>
      </c>
      <c r="AA11" s="137">
        <f t="shared" si="13"/>
        <v>401</v>
      </c>
      <c r="AB11" s="139">
        <f t="shared" si="14"/>
        <v>319</v>
      </c>
      <c r="AC11" s="137">
        <f t="shared" si="15"/>
        <v>663</v>
      </c>
      <c r="AD11" s="137">
        <f t="shared" si="16"/>
        <v>979</v>
      </c>
      <c r="AE11" s="137">
        <f t="shared" si="17"/>
        <v>2237</v>
      </c>
      <c r="AF11" s="137">
        <f t="shared" si="18"/>
        <v>921</v>
      </c>
      <c r="AG11" s="137">
        <f t="shared" si="19"/>
        <v>3773</v>
      </c>
      <c r="AH11" s="137">
        <f t="shared" si="20"/>
        <v>975</v>
      </c>
      <c r="AI11" s="137">
        <f t="shared" si="21"/>
        <v>454</v>
      </c>
      <c r="AJ11" s="137">
        <f t="shared" si="22"/>
        <v>349</v>
      </c>
      <c r="AK11" s="139">
        <f t="shared" si="23"/>
        <v>1419</v>
      </c>
      <c r="AL11" s="137">
        <f t="shared" si="24"/>
        <v>375</v>
      </c>
      <c r="AM11" s="137">
        <f t="shared" si="25"/>
        <v>1520</v>
      </c>
      <c r="AN11" s="137">
        <f t="shared" si="26"/>
        <v>2183</v>
      </c>
      <c r="AO11" s="137">
        <f t="shared" si="27"/>
        <v>268</v>
      </c>
      <c r="AP11" s="137">
        <f t="shared" si="28"/>
        <v>476</v>
      </c>
      <c r="AQ11" s="137">
        <f t="shared" si="29"/>
        <v>1139</v>
      </c>
      <c r="AR11" s="137">
        <f t="shared" si="30"/>
        <v>707</v>
      </c>
      <c r="AS11" s="138">
        <f t="shared" si="31"/>
        <v>1302</v>
      </c>
      <c r="AT11" s="141">
        <v>272</v>
      </c>
      <c r="AU11" s="137">
        <v>251</v>
      </c>
      <c r="AV11" s="137">
        <v>613</v>
      </c>
      <c r="AW11" s="137">
        <v>309</v>
      </c>
      <c r="AX11" s="137">
        <v>907</v>
      </c>
      <c r="AY11" s="137">
        <v>524</v>
      </c>
      <c r="AZ11" s="137">
        <v>217</v>
      </c>
      <c r="BA11" s="137">
        <v>1231</v>
      </c>
      <c r="BB11" s="137">
        <v>818</v>
      </c>
      <c r="BC11" s="137">
        <v>1356</v>
      </c>
      <c r="BD11" s="137">
        <v>1053</v>
      </c>
      <c r="BE11" s="137">
        <v>255</v>
      </c>
      <c r="BF11" s="139">
        <v>1155</v>
      </c>
      <c r="BG11" s="137">
        <v>105</v>
      </c>
      <c r="BH11" s="137">
        <v>707</v>
      </c>
      <c r="BI11" s="137">
        <v>2415</v>
      </c>
      <c r="BJ11" s="137">
        <v>2232</v>
      </c>
      <c r="BK11" s="137">
        <v>252</v>
      </c>
      <c r="BL11" s="137">
        <v>761</v>
      </c>
      <c r="BM11" s="137">
        <v>756</v>
      </c>
      <c r="BN11" s="137">
        <v>1677</v>
      </c>
      <c r="BO11" s="137">
        <v>73</v>
      </c>
      <c r="BP11" s="137">
        <v>319</v>
      </c>
      <c r="BQ11" s="137">
        <v>328</v>
      </c>
      <c r="BR11" s="139">
        <v>515</v>
      </c>
      <c r="BS11" s="137">
        <v>207</v>
      </c>
      <c r="BT11" s="137">
        <v>2030</v>
      </c>
      <c r="BU11" s="137">
        <v>979</v>
      </c>
      <c r="BV11" s="137">
        <v>3773</v>
      </c>
      <c r="BW11" s="137">
        <v>454</v>
      </c>
      <c r="BX11" s="137">
        <v>663</v>
      </c>
      <c r="BY11" s="137">
        <v>349</v>
      </c>
      <c r="BZ11" s="137">
        <v>975</v>
      </c>
      <c r="CA11" s="137">
        <v>921</v>
      </c>
      <c r="CB11" s="139">
        <v>1419</v>
      </c>
      <c r="CC11" s="137">
        <v>268</v>
      </c>
      <c r="CD11" s="137">
        <v>476</v>
      </c>
      <c r="CE11" s="137">
        <v>375</v>
      </c>
      <c r="CF11" s="137">
        <v>170</v>
      </c>
      <c r="CG11" s="141">
        <v>1132</v>
      </c>
      <c r="CH11" s="137">
        <v>1520</v>
      </c>
      <c r="CI11" s="137">
        <v>707</v>
      </c>
      <c r="CJ11" s="137">
        <v>2183</v>
      </c>
      <c r="CK11" s="138">
        <v>1139</v>
      </c>
      <c r="CL11" s="140">
        <v>38841</v>
      </c>
      <c r="CM11" s="49"/>
    </row>
    <row r="12" spans="1:91">
      <c r="A12" s="80">
        <f>ROWS($A$3:A10)</f>
        <v>8</v>
      </c>
      <c r="B12" s="92" t="s">
        <v>283</v>
      </c>
      <c r="C12" s="203"/>
      <c r="D12" s="259" t="s">
        <v>1</v>
      </c>
      <c r="E12" s="435"/>
      <c r="F12" s="116">
        <v>7239</v>
      </c>
      <c r="G12" s="137">
        <v>5186</v>
      </c>
      <c r="H12" s="137">
        <v>5858</v>
      </c>
      <c r="I12" s="138">
        <v>5133</v>
      </c>
      <c r="J12" s="137"/>
      <c r="K12" s="116">
        <f t="shared" si="0"/>
        <v>482</v>
      </c>
      <c r="L12" s="137">
        <f t="shared" si="1"/>
        <v>453</v>
      </c>
      <c r="M12" s="137">
        <f t="shared" si="2"/>
        <v>1248</v>
      </c>
      <c r="N12" s="137">
        <f t="shared" si="3"/>
        <v>498</v>
      </c>
      <c r="O12" s="137">
        <f t="shared" si="4"/>
        <v>316</v>
      </c>
      <c r="P12" s="137">
        <f>'2011'!AZ12+'2011'!BA12</f>
        <v>708</v>
      </c>
      <c r="Q12" s="137">
        <f>'2011'!AU12</f>
        <v>587</v>
      </c>
      <c r="R12" s="137">
        <f t="shared" si="32"/>
        <v>1062</v>
      </c>
      <c r="S12" s="137">
        <f t="shared" si="5"/>
        <v>591</v>
      </c>
      <c r="T12" s="137">
        <f t="shared" si="6"/>
        <v>537</v>
      </c>
      <c r="U12" s="139">
        <f t="shared" si="7"/>
        <v>758</v>
      </c>
      <c r="V12" s="137">
        <f t="shared" si="8"/>
        <v>660</v>
      </c>
      <c r="W12" s="137">
        <f t="shared" si="9"/>
        <v>571</v>
      </c>
      <c r="X12" s="137">
        <f t="shared" si="10"/>
        <v>1103</v>
      </c>
      <c r="Y12" s="137">
        <f t="shared" si="11"/>
        <v>1096</v>
      </c>
      <c r="Z12" s="137">
        <f t="shared" si="12"/>
        <v>658</v>
      </c>
      <c r="AA12" s="137">
        <f t="shared" si="13"/>
        <v>546</v>
      </c>
      <c r="AB12" s="139">
        <f t="shared" si="14"/>
        <v>552</v>
      </c>
      <c r="AC12" s="137">
        <f t="shared" si="15"/>
        <v>491</v>
      </c>
      <c r="AD12" s="137">
        <f t="shared" si="16"/>
        <v>862</v>
      </c>
      <c r="AE12" s="137">
        <f t="shared" si="17"/>
        <v>1157</v>
      </c>
      <c r="AF12" s="137">
        <f t="shared" si="18"/>
        <v>234</v>
      </c>
      <c r="AG12" s="137">
        <f t="shared" si="19"/>
        <v>1419</v>
      </c>
      <c r="AH12" s="137">
        <f t="shared" si="20"/>
        <v>430</v>
      </c>
      <c r="AI12" s="137">
        <f t="shared" si="21"/>
        <v>507</v>
      </c>
      <c r="AJ12" s="137">
        <f t="shared" si="22"/>
        <v>481</v>
      </c>
      <c r="AK12" s="139">
        <f t="shared" si="23"/>
        <v>278</v>
      </c>
      <c r="AL12" s="137">
        <f t="shared" si="24"/>
        <v>739</v>
      </c>
      <c r="AM12" s="137">
        <f t="shared" si="25"/>
        <v>536</v>
      </c>
      <c r="AN12" s="137">
        <f t="shared" si="26"/>
        <v>542</v>
      </c>
      <c r="AO12" s="137">
        <f t="shared" si="27"/>
        <v>813</v>
      </c>
      <c r="AP12" s="137">
        <f t="shared" si="28"/>
        <v>382</v>
      </c>
      <c r="AQ12" s="137">
        <f t="shared" si="29"/>
        <v>583</v>
      </c>
      <c r="AR12" s="137">
        <f t="shared" si="30"/>
        <v>348</v>
      </c>
      <c r="AS12" s="138">
        <f t="shared" si="31"/>
        <v>1191</v>
      </c>
      <c r="AT12" s="141">
        <v>267</v>
      </c>
      <c r="AU12" s="137">
        <v>587</v>
      </c>
      <c r="AV12" s="137">
        <v>591</v>
      </c>
      <c r="AW12" s="137">
        <v>498</v>
      </c>
      <c r="AX12" s="137">
        <v>795</v>
      </c>
      <c r="AY12" s="137">
        <v>453</v>
      </c>
      <c r="AZ12" s="137">
        <v>92</v>
      </c>
      <c r="BA12" s="137">
        <v>616</v>
      </c>
      <c r="BB12" s="137">
        <v>537</v>
      </c>
      <c r="BC12" s="137">
        <v>758</v>
      </c>
      <c r="BD12" s="137">
        <v>1248</v>
      </c>
      <c r="BE12" s="137">
        <v>316</v>
      </c>
      <c r="BF12" s="139">
        <v>482</v>
      </c>
      <c r="BG12" s="137">
        <v>57</v>
      </c>
      <c r="BH12" s="137">
        <v>183</v>
      </c>
      <c r="BI12" s="137">
        <v>920</v>
      </c>
      <c r="BJ12" s="137">
        <v>603</v>
      </c>
      <c r="BK12" s="137">
        <v>107</v>
      </c>
      <c r="BL12" s="137">
        <v>104</v>
      </c>
      <c r="BM12" s="137">
        <v>658</v>
      </c>
      <c r="BN12" s="137">
        <v>885</v>
      </c>
      <c r="BO12" s="137">
        <v>73</v>
      </c>
      <c r="BP12" s="137">
        <v>552</v>
      </c>
      <c r="BQ12" s="137">
        <v>473</v>
      </c>
      <c r="BR12" s="139">
        <v>571</v>
      </c>
      <c r="BS12" s="137">
        <v>119</v>
      </c>
      <c r="BT12" s="137">
        <v>1038</v>
      </c>
      <c r="BU12" s="137">
        <v>862</v>
      </c>
      <c r="BV12" s="137">
        <v>1419</v>
      </c>
      <c r="BW12" s="137">
        <v>507</v>
      </c>
      <c r="BX12" s="137">
        <v>491</v>
      </c>
      <c r="BY12" s="137">
        <v>481</v>
      </c>
      <c r="BZ12" s="137">
        <v>430</v>
      </c>
      <c r="CA12" s="137">
        <v>234</v>
      </c>
      <c r="CB12" s="139">
        <v>278</v>
      </c>
      <c r="CC12" s="137">
        <v>813</v>
      </c>
      <c r="CD12" s="137">
        <v>382</v>
      </c>
      <c r="CE12" s="137">
        <v>739</v>
      </c>
      <c r="CF12" s="137">
        <v>358</v>
      </c>
      <c r="CG12" s="141">
        <v>833</v>
      </c>
      <c r="CH12" s="137">
        <v>536</v>
      </c>
      <c r="CI12" s="137">
        <v>348</v>
      </c>
      <c r="CJ12" s="137">
        <v>542</v>
      </c>
      <c r="CK12" s="138">
        <v>583</v>
      </c>
      <c r="CL12" s="140">
        <v>23417</v>
      </c>
      <c r="CM12" s="49"/>
    </row>
    <row r="13" spans="1:91">
      <c r="A13" s="80">
        <f>ROWS($A$3:A11)</f>
        <v>9</v>
      </c>
      <c r="B13" s="92" t="s">
        <v>65</v>
      </c>
      <c r="C13" s="202">
        <v>2011</v>
      </c>
      <c r="D13" s="259" t="s">
        <v>11</v>
      </c>
      <c r="E13" s="437"/>
      <c r="F13" s="116">
        <v>4002571</v>
      </c>
      <c r="G13" s="137">
        <v>2744226</v>
      </c>
      <c r="H13" s="137">
        <v>2199125</v>
      </c>
      <c r="I13" s="138">
        <v>1807958</v>
      </c>
      <c r="J13" s="137"/>
      <c r="K13" s="116">
        <f t="shared" si="0"/>
        <v>310733</v>
      </c>
      <c r="L13" s="137">
        <f t="shared" si="1"/>
        <v>415448</v>
      </c>
      <c r="M13" s="137">
        <f t="shared" si="2"/>
        <v>133351</v>
      </c>
      <c r="N13" s="137">
        <f t="shared" si="3"/>
        <v>252548</v>
      </c>
      <c r="O13" s="137">
        <f t="shared" si="4"/>
        <v>131116</v>
      </c>
      <c r="P13" s="137">
        <f>'2011'!AZ13+'2011'!BA13</f>
        <v>451243</v>
      </c>
      <c r="Q13" s="137">
        <f>'2011'!AU13</f>
        <v>371396</v>
      </c>
      <c r="R13" s="137">
        <f t="shared" si="32"/>
        <v>1124573</v>
      </c>
      <c r="S13" s="137">
        <f t="shared" si="5"/>
        <v>514830</v>
      </c>
      <c r="T13" s="137">
        <f t="shared" si="6"/>
        <v>108913</v>
      </c>
      <c r="U13" s="139">
        <f t="shared" si="7"/>
        <v>188420</v>
      </c>
      <c r="V13" s="137">
        <f t="shared" si="8"/>
        <v>281234</v>
      </c>
      <c r="W13" s="137">
        <f t="shared" si="9"/>
        <v>119878</v>
      </c>
      <c r="X13" s="137">
        <f t="shared" si="10"/>
        <v>727032</v>
      </c>
      <c r="Y13" s="137">
        <f t="shared" si="11"/>
        <v>998111</v>
      </c>
      <c r="Z13" s="137">
        <f t="shared" si="12"/>
        <v>147006</v>
      </c>
      <c r="AA13" s="137">
        <f t="shared" si="13"/>
        <v>313694</v>
      </c>
      <c r="AB13" s="139">
        <f t="shared" si="14"/>
        <v>157271</v>
      </c>
      <c r="AC13" s="137">
        <f t="shared" si="15"/>
        <v>206535</v>
      </c>
      <c r="AD13" s="137">
        <f t="shared" si="16"/>
        <v>158342</v>
      </c>
      <c r="AE13" s="137">
        <f t="shared" si="17"/>
        <v>475457</v>
      </c>
      <c r="AF13" s="137">
        <f t="shared" si="18"/>
        <v>222650</v>
      </c>
      <c r="AG13" s="137">
        <f t="shared" si="19"/>
        <v>417513</v>
      </c>
      <c r="AH13" s="137">
        <f t="shared" si="20"/>
        <v>278983</v>
      </c>
      <c r="AI13" s="137">
        <f t="shared" si="21"/>
        <v>139316</v>
      </c>
      <c r="AJ13" s="137">
        <f t="shared" si="22"/>
        <v>134189</v>
      </c>
      <c r="AK13" s="139">
        <f t="shared" si="23"/>
        <v>166140</v>
      </c>
      <c r="AL13" s="137">
        <f t="shared" si="24"/>
        <v>188393</v>
      </c>
      <c r="AM13" s="137">
        <f t="shared" si="25"/>
        <v>189312</v>
      </c>
      <c r="AN13" s="137">
        <f t="shared" si="26"/>
        <v>276965</v>
      </c>
      <c r="AO13" s="137">
        <f t="shared" si="27"/>
        <v>280931</v>
      </c>
      <c r="AP13" s="137">
        <f t="shared" si="28"/>
        <v>221304</v>
      </c>
      <c r="AQ13" s="137">
        <f t="shared" si="29"/>
        <v>130215</v>
      </c>
      <c r="AR13" s="137">
        <f t="shared" si="30"/>
        <v>208367</v>
      </c>
      <c r="AS13" s="138">
        <f t="shared" si="31"/>
        <v>312471</v>
      </c>
      <c r="AT13" s="141">
        <v>606588</v>
      </c>
      <c r="AU13" s="141">
        <v>371396</v>
      </c>
      <c r="AV13" s="141">
        <v>514830</v>
      </c>
      <c r="AW13" s="141">
        <v>252548</v>
      </c>
      <c r="AX13" s="141">
        <v>517985</v>
      </c>
      <c r="AY13" s="137">
        <v>415448</v>
      </c>
      <c r="AZ13" s="137">
        <v>122879</v>
      </c>
      <c r="BA13" s="137">
        <v>328364</v>
      </c>
      <c r="BB13" s="137">
        <v>108913</v>
      </c>
      <c r="BC13" s="137">
        <v>188420</v>
      </c>
      <c r="BD13" s="137">
        <v>133351</v>
      </c>
      <c r="BE13" s="137">
        <v>131116</v>
      </c>
      <c r="BF13" s="139">
        <v>310733</v>
      </c>
      <c r="BG13" s="137">
        <v>54445</v>
      </c>
      <c r="BH13" s="137">
        <v>294761</v>
      </c>
      <c r="BI13" s="137">
        <v>432271</v>
      </c>
      <c r="BJ13" s="137">
        <v>226789</v>
      </c>
      <c r="BK13" s="137">
        <v>147312</v>
      </c>
      <c r="BL13" s="137">
        <v>313174</v>
      </c>
      <c r="BM13" s="137">
        <v>147006</v>
      </c>
      <c r="BN13" s="137">
        <v>537625</v>
      </c>
      <c r="BO13" s="137">
        <v>119781</v>
      </c>
      <c r="BP13" s="137">
        <v>157271</v>
      </c>
      <c r="BQ13" s="137">
        <v>193913</v>
      </c>
      <c r="BR13" s="139">
        <v>119878</v>
      </c>
      <c r="BS13" s="137">
        <v>224191</v>
      </c>
      <c r="BT13" s="137">
        <v>251266</v>
      </c>
      <c r="BU13" s="137">
        <v>158342</v>
      </c>
      <c r="BV13" s="137">
        <v>417513</v>
      </c>
      <c r="BW13" s="137">
        <v>139316</v>
      </c>
      <c r="BX13" s="137">
        <v>206535</v>
      </c>
      <c r="BY13" s="137">
        <v>134189</v>
      </c>
      <c r="BZ13" s="137">
        <v>278983</v>
      </c>
      <c r="CA13" s="137">
        <v>222650</v>
      </c>
      <c r="CB13" s="139">
        <v>166140</v>
      </c>
      <c r="CC13" s="137">
        <v>280931</v>
      </c>
      <c r="CD13" s="137">
        <v>221304</v>
      </c>
      <c r="CE13" s="137">
        <v>188393</v>
      </c>
      <c r="CF13" s="137">
        <v>122801</v>
      </c>
      <c r="CG13" s="137">
        <v>189670</v>
      </c>
      <c r="CH13" s="137">
        <v>189312</v>
      </c>
      <c r="CI13" s="137">
        <v>208367</v>
      </c>
      <c r="CJ13" s="137">
        <v>276965</v>
      </c>
      <c r="CK13" s="137">
        <v>130215</v>
      </c>
      <c r="CL13" s="140">
        <v>10753880</v>
      </c>
      <c r="CM13" s="49"/>
    </row>
    <row r="14" spans="1:91">
      <c r="A14" s="80">
        <f>ROWS($A$3:A12)</f>
        <v>10</v>
      </c>
      <c r="B14" s="54" t="s">
        <v>61</v>
      </c>
      <c r="C14" s="252"/>
      <c r="D14" s="259" t="s">
        <v>12</v>
      </c>
      <c r="E14" s="435"/>
      <c r="F14" s="142">
        <f>F13/F7*100</f>
        <v>379.11463503345431</v>
      </c>
      <c r="G14" s="143">
        <f>G13/G7*100</f>
        <v>396.62004645159794</v>
      </c>
      <c r="H14" s="143">
        <f>H13/H7*100</f>
        <v>235.0240781787364</v>
      </c>
      <c r="I14" s="144">
        <f>I13/I7*100</f>
        <v>202.73837731520157</v>
      </c>
      <c r="J14" s="141"/>
      <c r="K14" s="145">
        <f t="shared" si="0"/>
        <v>205.56970567026335</v>
      </c>
      <c r="L14" s="146">
        <f t="shared" si="1"/>
        <v>484.12613326496842</v>
      </c>
      <c r="M14" s="146">
        <f t="shared" si="2"/>
        <v>102.2308936607355</v>
      </c>
      <c r="N14" s="146">
        <f t="shared" si="3"/>
        <v>393.15036505440787</v>
      </c>
      <c r="O14" s="146">
        <f t="shared" si="4"/>
        <v>209.0764128077561</v>
      </c>
      <c r="P14" s="143">
        <f>P13/P7*100</f>
        <v>376.09538176878004</v>
      </c>
      <c r="Q14" s="146">
        <f>'2011'!AU14</f>
        <v>601.11030185320067</v>
      </c>
      <c r="R14" s="143">
        <f>R13/R7*100</f>
        <v>1257.6724783877787</v>
      </c>
      <c r="S14" s="146">
        <f t="shared" si="5"/>
        <v>802.56594126083428</v>
      </c>
      <c r="T14" s="146">
        <f t="shared" si="6"/>
        <v>140.21628580624397</v>
      </c>
      <c r="U14" s="147">
        <f t="shared" si="7"/>
        <v>126.96679941509828</v>
      </c>
      <c r="V14" s="143">
        <f>V13/V7*100</f>
        <v>319.96222808774007</v>
      </c>
      <c r="W14" s="146">
        <f t="shared" si="9"/>
        <v>137.68477149781202</v>
      </c>
      <c r="X14" s="143">
        <f>X13/X7*100</f>
        <v>577.73857486828626</v>
      </c>
      <c r="Y14" s="143">
        <f>Y13/Y7*100</f>
        <v>758.73128088179396</v>
      </c>
      <c r="Z14" s="146">
        <f t="shared" si="12"/>
        <v>130.52349326987959</v>
      </c>
      <c r="AA14" s="143">
        <f>AA13/AA7*100</f>
        <v>467.02894235350163</v>
      </c>
      <c r="AB14" s="147">
        <f t="shared" si="14"/>
        <v>197.20254291482237</v>
      </c>
      <c r="AC14" s="146">
        <f t="shared" si="15"/>
        <v>201.44646236076701</v>
      </c>
      <c r="AD14" s="146">
        <f t="shared" si="16"/>
        <v>232.8969818203212</v>
      </c>
      <c r="AE14" s="143">
        <f>AE13/AE7*100</f>
        <v>310.47414440475649</v>
      </c>
      <c r="AF14" s="146">
        <f t="shared" si="18"/>
        <v>275.97704426292495</v>
      </c>
      <c r="AG14" s="146">
        <f t="shared" si="19"/>
        <v>224.37405618043948</v>
      </c>
      <c r="AH14" s="146">
        <f t="shared" si="20"/>
        <v>341.0633511821805</v>
      </c>
      <c r="AI14" s="146">
        <f t="shared" si="21"/>
        <v>181.06390444874779</v>
      </c>
      <c r="AJ14" s="146">
        <f t="shared" si="22"/>
        <v>182.73166746101995</v>
      </c>
      <c r="AK14" s="147">
        <f t="shared" si="23"/>
        <v>146.87707200636518</v>
      </c>
      <c r="AL14" s="146">
        <f t="shared" si="24"/>
        <v>205.28598358958715</v>
      </c>
      <c r="AM14" s="146">
        <f t="shared" si="25"/>
        <v>134.28763965242064</v>
      </c>
      <c r="AN14" s="146">
        <f t="shared" si="26"/>
        <v>169.72662593529964</v>
      </c>
      <c r="AO14" s="146">
        <f t="shared" si="27"/>
        <v>257.09330844132074</v>
      </c>
      <c r="AP14" s="146">
        <f t="shared" si="28"/>
        <v>426.24857951809548</v>
      </c>
      <c r="AQ14" s="146">
        <f t="shared" si="29"/>
        <v>108.12146071707325</v>
      </c>
      <c r="AR14" s="146">
        <f t="shared" si="30"/>
        <v>313.43281336963554</v>
      </c>
      <c r="AS14" s="144">
        <f>AS13/AS7*100</f>
        <v>211.5063356257107</v>
      </c>
      <c r="AT14" s="143">
        <f t="shared" ref="AT14:CK14" si="33">AT13/AT7*100</f>
        <v>2925.4304316373282</v>
      </c>
      <c r="AU14" s="143">
        <f t="shared" si="33"/>
        <v>601.11030185320067</v>
      </c>
      <c r="AV14" s="143">
        <f t="shared" si="33"/>
        <v>802.56594126083428</v>
      </c>
      <c r="AW14" s="143">
        <f t="shared" si="33"/>
        <v>393.15036505440787</v>
      </c>
      <c r="AX14" s="143">
        <f t="shared" si="33"/>
        <v>754.17867854750875</v>
      </c>
      <c r="AY14" s="143">
        <f t="shared" si="33"/>
        <v>484.12613326496842</v>
      </c>
      <c r="AZ14" s="143">
        <f t="shared" si="33"/>
        <v>1230.2663195835003</v>
      </c>
      <c r="BA14" s="143">
        <f t="shared" si="33"/>
        <v>298.53172474612018</v>
      </c>
      <c r="BB14" s="143">
        <f t="shared" si="33"/>
        <v>140.21628580624397</v>
      </c>
      <c r="BC14" s="143">
        <f t="shared" si="33"/>
        <v>126.96679941509828</v>
      </c>
      <c r="BD14" s="143">
        <f t="shared" si="33"/>
        <v>102.2308936607355</v>
      </c>
      <c r="BE14" s="143">
        <f t="shared" si="33"/>
        <v>209.0764128077561</v>
      </c>
      <c r="BF14" s="148">
        <f t="shared" si="33"/>
        <v>205.56970567026335</v>
      </c>
      <c r="BG14" s="143">
        <f t="shared" si="33"/>
        <v>388.31039155552384</v>
      </c>
      <c r="BH14" s="143">
        <f t="shared" si="33"/>
        <v>1699.302432837542</v>
      </c>
      <c r="BI14" s="143">
        <f t="shared" si="33"/>
        <v>398.42481220332735</v>
      </c>
      <c r="BJ14" s="143">
        <f t="shared" si="33"/>
        <v>306.99018612521149</v>
      </c>
      <c r="BK14" s="143">
        <f t="shared" si="33"/>
        <v>1353.5973536708627</v>
      </c>
      <c r="BL14" s="143">
        <f t="shared" si="33"/>
        <v>2160.416666666667</v>
      </c>
      <c r="BM14" s="143">
        <f t="shared" si="33"/>
        <v>130.52349326987959</v>
      </c>
      <c r="BN14" s="143">
        <f t="shared" si="33"/>
        <v>506.37650582550793</v>
      </c>
      <c r="BO14" s="143">
        <f t="shared" si="33"/>
        <v>1222.2551020408164</v>
      </c>
      <c r="BP14" s="143">
        <f t="shared" si="33"/>
        <v>197.20254291482237</v>
      </c>
      <c r="BQ14" s="143">
        <f t="shared" si="33"/>
        <v>338.01596708966667</v>
      </c>
      <c r="BR14" s="148">
        <f t="shared" si="33"/>
        <v>137.68477149781202</v>
      </c>
      <c r="BS14" s="143">
        <f t="shared" si="33"/>
        <v>1464.7262511433426</v>
      </c>
      <c r="BT14" s="143">
        <f t="shared" si="33"/>
        <v>182.29741788976514</v>
      </c>
      <c r="BU14" s="143">
        <f t="shared" si="33"/>
        <v>232.8969818203212</v>
      </c>
      <c r="BV14" s="143">
        <f t="shared" si="33"/>
        <v>224.37405618043948</v>
      </c>
      <c r="BW14" s="143">
        <f t="shared" si="33"/>
        <v>181.06390444874779</v>
      </c>
      <c r="BX14" s="143">
        <f t="shared" si="33"/>
        <v>201.44646236076701</v>
      </c>
      <c r="BY14" s="143">
        <f t="shared" si="33"/>
        <v>182.73166746101995</v>
      </c>
      <c r="BZ14" s="143">
        <f t="shared" si="33"/>
        <v>341.0633511821805</v>
      </c>
      <c r="CA14" s="143">
        <f t="shared" si="33"/>
        <v>275.97704426292495</v>
      </c>
      <c r="CB14" s="148">
        <f t="shared" si="33"/>
        <v>146.87707200636518</v>
      </c>
      <c r="CC14" s="143">
        <f t="shared" si="33"/>
        <v>257.09330844132074</v>
      </c>
      <c r="CD14" s="143">
        <f t="shared" si="33"/>
        <v>426.24857951809548</v>
      </c>
      <c r="CE14" s="143">
        <f t="shared" si="33"/>
        <v>205.28598358958715</v>
      </c>
      <c r="CF14" s="143">
        <f t="shared" si="33"/>
        <v>1034.63644788946</v>
      </c>
      <c r="CG14" s="143">
        <f>CG13/CG7*100</f>
        <v>139.59975564338654</v>
      </c>
      <c r="CH14" s="143">
        <f t="shared" si="33"/>
        <v>134.28763965242064</v>
      </c>
      <c r="CI14" s="143">
        <f t="shared" si="33"/>
        <v>313.43281336963554</v>
      </c>
      <c r="CJ14" s="143">
        <f t="shared" si="33"/>
        <v>169.72662593529964</v>
      </c>
      <c r="CK14" s="144">
        <f t="shared" si="33"/>
        <v>108.12146071707325</v>
      </c>
      <c r="CL14" s="149">
        <f>CL13/CL7*100</f>
        <v>300.79596860655283</v>
      </c>
    </row>
    <row r="15" spans="1:91">
      <c r="A15" s="80">
        <f>ROWS($A$3:A13)</f>
        <v>11</v>
      </c>
      <c r="B15" s="59" t="s">
        <v>269</v>
      </c>
      <c r="C15" s="252"/>
      <c r="D15" s="259"/>
      <c r="E15" s="435"/>
      <c r="F15" s="302"/>
      <c r="G15" s="141"/>
      <c r="H15" s="141"/>
      <c r="I15" s="298"/>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1">
      <c r="A16" s="80">
        <f>ROWS($A$3:A14)</f>
        <v>12</v>
      </c>
      <c r="B16" s="388" t="s">
        <v>200</v>
      </c>
      <c r="C16" s="470">
        <v>2011</v>
      </c>
      <c r="D16" s="259" t="s">
        <v>11</v>
      </c>
      <c r="E16" s="471">
        <v>42207</v>
      </c>
      <c r="F16" s="116">
        <v>2215300</v>
      </c>
      <c r="G16" s="137">
        <v>1477000</v>
      </c>
      <c r="H16" s="137">
        <v>1140700</v>
      </c>
      <c r="I16" s="138">
        <v>965800</v>
      </c>
      <c r="J16" s="141"/>
      <c r="K16" s="116">
        <f t="shared" si="0"/>
        <v>157300</v>
      </c>
      <c r="L16" s="137">
        <f t="shared" si="1"/>
        <v>189600</v>
      </c>
      <c r="M16" s="137">
        <f t="shared" si="2"/>
        <v>71700</v>
      </c>
      <c r="N16" s="137">
        <f t="shared" si="3"/>
        <v>113800</v>
      </c>
      <c r="O16" s="137">
        <f t="shared" si="4"/>
        <v>65100</v>
      </c>
      <c r="P16" s="137">
        <f>'2011'!AZ16+'2011'!BA16</f>
        <v>257400</v>
      </c>
      <c r="Q16" s="137">
        <f>'2011'!AU16</f>
        <v>215600</v>
      </c>
      <c r="R16" s="137">
        <f t="shared" si="32"/>
        <v>719400</v>
      </c>
      <c r="S16" s="137">
        <f t="shared" si="5"/>
        <v>255500</v>
      </c>
      <c r="T16" s="137">
        <f t="shared" si="6"/>
        <v>65300</v>
      </c>
      <c r="U16" s="139">
        <f t="shared" si="7"/>
        <v>104500</v>
      </c>
      <c r="V16" s="137">
        <f>BG16+BJ16</f>
        <v>150600</v>
      </c>
      <c r="W16" s="137">
        <f t="shared" si="9"/>
        <v>61800</v>
      </c>
      <c r="X16" s="137">
        <f>BH16+BI16</f>
        <v>425300</v>
      </c>
      <c r="Y16" s="137">
        <f>BK16+BL16+BN16</f>
        <v>559900</v>
      </c>
      <c r="Z16" s="137">
        <f t="shared" si="12"/>
        <v>66100</v>
      </c>
      <c r="AA16" s="137">
        <f>BO16+BQ16</f>
        <v>150000</v>
      </c>
      <c r="AB16" s="139">
        <f t="shared" si="14"/>
        <v>63300</v>
      </c>
      <c r="AC16" s="137">
        <f t="shared" si="15"/>
        <v>113900</v>
      </c>
      <c r="AD16" s="137">
        <f t="shared" si="16"/>
        <v>67900</v>
      </c>
      <c r="AE16" s="137">
        <f>BS16+BT16</f>
        <v>267800</v>
      </c>
      <c r="AF16" s="137">
        <f t="shared" si="18"/>
        <v>100400</v>
      </c>
      <c r="AG16" s="137">
        <f t="shared" si="19"/>
        <v>229700</v>
      </c>
      <c r="AH16" s="137">
        <f t="shared" si="20"/>
        <v>134000</v>
      </c>
      <c r="AI16" s="137">
        <f t="shared" si="21"/>
        <v>73300</v>
      </c>
      <c r="AJ16" s="137">
        <f t="shared" si="22"/>
        <v>79000</v>
      </c>
      <c r="AK16" s="139">
        <f t="shared" si="23"/>
        <v>74700</v>
      </c>
      <c r="AL16" s="137">
        <f t="shared" si="24"/>
        <v>90400</v>
      </c>
      <c r="AM16" s="137">
        <f t="shared" si="25"/>
        <v>103700</v>
      </c>
      <c r="AN16" s="137">
        <f t="shared" si="26"/>
        <v>151800</v>
      </c>
      <c r="AO16" s="137">
        <f t="shared" si="27"/>
        <v>141600</v>
      </c>
      <c r="AP16" s="137">
        <f t="shared" si="28"/>
        <v>102300</v>
      </c>
      <c r="AQ16" s="137">
        <f t="shared" si="29"/>
        <v>66200</v>
      </c>
      <c r="AR16" s="137">
        <f t="shared" si="30"/>
        <v>114800</v>
      </c>
      <c r="AS16" s="138">
        <f>CF16+CG16</f>
        <v>195000</v>
      </c>
      <c r="AT16" s="141">
        <v>477100</v>
      </c>
      <c r="AU16" s="141">
        <v>215600</v>
      </c>
      <c r="AV16" s="141">
        <v>255500</v>
      </c>
      <c r="AW16" s="141">
        <v>113800</v>
      </c>
      <c r="AX16" s="141">
        <v>242300</v>
      </c>
      <c r="AY16" s="137">
        <v>189600</v>
      </c>
      <c r="AZ16" s="137">
        <v>101600</v>
      </c>
      <c r="BA16" s="137">
        <v>155800</v>
      </c>
      <c r="BB16" s="137">
        <v>65300</v>
      </c>
      <c r="BC16" s="137">
        <v>104500</v>
      </c>
      <c r="BD16" s="137">
        <v>71700</v>
      </c>
      <c r="BE16" s="137">
        <v>65100</v>
      </c>
      <c r="BF16" s="139">
        <v>157300</v>
      </c>
      <c r="BG16" s="137">
        <v>40400</v>
      </c>
      <c r="BH16" s="137">
        <v>228900</v>
      </c>
      <c r="BI16" s="137">
        <v>196400</v>
      </c>
      <c r="BJ16" s="137">
        <v>110200</v>
      </c>
      <c r="BK16" s="137">
        <v>112900</v>
      </c>
      <c r="BL16" s="137">
        <v>228600</v>
      </c>
      <c r="BM16" s="137">
        <v>66100</v>
      </c>
      <c r="BN16" s="137">
        <v>218400</v>
      </c>
      <c r="BO16" s="137">
        <v>72800</v>
      </c>
      <c r="BP16" s="137">
        <v>63300</v>
      </c>
      <c r="BQ16" s="137">
        <v>77200</v>
      </c>
      <c r="BR16" s="139">
        <v>61800</v>
      </c>
      <c r="BS16" s="137">
        <v>158400</v>
      </c>
      <c r="BT16" s="137">
        <v>109400</v>
      </c>
      <c r="BU16" s="137">
        <v>67900</v>
      </c>
      <c r="BV16" s="137">
        <v>229700</v>
      </c>
      <c r="BW16" s="137">
        <v>73300</v>
      </c>
      <c r="BX16" s="137">
        <v>113900</v>
      </c>
      <c r="BY16" s="137">
        <v>79000</v>
      </c>
      <c r="BZ16" s="137">
        <v>134000</v>
      </c>
      <c r="CA16" s="137">
        <v>100400</v>
      </c>
      <c r="CB16" s="139">
        <v>74700</v>
      </c>
      <c r="CC16" s="137">
        <v>141600</v>
      </c>
      <c r="CD16" s="137">
        <v>102300</v>
      </c>
      <c r="CE16" s="137">
        <v>90400</v>
      </c>
      <c r="CF16" s="137">
        <v>119500</v>
      </c>
      <c r="CG16" s="137">
        <v>75500</v>
      </c>
      <c r="CH16" s="137">
        <v>103700</v>
      </c>
      <c r="CI16" s="137">
        <v>114800</v>
      </c>
      <c r="CJ16" s="137">
        <v>151800</v>
      </c>
      <c r="CK16" s="138">
        <v>66200</v>
      </c>
      <c r="CL16" s="140">
        <v>5798800</v>
      </c>
    </row>
    <row r="17" spans="1:90" ht="14.25">
      <c r="A17" s="80">
        <f>ROWS($A$3:A15)</f>
        <v>13</v>
      </c>
      <c r="B17" s="54" t="s">
        <v>243</v>
      </c>
      <c r="C17" s="202">
        <v>2011</v>
      </c>
      <c r="D17" s="259" t="s">
        <v>3</v>
      </c>
      <c r="E17" s="437"/>
      <c r="F17" s="167">
        <f>(AT16*AT17+AU16*AU17+AV16*AV17+AW16*AW17+AX16*AX17+AY16*AY17+AZ16*AZ17+BA16*BA17+BB16*BB17+BC16*BC17+BD16*BD17+BE16*BE17+BF16*BF17)/F16</f>
        <v>4.3374351103687987</v>
      </c>
      <c r="G17" s="168">
        <f>(BG16*BG17+BH16*BH17+BI16*BI17+BJ16*BJ17+BK16*BK17+BL16*BL17+BM16*BM17+BN16*BN17+BO16*BO17+BP16*BP17+BQ16*BQ17+BR16*BR17)/G16</f>
        <v>4.750866621530129</v>
      </c>
      <c r="H17" s="168">
        <f>(BS16*BS17+BT16*BT17+BU16*BU17+BV16*BV17+BW16*BW17+BX16*BX17+BY16*BY17+BZ16*BZ17+CA16*CA17+CB16*CB17)/H16</f>
        <v>3.9670202507232402</v>
      </c>
      <c r="I17" s="169">
        <f>(CC16*CC17+CD16*CD17+CE16*CE17+CF16*CF17+CG16*CG17+CH16*CH17+CI16*CI17+CJ16*CJ17+CK16*CK17)/I16</f>
        <v>3.497587492234417</v>
      </c>
      <c r="J17" s="173"/>
      <c r="K17" s="170">
        <f t="shared" si="0"/>
        <v>3.9</v>
      </c>
      <c r="L17" s="171">
        <f t="shared" si="1"/>
        <v>4.0999999999999996</v>
      </c>
      <c r="M17" s="171">
        <f t="shared" si="2"/>
        <v>3.5</v>
      </c>
      <c r="N17" s="171">
        <f t="shared" si="3"/>
        <v>4.4000000000000004</v>
      </c>
      <c r="O17" s="171">
        <f t="shared" si="4"/>
        <v>5.0999999999999996</v>
      </c>
      <c r="P17" s="168">
        <f>ROUND((AZ16*AZ17/100+BA16*BA17/100)/P16%,1)</f>
        <v>4.5999999999999996</v>
      </c>
      <c r="Q17" s="171">
        <f>'2011'!AU17</f>
        <v>3.8</v>
      </c>
      <c r="R17" s="168">
        <f>ROUND((AT16*AT17/100+AX16*AX17/100)/R16%,1)</f>
        <v>5</v>
      </c>
      <c r="S17" s="171">
        <f t="shared" si="5"/>
        <v>4</v>
      </c>
      <c r="T17" s="171">
        <f t="shared" si="6"/>
        <v>2.8</v>
      </c>
      <c r="U17" s="172">
        <f t="shared" si="7"/>
        <v>3.3</v>
      </c>
      <c r="V17" s="168">
        <f>ROUND((BG16*BG17/100+BJ16*BJ17/100)/V16%,1)</f>
        <v>4.0999999999999996</v>
      </c>
      <c r="W17" s="171">
        <f t="shared" si="9"/>
        <v>3.7</v>
      </c>
      <c r="X17" s="168">
        <f>ROUND((BH16*BH17/100+BI16*BI17/100)/X16%,1)</f>
        <v>4.5999999999999996</v>
      </c>
      <c r="Y17" s="168">
        <f>ROUND((BK16*BK17/100+BL16*BL17/100+BN16*BN17/100)/Y16%,1)</f>
        <v>5.2</v>
      </c>
      <c r="Z17" s="171">
        <f t="shared" si="12"/>
        <v>4.0999999999999996</v>
      </c>
      <c r="AA17" s="168">
        <f>ROUND((BO16*BO17/100+BQ16*BQ17/100)/AA16%,1)</f>
        <v>5.3</v>
      </c>
      <c r="AB17" s="172">
        <f t="shared" si="14"/>
        <v>3.9</v>
      </c>
      <c r="AC17" s="171">
        <f t="shared" si="15"/>
        <v>3.7</v>
      </c>
      <c r="AD17" s="171">
        <f t="shared" si="16"/>
        <v>3.2</v>
      </c>
      <c r="AE17" s="168">
        <f>ROUND((BS16*BS17/100+BT16*BT17/100)/AE16%,1)</f>
        <v>5</v>
      </c>
      <c r="AF17" s="171">
        <f t="shared" si="18"/>
        <v>4</v>
      </c>
      <c r="AG17" s="171">
        <f t="shared" si="19"/>
        <v>3.6</v>
      </c>
      <c r="AH17" s="171">
        <f t="shared" si="20"/>
        <v>4.4000000000000004</v>
      </c>
      <c r="AI17" s="171">
        <f t="shared" si="21"/>
        <v>3</v>
      </c>
      <c r="AJ17" s="171">
        <f t="shared" si="22"/>
        <v>3.2</v>
      </c>
      <c r="AK17" s="172">
        <f t="shared" si="23"/>
        <v>3.3</v>
      </c>
      <c r="AL17" s="171">
        <f t="shared" si="24"/>
        <v>4.3</v>
      </c>
      <c r="AM17" s="171">
        <f t="shared" si="25"/>
        <v>2.5</v>
      </c>
      <c r="AN17" s="171">
        <f t="shared" si="26"/>
        <v>2.8</v>
      </c>
      <c r="AO17" s="171">
        <f t="shared" si="27"/>
        <v>4.2</v>
      </c>
      <c r="AP17" s="171">
        <f t="shared" si="28"/>
        <v>3.5</v>
      </c>
      <c r="AQ17" s="171">
        <f t="shared" si="29"/>
        <v>3.8</v>
      </c>
      <c r="AR17" s="171">
        <f t="shared" si="30"/>
        <v>3.1</v>
      </c>
      <c r="AS17" s="169">
        <f>ROUND((CF16*CF17/100+CG16*CG17/100)/AS16%,1)</f>
        <v>3.8</v>
      </c>
      <c r="AT17" s="173">
        <v>5.5</v>
      </c>
      <c r="AU17" s="171">
        <v>3.8</v>
      </c>
      <c r="AV17" s="171">
        <v>4</v>
      </c>
      <c r="AW17" s="171">
        <v>4.4000000000000004</v>
      </c>
      <c r="AX17" s="171">
        <v>3.9</v>
      </c>
      <c r="AY17" s="171">
        <v>4.0999999999999996</v>
      </c>
      <c r="AZ17" s="171">
        <v>6.1</v>
      </c>
      <c r="BA17" s="171">
        <v>3.7</v>
      </c>
      <c r="BB17" s="171">
        <v>2.8</v>
      </c>
      <c r="BC17" s="171">
        <v>3.3</v>
      </c>
      <c r="BD17" s="171">
        <v>3.5</v>
      </c>
      <c r="BE17" s="171">
        <v>5.0999999999999996</v>
      </c>
      <c r="BF17" s="172">
        <v>3.9</v>
      </c>
      <c r="BG17" s="171">
        <v>5.9</v>
      </c>
      <c r="BH17" s="171">
        <v>5.8</v>
      </c>
      <c r="BI17" s="171">
        <v>3.2</v>
      </c>
      <c r="BJ17" s="171">
        <v>3.5</v>
      </c>
      <c r="BK17" s="171">
        <v>5.3</v>
      </c>
      <c r="BL17" s="171">
        <v>6.4</v>
      </c>
      <c r="BM17" s="171">
        <v>4.0999999999999996</v>
      </c>
      <c r="BN17" s="171">
        <v>3.8</v>
      </c>
      <c r="BO17" s="171">
        <v>7.9</v>
      </c>
      <c r="BP17" s="171">
        <v>3.9</v>
      </c>
      <c r="BQ17" s="171">
        <v>2.9</v>
      </c>
      <c r="BR17" s="172">
        <v>3.7</v>
      </c>
      <c r="BS17" s="171">
        <v>6.1</v>
      </c>
      <c r="BT17" s="171">
        <v>3.5</v>
      </c>
      <c r="BU17" s="171">
        <v>3.2</v>
      </c>
      <c r="BV17" s="171">
        <v>3.6</v>
      </c>
      <c r="BW17" s="171">
        <v>3</v>
      </c>
      <c r="BX17" s="171">
        <v>3.7</v>
      </c>
      <c r="BY17" s="171">
        <v>3.2</v>
      </c>
      <c r="BZ17" s="171">
        <v>4.4000000000000004</v>
      </c>
      <c r="CA17" s="171">
        <v>4</v>
      </c>
      <c r="CB17" s="172">
        <v>3.3</v>
      </c>
      <c r="CC17" s="171">
        <v>4.2</v>
      </c>
      <c r="CD17" s="171">
        <v>3.5</v>
      </c>
      <c r="CE17" s="171">
        <v>4.3</v>
      </c>
      <c r="CF17" s="171">
        <v>4.4000000000000004</v>
      </c>
      <c r="CG17" s="173">
        <v>2.9</v>
      </c>
      <c r="CH17" s="171">
        <v>2.5</v>
      </c>
      <c r="CI17" s="171">
        <v>3.1</v>
      </c>
      <c r="CJ17" s="171">
        <v>2.8</v>
      </c>
      <c r="CK17" s="174">
        <v>3.8</v>
      </c>
      <c r="CL17" s="319">
        <v>4</v>
      </c>
    </row>
    <row r="18" spans="1:90">
      <c r="A18" s="80">
        <f>ROWS($A$3:A16)</f>
        <v>14</v>
      </c>
      <c r="B18" s="388" t="s">
        <v>270</v>
      </c>
      <c r="C18" s="393">
        <v>2010</v>
      </c>
      <c r="D18" s="259" t="s">
        <v>11</v>
      </c>
      <c r="E18" s="437">
        <v>40897</v>
      </c>
      <c r="F18" s="302">
        <v>65993</v>
      </c>
      <c r="G18" s="141">
        <v>23507</v>
      </c>
      <c r="H18" s="141">
        <v>61838</v>
      </c>
      <c r="I18" s="298">
        <v>38779</v>
      </c>
      <c r="J18" s="173"/>
      <c r="K18" s="116">
        <f>BF18</f>
        <v>4934</v>
      </c>
      <c r="L18" s="137">
        <f>AY18</f>
        <v>7021</v>
      </c>
      <c r="M18" s="137">
        <f>BD18</f>
        <v>5124</v>
      </c>
      <c r="N18" s="137">
        <f>AW18</f>
        <v>2210</v>
      </c>
      <c r="O18" s="137">
        <f>BE18</f>
        <v>1489</v>
      </c>
      <c r="P18" s="143">
        <f>'2011'!AZ18+'2011'!BA18</f>
        <v>17120</v>
      </c>
      <c r="Q18" s="137">
        <f>'2011'!AU18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c r="A19" s="80">
        <f>ROWS($A$3:A17)</f>
        <v>15</v>
      </c>
      <c r="B19" s="388" t="s">
        <v>268</v>
      </c>
      <c r="C19" s="393">
        <v>2010</v>
      </c>
      <c r="D19" s="259" t="s">
        <v>11</v>
      </c>
      <c r="E19" s="471">
        <v>41488</v>
      </c>
      <c r="F19" s="302">
        <v>1521341</v>
      </c>
      <c r="G19" s="141">
        <v>1003672</v>
      </c>
      <c r="H19" s="141">
        <v>737349</v>
      </c>
      <c r="I19" s="298">
        <v>625388</v>
      </c>
      <c r="J19" s="173"/>
      <c r="K19" s="116">
        <f>BF19</f>
        <v>104093</v>
      </c>
      <c r="L19" s="137">
        <f>AY19</f>
        <v>124014</v>
      </c>
      <c r="M19" s="137">
        <f>BD19</f>
        <v>47105</v>
      </c>
      <c r="N19" s="137">
        <f>AW19</f>
        <v>76352</v>
      </c>
      <c r="O19" s="137">
        <f>BE19</f>
        <v>46159</v>
      </c>
      <c r="P19" s="143">
        <f>'2011'!AZ19+'2011'!BA19</f>
        <v>168619</v>
      </c>
      <c r="Q19" s="137">
        <f>'2011'!AU19</f>
        <v>153852</v>
      </c>
      <c r="R19" s="143">
        <f>AT19+AX19</f>
        <v>509565</v>
      </c>
      <c r="S19" s="137">
        <f>AV19</f>
        <v>178134</v>
      </c>
      <c r="T19" s="137">
        <f>BB19</f>
        <v>46006</v>
      </c>
      <c r="U19" s="139">
        <f>BC19</f>
        <v>67442</v>
      </c>
      <c r="V19" s="143">
        <f>BG19+BJ19</f>
        <v>107403</v>
      </c>
      <c r="W19" s="137">
        <f>BR19</f>
        <v>41241</v>
      </c>
      <c r="X19" s="143">
        <f>BH19+BI19</f>
        <v>286514</v>
      </c>
      <c r="Y19" s="143">
        <f>BK19+BL19+BN19</f>
        <v>388162</v>
      </c>
      <c r="Z19" s="137">
        <f>BM19</f>
        <v>40208</v>
      </c>
      <c r="AA19" s="143">
        <f>BO19+BQ19</f>
        <v>100049</v>
      </c>
      <c r="AB19" s="139">
        <f>BP19</f>
        <v>40095</v>
      </c>
      <c r="AC19" s="137">
        <f>BX19</f>
        <v>75362</v>
      </c>
      <c r="AD19" s="137">
        <f>BU19</f>
        <v>42458</v>
      </c>
      <c r="AE19" s="143">
        <f>BS19+BT19</f>
        <v>169955</v>
      </c>
      <c r="AF19" s="137">
        <f>CA19</f>
        <v>67070</v>
      </c>
      <c r="AG19" s="137">
        <f>BV19</f>
        <v>151029</v>
      </c>
      <c r="AH19" s="137">
        <f>BZ19</f>
        <v>84382</v>
      </c>
      <c r="AI19" s="137">
        <f>BW19</f>
        <v>48500</v>
      </c>
      <c r="AJ19" s="137">
        <f>BY19</f>
        <v>52725</v>
      </c>
      <c r="AK19" s="139">
        <f>CB19</f>
        <v>45868</v>
      </c>
      <c r="AL19" s="137">
        <f>CE19</f>
        <v>58966</v>
      </c>
      <c r="AM19" s="137">
        <f>CH19</f>
        <v>67185</v>
      </c>
      <c r="AN19" s="137">
        <f>CJ19</f>
        <v>94756</v>
      </c>
      <c r="AO19" s="137">
        <f>CC19</f>
        <v>94474</v>
      </c>
      <c r="AP19" s="137">
        <f>CD19</f>
        <v>64809</v>
      </c>
      <c r="AQ19" s="137">
        <f>CK19</f>
        <v>40618</v>
      </c>
      <c r="AR19" s="137">
        <f>CI19</f>
        <v>75875</v>
      </c>
      <c r="AS19" s="144">
        <f>CF19+CG19</f>
        <v>128705</v>
      </c>
      <c r="AT19" s="141">
        <v>344223</v>
      </c>
      <c r="AU19" s="137">
        <v>153852</v>
      </c>
      <c r="AV19" s="137">
        <v>178134</v>
      </c>
      <c r="AW19" s="137">
        <v>76352</v>
      </c>
      <c r="AX19" s="137">
        <v>165342</v>
      </c>
      <c r="AY19" s="137">
        <v>124014</v>
      </c>
      <c r="AZ19" s="137">
        <v>60930</v>
      </c>
      <c r="BA19" s="137">
        <v>107689</v>
      </c>
      <c r="BB19" s="137">
        <v>46006</v>
      </c>
      <c r="BC19" s="137">
        <v>67442</v>
      </c>
      <c r="BD19" s="137">
        <v>47105</v>
      </c>
      <c r="BE19" s="137">
        <v>46159</v>
      </c>
      <c r="BF19" s="139">
        <v>104093</v>
      </c>
      <c r="BG19" s="137">
        <v>30496</v>
      </c>
      <c r="BH19" s="137">
        <v>157827</v>
      </c>
      <c r="BI19" s="137">
        <v>128687</v>
      </c>
      <c r="BJ19" s="137">
        <v>76907</v>
      </c>
      <c r="BK19" s="137">
        <v>79542</v>
      </c>
      <c r="BL19" s="137">
        <v>165481</v>
      </c>
      <c r="BM19" s="137">
        <v>40208</v>
      </c>
      <c r="BN19" s="137">
        <v>143139</v>
      </c>
      <c r="BO19" s="137">
        <v>49497</v>
      </c>
      <c r="BP19" s="137">
        <v>40095</v>
      </c>
      <c r="BQ19" s="137">
        <v>50552</v>
      </c>
      <c r="BR19" s="139">
        <v>41241</v>
      </c>
      <c r="BS19" s="137">
        <v>103546</v>
      </c>
      <c r="BT19" s="137">
        <v>66409</v>
      </c>
      <c r="BU19" s="137">
        <v>42458</v>
      </c>
      <c r="BV19" s="137">
        <v>151029</v>
      </c>
      <c r="BW19" s="137">
        <v>48500</v>
      </c>
      <c r="BX19" s="137">
        <v>75362</v>
      </c>
      <c r="BY19" s="137">
        <v>52725</v>
      </c>
      <c r="BZ19" s="137">
        <v>84382</v>
      </c>
      <c r="CA19" s="137">
        <v>67070</v>
      </c>
      <c r="CB19" s="139">
        <v>45868</v>
      </c>
      <c r="CC19" s="137">
        <v>94474</v>
      </c>
      <c r="CD19" s="137">
        <v>64809</v>
      </c>
      <c r="CE19" s="137">
        <v>58966</v>
      </c>
      <c r="CF19" s="137">
        <v>81237</v>
      </c>
      <c r="CG19" s="141">
        <v>47468</v>
      </c>
      <c r="CH19" s="137">
        <v>67185</v>
      </c>
      <c r="CI19" s="137">
        <v>75875</v>
      </c>
      <c r="CJ19" s="137">
        <v>94756</v>
      </c>
      <c r="CK19" s="138">
        <v>40618</v>
      </c>
      <c r="CL19" s="320">
        <v>3887750</v>
      </c>
    </row>
    <row r="20" spans="1:90">
      <c r="A20" s="80">
        <f>ROWS($A$3:A18)</f>
        <v>16</v>
      </c>
      <c r="B20" s="388" t="s">
        <v>64</v>
      </c>
      <c r="C20" s="393">
        <v>2009</v>
      </c>
      <c r="D20" s="259" t="s">
        <v>285</v>
      </c>
      <c r="E20" s="437"/>
      <c r="F20" s="116">
        <v>119642</v>
      </c>
      <c r="G20" s="137">
        <v>80956</v>
      </c>
      <c r="H20" s="137">
        <v>55254</v>
      </c>
      <c r="I20" s="138">
        <v>48870</v>
      </c>
      <c r="J20" s="141"/>
      <c r="K20" s="116">
        <f t="shared" si="0"/>
        <v>8179</v>
      </c>
      <c r="L20" s="137">
        <f t="shared" si="1"/>
        <v>9547</v>
      </c>
      <c r="M20" s="137">
        <f t="shared" si="2"/>
        <v>3577</v>
      </c>
      <c r="N20" s="137">
        <f t="shared" si="3"/>
        <v>5577</v>
      </c>
      <c r="O20" s="137">
        <f t="shared" si="4"/>
        <v>3216</v>
      </c>
      <c r="P20" s="137">
        <f>'2011'!AZ20+'2011'!BA20</f>
        <v>13239</v>
      </c>
      <c r="Q20" s="137">
        <f>'2011'!AU20</f>
        <v>12089</v>
      </c>
      <c r="R20" s="137">
        <f>AT20+AX20</f>
        <v>42289</v>
      </c>
      <c r="S20" s="137">
        <f t="shared" si="5"/>
        <v>13579</v>
      </c>
      <c r="T20" s="137">
        <f t="shared" si="6"/>
        <v>2946</v>
      </c>
      <c r="U20" s="139">
        <f t="shared" si="7"/>
        <v>5403</v>
      </c>
      <c r="V20" s="137">
        <f>BG20+BJ20</f>
        <v>8070</v>
      </c>
      <c r="W20" s="137">
        <f t="shared" si="9"/>
        <v>3135</v>
      </c>
      <c r="X20" s="137">
        <f>BH20+BI20</f>
        <v>24028</v>
      </c>
      <c r="Y20" s="137">
        <f>BK20+BL20+BN20</f>
        <v>32102</v>
      </c>
      <c r="Z20" s="137">
        <f t="shared" si="12"/>
        <v>3205</v>
      </c>
      <c r="AA20" s="137">
        <f>BO20+BQ20</f>
        <v>7385</v>
      </c>
      <c r="AB20" s="139">
        <f t="shared" si="14"/>
        <v>3033</v>
      </c>
      <c r="AC20" s="137">
        <f t="shared" si="15"/>
        <v>5443</v>
      </c>
      <c r="AD20" s="137">
        <f t="shared" si="16"/>
        <v>3083</v>
      </c>
      <c r="AE20" s="137">
        <f>BS20+BT20</f>
        <v>12149</v>
      </c>
      <c r="AF20" s="137">
        <f t="shared" si="18"/>
        <v>5178</v>
      </c>
      <c r="AG20" s="137">
        <f t="shared" si="19"/>
        <v>11313</v>
      </c>
      <c r="AH20" s="137">
        <f t="shared" si="20"/>
        <v>6945</v>
      </c>
      <c r="AI20" s="137">
        <f t="shared" si="21"/>
        <v>3629</v>
      </c>
      <c r="AJ20" s="137">
        <f t="shared" si="22"/>
        <v>3776</v>
      </c>
      <c r="AK20" s="139">
        <f t="shared" si="23"/>
        <v>3737</v>
      </c>
      <c r="AL20" s="137">
        <f t="shared" si="24"/>
        <v>4535</v>
      </c>
      <c r="AM20" s="137">
        <f t="shared" si="25"/>
        <v>5632</v>
      </c>
      <c r="AN20" s="137">
        <f t="shared" si="26"/>
        <v>7338</v>
      </c>
      <c r="AO20" s="137">
        <f t="shared" si="27"/>
        <v>7234</v>
      </c>
      <c r="AP20" s="137">
        <f t="shared" si="28"/>
        <v>4869</v>
      </c>
      <c r="AQ20" s="137">
        <f t="shared" si="29"/>
        <v>3217</v>
      </c>
      <c r="AR20" s="137">
        <f t="shared" si="30"/>
        <v>6025</v>
      </c>
      <c r="AS20" s="138">
        <f>CF20+CG20</f>
        <v>10020</v>
      </c>
      <c r="AT20" s="141">
        <v>28691</v>
      </c>
      <c r="AU20" s="137">
        <v>12089</v>
      </c>
      <c r="AV20" s="137">
        <v>13579</v>
      </c>
      <c r="AW20" s="137">
        <v>5577</v>
      </c>
      <c r="AX20" s="137">
        <v>13598</v>
      </c>
      <c r="AY20" s="137">
        <v>9547</v>
      </c>
      <c r="AZ20" s="137">
        <v>4550</v>
      </c>
      <c r="BA20" s="137">
        <v>8689</v>
      </c>
      <c r="BB20" s="137">
        <v>2946</v>
      </c>
      <c r="BC20" s="137">
        <v>5403</v>
      </c>
      <c r="BD20" s="137">
        <v>3577</v>
      </c>
      <c r="BE20" s="137">
        <v>3216</v>
      </c>
      <c r="BF20" s="139">
        <v>8179</v>
      </c>
      <c r="BG20" s="137">
        <v>2069</v>
      </c>
      <c r="BH20" s="137">
        <v>13216</v>
      </c>
      <c r="BI20" s="137">
        <v>10812</v>
      </c>
      <c r="BJ20" s="137">
        <v>6001</v>
      </c>
      <c r="BK20" s="137">
        <v>5713</v>
      </c>
      <c r="BL20" s="137">
        <v>13995</v>
      </c>
      <c r="BM20" s="137">
        <v>3205</v>
      </c>
      <c r="BN20" s="137">
        <v>12394</v>
      </c>
      <c r="BO20" s="137">
        <v>3650</v>
      </c>
      <c r="BP20" s="137">
        <v>3033</v>
      </c>
      <c r="BQ20" s="137">
        <v>3735</v>
      </c>
      <c r="BR20" s="139">
        <v>3135</v>
      </c>
      <c r="BS20" s="137">
        <v>7353</v>
      </c>
      <c r="BT20" s="137">
        <v>4796</v>
      </c>
      <c r="BU20" s="137">
        <v>3083</v>
      </c>
      <c r="BV20" s="137">
        <v>11313</v>
      </c>
      <c r="BW20" s="137">
        <v>3629</v>
      </c>
      <c r="BX20" s="137">
        <v>5443</v>
      </c>
      <c r="BY20" s="137">
        <v>3776</v>
      </c>
      <c r="BZ20" s="137">
        <v>6945</v>
      </c>
      <c r="CA20" s="137">
        <v>5178</v>
      </c>
      <c r="CB20" s="139">
        <v>3737</v>
      </c>
      <c r="CC20" s="137">
        <v>7234</v>
      </c>
      <c r="CD20" s="137">
        <v>4869</v>
      </c>
      <c r="CE20" s="137">
        <v>4535</v>
      </c>
      <c r="CF20" s="137">
        <v>5829</v>
      </c>
      <c r="CG20" s="141">
        <v>4191</v>
      </c>
      <c r="CH20" s="137">
        <v>5632</v>
      </c>
      <c r="CI20" s="137">
        <v>6025</v>
      </c>
      <c r="CJ20" s="137">
        <v>7338</v>
      </c>
      <c r="CK20" s="138">
        <v>3217</v>
      </c>
      <c r="CL20" s="140">
        <v>304723</v>
      </c>
    </row>
    <row r="21" spans="1:90">
      <c r="A21" s="80">
        <f>ROWS($A$3:A19)</f>
        <v>17</v>
      </c>
      <c r="B21" s="53" t="s">
        <v>62</v>
      </c>
      <c r="C21" s="261"/>
      <c r="D21" s="260" t="s">
        <v>3</v>
      </c>
      <c r="E21" s="435"/>
      <c r="F21" s="167">
        <f>F118/F20%</f>
        <v>0.59009377977633271</v>
      </c>
      <c r="G21" s="168">
        <f>G118/G20%</f>
        <v>0.44962695785364892</v>
      </c>
      <c r="H21" s="168">
        <f>H118/H20%</f>
        <v>0.91758062764686721</v>
      </c>
      <c r="I21" s="169">
        <f>I118/I20%</f>
        <v>0.86556169429097607</v>
      </c>
      <c r="J21" s="173"/>
      <c r="K21" s="167">
        <f t="shared" ref="K21:AP21" si="34">K118/K20%</f>
        <v>0.90475608265069074</v>
      </c>
      <c r="L21" s="168">
        <f t="shared" si="34"/>
        <v>0.74368911700010476</v>
      </c>
      <c r="M21" s="168">
        <f t="shared" si="34"/>
        <v>1.4816885658372938</v>
      </c>
      <c r="N21" s="168">
        <f t="shared" si="34"/>
        <v>0.55585440200824809</v>
      </c>
      <c r="O21" s="168">
        <f t="shared" si="34"/>
        <v>0.90174129353233845</v>
      </c>
      <c r="P21" s="168">
        <f t="shared" si="34"/>
        <v>0.71757685625802559</v>
      </c>
      <c r="Q21" s="168">
        <f t="shared" si="34"/>
        <v>0.29779138059392835</v>
      </c>
      <c r="R21" s="168">
        <f t="shared" si="34"/>
        <v>0.29322045922107404</v>
      </c>
      <c r="S21" s="168">
        <f t="shared" si="34"/>
        <v>0.39030856469548569</v>
      </c>
      <c r="T21" s="168">
        <f t="shared" si="34"/>
        <v>1.9008825526137134</v>
      </c>
      <c r="U21" s="176">
        <f t="shared" si="34"/>
        <v>1.5546918378678511</v>
      </c>
      <c r="V21" s="168">
        <f t="shared" si="34"/>
        <v>0.70631970260223043</v>
      </c>
      <c r="W21" s="168">
        <f t="shared" si="34"/>
        <v>0.82934609250398716</v>
      </c>
      <c r="X21" s="168">
        <f t="shared" si="34"/>
        <v>0.28716497419677045</v>
      </c>
      <c r="Y21" s="168">
        <f t="shared" si="34"/>
        <v>0.31462214192262167</v>
      </c>
      <c r="Z21" s="168">
        <f t="shared" si="34"/>
        <v>1.2792511700468019</v>
      </c>
      <c r="AA21" s="168">
        <f t="shared" si="34"/>
        <v>0.50101557210561953</v>
      </c>
      <c r="AB21" s="176">
        <f t="shared" si="34"/>
        <v>1.0880316518298714</v>
      </c>
      <c r="AC21" s="168">
        <f t="shared" si="34"/>
        <v>0.66139996325555761</v>
      </c>
      <c r="AD21" s="168">
        <f t="shared" si="34"/>
        <v>1.3947453778786896</v>
      </c>
      <c r="AE21" s="168">
        <f t="shared" si="34"/>
        <v>0.88073092435591416</v>
      </c>
      <c r="AF21" s="168">
        <f t="shared" si="34"/>
        <v>0.84974893781382776</v>
      </c>
      <c r="AG21" s="168">
        <f t="shared" si="34"/>
        <v>1.0960841509767525</v>
      </c>
      <c r="AH21" s="168">
        <f t="shared" si="34"/>
        <v>1.0655147588192944</v>
      </c>
      <c r="AI21" s="168">
        <f t="shared" si="34"/>
        <v>0.82667401488013226</v>
      </c>
      <c r="AJ21" s="168">
        <f t="shared" si="34"/>
        <v>0.50317796610169496</v>
      </c>
      <c r="AK21" s="176">
        <f t="shared" si="34"/>
        <v>0.8295424137008296</v>
      </c>
      <c r="AL21" s="168">
        <f t="shared" si="34"/>
        <v>0.70562293274531418</v>
      </c>
      <c r="AM21" s="168">
        <f t="shared" si="34"/>
        <v>1.171875</v>
      </c>
      <c r="AN21" s="168">
        <f t="shared" si="34"/>
        <v>1.2401199236849278</v>
      </c>
      <c r="AO21" s="168">
        <f t="shared" si="34"/>
        <v>0.63588609344760849</v>
      </c>
      <c r="AP21" s="168">
        <f t="shared" si="34"/>
        <v>0.39022386527007602</v>
      </c>
      <c r="AQ21" s="168">
        <f t="shared" ref="AQ21:BV21" si="35">AQ118/AQ20%</f>
        <v>1.39881877525645</v>
      </c>
      <c r="AR21" s="168">
        <f t="shared" si="35"/>
        <v>1.0622406639004149</v>
      </c>
      <c r="AS21" s="169">
        <f t="shared" si="35"/>
        <v>0.59880239520958078</v>
      </c>
      <c r="AT21" s="168">
        <f t="shared" si="35"/>
        <v>0.15335819594994946</v>
      </c>
      <c r="AU21" s="168">
        <f t="shared" si="35"/>
        <v>0.29779138059392835</v>
      </c>
      <c r="AV21" s="168">
        <f t="shared" si="35"/>
        <v>0.39030856469548569</v>
      </c>
      <c r="AW21" s="168">
        <f t="shared" si="35"/>
        <v>0.55585440200824809</v>
      </c>
      <c r="AX21" s="168">
        <f t="shared" si="35"/>
        <v>0.58832181203118106</v>
      </c>
      <c r="AY21" s="168">
        <f t="shared" si="35"/>
        <v>0.74368911700010476</v>
      </c>
      <c r="AZ21" s="168">
        <f t="shared" si="35"/>
        <v>0.30769230769230771</v>
      </c>
      <c r="BA21" s="168">
        <f t="shared" si="35"/>
        <v>0.93221314305443659</v>
      </c>
      <c r="BB21" s="168">
        <f t="shared" si="35"/>
        <v>1.9008825526137134</v>
      </c>
      <c r="BC21" s="168">
        <f t="shared" si="35"/>
        <v>1.5546918378678511</v>
      </c>
      <c r="BD21" s="168">
        <f t="shared" si="35"/>
        <v>1.4816885658372938</v>
      </c>
      <c r="BE21" s="168">
        <f t="shared" si="35"/>
        <v>0.90174129353233845</v>
      </c>
      <c r="BF21" s="176">
        <f t="shared" si="35"/>
        <v>0.90475608265069074</v>
      </c>
      <c r="BG21" s="168">
        <f t="shared" si="35"/>
        <v>0.77332044465925565</v>
      </c>
      <c r="BH21" s="168">
        <f t="shared" si="35"/>
        <v>0.10593220338983052</v>
      </c>
      <c r="BI21" s="168">
        <f t="shared" si="35"/>
        <v>0.50869404365519788</v>
      </c>
      <c r="BJ21" s="168">
        <f t="shared" si="35"/>
        <v>0.68321946342276285</v>
      </c>
      <c r="BK21" s="168">
        <f t="shared" si="35"/>
        <v>0.26255907579205318</v>
      </c>
      <c r="BL21" s="168">
        <f t="shared" si="35"/>
        <v>0.12147195426938193</v>
      </c>
      <c r="BM21" s="168">
        <f t="shared" si="35"/>
        <v>1.2792511700468019</v>
      </c>
      <c r="BN21" s="168">
        <f t="shared" si="35"/>
        <v>0.55672099402936903</v>
      </c>
      <c r="BO21" s="168">
        <f t="shared" si="35"/>
        <v>0.35616438356164382</v>
      </c>
      <c r="BP21" s="168">
        <f t="shared" si="35"/>
        <v>1.0880316518298714</v>
      </c>
      <c r="BQ21" s="168">
        <f t="shared" si="35"/>
        <v>0.64257028112449799</v>
      </c>
      <c r="BR21" s="176">
        <f t="shared" si="35"/>
        <v>0.82934609250398716</v>
      </c>
      <c r="BS21" s="168">
        <f t="shared" si="35"/>
        <v>0.21759825921392628</v>
      </c>
      <c r="BT21" s="168">
        <f t="shared" si="35"/>
        <v>1.8974145120934112</v>
      </c>
      <c r="BU21" s="168">
        <f t="shared" si="35"/>
        <v>1.3947453778786896</v>
      </c>
      <c r="BV21" s="168">
        <f t="shared" si="35"/>
        <v>1.0960841509767525</v>
      </c>
      <c r="BW21" s="168">
        <f t="shared" ref="BW21:CL21" si="36">BW118/BW20%</f>
        <v>0.82667401488013226</v>
      </c>
      <c r="BX21" s="168">
        <f t="shared" si="36"/>
        <v>0.66139996325555761</v>
      </c>
      <c r="BY21" s="168">
        <f t="shared" si="36"/>
        <v>0.50317796610169496</v>
      </c>
      <c r="BZ21" s="168">
        <f t="shared" si="36"/>
        <v>1.0655147588192944</v>
      </c>
      <c r="CA21" s="168">
        <f t="shared" si="36"/>
        <v>0.84974893781382776</v>
      </c>
      <c r="CB21" s="176">
        <f t="shared" si="36"/>
        <v>0.8295424137008296</v>
      </c>
      <c r="CC21" s="168">
        <f t="shared" si="36"/>
        <v>0.63588609344760849</v>
      </c>
      <c r="CD21" s="168">
        <f>CD118/CD20%</f>
        <v>0.39022386527007602</v>
      </c>
      <c r="CE21" s="168">
        <f t="shared" si="36"/>
        <v>0.70562293274531418</v>
      </c>
      <c r="CF21" s="168">
        <f t="shared" si="36"/>
        <v>0.17155601303825699</v>
      </c>
      <c r="CG21" s="168">
        <f t="shared" si="36"/>
        <v>1.1930326890956813</v>
      </c>
      <c r="CH21" s="168">
        <f t="shared" si="36"/>
        <v>1.171875</v>
      </c>
      <c r="CI21" s="168">
        <f t="shared" si="36"/>
        <v>1.0622406639004149</v>
      </c>
      <c r="CJ21" s="168">
        <f t="shared" si="36"/>
        <v>1.2401199236849278</v>
      </c>
      <c r="CK21" s="169">
        <f t="shared" si="36"/>
        <v>1.39881877525645</v>
      </c>
      <c r="CL21" s="177">
        <f t="shared" si="36"/>
        <v>0.65666195200231026</v>
      </c>
    </row>
    <row r="22" spans="1:90">
      <c r="A22" s="80">
        <f>ROWS($A$3:A20)</f>
        <v>18</v>
      </c>
      <c r="B22" s="59" t="s">
        <v>66</v>
      </c>
      <c r="C22" s="204">
        <v>2010</v>
      </c>
      <c r="D22" s="260"/>
      <c r="E22" s="435"/>
      <c r="F22" s="116"/>
      <c r="G22" s="137"/>
      <c r="H22" s="137"/>
      <c r="I22" s="138"/>
      <c r="J22" s="141"/>
      <c r="K22" s="116"/>
      <c r="L22" s="137"/>
      <c r="M22" s="137"/>
      <c r="N22" s="137"/>
      <c r="O22" s="137"/>
      <c r="P22" s="137"/>
      <c r="Q22" s="137">
        <f>'2011'!AU22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D23" s="260" t="s">
        <v>13</v>
      </c>
      <c r="E23" s="437">
        <v>40679</v>
      </c>
      <c r="F23" s="116">
        <v>14397</v>
      </c>
      <c r="G23" s="137">
        <v>4930</v>
      </c>
      <c r="H23" s="137">
        <v>13611</v>
      </c>
      <c r="I23" s="138">
        <v>11574</v>
      </c>
      <c r="J23" s="141"/>
      <c r="K23" s="116">
        <f t="shared" ref="K23:K33" si="37">BF23</f>
        <v>1827</v>
      </c>
      <c r="L23" s="137">
        <f t="shared" ref="L23:L33" si="38">AY23</f>
        <v>1288</v>
      </c>
      <c r="M23" s="137">
        <f t="shared" ref="M23:M33" si="39">BD23</f>
        <v>1552</v>
      </c>
      <c r="N23" s="137">
        <f t="shared" ref="N23:N33" si="40">AW23</f>
        <v>782</v>
      </c>
      <c r="O23" s="137">
        <f t="shared" ref="O23:O33" si="41">BE23</f>
        <v>581</v>
      </c>
      <c r="P23" s="137">
        <f>'2011'!AZ23+'2011'!BA23</f>
        <v>2309</v>
      </c>
      <c r="Q23" s="137">
        <f>'2011'!AU23</f>
        <v>604</v>
      </c>
      <c r="R23" s="137">
        <f t="shared" ref="R23:R29" si="42">AT23+AX23</f>
        <v>1535</v>
      </c>
      <c r="S23" s="137">
        <f t="shared" ref="S23:S33" si="43">AV23</f>
        <v>659</v>
      </c>
      <c r="T23" s="137">
        <f t="shared" ref="T23:T33" si="44">BB23</f>
        <v>1229</v>
      </c>
      <c r="U23" s="139">
        <f t="shared" ref="U23:U33" si="45">BC23</f>
        <v>2031</v>
      </c>
      <c r="V23" s="137">
        <f t="shared" ref="V23:V29" si="46">BG23+BJ23</f>
        <v>661</v>
      </c>
      <c r="W23" s="137">
        <f t="shared" ref="W23:W33" si="47">BR23</f>
        <v>517</v>
      </c>
      <c r="X23" s="137">
        <f t="shared" ref="X23:X29" si="48">BH23+BI23</f>
        <v>828</v>
      </c>
      <c r="Y23" s="137">
        <f t="shared" ref="Y23:Y29" si="49">BK23+BL23+BN23</f>
        <v>1125</v>
      </c>
      <c r="Z23" s="137">
        <f t="shared" ref="Z23:Z33" si="50">BM23</f>
        <v>878</v>
      </c>
      <c r="AA23" s="137">
        <f t="shared" ref="AA23:AA29" si="51">BO23+BQ23</f>
        <v>457</v>
      </c>
      <c r="AB23" s="139">
        <f t="shared" ref="AB23:AB33" si="52">BP23</f>
        <v>464</v>
      </c>
      <c r="AC23" s="137">
        <f t="shared" ref="AC23:AC33" si="53">BX23</f>
        <v>1037</v>
      </c>
      <c r="AD23" s="137">
        <f t="shared" ref="AD23:AD33" si="54">BU23</f>
        <v>1422</v>
      </c>
      <c r="AE23" s="137">
        <f t="shared" ref="AE23:AE29" si="55">BS23+BT23</f>
        <v>3099</v>
      </c>
      <c r="AF23" s="137">
        <f t="shared" ref="AF23:AF33" si="56">CA23</f>
        <v>1074</v>
      </c>
      <c r="AG23" s="137">
        <f t="shared" ref="AG23:AG33" si="57">BV23</f>
        <v>3572</v>
      </c>
      <c r="AH23" s="137">
        <f t="shared" ref="AH23:AH33" si="58">BZ23</f>
        <v>900</v>
      </c>
      <c r="AI23" s="137">
        <f t="shared" ref="AI23:AI33" si="59">BW23</f>
        <v>800</v>
      </c>
      <c r="AJ23" s="137">
        <f t="shared" ref="AJ23:AJ33" si="60">BY23</f>
        <v>465</v>
      </c>
      <c r="AK23" s="139">
        <f t="shared" ref="AK23:AK33" si="61">CB23</f>
        <v>1242</v>
      </c>
      <c r="AL23" s="137">
        <f t="shared" ref="AL23:AL33" si="62">CE23</f>
        <v>755</v>
      </c>
      <c r="AM23" s="137">
        <f t="shared" ref="AM23:AM33" si="63">CH23</f>
        <v>1848</v>
      </c>
      <c r="AN23" s="137">
        <f t="shared" ref="AN23:AN33" si="64">CJ23</f>
        <v>2560</v>
      </c>
      <c r="AO23" s="137">
        <f t="shared" ref="AO23:AO33" si="65">CC23</f>
        <v>1058</v>
      </c>
      <c r="AP23" s="137">
        <f t="shared" ref="AP23:AP33" si="66">CD23</f>
        <v>419</v>
      </c>
      <c r="AQ23" s="137">
        <f t="shared" ref="AQ23:AQ33" si="67">CK23</f>
        <v>1248</v>
      </c>
      <c r="AR23" s="137">
        <f t="shared" ref="AR23:AR33" si="68">CI23</f>
        <v>1677</v>
      </c>
      <c r="AS23" s="138">
        <f t="shared" ref="AS23:AS29" si="69">CF23+CG23</f>
        <v>2009</v>
      </c>
      <c r="AT23" s="137">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c r="A24" s="80">
        <f>ROWS($A$3:A22)</f>
        <v>20</v>
      </c>
      <c r="B24" s="52" t="s">
        <v>249</v>
      </c>
      <c r="C24" s="201"/>
      <c r="D24" s="260" t="s">
        <v>13</v>
      </c>
      <c r="E24" s="437">
        <v>40679</v>
      </c>
      <c r="F24" s="116">
        <v>2777</v>
      </c>
      <c r="G24" s="137">
        <v>850</v>
      </c>
      <c r="H24" s="137">
        <v>3557</v>
      </c>
      <c r="I24" s="138">
        <v>913</v>
      </c>
      <c r="J24" s="141"/>
      <c r="K24" s="116">
        <f t="shared" si="37"/>
        <v>84</v>
      </c>
      <c r="L24" s="137">
        <f t="shared" si="38"/>
        <v>428</v>
      </c>
      <c r="M24" s="137">
        <f t="shared" si="39"/>
        <v>173</v>
      </c>
      <c r="N24" s="137">
        <f t="shared" si="40"/>
        <v>84</v>
      </c>
      <c r="O24" s="137">
        <f t="shared" si="41"/>
        <v>22</v>
      </c>
      <c r="P24" s="137">
        <f>'2011'!AZ24+'2011'!BA24</f>
        <v>881</v>
      </c>
      <c r="Q24" s="137">
        <f>'2011'!AU24</f>
        <v>52</v>
      </c>
      <c r="R24" s="137">
        <f t="shared" si="42"/>
        <v>598</v>
      </c>
      <c r="S24" s="137">
        <f t="shared" si="43"/>
        <v>131</v>
      </c>
      <c r="T24" s="137">
        <f t="shared" si="44"/>
        <v>261</v>
      </c>
      <c r="U24" s="139">
        <f t="shared" si="45"/>
        <v>63</v>
      </c>
      <c r="V24" s="137">
        <f t="shared" si="46"/>
        <v>304</v>
      </c>
      <c r="W24" s="137">
        <f t="shared" si="47"/>
        <v>24</v>
      </c>
      <c r="X24" s="137">
        <f t="shared" si="48"/>
        <v>160</v>
      </c>
      <c r="Y24" s="137">
        <f t="shared" si="49"/>
        <v>225</v>
      </c>
      <c r="Z24" s="137">
        <f t="shared" si="50"/>
        <v>34</v>
      </c>
      <c r="AA24" s="137">
        <f t="shared" si="51"/>
        <v>78</v>
      </c>
      <c r="AB24" s="139">
        <f t="shared" si="52"/>
        <v>25</v>
      </c>
      <c r="AC24" s="137">
        <f t="shared" si="53"/>
        <v>16</v>
      </c>
      <c r="AD24" s="137">
        <f t="shared" si="54"/>
        <v>514</v>
      </c>
      <c r="AE24" s="137">
        <f t="shared" si="55"/>
        <v>1264</v>
      </c>
      <c r="AF24" s="137">
        <f t="shared" si="56"/>
        <v>215</v>
      </c>
      <c r="AG24" s="137">
        <f t="shared" si="57"/>
        <v>1291</v>
      </c>
      <c r="AH24" s="137">
        <f t="shared" si="58"/>
        <v>174</v>
      </c>
      <c r="AI24" s="137">
        <f t="shared" si="59"/>
        <v>21</v>
      </c>
      <c r="AJ24" s="137">
        <f t="shared" si="60"/>
        <v>11</v>
      </c>
      <c r="AK24" s="139">
        <f t="shared" si="61"/>
        <v>51</v>
      </c>
      <c r="AL24" s="137">
        <f t="shared" si="62"/>
        <v>23</v>
      </c>
      <c r="AM24" s="137">
        <f t="shared" si="63"/>
        <v>56</v>
      </c>
      <c r="AN24" s="137">
        <f t="shared" si="64"/>
        <v>152</v>
      </c>
      <c r="AO24" s="137">
        <f t="shared" si="65"/>
        <v>53</v>
      </c>
      <c r="AP24" s="137">
        <f t="shared" si="66"/>
        <v>41</v>
      </c>
      <c r="AQ24" s="137">
        <f t="shared" si="67"/>
        <v>40</v>
      </c>
      <c r="AR24" s="137">
        <f t="shared" si="68"/>
        <v>467</v>
      </c>
      <c r="AS24" s="138">
        <f t="shared" si="69"/>
        <v>81</v>
      </c>
      <c r="AT24" s="137">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c r="A25" s="80">
        <f>ROWS($A$3:A23)</f>
        <v>21</v>
      </c>
      <c r="B25" s="52" t="s">
        <v>250</v>
      </c>
      <c r="C25" s="201"/>
      <c r="D25" s="260" t="s">
        <v>13</v>
      </c>
      <c r="E25" s="437">
        <v>40679</v>
      </c>
      <c r="F25" s="116">
        <v>2154</v>
      </c>
      <c r="G25" s="137">
        <v>818</v>
      </c>
      <c r="H25" s="137">
        <v>2929</v>
      </c>
      <c r="I25" s="138">
        <v>1792</v>
      </c>
      <c r="J25" s="141"/>
      <c r="K25" s="116">
        <f t="shared" si="37"/>
        <v>347</v>
      </c>
      <c r="L25" s="137">
        <f t="shared" si="38"/>
        <v>246</v>
      </c>
      <c r="M25" s="137">
        <f t="shared" si="39"/>
        <v>183</v>
      </c>
      <c r="N25" s="137">
        <f t="shared" si="40"/>
        <v>115</v>
      </c>
      <c r="O25" s="137">
        <f t="shared" si="41"/>
        <v>78</v>
      </c>
      <c r="P25" s="137">
        <f>'2011'!AZ25+'2011'!BA25</f>
        <v>334</v>
      </c>
      <c r="Q25" s="137">
        <f>'2011'!AU25</f>
        <v>101</v>
      </c>
      <c r="R25" s="137">
        <f t="shared" si="42"/>
        <v>157</v>
      </c>
      <c r="S25" s="137">
        <f t="shared" si="43"/>
        <v>117</v>
      </c>
      <c r="T25" s="137">
        <f t="shared" si="44"/>
        <v>176</v>
      </c>
      <c r="U25" s="139">
        <f t="shared" si="45"/>
        <v>300</v>
      </c>
      <c r="V25" s="137">
        <f t="shared" si="46"/>
        <v>105</v>
      </c>
      <c r="W25" s="137">
        <f t="shared" si="47"/>
        <v>135</v>
      </c>
      <c r="X25" s="137">
        <f t="shared" si="48"/>
        <v>121</v>
      </c>
      <c r="Y25" s="137">
        <f t="shared" si="49"/>
        <v>133</v>
      </c>
      <c r="Z25" s="137">
        <f t="shared" si="50"/>
        <v>128</v>
      </c>
      <c r="AA25" s="137">
        <f t="shared" si="51"/>
        <v>64</v>
      </c>
      <c r="AB25" s="139">
        <f t="shared" si="52"/>
        <v>132</v>
      </c>
      <c r="AC25" s="137">
        <f t="shared" si="53"/>
        <v>215</v>
      </c>
      <c r="AD25" s="137">
        <f t="shared" si="54"/>
        <v>289</v>
      </c>
      <c r="AE25" s="137">
        <f t="shared" si="55"/>
        <v>516</v>
      </c>
      <c r="AF25" s="137">
        <f t="shared" si="56"/>
        <v>229</v>
      </c>
      <c r="AG25" s="137">
        <f t="shared" si="57"/>
        <v>928</v>
      </c>
      <c r="AH25" s="137">
        <f t="shared" si="58"/>
        <v>120</v>
      </c>
      <c r="AI25" s="137">
        <f t="shared" si="59"/>
        <v>198</v>
      </c>
      <c r="AJ25" s="137">
        <f t="shared" si="60"/>
        <v>86</v>
      </c>
      <c r="AK25" s="139">
        <f t="shared" si="61"/>
        <v>348</v>
      </c>
      <c r="AL25" s="137">
        <f t="shared" si="62"/>
        <v>173</v>
      </c>
      <c r="AM25" s="137">
        <f t="shared" si="63"/>
        <v>239</v>
      </c>
      <c r="AN25" s="137">
        <f t="shared" si="64"/>
        <v>311</v>
      </c>
      <c r="AO25" s="137">
        <f t="shared" si="65"/>
        <v>211</v>
      </c>
      <c r="AP25" s="137">
        <f t="shared" si="66"/>
        <v>71</v>
      </c>
      <c r="AQ25" s="137">
        <f t="shared" si="67"/>
        <v>218</v>
      </c>
      <c r="AR25" s="137">
        <f t="shared" si="68"/>
        <v>318</v>
      </c>
      <c r="AS25" s="138">
        <f t="shared" si="69"/>
        <v>251</v>
      </c>
      <c r="AT25" s="137">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c r="A26" s="80">
        <f>ROWS($A$3:A24)</f>
        <v>22</v>
      </c>
      <c r="B26" s="52" t="s">
        <v>251</v>
      </c>
      <c r="C26" s="201"/>
      <c r="D26" s="260" t="s">
        <v>13</v>
      </c>
      <c r="E26" s="437">
        <v>40679</v>
      </c>
      <c r="F26" s="116">
        <v>2758</v>
      </c>
      <c r="G26" s="137">
        <v>898</v>
      </c>
      <c r="H26" s="137">
        <v>2870</v>
      </c>
      <c r="I26" s="138">
        <v>2733</v>
      </c>
      <c r="J26" s="141"/>
      <c r="K26" s="116">
        <f t="shared" si="37"/>
        <v>495</v>
      </c>
      <c r="L26" s="137">
        <f t="shared" si="38"/>
        <v>245</v>
      </c>
      <c r="M26" s="137">
        <f t="shared" si="39"/>
        <v>303</v>
      </c>
      <c r="N26" s="137">
        <f t="shared" si="40"/>
        <v>160</v>
      </c>
      <c r="O26" s="137">
        <f t="shared" si="41"/>
        <v>123</v>
      </c>
      <c r="P26" s="137">
        <f>'2011'!AZ26+'2011'!BA26</f>
        <v>309</v>
      </c>
      <c r="Q26" s="137">
        <f>'2011'!AU26</f>
        <v>140</v>
      </c>
      <c r="R26" s="137">
        <f t="shared" si="42"/>
        <v>197</v>
      </c>
      <c r="S26" s="137">
        <f t="shared" si="43"/>
        <v>123</v>
      </c>
      <c r="T26" s="137">
        <f t="shared" si="44"/>
        <v>213</v>
      </c>
      <c r="U26" s="139">
        <f t="shared" si="45"/>
        <v>450</v>
      </c>
      <c r="V26" s="137">
        <f t="shared" si="46"/>
        <v>104</v>
      </c>
      <c r="W26" s="137">
        <f t="shared" si="47"/>
        <v>114</v>
      </c>
      <c r="X26" s="137">
        <f t="shared" si="48"/>
        <v>122</v>
      </c>
      <c r="Y26" s="137">
        <f t="shared" si="49"/>
        <v>175</v>
      </c>
      <c r="Z26" s="137">
        <f t="shared" si="50"/>
        <v>191</v>
      </c>
      <c r="AA26" s="137">
        <f t="shared" si="51"/>
        <v>85</v>
      </c>
      <c r="AB26" s="139">
        <f t="shared" si="52"/>
        <v>107</v>
      </c>
      <c r="AC26" s="137">
        <f t="shared" si="53"/>
        <v>228</v>
      </c>
      <c r="AD26" s="137">
        <f t="shared" si="54"/>
        <v>318</v>
      </c>
      <c r="AE26" s="137">
        <f t="shared" si="55"/>
        <v>534</v>
      </c>
      <c r="AF26" s="137">
        <f t="shared" si="56"/>
        <v>259</v>
      </c>
      <c r="AG26" s="137">
        <f t="shared" si="57"/>
        <v>707</v>
      </c>
      <c r="AH26" s="137">
        <f t="shared" si="58"/>
        <v>177</v>
      </c>
      <c r="AI26" s="137">
        <f t="shared" si="59"/>
        <v>207</v>
      </c>
      <c r="AJ26" s="137">
        <f t="shared" si="60"/>
        <v>113</v>
      </c>
      <c r="AK26" s="139">
        <f t="shared" si="61"/>
        <v>327</v>
      </c>
      <c r="AL26" s="137">
        <f t="shared" si="62"/>
        <v>183</v>
      </c>
      <c r="AM26" s="137">
        <f t="shared" si="63"/>
        <v>386</v>
      </c>
      <c r="AN26" s="137">
        <f t="shared" si="64"/>
        <v>617</v>
      </c>
      <c r="AO26" s="137">
        <f t="shared" si="65"/>
        <v>272</v>
      </c>
      <c r="AP26" s="137">
        <f t="shared" si="66"/>
        <v>91</v>
      </c>
      <c r="AQ26" s="137">
        <f t="shared" si="67"/>
        <v>306</v>
      </c>
      <c r="AR26" s="137">
        <f t="shared" si="68"/>
        <v>387</v>
      </c>
      <c r="AS26" s="138">
        <f t="shared" si="69"/>
        <v>491</v>
      </c>
      <c r="AT26" s="137">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c r="A27" s="80">
        <f>ROWS($A$3:A25)</f>
        <v>23</v>
      </c>
      <c r="B27" s="52" t="s">
        <v>252</v>
      </c>
      <c r="C27" s="201"/>
      <c r="D27" s="260" t="s">
        <v>13</v>
      </c>
      <c r="E27" s="437">
        <v>40679</v>
      </c>
      <c r="F27" s="116">
        <v>3588</v>
      </c>
      <c r="G27" s="137">
        <v>1000</v>
      </c>
      <c r="H27" s="137">
        <v>2416</v>
      </c>
      <c r="I27" s="138">
        <v>3349</v>
      </c>
      <c r="J27" s="141"/>
      <c r="K27" s="116">
        <f t="shared" si="37"/>
        <v>462</v>
      </c>
      <c r="L27" s="137">
        <f t="shared" si="38"/>
        <v>235</v>
      </c>
      <c r="M27" s="137">
        <f t="shared" si="39"/>
        <v>465</v>
      </c>
      <c r="N27" s="137">
        <f t="shared" si="40"/>
        <v>216</v>
      </c>
      <c r="O27" s="137">
        <f t="shared" si="41"/>
        <v>159</v>
      </c>
      <c r="P27" s="137">
        <f>'2011'!AZ27+'2011'!BA27</f>
        <v>418</v>
      </c>
      <c r="Q27" s="137">
        <f>'2011'!AU27</f>
        <v>153</v>
      </c>
      <c r="R27" s="137">
        <f t="shared" si="42"/>
        <v>371</v>
      </c>
      <c r="S27" s="137">
        <f t="shared" si="43"/>
        <v>155</v>
      </c>
      <c r="T27" s="137">
        <f t="shared" si="44"/>
        <v>298</v>
      </c>
      <c r="U27" s="139">
        <f t="shared" si="45"/>
        <v>656</v>
      </c>
      <c r="V27" s="137">
        <f t="shared" si="46"/>
        <v>58</v>
      </c>
      <c r="W27" s="137">
        <f t="shared" si="47"/>
        <v>129</v>
      </c>
      <c r="X27" s="137">
        <f t="shared" si="48"/>
        <v>147</v>
      </c>
      <c r="Y27" s="137">
        <f t="shared" si="49"/>
        <v>286</v>
      </c>
      <c r="Z27" s="137">
        <f t="shared" si="50"/>
        <v>210</v>
      </c>
      <c r="AA27" s="137">
        <f t="shared" si="51"/>
        <v>84</v>
      </c>
      <c r="AB27" s="139">
        <f t="shared" si="52"/>
        <v>86</v>
      </c>
      <c r="AC27" s="137">
        <f t="shared" si="53"/>
        <v>326</v>
      </c>
      <c r="AD27" s="137">
        <f t="shared" si="54"/>
        <v>210</v>
      </c>
      <c r="AE27" s="137">
        <f t="shared" si="55"/>
        <v>543</v>
      </c>
      <c r="AF27" s="137">
        <f t="shared" si="56"/>
        <v>255</v>
      </c>
      <c r="AG27" s="137">
        <f t="shared" si="57"/>
        <v>382</v>
      </c>
      <c r="AH27" s="137">
        <f t="shared" si="58"/>
        <v>190</v>
      </c>
      <c r="AI27" s="137">
        <f t="shared" si="59"/>
        <v>156</v>
      </c>
      <c r="AJ27" s="137">
        <f t="shared" si="60"/>
        <v>88</v>
      </c>
      <c r="AK27" s="139">
        <f t="shared" si="61"/>
        <v>266</v>
      </c>
      <c r="AL27" s="137">
        <f t="shared" si="62"/>
        <v>171</v>
      </c>
      <c r="AM27" s="137">
        <f t="shared" si="63"/>
        <v>605</v>
      </c>
      <c r="AN27" s="137">
        <f t="shared" si="64"/>
        <v>934</v>
      </c>
      <c r="AO27" s="137">
        <f t="shared" si="65"/>
        <v>256</v>
      </c>
      <c r="AP27" s="137">
        <f t="shared" si="66"/>
        <v>104</v>
      </c>
      <c r="AQ27" s="137">
        <f t="shared" si="67"/>
        <v>322</v>
      </c>
      <c r="AR27" s="137">
        <f t="shared" si="68"/>
        <v>351</v>
      </c>
      <c r="AS27" s="138">
        <f t="shared" si="69"/>
        <v>606</v>
      </c>
      <c r="AT27" s="137">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c r="A28" s="80">
        <f>ROWS($A$3:A26)</f>
        <v>24</v>
      </c>
      <c r="B28" s="52" t="s">
        <v>4</v>
      </c>
      <c r="C28" s="201"/>
      <c r="D28" s="260" t="s">
        <v>13</v>
      </c>
      <c r="E28" s="437">
        <v>40679</v>
      </c>
      <c r="F28" s="116">
        <v>2265</v>
      </c>
      <c r="G28" s="137">
        <v>809</v>
      </c>
      <c r="H28" s="137">
        <v>1258</v>
      </c>
      <c r="I28" s="138">
        <v>1995</v>
      </c>
      <c r="J28" s="141"/>
      <c r="K28" s="116">
        <f t="shared" si="37"/>
        <v>306</v>
      </c>
      <c r="L28" s="137">
        <f t="shared" si="38"/>
        <v>100</v>
      </c>
      <c r="M28" s="137">
        <f>BD28</f>
        <v>255</v>
      </c>
      <c r="N28" s="137">
        <f>AW28</f>
        <v>161</v>
      </c>
      <c r="O28" s="137">
        <f>BE28</f>
        <v>144</v>
      </c>
      <c r="P28" s="137">
        <f>'2011'!AZ28+'2011'!BA28</f>
        <v>252</v>
      </c>
      <c r="Q28" s="137">
        <f>'2011'!AU28</f>
        <v>110</v>
      </c>
      <c r="R28" s="137">
        <f>AT28+AX28</f>
        <v>179</v>
      </c>
      <c r="S28" s="137">
        <f>AV28</f>
        <v>103</v>
      </c>
      <c r="T28" s="137">
        <f>BB28</f>
        <v>198</v>
      </c>
      <c r="U28" s="139">
        <f>BC28</f>
        <v>457</v>
      </c>
      <c r="V28" s="137">
        <f>BG28+BJ28</f>
        <v>45</v>
      </c>
      <c r="W28" s="137">
        <f>BR28</f>
        <v>72</v>
      </c>
      <c r="X28" s="137">
        <f>BH28+BI28</f>
        <v>137</v>
      </c>
      <c r="Y28" s="137">
        <f>BK28+BL28+BN28</f>
        <v>218</v>
      </c>
      <c r="Z28" s="137">
        <f>BM28</f>
        <v>176</v>
      </c>
      <c r="AA28" s="137">
        <f>BO28+BQ28</f>
        <v>88</v>
      </c>
      <c r="AB28" s="139">
        <f>BP28</f>
        <v>73</v>
      </c>
      <c r="AC28" s="137">
        <f>BX28</f>
        <v>177</v>
      </c>
      <c r="AD28" s="137">
        <f>BU28</f>
        <v>65</v>
      </c>
      <c r="AE28" s="137">
        <f>BS28+BT28</f>
        <v>191</v>
      </c>
      <c r="AF28" s="137">
        <f>CA28</f>
        <v>97</v>
      </c>
      <c r="AG28" s="137">
        <f>BV28</f>
        <v>181</v>
      </c>
      <c r="AH28" s="137">
        <f>BZ28</f>
        <v>153</v>
      </c>
      <c r="AI28" s="137">
        <f>BW28</f>
        <v>140</v>
      </c>
      <c r="AJ28" s="137">
        <f>BY28</f>
        <v>80</v>
      </c>
      <c r="AK28" s="139">
        <f>CB28</f>
        <v>174</v>
      </c>
      <c r="AL28" s="137">
        <f>CE28</f>
        <v>100</v>
      </c>
      <c r="AM28" s="137">
        <f>CH28</f>
        <v>425</v>
      </c>
      <c r="AN28" s="137">
        <f>CJ28</f>
        <v>483</v>
      </c>
      <c r="AO28" s="137">
        <f>CC28</f>
        <v>163</v>
      </c>
      <c r="AP28" s="137">
        <f>CD28</f>
        <v>50</v>
      </c>
      <c r="AQ28" s="137">
        <f>CK28</f>
        <v>210</v>
      </c>
      <c r="AR28" s="137">
        <f>CI28</f>
        <v>125</v>
      </c>
      <c r="AS28" s="138">
        <f t="shared" si="69"/>
        <v>439</v>
      </c>
      <c r="AT28" s="137">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c r="A29" s="80">
        <f>ROWS($A$3:A27)</f>
        <v>25</v>
      </c>
      <c r="B29" s="52" t="s">
        <v>5</v>
      </c>
      <c r="C29" s="201"/>
      <c r="D29" s="260" t="s">
        <v>13</v>
      </c>
      <c r="E29" s="437">
        <v>40679</v>
      </c>
      <c r="F29" s="116">
        <v>855</v>
      </c>
      <c r="G29" s="137">
        <v>555</v>
      </c>
      <c r="H29" s="137">
        <v>581</v>
      </c>
      <c r="I29" s="138">
        <v>792</v>
      </c>
      <c r="J29" s="141"/>
      <c r="K29" s="116">
        <f t="shared" si="37"/>
        <v>133</v>
      </c>
      <c r="L29" s="137">
        <f t="shared" si="38"/>
        <v>34</v>
      </c>
      <c r="M29" s="137">
        <f t="shared" si="39"/>
        <v>173</v>
      </c>
      <c r="N29" s="137">
        <f t="shared" si="40"/>
        <v>46</v>
      </c>
      <c r="O29" s="137">
        <f t="shared" si="41"/>
        <v>55</v>
      </c>
      <c r="P29" s="137">
        <f>'2011'!AZ29+'2011'!BA29</f>
        <v>115</v>
      </c>
      <c r="Q29" s="137">
        <f>'2011'!AU29</f>
        <v>48</v>
      </c>
      <c r="R29" s="137">
        <f t="shared" si="42"/>
        <v>33</v>
      </c>
      <c r="S29" s="137">
        <f t="shared" si="43"/>
        <v>30</v>
      </c>
      <c r="T29" s="137">
        <f t="shared" si="44"/>
        <v>83</v>
      </c>
      <c r="U29" s="139">
        <f t="shared" si="45"/>
        <v>105</v>
      </c>
      <c r="V29" s="137">
        <f t="shared" si="46"/>
        <v>45</v>
      </c>
      <c r="W29" s="137">
        <f t="shared" si="47"/>
        <v>43</v>
      </c>
      <c r="X29" s="137">
        <f t="shared" si="48"/>
        <v>141</v>
      </c>
      <c r="Y29" s="137">
        <f t="shared" si="49"/>
        <v>88</v>
      </c>
      <c r="Z29" s="137">
        <f t="shared" si="50"/>
        <v>139</v>
      </c>
      <c r="AA29" s="137">
        <f t="shared" si="51"/>
        <v>58</v>
      </c>
      <c r="AB29" s="139">
        <f t="shared" si="52"/>
        <v>41</v>
      </c>
      <c r="AC29" s="137">
        <f t="shared" si="53"/>
        <v>75</v>
      </c>
      <c r="AD29" s="137">
        <f t="shared" si="54"/>
        <v>26</v>
      </c>
      <c r="AE29" s="137">
        <f t="shared" si="55"/>
        <v>51</v>
      </c>
      <c r="AF29" s="137">
        <f t="shared" si="56"/>
        <v>19</v>
      </c>
      <c r="AG29" s="137">
        <f t="shared" si="57"/>
        <v>83</v>
      </c>
      <c r="AH29" s="137">
        <f t="shared" si="58"/>
        <v>86</v>
      </c>
      <c r="AI29" s="137">
        <f t="shared" si="59"/>
        <v>78</v>
      </c>
      <c r="AJ29" s="137">
        <f t="shared" si="60"/>
        <v>87</v>
      </c>
      <c r="AK29" s="139">
        <f t="shared" si="61"/>
        <v>76</v>
      </c>
      <c r="AL29" s="137">
        <f t="shared" si="62"/>
        <v>105</v>
      </c>
      <c r="AM29" s="137">
        <f t="shared" si="63"/>
        <v>137</v>
      </c>
      <c r="AN29" s="137">
        <f t="shared" si="64"/>
        <v>63</v>
      </c>
      <c r="AO29" s="137">
        <f t="shared" si="65"/>
        <v>103</v>
      </c>
      <c r="AP29" s="137">
        <f t="shared" si="66"/>
        <v>62</v>
      </c>
      <c r="AQ29" s="137">
        <f t="shared" si="67"/>
        <v>152</v>
      </c>
      <c r="AR29" s="137">
        <f t="shared" si="68"/>
        <v>29</v>
      </c>
      <c r="AS29" s="138">
        <f t="shared" si="69"/>
        <v>141</v>
      </c>
      <c r="AT29" s="137">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c r="A30" s="80">
        <f>ROWS($A$3:A28)</f>
        <v>26</v>
      </c>
      <c r="B30" s="53" t="s">
        <v>256</v>
      </c>
      <c r="C30" s="261"/>
      <c r="D30" s="260" t="s">
        <v>1</v>
      </c>
      <c r="E30" s="435"/>
      <c r="F30" s="167">
        <f>F35/F23</f>
        <v>32.264638466347158</v>
      </c>
      <c r="G30" s="168">
        <f>G35/G23</f>
        <v>40.845436105476672</v>
      </c>
      <c r="H30" s="168">
        <f>H35/H23</f>
        <v>23.383219454852693</v>
      </c>
      <c r="I30" s="169">
        <f>I35/I23</f>
        <v>36.79255227233454</v>
      </c>
      <c r="J30" s="173"/>
      <c r="K30" s="178">
        <f t="shared" si="37"/>
        <v>35.38806787082649</v>
      </c>
      <c r="L30" s="179">
        <f t="shared" si="38"/>
        <v>19.795031055900623</v>
      </c>
      <c r="M30" s="179">
        <f t="shared" si="39"/>
        <v>43.84407216494845</v>
      </c>
      <c r="N30" s="179">
        <f t="shared" si="40"/>
        <v>35.966751918158565</v>
      </c>
      <c r="O30" s="179">
        <f t="shared" si="41"/>
        <v>45.077452667814114</v>
      </c>
      <c r="P30" s="168">
        <f>P35/P23</f>
        <v>25.152446946730187</v>
      </c>
      <c r="Q30" s="179">
        <f>'2011'!AU30</f>
        <v>36.519867549668874</v>
      </c>
      <c r="R30" s="168">
        <f>R35/R23</f>
        <v>22.584364820846904</v>
      </c>
      <c r="S30" s="179">
        <f t="shared" si="43"/>
        <v>29.792109256449166</v>
      </c>
      <c r="T30" s="179">
        <f t="shared" si="44"/>
        <v>33.543531326281531</v>
      </c>
      <c r="U30" s="180">
        <f t="shared" si="45"/>
        <v>37.588872476612508</v>
      </c>
      <c r="V30" s="168">
        <f>V35/V23</f>
        <v>24.246596066565811</v>
      </c>
      <c r="W30" s="179">
        <f t="shared" si="47"/>
        <v>36.584139264990327</v>
      </c>
      <c r="X30" s="168">
        <f>X35/X23</f>
        <v>48.205314009661834</v>
      </c>
      <c r="Y30" s="168">
        <f>Y35/Y23</f>
        <v>38.028444444444446</v>
      </c>
      <c r="Z30" s="179">
        <f t="shared" si="50"/>
        <v>52.759681093394079</v>
      </c>
      <c r="AA30" s="168">
        <f>AA35/AA23</f>
        <v>44.10503282275711</v>
      </c>
      <c r="AB30" s="180">
        <f t="shared" si="52"/>
        <v>37.181034482758619</v>
      </c>
      <c r="AC30" s="179">
        <f t="shared" si="53"/>
        <v>37.443587270973964</v>
      </c>
      <c r="AD30" s="179">
        <f t="shared" si="54"/>
        <v>15.685654008438819</v>
      </c>
      <c r="AE30" s="168">
        <f>AE35/AE23</f>
        <v>16.826072926750566</v>
      </c>
      <c r="AF30" s="179">
        <f t="shared" si="56"/>
        <v>21.553072625698324</v>
      </c>
      <c r="AG30" s="179">
        <f t="shared" si="57"/>
        <v>15.537513997760358</v>
      </c>
      <c r="AH30" s="179">
        <f t="shared" si="58"/>
        <v>37.394444444444446</v>
      </c>
      <c r="AI30" s="179">
        <f t="shared" si="59"/>
        <v>37.616250000000001</v>
      </c>
      <c r="AJ30" s="179">
        <f t="shared" si="60"/>
        <v>52.1505376344086</v>
      </c>
      <c r="AK30" s="180">
        <f t="shared" si="61"/>
        <v>30.872785829307567</v>
      </c>
      <c r="AL30" s="179">
        <f t="shared" si="62"/>
        <v>44.921854304635758</v>
      </c>
      <c r="AM30" s="179">
        <f t="shared" si="63"/>
        <v>41.305194805194802</v>
      </c>
      <c r="AN30" s="179">
        <f t="shared" si="64"/>
        <v>33.678125000000001</v>
      </c>
      <c r="AO30" s="179">
        <f t="shared" si="65"/>
        <v>40.339319470699429</v>
      </c>
      <c r="AP30" s="179">
        <f t="shared" si="66"/>
        <v>47.954653937947491</v>
      </c>
      <c r="AQ30" s="179">
        <f t="shared" si="67"/>
        <v>43.668269230769234</v>
      </c>
      <c r="AR30" s="179">
        <f t="shared" si="68"/>
        <v>19.904591532498511</v>
      </c>
      <c r="AS30" s="169">
        <f>AS35/AS23</f>
        <v>39.184171229467395</v>
      </c>
      <c r="AT30" s="168">
        <f>AT35/AT23</f>
        <v>12.631313131313131</v>
      </c>
      <c r="AU30" s="168">
        <f>AU35/AU23</f>
        <v>36.519867549668874</v>
      </c>
      <c r="AV30" s="168">
        <f t="shared" ref="AV30:CL30" si="70">AV35/AV23</f>
        <v>29.792109256449166</v>
      </c>
      <c r="AW30" s="168">
        <f t="shared" si="70"/>
        <v>35.966751918158565</v>
      </c>
      <c r="AX30" s="168">
        <f>AX35/AX23</f>
        <v>24.05833956619297</v>
      </c>
      <c r="AY30" s="168">
        <f t="shared" si="70"/>
        <v>19.795031055900623</v>
      </c>
      <c r="AZ30" s="168">
        <f t="shared" si="70"/>
        <v>22.846994535519126</v>
      </c>
      <c r="BA30" s="168">
        <f t="shared" si="70"/>
        <v>25.350893697083727</v>
      </c>
      <c r="BB30" s="168">
        <f t="shared" si="70"/>
        <v>33.543531326281531</v>
      </c>
      <c r="BC30" s="168">
        <f t="shared" si="70"/>
        <v>37.588872476612508</v>
      </c>
      <c r="BD30" s="168">
        <f t="shared" si="70"/>
        <v>43.84407216494845</v>
      </c>
      <c r="BE30" s="168">
        <f t="shared" si="70"/>
        <v>45.077452667814114</v>
      </c>
      <c r="BF30" s="176">
        <f t="shared" si="70"/>
        <v>35.38806787082649</v>
      </c>
      <c r="BG30" s="168">
        <f t="shared" si="70"/>
        <v>13.307017543859649</v>
      </c>
      <c r="BH30" s="168">
        <f>BH35/BH23</f>
        <v>38.738461538461536</v>
      </c>
      <c r="BI30" s="168">
        <f>BI35/BI23</f>
        <v>49.011795543905635</v>
      </c>
      <c r="BJ30" s="168">
        <f>BJ35/BJ23</f>
        <v>26.526508226691043</v>
      </c>
      <c r="BK30" s="168">
        <f t="shared" si="70"/>
        <v>20.573033707865168</v>
      </c>
      <c r="BL30" s="168">
        <f t="shared" si="70"/>
        <v>41.362318840579711</v>
      </c>
      <c r="BM30" s="168">
        <f>BM35/BM23</f>
        <v>52.759681093394079</v>
      </c>
      <c r="BN30" s="168">
        <f t="shared" si="70"/>
        <v>39.397104446742503</v>
      </c>
      <c r="BO30" s="168">
        <f t="shared" si="70"/>
        <v>42.458333333333336</v>
      </c>
      <c r="BP30" s="168">
        <f t="shared" si="70"/>
        <v>37.181034482758619</v>
      </c>
      <c r="BQ30" s="168">
        <f>BQ35/BQ23</f>
        <v>44.196304849884527</v>
      </c>
      <c r="BR30" s="176">
        <f t="shared" si="70"/>
        <v>36.584139264990327</v>
      </c>
      <c r="BS30" s="168">
        <f t="shared" si="70"/>
        <v>16.102803738317757</v>
      </c>
      <c r="BT30" s="168">
        <f t="shared" si="70"/>
        <v>16.879722703639516</v>
      </c>
      <c r="BU30" s="168">
        <f t="shared" si="70"/>
        <v>15.685654008438819</v>
      </c>
      <c r="BV30" s="168">
        <f t="shared" si="70"/>
        <v>15.537513997760358</v>
      </c>
      <c r="BW30" s="168">
        <f t="shared" si="70"/>
        <v>37.616250000000001</v>
      </c>
      <c r="BX30" s="168">
        <f t="shared" si="70"/>
        <v>37.443587270973964</v>
      </c>
      <c r="BY30" s="168">
        <f t="shared" si="70"/>
        <v>52.1505376344086</v>
      </c>
      <c r="BZ30" s="168">
        <f t="shared" si="70"/>
        <v>37.394444444444446</v>
      </c>
      <c r="CA30" s="168">
        <f t="shared" si="70"/>
        <v>21.553072625698324</v>
      </c>
      <c r="CB30" s="176">
        <f t="shared" si="70"/>
        <v>30.872785829307567</v>
      </c>
      <c r="CC30" s="168">
        <f t="shared" si="70"/>
        <v>40.339319470699429</v>
      </c>
      <c r="CD30" s="168">
        <f t="shared" si="70"/>
        <v>47.954653937947491</v>
      </c>
      <c r="CE30" s="168">
        <f t="shared" si="70"/>
        <v>44.921854304635758</v>
      </c>
      <c r="CF30" s="168">
        <f t="shared" si="70"/>
        <v>39.779661016949156</v>
      </c>
      <c r="CG30" s="168">
        <f t="shared" si="70"/>
        <v>39.147012162876784</v>
      </c>
      <c r="CH30" s="168">
        <f t="shared" si="70"/>
        <v>41.305194805194802</v>
      </c>
      <c r="CI30" s="168">
        <f t="shared" si="70"/>
        <v>19.904591532498511</v>
      </c>
      <c r="CJ30" s="168">
        <f t="shared" si="70"/>
        <v>33.678125000000001</v>
      </c>
      <c r="CK30" s="169">
        <f t="shared" si="70"/>
        <v>43.668269230769234</v>
      </c>
      <c r="CL30" s="177">
        <f t="shared" si="70"/>
        <v>31.67658159597412</v>
      </c>
    </row>
    <row r="31" spans="1:90">
      <c r="A31" s="80">
        <f>ROWS($A$3:A29)</f>
        <v>27</v>
      </c>
      <c r="B31" s="53" t="str">
        <f>"Entwicklung Betriebe ab 5 ha LF von 2001 / "&amp;C22</f>
        <v>Entwicklung Betriebe ab 5 ha LF von 2001 / 2010</v>
      </c>
      <c r="C31" s="261"/>
      <c r="D31" s="260" t="s">
        <v>3</v>
      </c>
      <c r="E31" s="435"/>
      <c r="F31" s="142">
        <f>(F23-F24)/('2001'!F23-'2001'!F24)%-100</f>
        <v>-21.145494028230189</v>
      </c>
      <c r="G31" s="143">
        <f>(G23-G24)/('2001'!G23-'2001'!G24)%-100</f>
        <v>-19.779787652379085</v>
      </c>
      <c r="H31" s="143">
        <f>(H23-H24)/('2001'!H23-'2001'!H24)%-100</f>
        <v>-18.794927711816499</v>
      </c>
      <c r="I31" s="144">
        <f>(I23-I24)/('2001'!I23-'2001'!I24)%-100</f>
        <v>-22.273257509477986</v>
      </c>
      <c r="J31" s="141"/>
      <c r="K31" s="116">
        <f t="shared" si="37"/>
        <v>-23.485513608428448</v>
      </c>
      <c r="L31" s="137">
        <f t="shared" si="38"/>
        <v>-17.068466730954668</v>
      </c>
      <c r="M31" s="137">
        <f t="shared" si="39"/>
        <v>-25.499729875742844</v>
      </c>
      <c r="N31" s="137">
        <f t="shared" si="40"/>
        <v>-18.266978922716618</v>
      </c>
      <c r="O31" s="137">
        <f t="shared" si="41"/>
        <v>-16.442451420029897</v>
      </c>
      <c r="P31" s="143">
        <f>100-(P23%/((AZ23%)/(100-AZ31)+(BA23%)/(100-BA31)))</f>
        <v>-18.548595714788078</v>
      </c>
      <c r="Q31" s="146">
        <f>'2011'!AU31</f>
        <v>-23.54570637119113</v>
      </c>
      <c r="R31" s="143">
        <f>100-(R23%/((AT23%)/(100-AT31)+(AX23%)/(100-AX31)))</f>
        <v>-14.41252553892528</v>
      </c>
      <c r="S31" s="146">
        <f t="shared" si="43"/>
        <v>-19.878603945371779</v>
      </c>
      <c r="T31" s="146">
        <f t="shared" si="44"/>
        <v>-25.193199381761971</v>
      </c>
      <c r="U31" s="147">
        <f t="shared" si="45"/>
        <v>-21.78060413354531</v>
      </c>
      <c r="V31" s="143">
        <f>100-(V23%/((BG23%)/(100-BG31)+(BJ23%)/(100-BJ31)))</f>
        <v>-10.70248002776637</v>
      </c>
      <c r="W31" s="146">
        <f t="shared" si="47"/>
        <v>-21.993670886075947</v>
      </c>
      <c r="X31" s="143">
        <f>100-(X23%/((BH23%)/(100-BH31)+(BI23%)/(100-BI31)))</f>
        <v>-16.486772896849217</v>
      </c>
      <c r="Y31" s="143">
        <f>100-(Y23%/((BK23%)/(100-BK31)+(BL23%)/(100-BL31)+(BN23%)/(100-BN31)))</f>
        <v>-19.588690181733554</v>
      </c>
      <c r="Z31" s="146">
        <f t="shared" si="50"/>
        <v>-23.272727272727266</v>
      </c>
      <c r="AA31" s="143">
        <f>100-(AA23%/((BO23%)/(100-BO31)+(BQ23%)/(100-BQ31)))</f>
        <v>-17.259985971940282</v>
      </c>
      <c r="AB31" s="147">
        <f t="shared" si="52"/>
        <v>-23.519163763066203</v>
      </c>
      <c r="AC31" s="146">
        <f t="shared" si="53"/>
        <v>-19.984326018808773</v>
      </c>
      <c r="AD31" s="146">
        <f t="shared" si="54"/>
        <v>-14.015151515151516</v>
      </c>
      <c r="AE31" s="143">
        <f>100-(AE23%/((BS23%)/(100-BS31)+(BT23%)/(100-BT31)))</f>
        <v>-15.770382419758363</v>
      </c>
      <c r="AF31" s="146">
        <f t="shared" si="56"/>
        <v>-19.944082013047534</v>
      </c>
      <c r="AG31" s="146">
        <f t="shared" si="57"/>
        <v>-16.385630498533729</v>
      </c>
      <c r="AH31" s="146">
        <f t="shared" si="58"/>
        <v>-21.001088139281819</v>
      </c>
      <c r="AI31" s="146">
        <f t="shared" si="59"/>
        <v>-21.233569261880689</v>
      </c>
      <c r="AJ31" s="146">
        <f t="shared" si="60"/>
        <v>-24.333333333333329</v>
      </c>
      <c r="AK31" s="147">
        <f t="shared" si="61"/>
        <v>-23.653846153846146</v>
      </c>
      <c r="AL31" s="146">
        <f t="shared" si="62"/>
        <v>-20.950323974082067</v>
      </c>
      <c r="AM31" s="146">
        <f t="shared" si="63"/>
        <v>-22.357019064124771</v>
      </c>
      <c r="AN31" s="146">
        <f t="shared" si="64"/>
        <v>-20.78947368421052</v>
      </c>
      <c r="AO31" s="146">
        <f t="shared" si="65"/>
        <v>-22.453703703703709</v>
      </c>
      <c r="AP31" s="146">
        <f t="shared" si="66"/>
        <v>-23.943661971830977</v>
      </c>
      <c r="AQ31" s="146">
        <f t="shared" si="67"/>
        <v>-25.56993222427603</v>
      </c>
      <c r="AR31" s="146">
        <f t="shared" si="68"/>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c r="A32" s="80">
        <f>ROWS($A$3:A30)</f>
        <v>28</v>
      </c>
      <c r="B32" s="53" t="s">
        <v>170</v>
      </c>
      <c r="C32" s="261"/>
      <c r="D32" s="260" t="s">
        <v>3</v>
      </c>
      <c r="E32" s="435"/>
      <c r="F32" s="116">
        <v>37</v>
      </c>
      <c r="G32" s="137">
        <v>31</v>
      </c>
      <c r="H32" s="137">
        <v>28</v>
      </c>
      <c r="I32" s="138">
        <v>42</v>
      </c>
      <c r="J32" s="141"/>
      <c r="K32" s="116">
        <f t="shared" si="37"/>
        <v>35</v>
      </c>
      <c r="L32" s="137">
        <f t="shared" si="38"/>
        <v>35</v>
      </c>
      <c r="M32" s="137">
        <f t="shared" si="39"/>
        <v>34</v>
      </c>
      <c r="N32" s="137">
        <f t="shared" si="40"/>
        <v>42</v>
      </c>
      <c r="O32" s="137">
        <f t="shared" si="41"/>
        <v>41</v>
      </c>
      <c r="P32" s="143">
        <f>(AZ23*AZ32+BA23*BA32)/P23</f>
        <v>40.664356864443484</v>
      </c>
      <c r="Q32" s="146">
        <f>'2011'!AU32</f>
        <v>30</v>
      </c>
      <c r="R32" s="143">
        <f>(AT23*AT32+AX23*AX32)/R23</f>
        <v>41.095765472312706</v>
      </c>
      <c r="S32" s="146">
        <f t="shared" si="43"/>
        <v>35</v>
      </c>
      <c r="T32" s="146">
        <f t="shared" si="44"/>
        <v>38</v>
      </c>
      <c r="U32" s="147">
        <f t="shared" si="45"/>
        <v>47</v>
      </c>
      <c r="V32" s="143">
        <f>(BG23*BG32+BJ23*BJ32)/V23</f>
        <v>16.827534039334342</v>
      </c>
      <c r="W32" s="146">
        <f t="shared" si="47"/>
        <v>25</v>
      </c>
      <c r="X32" s="143">
        <f>(BH23*BH32+BI23*BI32)/X23</f>
        <v>33.706521739130437</v>
      </c>
      <c r="Y32" s="143">
        <f>(BK23*BK32+BL23*BL32+BN23*BN32)/Y23</f>
        <v>43.694222222222223</v>
      </c>
      <c r="Z32" s="146">
        <f t="shared" si="50"/>
        <v>33</v>
      </c>
      <c r="AA32" s="143">
        <f>(BO23*BO32+BQ23*BQ32)/AA23</f>
        <v>31.997811816192559</v>
      </c>
      <c r="AB32" s="147">
        <f t="shared" si="52"/>
        <v>26</v>
      </c>
      <c r="AC32" s="146">
        <f t="shared" si="53"/>
        <v>36</v>
      </c>
      <c r="AD32" s="146">
        <f t="shared" si="54"/>
        <v>28</v>
      </c>
      <c r="AE32" s="143">
        <f>(BS23*BS32+BT23*BT32)/AE23</f>
        <v>32.138109067441107</v>
      </c>
      <c r="AF32" s="146">
        <f t="shared" si="56"/>
        <v>29</v>
      </c>
      <c r="AG32" s="146">
        <f t="shared" si="57"/>
        <v>30</v>
      </c>
      <c r="AH32" s="146">
        <f t="shared" si="58"/>
        <v>45</v>
      </c>
      <c r="AI32" s="146">
        <f t="shared" si="59"/>
        <v>26</v>
      </c>
      <c r="AJ32" s="146">
        <f t="shared" si="60"/>
        <v>26</v>
      </c>
      <c r="AK32" s="147">
        <f t="shared" si="61"/>
        <v>27</v>
      </c>
      <c r="AL32" s="146">
        <f t="shared" si="62"/>
        <v>23</v>
      </c>
      <c r="AM32" s="146">
        <f t="shared" si="63"/>
        <v>49</v>
      </c>
      <c r="AN32" s="146">
        <f t="shared" si="64"/>
        <v>59</v>
      </c>
      <c r="AO32" s="146">
        <f t="shared" si="65"/>
        <v>28</v>
      </c>
      <c r="AP32" s="146">
        <f t="shared" si="66"/>
        <v>24</v>
      </c>
      <c r="AQ32" s="146">
        <f t="shared" si="67"/>
        <v>34</v>
      </c>
      <c r="AR32" s="146">
        <f t="shared" si="68"/>
        <v>48</v>
      </c>
      <c r="AS32" s="144">
        <f>(CF23*CF32+CG23*CG32)/AS23</f>
        <v>41.411149825783973</v>
      </c>
      <c r="AT32" s="146">
        <v>62</v>
      </c>
      <c r="AU32" s="137">
        <v>30</v>
      </c>
      <c r="AV32" s="137">
        <v>35</v>
      </c>
      <c r="AW32" s="137">
        <v>42</v>
      </c>
      <c r="AX32" s="137">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c r="A33" s="80">
        <f>ROWS($A$3:A31)</f>
        <v>29</v>
      </c>
      <c r="B33" s="53" t="s">
        <v>68</v>
      </c>
      <c r="C33" s="261"/>
      <c r="D33" s="260" t="s">
        <v>3</v>
      </c>
      <c r="E33" s="435"/>
      <c r="F33" s="142">
        <f>100-F32</f>
        <v>63</v>
      </c>
      <c r="G33" s="143">
        <f>100-G32</f>
        <v>69</v>
      </c>
      <c r="H33" s="143">
        <f>100-H32</f>
        <v>72</v>
      </c>
      <c r="I33" s="144">
        <f>100-I32</f>
        <v>58</v>
      </c>
      <c r="J33" s="141"/>
      <c r="K33" s="145">
        <f t="shared" si="37"/>
        <v>65</v>
      </c>
      <c r="L33" s="146">
        <f t="shared" si="38"/>
        <v>65</v>
      </c>
      <c r="M33" s="146">
        <f t="shared" si="39"/>
        <v>66</v>
      </c>
      <c r="N33" s="146">
        <f t="shared" si="40"/>
        <v>58</v>
      </c>
      <c r="O33" s="146">
        <f t="shared" si="41"/>
        <v>59</v>
      </c>
      <c r="P33" s="143">
        <f>100-P32</f>
        <v>59.335643135556516</v>
      </c>
      <c r="Q33" s="146">
        <f>'2011'!AU33</f>
        <v>70</v>
      </c>
      <c r="R33" s="143">
        <f>100-R32</f>
        <v>58.904234527687294</v>
      </c>
      <c r="S33" s="146">
        <f t="shared" si="43"/>
        <v>65</v>
      </c>
      <c r="T33" s="146">
        <f t="shared" si="44"/>
        <v>62</v>
      </c>
      <c r="U33" s="147">
        <f t="shared" si="45"/>
        <v>53</v>
      </c>
      <c r="V33" s="143">
        <f>100-V32</f>
        <v>83.172465960665662</v>
      </c>
      <c r="W33" s="146">
        <f t="shared" si="47"/>
        <v>75</v>
      </c>
      <c r="X33" s="143">
        <f>100-X32</f>
        <v>66.293478260869563</v>
      </c>
      <c r="Y33" s="143">
        <f>100-Y32</f>
        <v>56.305777777777777</v>
      </c>
      <c r="Z33" s="146">
        <f t="shared" si="50"/>
        <v>67</v>
      </c>
      <c r="AA33" s="143">
        <f>100-AA32</f>
        <v>68.002188183807448</v>
      </c>
      <c r="AB33" s="147">
        <f t="shared" si="52"/>
        <v>74</v>
      </c>
      <c r="AC33" s="146">
        <f t="shared" si="53"/>
        <v>64</v>
      </c>
      <c r="AD33" s="146">
        <f t="shared" si="54"/>
        <v>72</v>
      </c>
      <c r="AE33" s="143">
        <f>100-AE32</f>
        <v>67.861890932558893</v>
      </c>
      <c r="AF33" s="146">
        <f t="shared" si="56"/>
        <v>71</v>
      </c>
      <c r="AG33" s="146">
        <f t="shared" si="57"/>
        <v>70</v>
      </c>
      <c r="AH33" s="146">
        <f t="shared" si="58"/>
        <v>55</v>
      </c>
      <c r="AI33" s="146">
        <f t="shared" si="59"/>
        <v>74</v>
      </c>
      <c r="AJ33" s="146">
        <f t="shared" si="60"/>
        <v>74</v>
      </c>
      <c r="AK33" s="147">
        <f t="shared" si="61"/>
        <v>73</v>
      </c>
      <c r="AL33" s="146">
        <f t="shared" si="62"/>
        <v>77</v>
      </c>
      <c r="AM33" s="146">
        <f t="shared" si="63"/>
        <v>51</v>
      </c>
      <c r="AN33" s="146">
        <f t="shared" si="64"/>
        <v>41</v>
      </c>
      <c r="AO33" s="146">
        <f t="shared" si="65"/>
        <v>72</v>
      </c>
      <c r="AP33" s="146">
        <f t="shared" si="66"/>
        <v>76</v>
      </c>
      <c r="AQ33" s="146">
        <f t="shared" si="67"/>
        <v>66</v>
      </c>
      <c r="AR33" s="146">
        <f t="shared" si="68"/>
        <v>52</v>
      </c>
      <c r="AS33" s="144">
        <f>100-AS32</f>
        <v>58.588850174216027</v>
      </c>
      <c r="AT33" s="143">
        <f>100-AT32</f>
        <v>38</v>
      </c>
      <c r="AU33" s="143">
        <f>100-AU32</f>
        <v>70</v>
      </c>
      <c r="AV33" s="143">
        <f t="shared" ref="AV33:CL33" si="71">100-AV32</f>
        <v>65</v>
      </c>
      <c r="AW33" s="143">
        <f t="shared" si="71"/>
        <v>58</v>
      </c>
      <c r="AX33" s="143">
        <f>100-AX32</f>
        <v>62</v>
      </c>
      <c r="AY33" s="143">
        <f t="shared" si="71"/>
        <v>65</v>
      </c>
      <c r="AZ33" s="143">
        <f t="shared" si="71"/>
        <v>40</v>
      </c>
      <c r="BA33" s="143">
        <f t="shared" si="71"/>
        <v>61</v>
      </c>
      <c r="BB33" s="143">
        <f t="shared" si="71"/>
        <v>62</v>
      </c>
      <c r="BC33" s="143">
        <f t="shared" si="71"/>
        <v>53</v>
      </c>
      <c r="BD33" s="143">
        <f t="shared" si="71"/>
        <v>66</v>
      </c>
      <c r="BE33" s="143">
        <f t="shared" si="71"/>
        <v>59</v>
      </c>
      <c r="BF33" s="148">
        <f t="shared" si="71"/>
        <v>65</v>
      </c>
      <c r="BG33" s="143">
        <f t="shared" si="71"/>
        <v>84</v>
      </c>
      <c r="BH33" s="143">
        <f>100-BH32</f>
        <v>58</v>
      </c>
      <c r="BI33" s="143">
        <f>100-BI32</f>
        <v>67</v>
      </c>
      <c r="BJ33" s="143">
        <f>100-BJ32</f>
        <v>83</v>
      </c>
      <c r="BK33" s="143">
        <f t="shared" si="71"/>
        <v>42</v>
      </c>
      <c r="BL33" s="143">
        <f t="shared" si="71"/>
        <v>37</v>
      </c>
      <c r="BM33" s="143">
        <f>100-BM32</f>
        <v>67</v>
      </c>
      <c r="BN33" s="143">
        <f t="shared" si="71"/>
        <v>59</v>
      </c>
      <c r="BO33" s="143">
        <f t="shared" si="71"/>
        <v>50</v>
      </c>
      <c r="BP33" s="143">
        <f t="shared" si="71"/>
        <v>74</v>
      </c>
      <c r="BQ33" s="143">
        <f>100-BQ32</f>
        <v>69</v>
      </c>
      <c r="BR33" s="148">
        <f t="shared" si="71"/>
        <v>75</v>
      </c>
      <c r="BS33" s="143">
        <f t="shared" si="71"/>
        <v>66</v>
      </c>
      <c r="BT33" s="143">
        <f t="shared" si="71"/>
        <v>68</v>
      </c>
      <c r="BU33" s="143">
        <f t="shared" si="71"/>
        <v>72</v>
      </c>
      <c r="BV33" s="143">
        <f t="shared" si="71"/>
        <v>70</v>
      </c>
      <c r="BW33" s="143">
        <f t="shared" si="71"/>
        <v>74</v>
      </c>
      <c r="BX33" s="143">
        <f t="shared" si="71"/>
        <v>64</v>
      </c>
      <c r="BY33" s="143">
        <f t="shared" si="71"/>
        <v>74</v>
      </c>
      <c r="BZ33" s="143">
        <f t="shared" si="71"/>
        <v>55</v>
      </c>
      <c r="CA33" s="143">
        <f t="shared" si="71"/>
        <v>71</v>
      </c>
      <c r="CB33" s="148">
        <f t="shared" si="71"/>
        <v>73</v>
      </c>
      <c r="CC33" s="143">
        <f t="shared" si="71"/>
        <v>72</v>
      </c>
      <c r="CD33" s="143">
        <f t="shared" si="71"/>
        <v>76</v>
      </c>
      <c r="CE33" s="143">
        <f t="shared" si="71"/>
        <v>77</v>
      </c>
      <c r="CF33" s="143">
        <f t="shared" si="71"/>
        <v>52</v>
      </c>
      <c r="CG33" s="143">
        <f t="shared" si="71"/>
        <v>59</v>
      </c>
      <c r="CH33" s="143">
        <f t="shared" si="71"/>
        <v>51</v>
      </c>
      <c r="CI33" s="143">
        <f t="shared" si="71"/>
        <v>52</v>
      </c>
      <c r="CJ33" s="143">
        <f t="shared" si="71"/>
        <v>41</v>
      </c>
      <c r="CK33" s="144">
        <f t="shared" si="71"/>
        <v>66</v>
      </c>
      <c r="CL33" s="149">
        <f t="shared" si="71"/>
        <v>64</v>
      </c>
    </row>
    <row r="34" spans="1:90">
      <c r="A34" s="80">
        <f>ROWS($A$3:A32)</f>
        <v>30</v>
      </c>
      <c r="B34" s="59" t="s">
        <v>69</v>
      </c>
      <c r="C34" s="395">
        <v>2010</v>
      </c>
      <c r="D34" s="260"/>
      <c r="E34" s="435"/>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388" t="s">
        <v>71</v>
      </c>
      <c r="C35" s="205"/>
      <c r="D35" s="259" t="s">
        <v>1</v>
      </c>
      <c r="E35" s="437">
        <v>40652</v>
      </c>
      <c r="F35" s="116">
        <v>464514</v>
      </c>
      <c r="G35" s="137">
        <v>201368</v>
      </c>
      <c r="H35" s="137">
        <v>318269</v>
      </c>
      <c r="I35" s="138">
        <v>425837</v>
      </c>
      <c r="J35" s="141"/>
      <c r="K35" s="116">
        <f>BF35</f>
        <v>64654</v>
      </c>
      <c r="L35" s="137">
        <f>AY35</f>
        <v>25496</v>
      </c>
      <c r="M35" s="137">
        <f>BD35</f>
        <v>68046</v>
      </c>
      <c r="N35" s="137">
        <f>AW35</f>
        <v>28126</v>
      </c>
      <c r="O35" s="137">
        <f>BE35</f>
        <v>26190</v>
      </c>
      <c r="P35" s="137">
        <f>'2011'!AZ35+'2011'!BA35</f>
        <v>58077</v>
      </c>
      <c r="Q35" s="137">
        <f>'2011'!AU35</f>
        <v>22058</v>
      </c>
      <c r="R35" s="137">
        <f t="shared" ref="R35:R41" si="72">AT35+AX35</f>
        <v>34667</v>
      </c>
      <c r="S35" s="137">
        <f>AV35</f>
        <v>19633</v>
      </c>
      <c r="T35" s="137">
        <f t="shared" ref="T35:U39" si="73">BB35</f>
        <v>41225</v>
      </c>
      <c r="U35" s="139">
        <f t="shared" si="73"/>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4">CC35</f>
        <v>42679</v>
      </c>
      <c r="AP35" s="137">
        <f t="shared" si="74"/>
        <v>20093</v>
      </c>
      <c r="AQ35" s="137">
        <f>CK35</f>
        <v>54498</v>
      </c>
      <c r="AR35" s="137">
        <f>CI35</f>
        <v>33380</v>
      </c>
      <c r="AS35" s="138">
        <f>CF35+CG35</f>
        <v>78721</v>
      </c>
      <c r="AT35" s="137">
        <v>2501</v>
      </c>
      <c r="AU35" s="137">
        <v>22058</v>
      </c>
      <c r="AV35" s="137">
        <v>19633</v>
      </c>
      <c r="AW35" s="137">
        <v>28126</v>
      </c>
      <c r="AX35" s="137">
        <v>32166</v>
      </c>
      <c r="AY35" s="137">
        <v>25496</v>
      </c>
      <c r="AZ35" s="137">
        <v>4181</v>
      </c>
      <c r="BA35" s="137">
        <v>53896</v>
      </c>
      <c r="BB35" s="137">
        <v>41225</v>
      </c>
      <c r="BC35" s="137">
        <v>76343</v>
      </c>
      <c r="BD35" s="137">
        <v>68046</v>
      </c>
      <c r="BE35" s="137">
        <v>26190</v>
      </c>
      <c r="BF35" s="139">
        <v>64654</v>
      </c>
      <c r="BG35" s="137">
        <v>1517</v>
      </c>
      <c r="BH35" s="137">
        <v>2518</v>
      </c>
      <c r="BI35" s="137">
        <v>37396</v>
      </c>
      <c r="BJ35" s="137">
        <v>14510</v>
      </c>
      <c r="BK35" s="137">
        <v>1831</v>
      </c>
      <c r="BL35" s="137">
        <v>2854</v>
      </c>
      <c r="BM35" s="137">
        <v>46323</v>
      </c>
      <c r="BN35" s="137">
        <v>38097</v>
      </c>
      <c r="BO35" s="137">
        <v>1019</v>
      </c>
      <c r="BP35" s="137">
        <v>17252</v>
      </c>
      <c r="BQ35" s="137">
        <v>19137</v>
      </c>
      <c r="BR35" s="139">
        <v>18914</v>
      </c>
      <c r="BS35" s="137">
        <v>3446</v>
      </c>
      <c r="BT35" s="137">
        <v>48698</v>
      </c>
      <c r="BU35" s="137">
        <v>22305</v>
      </c>
      <c r="BV35" s="137">
        <v>55500</v>
      </c>
      <c r="BW35" s="137">
        <v>30093</v>
      </c>
      <c r="BX35" s="137">
        <v>38829</v>
      </c>
      <c r="BY35" s="137">
        <v>24250</v>
      </c>
      <c r="BZ35" s="137">
        <v>33655</v>
      </c>
      <c r="CA35" s="137">
        <v>23148</v>
      </c>
      <c r="CB35" s="139">
        <v>38344</v>
      </c>
      <c r="CC35" s="137">
        <v>42679</v>
      </c>
      <c r="CD35" s="137">
        <v>20093</v>
      </c>
      <c r="CE35" s="137">
        <v>33916</v>
      </c>
      <c r="CF35" s="137">
        <v>4694</v>
      </c>
      <c r="CG35" s="137">
        <v>74027</v>
      </c>
      <c r="CH35" s="137">
        <v>76332</v>
      </c>
      <c r="CI35" s="137">
        <v>33380</v>
      </c>
      <c r="CJ35" s="137">
        <v>86216</v>
      </c>
      <c r="CK35" s="138">
        <v>54498</v>
      </c>
      <c r="CL35" s="140">
        <v>1409988</v>
      </c>
    </row>
    <row r="36" spans="1:90">
      <c r="A36" s="80">
        <f>ROWS($A$3:A34)</f>
        <v>32</v>
      </c>
      <c r="B36" s="388" t="s">
        <v>72</v>
      </c>
      <c r="C36" s="203"/>
      <c r="D36" s="259" t="s">
        <v>1</v>
      </c>
      <c r="E36" s="437">
        <v>40652</v>
      </c>
      <c r="F36" s="116">
        <v>311698</v>
      </c>
      <c r="G36" s="137">
        <v>141235</v>
      </c>
      <c r="H36" s="137">
        <v>142389</v>
      </c>
      <c r="I36" s="138">
        <v>233949</v>
      </c>
      <c r="J36" s="141"/>
      <c r="K36" s="116">
        <f>BF36</f>
        <v>34721</v>
      </c>
      <c r="L36" s="137">
        <f>AY36</f>
        <v>11730</v>
      </c>
      <c r="M36" s="137">
        <f>BD36</f>
        <v>59094</v>
      </c>
      <c r="N36" s="137">
        <f>AW36</f>
        <v>12509</v>
      </c>
      <c r="O36" s="137">
        <f>BE36</f>
        <v>16900</v>
      </c>
      <c r="P36" s="137">
        <f>'2011'!AZ36+'2011'!BA36</f>
        <v>44169</v>
      </c>
      <c r="Q36" s="137">
        <f>'2011'!AU36</f>
        <v>15243</v>
      </c>
      <c r="R36" s="137">
        <f t="shared" si="72"/>
        <v>25995</v>
      </c>
      <c r="S36" s="137">
        <f>AV36</f>
        <v>10169</v>
      </c>
      <c r="T36" s="137">
        <f t="shared" si="73"/>
        <v>30557</v>
      </c>
      <c r="U36" s="139">
        <f t="shared" si="73"/>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4"/>
        <v>20144</v>
      </c>
      <c r="AP36" s="137">
        <f t="shared" si="74"/>
        <v>13604</v>
      </c>
      <c r="AQ36" s="137">
        <f>CK36</f>
        <v>35032</v>
      </c>
      <c r="AR36" s="137">
        <f>CI36</f>
        <v>13924</v>
      </c>
      <c r="AS36" s="138">
        <f>CF36+CG36</f>
        <v>59389</v>
      </c>
      <c r="AT36" s="137">
        <v>1505</v>
      </c>
      <c r="AU36" s="137">
        <v>15243</v>
      </c>
      <c r="AV36" s="137">
        <v>10169</v>
      </c>
      <c r="AW36" s="137">
        <v>12509</v>
      </c>
      <c r="AX36" s="137">
        <v>24490</v>
      </c>
      <c r="AY36" s="137">
        <v>11730</v>
      </c>
      <c r="AZ36" s="137">
        <v>3228</v>
      </c>
      <c r="BA36" s="137">
        <v>40941</v>
      </c>
      <c r="BB36" s="137">
        <v>30557</v>
      </c>
      <c r="BC36" s="137">
        <v>50614</v>
      </c>
      <c r="BD36" s="137">
        <v>59094</v>
      </c>
      <c r="BE36" s="137">
        <v>16900</v>
      </c>
      <c r="BF36" s="139">
        <v>34721</v>
      </c>
      <c r="BG36" s="137">
        <v>574</v>
      </c>
      <c r="BH36" s="137">
        <v>1983</v>
      </c>
      <c r="BI36" s="137">
        <v>29516</v>
      </c>
      <c r="BJ36" s="137">
        <v>9747</v>
      </c>
      <c r="BK36" s="137">
        <v>1534</v>
      </c>
      <c r="BL36" s="137">
        <v>2446</v>
      </c>
      <c r="BM36" s="137">
        <v>35036</v>
      </c>
      <c r="BN36" s="137">
        <v>30039</v>
      </c>
      <c r="BO36" s="137">
        <v>530</v>
      </c>
      <c r="BP36" s="137">
        <v>8451</v>
      </c>
      <c r="BQ36" s="137">
        <v>11890</v>
      </c>
      <c r="BR36" s="139">
        <v>9490</v>
      </c>
      <c r="BS36" s="137">
        <v>1619</v>
      </c>
      <c r="BT36" s="137">
        <v>19255</v>
      </c>
      <c r="BU36" s="137">
        <v>10287</v>
      </c>
      <c r="BV36" s="137">
        <v>27684</v>
      </c>
      <c r="BW36" s="137">
        <v>16868</v>
      </c>
      <c r="BX36" s="137">
        <v>15862</v>
      </c>
      <c r="BY36" s="137">
        <v>9020</v>
      </c>
      <c r="BZ36" s="137">
        <v>19192</v>
      </c>
      <c r="CA36" s="137">
        <v>7269</v>
      </c>
      <c r="CB36" s="139">
        <v>15333</v>
      </c>
      <c r="CC36" s="137">
        <v>20144</v>
      </c>
      <c r="CD36" s="137">
        <v>13604</v>
      </c>
      <c r="CE36" s="137">
        <v>13101</v>
      </c>
      <c r="CF36" s="137">
        <v>4046</v>
      </c>
      <c r="CG36" s="137">
        <v>55343</v>
      </c>
      <c r="CH36" s="137">
        <v>51921</v>
      </c>
      <c r="CI36" s="137">
        <v>13924</v>
      </c>
      <c r="CJ36" s="137">
        <v>26833</v>
      </c>
      <c r="CK36" s="138">
        <v>35032</v>
      </c>
      <c r="CL36" s="140">
        <v>829272</v>
      </c>
    </row>
    <row r="37" spans="1:90">
      <c r="A37" s="80">
        <f>ROWS($A$3:A35)</f>
        <v>33</v>
      </c>
      <c r="B37" s="388" t="s">
        <v>6</v>
      </c>
      <c r="C37" s="203"/>
      <c r="D37" s="259" t="s">
        <v>1</v>
      </c>
      <c r="E37" s="437">
        <v>40652</v>
      </c>
      <c r="F37" s="116">
        <v>137597</v>
      </c>
      <c r="G37" s="137">
        <v>55922</v>
      </c>
      <c r="H37" s="137">
        <v>156404</v>
      </c>
      <c r="I37" s="138">
        <v>181770</v>
      </c>
      <c r="J37" s="141"/>
      <c r="K37" s="116">
        <f>BF37</f>
        <v>29497</v>
      </c>
      <c r="L37" s="137">
        <f>AY37</f>
        <v>12099</v>
      </c>
      <c r="M37" s="137">
        <f>BD37</f>
        <v>8022</v>
      </c>
      <c r="N37" s="137">
        <f>AW37</f>
        <v>15467</v>
      </c>
      <c r="O37" s="137">
        <f>BE37</f>
        <v>9260</v>
      </c>
      <c r="P37" s="137">
        <f>'2011'!AZ37+'2011'!BA37</f>
        <v>6934</v>
      </c>
      <c r="Q37" s="137">
        <f>'2011'!AU37</f>
        <v>6681</v>
      </c>
      <c r="R37" s="137">
        <f t="shared" si="72"/>
        <v>5997</v>
      </c>
      <c r="S37" s="137">
        <f>AV37</f>
        <v>9094</v>
      </c>
      <c r="T37" s="137">
        <f t="shared" si="73"/>
        <v>9049</v>
      </c>
      <c r="U37" s="139">
        <f t="shared" si="73"/>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4"/>
        <v>22343</v>
      </c>
      <c r="AP37" s="137">
        <f t="shared" si="74"/>
        <v>6418</v>
      </c>
      <c r="AQ37" s="137">
        <f>CK37</f>
        <v>19369</v>
      </c>
      <c r="AR37" s="137">
        <f>CI37</f>
        <v>11723</v>
      </c>
      <c r="AS37" s="138">
        <f>CF37+CG37</f>
        <v>19170</v>
      </c>
      <c r="AT37" s="137">
        <v>535</v>
      </c>
      <c r="AU37" s="137">
        <v>6681</v>
      </c>
      <c r="AV37" s="137">
        <v>9094</v>
      </c>
      <c r="AW37" s="137">
        <v>15467</v>
      </c>
      <c r="AX37" s="137">
        <v>5462</v>
      </c>
      <c r="AY37" s="137">
        <v>12099</v>
      </c>
      <c r="AZ37" s="137">
        <v>211</v>
      </c>
      <c r="BA37" s="137">
        <v>6723</v>
      </c>
      <c r="BB37" s="137">
        <v>9049</v>
      </c>
      <c r="BC37" s="137">
        <v>25496</v>
      </c>
      <c r="BD37" s="137">
        <v>8022</v>
      </c>
      <c r="BE37" s="137">
        <v>9260</v>
      </c>
      <c r="BF37" s="139">
        <v>29497</v>
      </c>
      <c r="BG37" s="137">
        <v>682</v>
      </c>
      <c r="BH37" s="137">
        <v>453</v>
      </c>
      <c r="BI37" s="137">
        <v>6930</v>
      </c>
      <c r="BJ37" s="137">
        <v>4004</v>
      </c>
      <c r="BK37" s="137">
        <v>220</v>
      </c>
      <c r="BL37" s="137">
        <v>400</v>
      </c>
      <c r="BM37" s="137">
        <v>10649</v>
      </c>
      <c r="BN37" s="137">
        <v>6932</v>
      </c>
      <c r="BO37" s="137">
        <v>489</v>
      </c>
      <c r="BP37" s="137">
        <v>8752</v>
      </c>
      <c r="BQ37" s="137">
        <v>7002</v>
      </c>
      <c r="BR37" s="139">
        <v>9409</v>
      </c>
      <c r="BS37" s="137">
        <v>1036</v>
      </c>
      <c r="BT37" s="137">
        <v>23403</v>
      </c>
      <c r="BU37" s="137">
        <v>9545</v>
      </c>
      <c r="BV37" s="137">
        <v>20564</v>
      </c>
      <c r="BW37" s="137">
        <v>13189</v>
      </c>
      <c r="BX37" s="137">
        <v>22942</v>
      </c>
      <c r="BY37" s="137">
        <v>15208</v>
      </c>
      <c r="BZ37" s="137">
        <v>13349</v>
      </c>
      <c r="CA37" s="137">
        <v>14435</v>
      </c>
      <c r="CB37" s="139">
        <v>22734</v>
      </c>
      <c r="CC37" s="137">
        <v>22343</v>
      </c>
      <c r="CD37" s="137">
        <v>6418</v>
      </c>
      <c r="CE37" s="137">
        <v>20667</v>
      </c>
      <c r="CF37" s="137">
        <v>628</v>
      </c>
      <c r="CG37" s="137">
        <v>18542</v>
      </c>
      <c r="CH37" s="137">
        <v>24245</v>
      </c>
      <c r="CI37" s="137">
        <v>11723</v>
      </c>
      <c r="CJ37" s="137">
        <v>57833</v>
      </c>
      <c r="CK37" s="138">
        <v>19369</v>
      </c>
      <c r="CL37" s="140">
        <v>531692</v>
      </c>
    </row>
    <row r="38" spans="1:90">
      <c r="A38" s="80">
        <f>ROWS($A$3:A36)</f>
        <v>34</v>
      </c>
      <c r="B38" s="388" t="s">
        <v>244</v>
      </c>
      <c r="C38" s="203"/>
      <c r="D38" s="259" t="s">
        <v>1</v>
      </c>
      <c r="E38" s="437">
        <v>40652</v>
      </c>
      <c r="F38" s="116">
        <v>3429</v>
      </c>
      <c r="G38" s="137">
        <v>1255</v>
      </c>
      <c r="H38" s="137">
        <v>7541</v>
      </c>
      <c r="I38" s="138">
        <v>8842</v>
      </c>
      <c r="J38" s="141"/>
      <c r="K38" s="116">
        <f>BF38</f>
        <v>10</v>
      </c>
      <c r="L38" s="137">
        <f>AY38</f>
        <v>505</v>
      </c>
      <c r="M38" s="137">
        <f>BD38</f>
        <v>77</v>
      </c>
      <c r="N38" s="137">
        <f>AW38</f>
        <v>100</v>
      </c>
      <c r="O38" s="137">
        <f>BE38</f>
        <v>2</v>
      </c>
      <c r="P38" s="137">
        <f>'2011'!AZ38+'2011'!BA38</f>
        <v>1038</v>
      </c>
      <c r="Q38" s="137">
        <f>'2011'!AU38</f>
        <v>83</v>
      </c>
      <c r="R38" s="137">
        <f t="shared" si="72"/>
        <v>530</v>
      </c>
      <c r="S38" s="137">
        <f>AV38</f>
        <v>163</v>
      </c>
      <c r="T38" s="137">
        <f t="shared" si="73"/>
        <v>761</v>
      </c>
      <c r="U38" s="139">
        <f t="shared" si="73"/>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4"/>
        <v>101</v>
      </c>
      <c r="AP38" s="137">
        <f t="shared" si="74"/>
        <v>52</v>
      </c>
      <c r="AQ38" s="137">
        <f>CK38</f>
        <v>29</v>
      </c>
      <c r="AR38" s="137">
        <f>CI38</f>
        <v>7179</v>
      </c>
      <c r="AS38" s="138">
        <f>CF38+CG38</f>
        <v>67</v>
      </c>
      <c r="AT38" s="137">
        <v>76</v>
      </c>
      <c r="AU38" s="137">
        <v>83</v>
      </c>
      <c r="AV38" s="137">
        <v>163</v>
      </c>
      <c r="AW38" s="137">
        <v>100</v>
      </c>
      <c r="AX38" s="137">
        <v>454</v>
      </c>
      <c r="AY38" s="137">
        <v>505</v>
      </c>
      <c r="AZ38" s="137">
        <v>59</v>
      </c>
      <c r="BA38" s="137">
        <v>979</v>
      </c>
      <c r="BB38" s="137">
        <v>761</v>
      </c>
      <c r="BC38" s="137">
        <v>159</v>
      </c>
      <c r="BD38" s="137">
        <v>77</v>
      </c>
      <c r="BE38" s="137">
        <v>2</v>
      </c>
      <c r="BF38" s="139">
        <v>10</v>
      </c>
      <c r="BG38" s="137">
        <v>40</v>
      </c>
      <c r="BH38" s="137">
        <v>54</v>
      </c>
      <c r="BI38" s="137">
        <v>177</v>
      </c>
      <c r="BJ38" s="137">
        <v>408</v>
      </c>
      <c r="BK38" s="137" t="s">
        <v>233</v>
      </c>
      <c r="BL38" s="137" t="s">
        <v>233</v>
      </c>
      <c r="BM38" s="137">
        <v>133</v>
      </c>
      <c r="BN38" s="137">
        <v>380</v>
      </c>
      <c r="BO38" s="137" t="s">
        <v>233</v>
      </c>
      <c r="BP38" s="137" t="s">
        <v>233</v>
      </c>
      <c r="BQ38" s="137">
        <v>31</v>
      </c>
      <c r="BR38" s="139">
        <v>2</v>
      </c>
      <c r="BS38" s="137">
        <v>76</v>
      </c>
      <c r="BT38" s="137">
        <v>813</v>
      </c>
      <c r="BU38" s="137">
        <v>629</v>
      </c>
      <c r="BV38" s="137">
        <v>4231</v>
      </c>
      <c r="BW38" s="137" t="s">
        <v>233</v>
      </c>
      <c r="BX38" s="137" t="s">
        <v>233</v>
      </c>
      <c r="BY38" s="137" t="s">
        <v>233</v>
      </c>
      <c r="BZ38" s="137">
        <v>971</v>
      </c>
      <c r="CA38" s="137">
        <v>646</v>
      </c>
      <c r="CB38" s="139">
        <v>155</v>
      </c>
      <c r="CC38" s="137">
        <v>101</v>
      </c>
      <c r="CD38" s="137">
        <v>52</v>
      </c>
      <c r="CE38" s="137">
        <v>10</v>
      </c>
      <c r="CF38" s="137">
        <v>7</v>
      </c>
      <c r="CG38" s="137">
        <v>60</v>
      </c>
      <c r="CH38" s="137">
        <v>40</v>
      </c>
      <c r="CI38" s="137">
        <v>7179</v>
      </c>
      <c r="CJ38" s="137">
        <v>1365</v>
      </c>
      <c r="CK38" s="138">
        <v>29</v>
      </c>
      <c r="CL38" s="140">
        <v>21067</v>
      </c>
    </row>
    <row r="39" spans="1:90">
      <c r="A39" s="80">
        <f>ROWS($A$3:A37)</f>
        <v>35</v>
      </c>
      <c r="B39" s="388" t="s">
        <v>245</v>
      </c>
      <c r="C39" s="203"/>
      <c r="D39" s="259" t="s">
        <v>1</v>
      </c>
      <c r="E39" s="437">
        <v>40652</v>
      </c>
      <c r="F39" s="116">
        <v>10197</v>
      </c>
      <c r="G39" s="137">
        <v>2082</v>
      </c>
      <c r="H39" s="137">
        <v>10885</v>
      </c>
      <c r="I39" s="138">
        <v>519</v>
      </c>
      <c r="J39" s="141"/>
      <c r="K39" s="116" t="str">
        <f>BF39</f>
        <v>-</v>
      </c>
      <c r="L39" s="137">
        <f>AY39</f>
        <v>1046</v>
      </c>
      <c r="M39" s="137">
        <f>BD39</f>
        <v>714</v>
      </c>
      <c r="N39" s="137" t="str">
        <f>AW39</f>
        <v>*</v>
      </c>
      <c r="O39" s="137" t="str">
        <f>BE39</f>
        <v>–</v>
      </c>
      <c r="P39" s="137">
        <f>'2011'!AZ39+'2011'!BA39</f>
        <v>5606</v>
      </c>
      <c r="Q39" s="137" t="str">
        <f>'2011'!AU39</f>
        <v>*</v>
      </c>
      <c r="R39" s="137">
        <f t="shared" si="72"/>
        <v>1963</v>
      </c>
      <c r="S39" s="137">
        <f>AV39</f>
        <v>115</v>
      </c>
      <c r="T39" s="137">
        <f t="shared" si="73"/>
        <v>751</v>
      </c>
      <c r="U39" s="139" t="str">
        <f t="shared" si="73"/>
        <v>*</v>
      </c>
      <c r="V39" s="137">
        <f>BG39+BJ39</f>
        <v>506</v>
      </c>
      <c r="W39" s="137" t="str">
        <f>BR39</f>
        <v>*</v>
      </c>
      <c r="X39" s="137">
        <f>BI39</f>
        <v>714</v>
      </c>
      <c r="Y39" s="137">
        <f>BN39</f>
        <v>611</v>
      </c>
      <c r="Z39" s="137" t="str">
        <f>BM39</f>
        <v>*</v>
      </c>
      <c r="AA39" s="137">
        <f>BQ39</f>
        <v>188</v>
      </c>
      <c r="AB39" s="139" t="str">
        <f>BP39</f>
        <v>-</v>
      </c>
      <c r="AC39" s="137" t="str">
        <f>BX39</f>
        <v xml:space="preserve"> -</v>
      </c>
      <c r="AD39" s="137">
        <f>BU39</f>
        <v>1705</v>
      </c>
      <c r="AE39" s="137">
        <f>BT39</f>
        <v>5142</v>
      </c>
      <c r="AF39" s="137">
        <f>CA39</f>
        <v>739</v>
      </c>
      <c r="AG39" s="137">
        <f>BV39</f>
        <v>2479</v>
      </c>
      <c r="AH39" s="137" t="str">
        <f>BZ39</f>
        <v>*</v>
      </c>
      <c r="AI39" s="137" t="str">
        <f>BW39</f>
        <v xml:space="preserve">      -</v>
      </c>
      <c r="AJ39" s="137" t="str">
        <f>BY39</f>
        <v>*</v>
      </c>
      <c r="AK39" s="139">
        <f>CB39</f>
        <v>56</v>
      </c>
      <c r="AL39" s="137" t="str">
        <f>CE39</f>
        <v>*</v>
      </c>
      <c r="AM39" s="137" t="str">
        <f>CH39</f>
        <v>*</v>
      </c>
      <c r="AN39" s="137" t="str">
        <f>CJ39</f>
        <v>*</v>
      </c>
      <c r="AO39" s="137">
        <f t="shared" si="74"/>
        <v>16</v>
      </c>
      <c r="AP39" s="137">
        <f t="shared" si="74"/>
        <v>9</v>
      </c>
      <c r="AQ39" s="137" t="str">
        <f>CK39</f>
        <v>*</v>
      </c>
      <c r="AR39" s="137">
        <f>CI39</f>
        <v>492</v>
      </c>
      <c r="AS39" s="138" t="str">
        <f>CG39</f>
        <v>*</v>
      </c>
      <c r="AT39" s="137">
        <v>354</v>
      </c>
      <c r="AU39" s="137" t="s">
        <v>233</v>
      </c>
      <c r="AV39" s="137">
        <v>115</v>
      </c>
      <c r="AW39" s="137" t="s">
        <v>233</v>
      </c>
      <c r="AX39" s="137">
        <v>1609</v>
      </c>
      <c r="AY39" s="137">
        <v>1046</v>
      </c>
      <c r="AZ39" s="137">
        <v>634</v>
      </c>
      <c r="BA39" s="137">
        <v>4972</v>
      </c>
      <c r="BB39" s="137">
        <v>751</v>
      </c>
      <c r="BC39" s="137" t="s">
        <v>233</v>
      </c>
      <c r="BD39" s="137">
        <v>714</v>
      </c>
      <c r="BE39" s="137" t="s">
        <v>41</v>
      </c>
      <c r="BF39" s="139" t="s">
        <v>58</v>
      </c>
      <c r="BG39" s="137">
        <v>187</v>
      </c>
      <c r="BH39" s="137" t="s">
        <v>233</v>
      </c>
      <c r="BI39" s="137">
        <v>714</v>
      </c>
      <c r="BJ39" s="137">
        <v>319</v>
      </c>
      <c r="BK39" s="137">
        <v>50</v>
      </c>
      <c r="BL39" s="137" t="s">
        <v>58</v>
      </c>
      <c r="BM39" s="137" t="s">
        <v>233</v>
      </c>
      <c r="BN39" s="137">
        <v>611</v>
      </c>
      <c r="BO39" s="137" t="s">
        <v>58</v>
      </c>
      <c r="BP39" s="137" t="s">
        <v>58</v>
      </c>
      <c r="BQ39" s="137">
        <v>188</v>
      </c>
      <c r="BR39" s="139" t="s">
        <v>233</v>
      </c>
      <c r="BS39" s="137">
        <v>703</v>
      </c>
      <c r="BT39" s="137">
        <v>5142</v>
      </c>
      <c r="BU39" s="137">
        <v>1705</v>
      </c>
      <c r="BV39" s="137">
        <v>2479</v>
      </c>
      <c r="BW39" s="137" t="s">
        <v>274</v>
      </c>
      <c r="BX39" s="137" t="s">
        <v>267</v>
      </c>
      <c r="BY39" s="137" t="s">
        <v>233</v>
      </c>
      <c r="BZ39" s="137" t="s">
        <v>233</v>
      </c>
      <c r="CA39" s="137">
        <v>739</v>
      </c>
      <c r="CB39" s="139">
        <v>56</v>
      </c>
      <c r="CC39" s="137">
        <v>16</v>
      </c>
      <c r="CD39" s="137">
        <v>9</v>
      </c>
      <c r="CE39" s="137" t="s">
        <v>233</v>
      </c>
      <c r="CF39" s="137" t="s">
        <v>267</v>
      </c>
      <c r="CG39" s="137" t="s">
        <v>233</v>
      </c>
      <c r="CH39" s="137" t="s">
        <v>233</v>
      </c>
      <c r="CI39" s="137">
        <v>492</v>
      </c>
      <c r="CJ39" s="137" t="s">
        <v>233</v>
      </c>
      <c r="CK39" s="138" t="s">
        <v>233</v>
      </c>
      <c r="CL39" s="140">
        <v>23682</v>
      </c>
    </row>
    <row r="40" spans="1:90">
      <c r="A40" s="80">
        <f>ROWS($A$3:A38)</f>
        <v>36</v>
      </c>
      <c r="B40" s="59" t="s">
        <v>98</v>
      </c>
      <c r="C40" s="203"/>
      <c r="D40" s="259"/>
      <c r="E40" s="435"/>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393">
        <v>2010</v>
      </c>
      <c r="D41" s="259" t="s">
        <v>7</v>
      </c>
      <c r="E41" s="437">
        <v>40648</v>
      </c>
      <c r="F41" s="116">
        <v>301365</v>
      </c>
      <c r="G41" s="137">
        <v>81500</v>
      </c>
      <c r="H41" s="137">
        <v>220463</v>
      </c>
      <c r="I41" s="138">
        <v>405460</v>
      </c>
      <c r="J41" s="141"/>
      <c r="K41" s="116">
        <f t="shared" ref="K41:K54" si="75">BF41</f>
        <v>74320</v>
      </c>
      <c r="L41" s="137">
        <f t="shared" ref="L41:L54" si="76">AY41</f>
        <v>21281</v>
      </c>
      <c r="M41" s="137">
        <f t="shared" ref="M41:M54" si="77">BD41</f>
        <v>20414</v>
      </c>
      <c r="N41" s="137">
        <f t="shared" ref="N41:N54" si="78">AW41</f>
        <v>30359</v>
      </c>
      <c r="O41" s="137">
        <f t="shared" ref="O41:O54" si="79">BE41</f>
        <v>21796</v>
      </c>
      <c r="P41" s="137">
        <f>'2011'!AZ41+'2011'!BA41</f>
        <v>13075</v>
      </c>
      <c r="Q41" s="137">
        <f>'2011'!AU41</f>
        <v>8584</v>
      </c>
      <c r="R41" s="137">
        <f t="shared" si="72"/>
        <v>14246</v>
      </c>
      <c r="S41" s="137">
        <f t="shared" ref="S41:S54" si="80">AV41</f>
        <v>9719</v>
      </c>
      <c r="T41" s="137">
        <f>BB41</f>
        <v>22729</v>
      </c>
      <c r="U41" s="139">
        <f t="shared" ref="U41:U54" si="81">BC41</f>
        <v>64842</v>
      </c>
      <c r="V41" s="137">
        <f>BG41+BJ41</f>
        <v>2921</v>
      </c>
      <c r="W41" s="137">
        <f t="shared" ref="W41:W54" si="82">BR41</f>
        <v>12585</v>
      </c>
      <c r="X41" s="137">
        <f>BH41+BI41</f>
        <v>5861</v>
      </c>
      <c r="Y41" s="137">
        <f>BK41+BL41+BN41</f>
        <v>12846</v>
      </c>
      <c r="Z41" s="137">
        <f t="shared" ref="Z41:Z54" si="83">BM41</f>
        <v>23960</v>
      </c>
      <c r="AA41" s="137">
        <f>BO41+BQ41</f>
        <v>10759</v>
      </c>
      <c r="AB41" s="139">
        <f t="shared" ref="AB41:AB54" si="84">BP41</f>
        <v>12568</v>
      </c>
      <c r="AC41" s="137">
        <f t="shared" ref="AC41:AC54" si="85">BX41</f>
        <v>32326</v>
      </c>
      <c r="AD41" s="137">
        <f t="shared" ref="AD41:AD54" si="86">BU41</f>
        <v>15801</v>
      </c>
      <c r="AE41" s="137">
        <f>BS41+BT41</f>
        <v>29976</v>
      </c>
      <c r="AF41" s="137">
        <f t="shared" ref="AF41:AF54" si="87">CA41</f>
        <v>15641</v>
      </c>
      <c r="AG41" s="137">
        <f t="shared" ref="AG41:AG54" si="88">BV41</f>
        <v>30983</v>
      </c>
      <c r="AH41" s="137">
        <f t="shared" ref="AH41:AH54" si="89">BZ41</f>
        <v>25837</v>
      </c>
      <c r="AI41" s="137">
        <f t="shared" ref="AI41:AI54" si="90">BW41</f>
        <v>18992</v>
      </c>
      <c r="AJ41" s="137">
        <f t="shared" ref="AJ41:AJ54" si="91">BY41</f>
        <v>16605</v>
      </c>
      <c r="AK41" s="139">
        <f t="shared" ref="AK41:AK54" si="92">CB41</f>
        <v>34302</v>
      </c>
      <c r="AL41" s="137">
        <f t="shared" ref="AL41:AL54" si="93">CE41</f>
        <v>14402</v>
      </c>
      <c r="AM41" s="137">
        <f t="shared" ref="AM41:AM54" si="94">CH41</f>
        <v>92406</v>
      </c>
      <c r="AN41" s="137">
        <f t="shared" ref="AN41:AN54" si="95">CJ41</f>
        <v>147490</v>
      </c>
      <c r="AO41" s="137">
        <f>CC41</f>
        <v>28721</v>
      </c>
      <c r="AP41" s="137">
        <f t="shared" ref="AP41:AP54" si="96">CD41</f>
        <v>6277</v>
      </c>
      <c r="AQ41" s="137">
        <f t="shared" ref="AQ41:AQ54" si="97">CK41</f>
        <v>37691</v>
      </c>
      <c r="AR41" s="137">
        <f t="shared" ref="AR41:AR54" si="98">CI41</f>
        <v>24592</v>
      </c>
      <c r="AS41" s="138">
        <f>CF41+CG41</f>
        <v>53881</v>
      </c>
      <c r="AT41" s="137">
        <v>900</v>
      </c>
      <c r="AU41" s="137">
        <v>8584</v>
      </c>
      <c r="AV41" s="137">
        <v>9719</v>
      </c>
      <c r="AW41" s="137">
        <v>30359</v>
      </c>
      <c r="AX41" s="137">
        <v>13346</v>
      </c>
      <c r="AY41" s="137">
        <v>21281</v>
      </c>
      <c r="AZ41" s="137">
        <v>121</v>
      </c>
      <c r="BA41" s="137">
        <v>12954</v>
      </c>
      <c r="BB41" s="137">
        <v>22729</v>
      </c>
      <c r="BC41" s="137">
        <v>64842</v>
      </c>
      <c r="BD41" s="137">
        <v>20414</v>
      </c>
      <c r="BE41" s="137">
        <v>21796</v>
      </c>
      <c r="BF41" s="139">
        <v>74320</v>
      </c>
      <c r="BG41" s="137">
        <v>226</v>
      </c>
      <c r="BH41" s="137">
        <v>375</v>
      </c>
      <c r="BI41" s="137">
        <v>5486</v>
      </c>
      <c r="BJ41" s="137">
        <v>2695</v>
      </c>
      <c r="BK41" s="137">
        <v>512</v>
      </c>
      <c r="BL41" s="137">
        <v>88</v>
      </c>
      <c r="BM41" s="137">
        <v>23960</v>
      </c>
      <c r="BN41" s="137">
        <v>12246</v>
      </c>
      <c r="BO41" s="137">
        <v>215</v>
      </c>
      <c r="BP41" s="137">
        <v>12568</v>
      </c>
      <c r="BQ41" s="137">
        <v>10544</v>
      </c>
      <c r="BR41" s="139">
        <v>12585</v>
      </c>
      <c r="BS41" s="137">
        <v>633</v>
      </c>
      <c r="BT41" s="137">
        <v>29343</v>
      </c>
      <c r="BU41" s="137">
        <v>15801</v>
      </c>
      <c r="BV41" s="137">
        <v>30983</v>
      </c>
      <c r="BW41" s="137">
        <v>18992</v>
      </c>
      <c r="BX41" s="137">
        <v>32326</v>
      </c>
      <c r="BY41" s="137">
        <v>16605</v>
      </c>
      <c r="BZ41" s="137">
        <v>25837</v>
      </c>
      <c r="CA41" s="137">
        <v>15641</v>
      </c>
      <c r="CB41" s="139">
        <v>34302</v>
      </c>
      <c r="CC41" s="137">
        <v>28721</v>
      </c>
      <c r="CD41" s="137">
        <v>6277</v>
      </c>
      <c r="CE41" s="137">
        <v>14402</v>
      </c>
      <c r="CF41" s="137">
        <v>2203</v>
      </c>
      <c r="CG41" s="137">
        <v>51678</v>
      </c>
      <c r="CH41" s="137">
        <v>92406</v>
      </c>
      <c r="CI41" s="137">
        <v>24592</v>
      </c>
      <c r="CJ41" s="137">
        <v>147490</v>
      </c>
      <c r="CK41" s="138">
        <v>37691</v>
      </c>
      <c r="CL41" s="140">
        <v>1008788</v>
      </c>
    </row>
    <row r="42" spans="1:90">
      <c r="A42" s="80">
        <f>ROWS($A$3:A40)</f>
        <v>38</v>
      </c>
      <c r="B42" s="92" t="s">
        <v>305</v>
      </c>
      <c r="C42" s="203"/>
      <c r="D42" s="259" t="s">
        <v>7</v>
      </c>
      <c r="E42" s="437">
        <v>40648</v>
      </c>
      <c r="F42" s="116">
        <v>116157</v>
      </c>
      <c r="G42" s="137">
        <v>30697</v>
      </c>
      <c r="H42" s="137">
        <v>90542</v>
      </c>
      <c r="I42" s="138">
        <v>174346</v>
      </c>
      <c r="J42" s="141"/>
      <c r="K42" s="116">
        <f t="shared" si="75"/>
        <v>29282</v>
      </c>
      <c r="L42" s="137">
        <f t="shared" si="76"/>
        <v>8437</v>
      </c>
      <c r="M42" s="137">
        <f t="shared" si="77"/>
        <v>7467</v>
      </c>
      <c r="N42" s="137">
        <f t="shared" si="78"/>
        <v>12342</v>
      </c>
      <c r="O42" s="137">
        <f t="shared" si="79"/>
        <v>8028</v>
      </c>
      <c r="P42" s="137">
        <f>'2011'!BA42</f>
        <v>5016</v>
      </c>
      <c r="Q42" s="137">
        <f>'2011'!AU42</f>
        <v>3468</v>
      </c>
      <c r="R42" s="137">
        <f>AX42</f>
        <v>4724</v>
      </c>
      <c r="S42" s="137">
        <f t="shared" si="80"/>
        <v>3424</v>
      </c>
      <c r="T42" s="137">
        <f>BB42</f>
        <v>8572</v>
      </c>
      <c r="U42" s="139">
        <f t="shared" si="81"/>
        <v>24905</v>
      </c>
      <c r="V42" s="137">
        <f>BJ42</f>
        <v>1096</v>
      </c>
      <c r="W42" s="137">
        <f t="shared" si="82"/>
        <v>5033</v>
      </c>
      <c r="X42" s="137">
        <f>BI42</f>
        <v>1911</v>
      </c>
      <c r="Y42" s="137">
        <f>BN42</f>
        <v>4381</v>
      </c>
      <c r="Z42" s="137">
        <f t="shared" si="83"/>
        <v>8932</v>
      </c>
      <c r="AA42" s="137">
        <f>BQ42</f>
        <v>4035</v>
      </c>
      <c r="AB42" s="139">
        <f t="shared" si="84"/>
        <v>4819</v>
      </c>
      <c r="AC42" s="137">
        <f t="shared" si="85"/>
        <v>14504</v>
      </c>
      <c r="AD42" s="137">
        <f t="shared" si="86"/>
        <v>5892</v>
      </c>
      <c r="AE42" s="137">
        <f>BS42+BT42</f>
        <v>13703</v>
      </c>
      <c r="AF42" s="137">
        <f t="shared" si="87"/>
        <v>6349</v>
      </c>
      <c r="AG42" s="137">
        <f t="shared" si="88"/>
        <v>12132</v>
      </c>
      <c r="AH42" s="137">
        <f t="shared" si="89"/>
        <v>10409</v>
      </c>
      <c r="AI42" s="137">
        <f t="shared" si="90"/>
        <v>6728</v>
      </c>
      <c r="AJ42" s="137">
        <f t="shared" si="91"/>
        <v>6851</v>
      </c>
      <c r="AK42" s="139">
        <f t="shared" si="92"/>
        <v>13974</v>
      </c>
      <c r="AL42" s="137">
        <f t="shared" si="93"/>
        <v>5465</v>
      </c>
      <c r="AM42" s="137">
        <f t="shared" si="94"/>
        <v>36862</v>
      </c>
      <c r="AN42" s="137">
        <f t="shared" si="95"/>
        <v>73103</v>
      </c>
      <c r="AO42" s="137">
        <f>CC42</f>
        <v>9611</v>
      </c>
      <c r="AP42" s="137">
        <f t="shared" si="96"/>
        <v>2214</v>
      </c>
      <c r="AQ42" s="137">
        <f t="shared" si="97"/>
        <v>15051</v>
      </c>
      <c r="AR42" s="137">
        <f t="shared" si="98"/>
        <v>11122</v>
      </c>
      <c r="AS42" s="138">
        <f>CF42+CG42</f>
        <v>20918</v>
      </c>
      <c r="AT42" s="137">
        <v>434</v>
      </c>
      <c r="AU42" s="137">
        <v>3468</v>
      </c>
      <c r="AV42" s="137">
        <v>3424</v>
      </c>
      <c r="AW42" s="137">
        <v>12342</v>
      </c>
      <c r="AX42" s="137">
        <v>4724</v>
      </c>
      <c r="AY42" s="137">
        <v>8437</v>
      </c>
      <c r="AZ42" s="137">
        <v>58</v>
      </c>
      <c r="BA42" s="137">
        <v>5016</v>
      </c>
      <c r="BB42" s="137">
        <v>8572</v>
      </c>
      <c r="BC42" s="137">
        <v>24905</v>
      </c>
      <c r="BD42" s="137">
        <v>7467</v>
      </c>
      <c r="BE42" s="137">
        <v>8028</v>
      </c>
      <c r="BF42" s="139">
        <v>29282</v>
      </c>
      <c r="BG42" s="137">
        <v>74</v>
      </c>
      <c r="BH42" s="137">
        <v>69</v>
      </c>
      <c r="BI42" s="137">
        <v>1911</v>
      </c>
      <c r="BJ42" s="137">
        <v>1096</v>
      </c>
      <c r="BK42" s="137">
        <v>234</v>
      </c>
      <c r="BL42" s="137">
        <v>33</v>
      </c>
      <c r="BM42" s="137">
        <v>8932</v>
      </c>
      <c r="BN42" s="137">
        <v>4381</v>
      </c>
      <c r="BO42" s="137">
        <v>80</v>
      </c>
      <c r="BP42" s="137">
        <v>4819</v>
      </c>
      <c r="BQ42" s="137">
        <v>4035</v>
      </c>
      <c r="BR42" s="139">
        <v>5033</v>
      </c>
      <c r="BS42" s="137">
        <v>247</v>
      </c>
      <c r="BT42" s="137">
        <v>13456</v>
      </c>
      <c r="BU42" s="137">
        <v>5892</v>
      </c>
      <c r="BV42" s="137">
        <v>12132</v>
      </c>
      <c r="BW42" s="137">
        <v>6728</v>
      </c>
      <c r="BX42" s="137">
        <v>14504</v>
      </c>
      <c r="BY42" s="137">
        <v>6851</v>
      </c>
      <c r="BZ42" s="137">
        <v>10409</v>
      </c>
      <c r="CA42" s="137">
        <v>6349</v>
      </c>
      <c r="CB42" s="139">
        <v>13974</v>
      </c>
      <c r="CC42" s="137">
        <v>9611</v>
      </c>
      <c r="CD42" s="137">
        <v>2214</v>
      </c>
      <c r="CE42" s="137">
        <v>5465</v>
      </c>
      <c r="CF42" s="137">
        <v>923</v>
      </c>
      <c r="CG42" s="137">
        <v>19995</v>
      </c>
      <c r="CH42" s="137">
        <v>36862</v>
      </c>
      <c r="CI42" s="137">
        <v>11122</v>
      </c>
      <c r="CJ42" s="137">
        <v>73103</v>
      </c>
      <c r="CK42" s="138">
        <v>15051</v>
      </c>
      <c r="CL42" s="140">
        <v>411742</v>
      </c>
    </row>
    <row r="43" spans="1:90">
      <c r="A43" s="80">
        <f>ROWS($A$3:A41)</f>
        <v>39</v>
      </c>
      <c r="B43" s="92" t="s">
        <v>14</v>
      </c>
      <c r="C43" s="203"/>
      <c r="D43" s="259" t="s">
        <v>7</v>
      </c>
      <c r="E43" s="437">
        <v>40648</v>
      </c>
      <c r="F43" s="116">
        <v>101650</v>
      </c>
      <c r="G43" s="137">
        <v>22877</v>
      </c>
      <c r="H43" s="137">
        <v>68005</v>
      </c>
      <c r="I43" s="138">
        <v>161183</v>
      </c>
      <c r="J43" s="141"/>
      <c r="K43" s="116">
        <f>BF43</f>
        <v>25104</v>
      </c>
      <c r="L43" s="137">
        <f>AY43</f>
        <v>6718</v>
      </c>
      <c r="M43" s="137">
        <f>BD43</f>
        <v>6932</v>
      </c>
      <c r="N43" s="137">
        <f>AW43</f>
        <v>10603</v>
      </c>
      <c r="O43" s="137">
        <f>BE43</f>
        <v>7912</v>
      </c>
      <c r="P43" s="137">
        <f>'2011'!BA43</f>
        <v>4378</v>
      </c>
      <c r="Q43" s="137">
        <f>'2011'!AU43</f>
        <v>3178</v>
      </c>
      <c r="R43" s="137">
        <f>AX43</f>
        <v>4344</v>
      </c>
      <c r="S43" s="137">
        <f>AV43</f>
        <v>2502</v>
      </c>
      <c r="T43" s="137">
        <f>BB43</f>
        <v>7569</v>
      </c>
      <c r="U43" s="139">
        <f>BC43</f>
        <v>21941</v>
      </c>
      <c r="V43" s="137">
        <f>BJ43</f>
        <v>380</v>
      </c>
      <c r="W43" s="137">
        <f>BR43</f>
        <v>3774</v>
      </c>
      <c r="X43" s="137">
        <f>BI43</f>
        <v>1202</v>
      </c>
      <c r="Y43" s="137">
        <f>BN43</f>
        <v>3371</v>
      </c>
      <c r="Z43" s="137">
        <f>BM43</f>
        <v>7534</v>
      </c>
      <c r="AA43" s="137">
        <f>BQ43</f>
        <v>2881</v>
      </c>
      <c r="AB43" s="139">
        <f>BP43</f>
        <v>3499</v>
      </c>
      <c r="AC43" s="137">
        <f>BX43</f>
        <v>12455</v>
      </c>
      <c r="AD43" s="137">
        <f>BU43</f>
        <v>3583</v>
      </c>
      <c r="AE43" s="137">
        <f>BS43+BT43</f>
        <v>10349</v>
      </c>
      <c r="AF43" s="137">
        <f>CA43</f>
        <v>3769</v>
      </c>
      <c r="AG43" s="137">
        <f>BV43</f>
        <v>8168</v>
      </c>
      <c r="AH43" s="137">
        <f>BZ43</f>
        <v>8828</v>
      </c>
      <c r="AI43" s="137">
        <f>BW43</f>
        <v>5097</v>
      </c>
      <c r="AJ43" s="137">
        <f>BY43</f>
        <v>5405</v>
      </c>
      <c r="AK43" s="139">
        <f>CB43</f>
        <v>10351</v>
      </c>
      <c r="AL43" s="137">
        <f>CE43</f>
        <v>3430</v>
      </c>
      <c r="AM43" s="137">
        <f>CH43</f>
        <v>35289</v>
      </c>
      <c r="AN43" s="137">
        <f>CJ43</f>
        <v>69996</v>
      </c>
      <c r="AO43" s="137">
        <f>CC43</f>
        <v>8194</v>
      </c>
      <c r="AP43" s="137">
        <f>CD43</f>
        <v>1601</v>
      </c>
      <c r="AQ43" s="137">
        <f>CK43</f>
        <v>12854</v>
      </c>
      <c r="AR43" s="137">
        <f>CI43</f>
        <v>10539</v>
      </c>
      <c r="AS43" s="138">
        <f>CF43+CG43</f>
        <v>19280</v>
      </c>
      <c r="AT43" s="137" t="s">
        <v>233</v>
      </c>
      <c r="AU43" s="137">
        <v>3178</v>
      </c>
      <c r="AV43" s="137">
        <v>2502</v>
      </c>
      <c r="AW43" s="137">
        <v>10603</v>
      </c>
      <c r="AX43" s="137">
        <v>4344</v>
      </c>
      <c r="AY43" s="137">
        <v>6718</v>
      </c>
      <c r="AZ43" s="137" t="s">
        <v>233</v>
      </c>
      <c r="BA43" s="137">
        <v>4378</v>
      </c>
      <c r="BB43" s="137">
        <v>7569</v>
      </c>
      <c r="BC43" s="137">
        <v>21941</v>
      </c>
      <c r="BD43" s="137">
        <v>6932</v>
      </c>
      <c r="BE43" s="137">
        <v>7912</v>
      </c>
      <c r="BF43" s="139">
        <v>25104</v>
      </c>
      <c r="BG43" s="137" t="s">
        <v>58</v>
      </c>
      <c r="BH43" s="137" t="s">
        <v>233</v>
      </c>
      <c r="BI43" s="137">
        <v>1202</v>
      </c>
      <c r="BJ43" s="137">
        <v>380</v>
      </c>
      <c r="BK43" s="137" t="s">
        <v>233</v>
      </c>
      <c r="BL43" s="137" t="s">
        <v>233</v>
      </c>
      <c r="BM43" s="137">
        <v>7534</v>
      </c>
      <c r="BN43" s="137">
        <v>3371</v>
      </c>
      <c r="BO43" s="137" t="s">
        <v>233</v>
      </c>
      <c r="BP43" s="137">
        <v>3499</v>
      </c>
      <c r="BQ43" s="137">
        <v>2881</v>
      </c>
      <c r="BR43" s="139">
        <v>3774</v>
      </c>
      <c r="BS43" s="137">
        <v>93</v>
      </c>
      <c r="BT43" s="137">
        <v>10256</v>
      </c>
      <c r="BU43" s="137">
        <v>3583</v>
      </c>
      <c r="BV43" s="137">
        <v>8168</v>
      </c>
      <c r="BW43" s="137">
        <v>5097</v>
      </c>
      <c r="BX43" s="137">
        <v>12455</v>
      </c>
      <c r="BY43" s="137">
        <v>5405</v>
      </c>
      <c r="BZ43" s="137">
        <v>8828</v>
      </c>
      <c r="CA43" s="137">
        <v>3769</v>
      </c>
      <c r="CB43" s="139">
        <v>10351</v>
      </c>
      <c r="CC43" s="137">
        <v>8194</v>
      </c>
      <c r="CD43" s="137">
        <v>1601</v>
      </c>
      <c r="CE43" s="137">
        <v>3430</v>
      </c>
      <c r="CF43" s="137">
        <v>827</v>
      </c>
      <c r="CG43" s="137">
        <v>18453</v>
      </c>
      <c r="CH43" s="137">
        <v>35289</v>
      </c>
      <c r="CI43" s="137">
        <v>10539</v>
      </c>
      <c r="CJ43" s="137">
        <v>69996</v>
      </c>
      <c r="CK43" s="138">
        <v>12854</v>
      </c>
      <c r="CL43" s="140">
        <v>353715</v>
      </c>
    </row>
    <row r="44" spans="1:90">
      <c r="A44" s="80">
        <f>ROWS($A$3:A42)</f>
        <v>40</v>
      </c>
      <c r="B44" s="54" t="s">
        <v>20</v>
      </c>
      <c r="C44" s="252"/>
      <c r="D44" s="259" t="s">
        <v>241</v>
      </c>
      <c r="E44" s="437">
        <v>40648</v>
      </c>
      <c r="F44" s="116">
        <f>IF(ISERROR(F43/F123)=TRUE,"*",F43/F123)</f>
        <v>32.290343074968234</v>
      </c>
      <c r="G44" s="137">
        <f t="shared" ref="G44:BR44" si="99">IF(ISERROR(G43/G123)=TRUE,"*",G43/G123)</f>
        <v>33.593245227606459</v>
      </c>
      <c r="H44" s="137">
        <f t="shared" si="99"/>
        <v>24.983468038207199</v>
      </c>
      <c r="I44" s="138">
        <f t="shared" si="99"/>
        <v>38.195023696682462</v>
      </c>
      <c r="J44" s="141" t="str">
        <f t="shared" si="99"/>
        <v>*</v>
      </c>
      <c r="K44" s="116" t="str">
        <f t="shared" si="99"/>
        <v>*</v>
      </c>
      <c r="L44" s="137" t="str">
        <f t="shared" si="99"/>
        <v>*</v>
      </c>
      <c r="M44" s="137" t="str">
        <f t="shared" si="99"/>
        <v>*</v>
      </c>
      <c r="N44" s="137" t="str">
        <f t="shared" si="99"/>
        <v>*</v>
      </c>
      <c r="O44" s="137" t="str">
        <f t="shared" si="99"/>
        <v>*</v>
      </c>
      <c r="P44" s="143" t="str">
        <f t="shared" si="99"/>
        <v>*</v>
      </c>
      <c r="Q44" s="137" t="str">
        <f t="shared" si="99"/>
        <v>*</v>
      </c>
      <c r="R44" s="143" t="str">
        <f t="shared" si="99"/>
        <v>*</v>
      </c>
      <c r="S44" s="137" t="str">
        <f t="shared" si="99"/>
        <v>*</v>
      </c>
      <c r="T44" s="137" t="str">
        <f t="shared" si="99"/>
        <v>*</v>
      </c>
      <c r="U44" s="139" t="str">
        <f t="shared" si="99"/>
        <v>*</v>
      </c>
      <c r="V44" s="143" t="str">
        <f t="shared" si="99"/>
        <v>*</v>
      </c>
      <c r="W44" s="137" t="str">
        <f t="shared" si="99"/>
        <v>*</v>
      </c>
      <c r="X44" s="143" t="str">
        <f t="shared" si="99"/>
        <v>*</v>
      </c>
      <c r="Y44" s="143" t="str">
        <f t="shared" si="99"/>
        <v>*</v>
      </c>
      <c r="Z44" s="137" t="str">
        <f t="shared" si="99"/>
        <v>*</v>
      </c>
      <c r="AA44" s="143" t="str">
        <f t="shared" si="99"/>
        <v>*</v>
      </c>
      <c r="AB44" s="139" t="str">
        <f t="shared" si="99"/>
        <v>*</v>
      </c>
      <c r="AC44" s="137" t="str">
        <f t="shared" si="99"/>
        <v>*</v>
      </c>
      <c r="AD44" s="137" t="str">
        <f t="shared" si="99"/>
        <v>*</v>
      </c>
      <c r="AE44" s="143" t="str">
        <f t="shared" si="99"/>
        <v>*</v>
      </c>
      <c r="AF44" s="137" t="str">
        <f t="shared" si="99"/>
        <v>*</v>
      </c>
      <c r="AG44" s="137" t="str">
        <f t="shared" si="99"/>
        <v>*</v>
      </c>
      <c r="AH44" s="137" t="str">
        <f t="shared" si="99"/>
        <v>*</v>
      </c>
      <c r="AI44" s="137" t="str">
        <f t="shared" si="99"/>
        <v>*</v>
      </c>
      <c r="AJ44" s="137" t="str">
        <f t="shared" si="99"/>
        <v>*</v>
      </c>
      <c r="AK44" s="139" t="str">
        <f t="shared" si="99"/>
        <v>*</v>
      </c>
      <c r="AL44" s="137" t="str">
        <f t="shared" si="99"/>
        <v>*</v>
      </c>
      <c r="AM44" s="137" t="str">
        <f t="shared" si="99"/>
        <v>*</v>
      </c>
      <c r="AN44" s="137" t="str">
        <f t="shared" si="99"/>
        <v>*</v>
      </c>
      <c r="AO44" s="137" t="str">
        <f t="shared" si="99"/>
        <v>*</v>
      </c>
      <c r="AP44" s="137" t="str">
        <f t="shared" si="99"/>
        <v>*</v>
      </c>
      <c r="AQ44" s="137" t="str">
        <f t="shared" si="99"/>
        <v>*</v>
      </c>
      <c r="AR44" s="137" t="str">
        <f t="shared" si="99"/>
        <v>*</v>
      </c>
      <c r="AS44" s="144" t="str">
        <f t="shared" si="99"/>
        <v>*</v>
      </c>
      <c r="AT44" s="137" t="str">
        <f t="shared" si="99"/>
        <v>*</v>
      </c>
      <c r="AU44" s="137">
        <f t="shared" si="99"/>
        <v>35.707865168539328</v>
      </c>
      <c r="AV44" s="137">
        <f t="shared" si="99"/>
        <v>26.0625</v>
      </c>
      <c r="AW44" s="137">
        <f t="shared" si="99"/>
        <v>34.313915857605181</v>
      </c>
      <c r="AX44" s="137">
        <f t="shared" si="99"/>
        <v>31.028571428571428</v>
      </c>
      <c r="AY44" s="137">
        <f t="shared" si="99"/>
        <v>27.760330578512395</v>
      </c>
      <c r="AZ44" s="137" t="str">
        <f t="shared" si="99"/>
        <v>*</v>
      </c>
      <c r="BA44" s="137">
        <f t="shared" si="99"/>
        <v>35.024000000000001</v>
      </c>
      <c r="BB44" s="137">
        <f t="shared" si="99"/>
        <v>33.491150442477874</v>
      </c>
      <c r="BC44" s="137">
        <f t="shared" si="99"/>
        <v>31.660894660894662</v>
      </c>
      <c r="BD44" s="137">
        <f t="shared" si="99"/>
        <v>27.291338582677167</v>
      </c>
      <c r="BE44" s="137">
        <f t="shared" si="99"/>
        <v>37.676190476190477</v>
      </c>
      <c r="BF44" s="139">
        <f t="shared" si="99"/>
        <v>33.651474530831102</v>
      </c>
      <c r="BG44" s="137" t="str">
        <f t="shared" si="99"/>
        <v>*</v>
      </c>
      <c r="BH44" s="137" t="str">
        <f t="shared" si="99"/>
        <v>*</v>
      </c>
      <c r="BI44" s="137">
        <f t="shared" si="99"/>
        <v>38.774193548387096</v>
      </c>
      <c r="BJ44" s="137">
        <f t="shared" si="99"/>
        <v>20</v>
      </c>
      <c r="BK44" s="137" t="str">
        <f t="shared" si="99"/>
        <v>*</v>
      </c>
      <c r="BL44" s="137" t="str">
        <f t="shared" si="99"/>
        <v>*</v>
      </c>
      <c r="BM44" s="137">
        <f t="shared" si="99"/>
        <v>35.370892018779344</v>
      </c>
      <c r="BN44" s="137">
        <f t="shared" si="99"/>
        <v>37.455555555555556</v>
      </c>
      <c r="BO44" s="137" t="str">
        <f t="shared" si="99"/>
        <v>*</v>
      </c>
      <c r="BP44" s="137">
        <f t="shared" si="99"/>
        <v>28.447154471544714</v>
      </c>
      <c r="BQ44" s="137">
        <f t="shared" si="99"/>
        <v>44.323076923076925</v>
      </c>
      <c r="BR44" s="139">
        <f t="shared" si="99"/>
        <v>29.030769230769231</v>
      </c>
      <c r="BS44" s="137">
        <f t="shared" ref="BS44:CL44" si="100">IF(ISERROR(BS43/BS123)=TRUE,"*",BS43/BS123)</f>
        <v>18.600000000000001</v>
      </c>
      <c r="BT44" s="137">
        <f t="shared" si="100"/>
        <v>23.151241534988714</v>
      </c>
      <c r="BU44" s="137">
        <f t="shared" si="100"/>
        <v>19.579234972677597</v>
      </c>
      <c r="BV44" s="137">
        <f t="shared" si="100"/>
        <v>17.052192066805844</v>
      </c>
      <c r="BW44" s="137">
        <f t="shared" si="100"/>
        <v>23.063348416289593</v>
      </c>
      <c r="BX44" s="137">
        <f t="shared" si="100"/>
        <v>26.7274678111588</v>
      </c>
      <c r="BY44" s="137">
        <f t="shared" si="100"/>
        <v>38.884892086330936</v>
      </c>
      <c r="BZ44" s="137">
        <f t="shared" si="100"/>
        <v>37.888412017167383</v>
      </c>
      <c r="CA44" s="137">
        <f t="shared" si="100"/>
        <v>20.708791208791208</v>
      </c>
      <c r="CB44" s="139">
        <f t="shared" si="100"/>
        <v>27.900269541778975</v>
      </c>
      <c r="CC44" s="137">
        <f t="shared" si="100"/>
        <v>33.174089068825914</v>
      </c>
      <c r="CD44" s="137">
        <f t="shared" si="100"/>
        <v>40.024999999999999</v>
      </c>
      <c r="CE44" s="137">
        <f t="shared" si="100"/>
        <v>41.829268292682926</v>
      </c>
      <c r="CF44" s="137">
        <f t="shared" si="100"/>
        <v>39.38095238095238</v>
      </c>
      <c r="CG44" s="137">
        <f t="shared" si="100"/>
        <v>32.430579964850615</v>
      </c>
      <c r="CH44" s="137">
        <f t="shared" si="100"/>
        <v>39.829571106094811</v>
      </c>
      <c r="CI44" s="137">
        <f t="shared" si="100"/>
        <v>31.180473372781066</v>
      </c>
      <c r="CJ44" s="137">
        <f t="shared" si="100"/>
        <v>42.115523465703973</v>
      </c>
      <c r="CK44" s="138">
        <f t="shared" si="100"/>
        <v>34.277333333333331</v>
      </c>
      <c r="CL44" s="140">
        <f t="shared" si="100"/>
        <v>32.83956921362919</v>
      </c>
    </row>
    <row r="45" spans="1:90">
      <c r="A45" s="80">
        <f>ROWS($A$3:A43)</f>
        <v>41</v>
      </c>
      <c r="B45" s="92" t="s">
        <v>74</v>
      </c>
      <c r="C45" s="393">
        <v>2010</v>
      </c>
      <c r="D45" s="259" t="s">
        <v>7</v>
      </c>
      <c r="E45" s="437">
        <v>40652</v>
      </c>
      <c r="F45" s="116">
        <v>1148077</v>
      </c>
      <c r="G45" s="137">
        <v>109564</v>
      </c>
      <c r="H45" s="137">
        <v>151726</v>
      </c>
      <c r="I45" s="138">
        <v>723432</v>
      </c>
      <c r="J45" s="141"/>
      <c r="K45" s="116">
        <f t="shared" si="75"/>
        <v>143135</v>
      </c>
      <c r="L45" s="137">
        <f t="shared" si="76"/>
        <v>16426</v>
      </c>
      <c r="M45" s="137">
        <f t="shared" si="77"/>
        <v>150540</v>
      </c>
      <c r="N45" s="137">
        <f t="shared" si="78"/>
        <v>25725</v>
      </c>
      <c r="O45" s="137">
        <f t="shared" si="79"/>
        <v>49736</v>
      </c>
      <c r="P45" s="808">
        <f>IF(ISERROR(AZ45+BA45),BA45,AZ45+BA45)</f>
        <v>35071</v>
      </c>
      <c r="Q45" s="137">
        <f>'2011'!AU45</f>
        <v>21372</v>
      </c>
      <c r="R45" s="808">
        <f>IF(ISERROR(AT45+AX45),AX45,AT45+AX45)</f>
        <v>42652</v>
      </c>
      <c r="S45" s="137">
        <f t="shared" si="80"/>
        <v>7266</v>
      </c>
      <c r="T45" s="137">
        <f t="shared" ref="T45:T52" si="101">BB45</f>
        <v>180470</v>
      </c>
      <c r="U45" s="139">
        <f t="shared" si="81"/>
        <v>475187</v>
      </c>
      <c r="V45" s="808">
        <f>IF(ISERROR(BG45+BJ45),BJ45,(BG45+BJ45))</f>
        <v>7039</v>
      </c>
      <c r="W45" s="137">
        <f t="shared" si="82"/>
        <v>14067</v>
      </c>
      <c r="X45" s="808">
        <f>IF(ISERROR(BH45+BI45),BI45,(BH45+BI45))</f>
        <v>7841</v>
      </c>
      <c r="Y45" s="808">
        <f>IF(ISERROR(BK45+BL45+BN45),BK45+BN45,(BK45+BL45+BN45))</f>
        <v>28028</v>
      </c>
      <c r="Z45" s="137">
        <f t="shared" si="83"/>
        <v>37706</v>
      </c>
      <c r="AA45" s="808">
        <f>IF(ISERROR(BO45+BQ45),BQ45,(BO45+BQ45))</f>
        <v>7823</v>
      </c>
      <c r="AB45" s="139">
        <f t="shared" si="84"/>
        <v>6980</v>
      </c>
      <c r="AC45" s="137">
        <f t="shared" si="85"/>
        <v>22148</v>
      </c>
      <c r="AD45" s="137">
        <f t="shared" si="86"/>
        <v>5024</v>
      </c>
      <c r="AE45" s="808">
        <f>BS45+BT45</f>
        <v>8955</v>
      </c>
      <c r="AF45" s="137">
        <f t="shared" si="87"/>
        <v>3562</v>
      </c>
      <c r="AG45" s="137">
        <f t="shared" si="88"/>
        <v>30888</v>
      </c>
      <c r="AH45" s="137">
        <f t="shared" si="89"/>
        <v>18417</v>
      </c>
      <c r="AI45" s="137">
        <f t="shared" si="90"/>
        <v>38725</v>
      </c>
      <c r="AJ45" s="137">
        <f t="shared" si="91"/>
        <v>10936</v>
      </c>
      <c r="AK45" s="139">
        <f t="shared" si="92"/>
        <v>13071</v>
      </c>
      <c r="AL45" s="137">
        <f t="shared" si="93"/>
        <v>9721</v>
      </c>
      <c r="AM45" s="137">
        <f t="shared" si="94"/>
        <v>173896</v>
      </c>
      <c r="AN45" s="137">
        <f t="shared" si="95"/>
        <v>56880</v>
      </c>
      <c r="AO45" s="137">
        <f t="shared" ref="AO45:AO52" si="102">CC45</f>
        <v>30040</v>
      </c>
      <c r="AP45" s="137">
        <f t="shared" si="96"/>
        <v>17102</v>
      </c>
      <c r="AQ45" s="137">
        <f t="shared" si="97"/>
        <v>107463</v>
      </c>
      <c r="AR45" s="137">
        <f t="shared" si="98"/>
        <v>20295</v>
      </c>
      <c r="AS45" s="138">
        <f>CF45+CG45</f>
        <v>308035</v>
      </c>
      <c r="AT45" s="137">
        <v>0</v>
      </c>
      <c r="AU45" s="137">
        <v>21372</v>
      </c>
      <c r="AV45" s="137">
        <v>7266</v>
      </c>
      <c r="AW45" s="137">
        <v>25725</v>
      </c>
      <c r="AX45" s="137">
        <v>42652</v>
      </c>
      <c r="AY45" s="137">
        <v>16426</v>
      </c>
      <c r="AZ45" s="137">
        <v>0</v>
      </c>
      <c r="BA45" s="137">
        <v>35071</v>
      </c>
      <c r="BB45" s="137">
        <v>180470</v>
      </c>
      <c r="BC45" s="137">
        <v>475187</v>
      </c>
      <c r="BD45" s="137">
        <v>150540</v>
      </c>
      <c r="BE45" s="137">
        <v>49736</v>
      </c>
      <c r="BF45" s="139">
        <v>143135</v>
      </c>
      <c r="BG45" s="137">
        <v>0</v>
      </c>
      <c r="BH45" s="137">
        <v>1211</v>
      </c>
      <c r="BI45" s="137">
        <v>6630</v>
      </c>
      <c r="BJ45" s="137">
        <v>7039</v>
      </c>
      <c r="BK45" s="137">
        <v>765</v>
      </c>
      <c r="BL45" s="137" t="s">
        <v>233</v>
      </c>
      <c r="BM45" s="137">
        <v>37706</v>
      </c>
      <c r="BN45" s="137">
        <v>27263</v>
      </c>
      <c r="BO45" s="137">
        <v>95</v>
      </c>
      <c r="BP45" s="137">
        <v>6980</v>
      </c>
      <c r="BQ45" s="137">
        <v>7728</v>
      </c>
      <c r="BR45" s="139">
        <v>14067</v>
      </c>
      <c r="BS45" s="137">
        <v>400</v>
      </c>
      <c r="BT45" s="137">
        <v>8555</v>
      </c>
      <c r="BU45" s="137">
        <v>5024</v>
      </c>
      <c r="BV45" s="137">
        <v>30888</v>
      </c>
      <c r="BW45" s="137">
        <v>38725</v>
      </c>
      <c r="BX45" s="137">
        <v>22148</v>
      </c>
      <c r="BY45" s="137">
        <v>10936</v>
      </c>
      <c r="BZ45" s="137">
        <v>18417</v>
      </c>
      <c r="CA45" s="137">
        <v>3562</v>
      </c>
      <c r="CB45" s="139">
        <v>13071</v>
      </c>
      <c r="CC45" s="137">
        <v>30040</v>
      </c>
      <c r="CD45" s="137">
        <v>17102</v>
      </c>
      <c r="CE45" s="137">
        <v>9721</v>
      </c>
      <c r="CF45" s="137">
        <v>19867</v>
      </c>
      <c r="CG45" s="137">
        <v>288168</v>
      </c>
      <c r="CH45" s="137">
        <v>173896</v>
      </c>
      <c r="CI45" s="137">
        <v>20295</v>
      </c>
      <c r="CJ45" s="137">
        <v>56880</v>
      </c>
      <c r="CK45" s="138">
        <v>107463</v>
      </c>
      <c r="CL45" s="140">
        <v>2132799</v>
      </c>
    </row>
    <row r="46" spans="1:90">
      <c r="A46" s="80">
        <f>ROWS($A$3:A44)</f>
        <v>42</v>
      </c>
      <c r="B46" s="92" t="s">
        <v>8</v>
      </c>
      <c r="C46" s="203"/>
      <c r="D46" s="259" t="s">
        <v>7</v>
      </c>
      <c r="E46" s="437">
        <v>40652</v>
      </c>
      <c r="F46" s="116">
        <v>138422</v>
      </c>
      <c r="G46" s="137">
        <v>8774</v>
      </c>
      <c r="H46" s="137">
        <v>13335</v>
      </c>
      <c r="I46" s="138">
        <v>71363</v>
      </c>
      <c r="J46" s="141"/>
      <c r="K46" s="116">
        <f t="shared" si="75"/>
        <v>19542</v>
      </c>
      <c r="L46" s="137" t="str">
        <f t="shared" si="76"/>
        <v>*</v>
      </c>
      <c r="M46" s="137">
        <f t="shared" si="77"/>
        <v>19664</v>
      </c>
      <c r="N46" s="137">
        <f t="shared" si="78"/>
        <v>1477</v>
      </c>
      <c r="O46" s="137">
        <f t="shared" si="79"/>
        <v>4383</v>
      </c>
      <c r="P46" s="808">
        <f>IF(ISERROR(AZ46+BA46),BA46,AZ46+BA46)</f>
        <v>3335</v>
      </c>
      <c r="Q46" s="137">
        <f>'2011'!AU46</f>
        <v>2233</v>
      </c>
      <c r="R46" s="808">
        <f>IF(ISERROR(AT46+AX46),AX46,AT46+AX46)</f>
        <v>2945</v>
      </c>
      <c r="S46" s="137" t="str">
        <f t="shared" si="80"/>
        <v>*</v>
      </c>
      <c r="T46" s="137">
        <f t="shared" si="101"/>
        <v>24236</v>
      </c>
      <c r="U46" s="139">
        <f t="shared" si="81"/>
        <v>58271</v>
      </c>
      <c r="V46" s="808">
        <f>IF(ISERROR(BG46+BJ46),BJ46,(BG46+BJ46))</f>
        <v>532</v>
      </c>
      <c r="W46" s="137">
        <f t="shared" si="82"/>
        <v>1444</v>
      </c>
      <c r="X46" s="808">
        <f>IF(ISERROR(BH46+BI46),BI46,(BH46+BI46))</f>
        <v>180</v>
      </c>
      <c r="Y46" s="808">
        <f>IF(ISERROR(BK46+BL46+BN46),BN46,(BK46+BL46+BN46))</f>
        <v>1863</v>
      </c>
      <c r="Z46" s="137">
        <f t="shared" si="83"/>
        <v>2878</v>
      </c>
      <c r="AA46" s="808" t="str">
        <f>IF(ISERROR(BO46+BQ46),BQ46,(BO46+BQ46))</f>
        <v>*</v>
      </c>
      <c r="AB46" s="139">
        <f t="shared" si="84"/>
        <v>466</v>
      </c>
      <c r="AC46" s="137">
        <f t="shared" si="85"/>
        <v>1634</v>
      </c>
      <c r="AD46" s="137">
        <f t="shared" si="86"/>
        <v>471</v>
      </c>
      <c r="AE46" s="808">
        <f>BS46+BT46</f>
        <v>692</v>
      </c>
      <c r="AF46" s="137">
        <f t="shared" si="87"/>
        <v>190</v>
      </c>
      <c r="AG46" s="137">
        <f t="shared" si="88"/>
        <v>3655</v>
      </c>
      <c r="AH46" s="137">
        <f t="shared" si="89"/>
        <v>1386</v>
      </c>
      <c r="AI46" s="137">
        <f t="shared" si="90"/>
        <v>2660</v>
      </c>
      <c r="AJ46" s="137">
        <f t="shared" si="91"/>
        <v>1032</v>
      </c>
      <c r="AK46" s="139">
        <f t="shared" si="92"/>
        <v>1615</v>
      </c>
      <c r="AL46" s="137">
        <f t="shared" si="93"/>
        <v>778</v>
      </c>
      <c r="AM46" s="137">
        <f t="shared" si="94"/>
        <v>17329</v>
      </c>
      <c r="AN46" s="137">
        <f t="shared" si="95"/>
        <v>6991</v>
      </c>
      <c r="AO46" s="137">
        <f t="shared" si="102"/>
        <v>3831</v>
      </c>
      <c r="AP46" s="137">
        <f t="shared" si="96"/>
        <v>941</v>
      </c>
      <c r="AQ46" s="137">
        <f t="shared" si="97"/>
        <v>10639</v>
      </c>
      <c r="AR46" s="137">
        <f t="shared" si="98"/>
        <v>1591</v>
      </c>
      <c r="AS46" s="138">
        <f>CF46+CG46</f>
        <v>29263</v>
      </c>
      <c r="AT46" s="137">
        <v>0</v>
      </c>
      <c r="AU46" s="137">
        <v>2233</v>
      </c>
      <c r="AV46" s="137" t="s">
        <v>233</v>
      </c>
      <c r="AW46" s="137">
        <v>1477</v>
      </c>
      <c r="AX46" s="137">
        <v>2945</v>
      </c>
      <c r="AY46" s="137" t="s">
        <v>233</v>
      </c>
      <c r="AZ46" s="137">
        <v>0</v>
      </c>
      <c r="BA46" s="137">
        <v>3335</v>
      </c>
      <c r="BB46" s="137">
        <v>24236</v>
      </c>
      <c r="BC46" s="137">
        <v>58271</v>
      </c>
      <c r="BD46" s="137">
        <v>19664</v>
      </c>
      <c r="BE46" s="137">
        <v>4383</v>
      </c>
      <c r="BF46" s="139">
        <v>19542</v>
      </c>
      <c r="BG46" s="137" t="s">
        <v>233</v>
      </c>
      <c r="BH46" s="137" t="s">
        <v>233</v>
      </c>
      <c r="BI46" s="137">
        <v>180</v>
      </c>
      <c r="BJ46" s="137">
        <v>532</v>
      </c>
      <c r="BK46" s="137" t="s">
        <v>233</v>
      </c>
      <c r="BL46" s="137">
        <v>0</v>
      </c>
      <c r="BM46" s="137">
        <v>2878</v>
      </c>
      <c r="BN46" s="137">
        <v>1863</v>
      </c>
      <c r="BO46" s="137" t="s">
        <v>233</v>
      </c>
      <c r="BP46" s="137">
        <v>466</v>
      </c>
      <c r="BQ46" s="137" t="s">
        <v>233</v>
      </c>
      <c r="BR46" s="139">
        <v>1444</v>
      </c>
      <c r="BS46" s="137">
        <v>83</v>
      </c>
      <c r="BT46" s="137">
        <v>609</v>
      </c>
      <c r="BU46" s="137">
        <v>471</v>
      </c>
      <c r="BV46" s="137">
        <v>3655</v>
      </c>
      <c r="BW46" s="137">
        <v>2660</v>
      </c>
      <c r="BX46" s="137">
        <v>1634</v>
      </c>
      <c r="BY46" s="137">
        <v>1032</v>
      </c>
      <c r="BZ46" s="137">
        <v>1386</v>
      </c>
      <c r="CA46" s="137">
        <v>190</v>
      </c>
      <c r="CB46" s="139">
        <v>1615</v>
      </c>
      <c r="CC46" s="137">
        <v>3831</v>
      </c>
      <c r="CD46" s="137">
        <v>941</v>
      </c>
      <c r="CE46" s="137">
        <v>778</v>
      </c>
      <c r="CF46" s="137">
        <v>1439</v>
      </c>
      <c r="CG46" s="137">
        <v>27824</v>
      </c>
      <c r="CH46" s="137">
        <v>17329</v>
      </c>
      <c r="CI46" s="137">
        <v>1591</v>
      </c>
      <c r="CJ46" s="137">
        <v>6991</v>
      </c>
      <c r="CK46" s="138">
        <v>10639</v>
      </c>
      <c r="CL46" s="140">
        <v>231894</v>
      </c>
    </row>
    <row r="47" spans="1:90">
      <c r="A47" s="80">
        <f>ROWS($A$3:A45)</f>
        <v>43</v>
      </c>
      <c r="B47" s="54" t="s">
        <v>19</v>
      </c>
      <c r="C47" s="252"/>
      <c r="D47" s="259" t="s">
        <v>241</v>
      </c>
      <c r="E47" s="437">
        <v>40652</v>
      </c>
      <c r="F47" s="116">
        <f>F125/F124</f>
        <v>174.11972065181243</v>
      </c>
      <c r="G47" s="137">
        <f>G125/G124</f>
        <v>101.33630952380952</v>
      </c>
      <c r="H47" s="137">
        <f>H125/H124</f>
        <v>48.009674134419555</v>
      </c>
      <c r="I47" s="138">
        <f>I125/I124</f>
        <v>168.79459002535927</v>
      </c>
      <c r="J47" s="141"/>
      <c r="K47" s="116">
        <f t="shared" si="75"/>
        <v>112.86274509803921</v>
      </c>
      <c r="L47" s="137">
        <f t="shared" si="76"/>
        <v>73.268656716417908</v>
      </c>
      <c r="M47" s="137">
        <f t="shared" si="77"/>
        <v>139.1906976744186</v>
      </c>
      <c r="N47" s="137">
        <f t="shared" si="78"/>
        <v>127.40163934426229</v>
      </c>
      <c r="O47" s="137">
        <f t="shared" si="79"/>
        <v>186.52071005917159</v>
      </c>
      <c r="P47" s="808">
        <f>IF(ISERROR((BA45*BA47+AZ45*AZ47)/P45),BA47,(BA45*BA47+AZ45*AZ47)/P45)</f>
        <v>177.03007518796991</v>
      </c>
      <c r="Q47" s="137">
        <f>'2011'!AU47</f>
        <v>143.6</v>
      </c>
      <c r="R47" s="808">
        <f>IF(ISERROR((AT47*AT45+AX45*AX47)/R45),AX47,(AT47*AT45+AX45*AX47)/R45)</f>
        <v>215.48872180451127</v>
      </c>
      <c r="S47" s="137">
        <f t="shared" si="80"/>
        <v>65.145161290322577</v>
      </c>
      <c r="T47" s="137">
        <f t="shared" si="101"/>
        <v>216.87465181058496</v>
      </c>
      <c r="U47" s="139">
        <f t="shared" si="81"/>
        <v>227.08178844056707</v>
      </c>
      <c r="V47" s="808">
        <f>IF(ISERROR((BG47*BG45+BJ45*BJ47)/V45),BJ47,(BG47*BG45+BJ45*BJ47)/V45)</f>
        <v>90.093023255813947</v>
      </c>
      <c r="W47" s="137">
        <f t="shared" si="82"/>
        <v>69.509433962264154</v>
      </c>
      <c r="X47" s="808">
        <f>IF(ISERROR((BH45*BH47+BI45*BI47)/X45),BI47,(BH45*BH47+BI45*BI47)/X45)</f>
        <v>92.466251115929097</v>
      </c>
      <c r="Y47" s="808">
        <f>(BK47*BK45+BN47*BN45)/Y45</f>
        <v>129.75415071941046</v>
      </c>
      <c r="Z47" s="137">
        <f t="shared" si="83"/>
        <v>147.13186813186815</v>
      </c>
      <c r="AA47" s="808">
        <f>IF(ISERROR((BO47*BO45+BQ47*BQ45)/AA45),BQ47,(BO47*BO45+BQ47*BQ45)/AA45)</f>
        <v>85.91379310344827</v>
      </c>
      <c r="AB47" s="139">
        <f t="shared" si="84"/>
        <v>44.670329670329672</v>
      </c>
      <c r="AC47" s="137">
        <f t="shared" si="85"/>
        <v>55.530364372469634</v>
      </c>
      <c r="AD47" s="137">
        <f t="shared" si="86"/>
        <v>22.611111111111111</v>
      </c>
      <c r="AE47" s="808">
        <f>(BS45*BS47+BT45*BT47)/AE45</f>
        <v>21.937068584681651</v>
      </c>
      <c r="AF47" s="137">
        <f t="shared" si="87"/>
        <v>28.010416666666668</v>
      </c>
      <c r="AG47" s="137">
        <f t="shared" si="88"/>
        <v>31.215291750503017</v>
      </c>
      <c r="AH47" s="137">
        <f t="shared" si="89"/>
        <v>101.36134453781513</v>
      </c>
      <c r="AI47" s="137">
        <f t="shared" si="90"/>
        <v>116.59641255605381</v>
      </c>
      <c r="AJ47" s="137">
        <f t="shared" si="91"/>
        <v>69.136842105263156</v>
      </c>
      <c r="AK47" s="139">
        <f t="shared" si="92"/>
        <v>33.845794392523366</v>
      </c>
      <c r="AL47" s="137">
        <f t="shared" si="93"/>
        <v>74.096385542168676</v>
      </c>
      <c r="AM47" s="137">
        <f t="shared" si="94"/>
        <v>197.72</v>
      </c>
      <c r="AN47" s="137">
        <f t="shared" si="95"/>
        <v>117.89873417721519</v>
      </c>
      <c r="AO47" s="137">
        <f t="shared" si="102"/>
        <v>68.572727272727278</v>
      </c>
      <c r="AP47" s="137">
        <f t="shared" si="96"/>
        <v>154.06153846153848</v>
      </c>
      <c r="AQ47" s="137">
        <f t="shared" si="97"/>
        <v>150.2755905511811</v>
      </c>
      <c r="AR47" s="137">
        <f t="shared" si="98"/>
        <v>113.36974789915966</v>
      </c>
      <c r="AS47" s="144">
        <f>(CF45*CF47+CG45*CG47)/AS45</f>
        <v>229.46243470402328</v>
      </c>
      <c r="AT47" s="137" t="s">
        <v>58</v>
      </c>
      <c r="AU47" s="137">
        <f t="shared" ref="AU47:CJ47" si="103">AU125/AU124</f>
        <v>143.6</v>
      </c>
      <c r="AV47" s="137">
        <f t="shared" si="103"/>
        <v>65.145161290322577</v>
      </c>
      <c r="AW47" s="137">
        <f t="shared" si="103"/>
        <v>127.40163934426229</v>
      </c>
      <c r="AX47" s="137">
        <f t="shared" si="103"/>
        <v>215.48872180451127</v>
      </c>
      <c r="AY47" s="137">
        <f t="shared" si="103"/>
        <v>73.268656716417908</v>
      </c>
      <c r="AZ47" s="137" t="s">
        <v>58</v>
      </c>
      <c r="BA47" s="137">
        <f t="shared" si="103"/>
        <v>177.03007518796991</v>
      </c>
      <c r="BB47" s="137">
        <f t="shared" si="103"/>
        <v>216.87465181058496</v>
      </c>
      <c r="BC47" s="137">
        <f t="shared" si="103"/>
        <v>227.08178844056707</v>
      </c>
      <c r="BD47" s="137">
        <f t="shared" si="103"/>
        <v>139.1906976744186</v>
      </c>
      <c r="BE47" s="137">
        <f t="shared" si="103"/>
        <v>186.52071005917159</v>
      </c>
      <c r="BF47" s="139">
        <f t="shared" si="103"/>
        <v>112.86274509803921</v>
      </c>
      <c r="BG47" s="137" t="s">
        <v>58</v>
      </c>
      <c r="BH47" s="137">
        <f t="shared" si="103"/>
        <v>99.125</v>
      </c>
      <c r="BI47" s="137">
        <f t="shared" si="103"/>
        <v>91.25</v>
      </c>
      <c r="BJ47" s="137">
        <f t="shared" si="103"/>
        <v>90.093023255813947</v>
      </c>
      <c r="BK47" s="137">
        <f t="shared" si="103"/>
        <v>63</v>
      </c>
      <c r="BL47" s="137" t="s">
        <v>58</v>
      </c>
      <c r="BM47" s="137">
        <f t="shared" si="103"/>
        <v>147.13186813186815</v>
      </c>
      <c r="BN47" s="137">
        <f t="shared" si="103"/>
        <v>131.62727272727273</v>
      </c>
      <c r="BO47" s="137" t="s">
        <v>58</v>
      </c>
      <c r="BP47" s="137">
        <f t="shared" si="103"/>
        <v>44.670329670329672</v>
      </c>
      <c r="BQ47" s="137">
        <f t="shared" si="103"/>
        <v>85.91379310344827</v>
      </c>
      <c r="BR47" s="139">
        <f t="shared" si="103"/>
        <v>69.509433962264154</v>
      </c>
      <c r="BS47" s="137">
        <f t="shared" si="103"/>
        <v>17.153846153846153</v>
      </c>
      <c r="BT47" s="137">
        <f t="shared" si="103"/>
        <v>22.160714285714285</v>
      </c>
      <c r="BU47" s="137">
        <f t="shared" si="103"/>
        <v>22.611111111111111</v>
      </c>
      <c r="BV47" s="137">
        <f t="shared" si="103"/>
        <v>31.215291750503017</v>
      </c>
      <c r="BW47" s="137">
        <f t="shared" si="103"/>
        <v>116.59641255605381</v>
      </c>
      <c r="BX47" s="137">
        <f t="shared" si="103"/>
        <v>55.530364372469634</v>
      </c>
      <c r="BY47" s="137">
        <f t="shared" si="103"/>
        <v>69.136842105263156</v>
      </c>
      <c r="BZ47" s="137">
        <f t="shared" si="103"/>
        <v>101.36134453781513</v>
      </c>
      <c r="CA47" s="137">
        <f t="shared" si="103"/>
        <v>28.010416666666668</v>
      </c>
      <c r="CB47" s="139">
        <f t="shared" si="103"/>
        <v>33.845794392523366</v>
      </c>
      <c r="CC47" s="137">
        <f t="shared" si="103"/>
        <v>68.572727272727278</v>
      </c>
      <c r="CD47" s="137">
        <f t="shared" si="103"/>
        <v>154.06153846153848</v>
      </c>
      <c r="CE47" s="137">
        <f t="shared" si="103"/>
        <v>74.096385542168676</v>
      </c>
      <c r="CF47" s="137">
        <f t="shared" si="103"/>
        <v>428.06666666666666</v>
      </c>
      <c r="CG47" s="137">
        <f t="shared" si="103"/>
        <v>215.7701778385773</v>
      </c>
      <c r="CH47" s="137">
        <f t="shared" si="103"/>
        <v>197.72</v>
      </c>
      <c r="CI47" s="137">
        <f t="shared" si="103"/>
        <v>113.36974789915966</v>
      </c>
      <c r="CJ47" s="137">
        <f t="shared" si="103"/>
        <v>117.89873417721519</v>
      </c>
      <c r="CK47" s="138">
        <f>CK125/CK124</f>
        <v>150.2755905511811</v>
      </c>
      <c r="CL47" s="140">
        <f>CL125/CL124</f>
        <v>135.51442127606444</v>
      </c>
    </row>
    <row r="48" spans="1:90">
      <c r="A48" s="80">
        <f>ROWS($A$3:A46)</f>
        <v>44</v>
      </c>
      <c r="B48" s="196" t="s">
        <v>239</v>
      </c>
      <c r="C48" s="393">
        <v>2010</v>
      </c>
      <c r="D48" s="259" t="s">
        <v>7</v>
      </c>
      <c r="E48" s="437">
        <v>40652</v>
      </c>
      <c r="F48" s="116">
        <v>18657</v>
      </c>
      <c r="G48" s="137">
        <v>11690</v>
      </c>
      <c r="H48" s="137">
        <v>13322</v>
      </c>
      <c r="I48" s="138">
        <v>16072</v>
      </c>
      <c r="J48" s="141"/>
      <c r="K48" s="116">
        <f t="shared" si="75"/>
        <v>3102</v>
      </c>
      <c r="L48" s="137">
        <f t="shared" si="76"/>
        <v>1882</v>
      </c>
      <c r="M48" s="137">
        <f t="shared" si="77"/>
        <v>817</v>
      </c>
      <c r="N48" s="137">
        <f t="shared" si="78"/>
        <v>1667</v>
      </c>
      <c r="O48" s="137">
        <f t="shared" si="79"/>
        <v>739</v>
      </c>
      <c r="P48" s="137">
        <f>'2011'!AZ48+'2011'!BA48</f>
        <v>1429</v>
      </c>
      <c r="Q48" s="137">
        <f>'2011'!AU48</f>
        <v>2195</v>
      </c>
      <c r="R48" s="137">
        <f>AT48+AX48</f>
        <v>2352</v>
      </c>
      <c r="S48" s="137">
        <f t="shared" si="80"/>
        <v>2310</v>
      </c>
      <c r="T48" s="137">
        <f t="shared" si="101"/>
        <v>715</v>
      </c>
      <c r="U48" s="139">
        <f t="shared" si="81"/>
        <v>1449</v>
      </c>
      <c r="V48" s="137">
        <f>BG48+BJ48</f>
        <v>823</v>
      </c>
      <c r="W48" s="137">
        <f t="shared" si="82"/>
        <v>919</v>
      </c>
      <c r="X48" s="137">
        <f>BH48+BI48</f>
        <v>2585</v>
      </c>
      <c r="Y48" s="137">
        <f>BK48+BL48+BN48</f>
        <v>2816</v>
      </c>
      <c r="Z48" s="137">
        <f t="shared" si="83"/>
        <v>1619</v>
      </c>
      <c r="AA48" s="137">
        <f>BO48+BQ48</f>
        <v>1517</v>
      </c>
      <c r="AB48" s="139">
        <f t="shared" si="84"/>
        <v>1411</v>
      </c>
      <c r="AC48" s="137">
        <f t="shared" si="85"/>
        <v>1145</v>
      </c>
      <c r="AD48" s="137">
        <f t="shared" si="86"/>
        <v>998</v>
      </c>
      <c r="AE48" s="137">
        <f>BS48+BT48</f>
        <v>2422</v>
      </c>
      <c r="AF48" s="137">
        <f t="shared" si="87"/>
        <v>1691</v>
      </c>
      <c r="AG48" s="137">
        <f t="shared" si="88"/>
        <v>1682</v>
      </c>
      <c r="AH48" s="137">
        <f t="shared" si="89"/>
        <v>1607</v>
      </c>
      <c r="AI48" s="137">
        <f t="shared" si="90"/>
        <v>906</v>
      </c>
      <c r="AJ48" s="137">
        <f t="shared" si="91"/>
        <v>688</v>
      </c>
      <c r="AK48" s="139">
        <f t="shared" si="92"/>
        <v>2183</v>
      </c>
      <c r="AL48" s="137">
        <f t="shared" si="93"/>
        <v>1639</v>
      </c>
      <c r="AM48" s="137">
        <f t="shared" si="94"/>
        <v>2054</v>
      </c>
      <c r="AN48" s="137">
        <f t="shared" si="95"/>
        <v>3481</v>
      </c>
      <c r="AO48" s="137">
        <f t="shared" si="102"/>
        <v>2729</v>
      </c>
      <c r="AP48" s="137">
        <f t="shared" si="96"/>
        <v>920</v>
      </c>
      <c r="AQ48" s="137">
        <f t="shared" si="97"/>
        <v>1506</v>
      </c>
      <c r="AR48" s="137">
        <f t="shared" si="98"/>
        <v>1586</v>
      </c>
      <c r="AS48" s="138">
        <f>CF48+CG48</f>
        <v>2157</v>
      </c>
      <c r="AT48" s="137">
        <v>176</v>
      </c>
      <c r="AU48" s="137">
        <v>2195</v>
      </c>
      <c r="AV48" s="137">
        <v>2310</v>
      </c>
      <c r="AW48" s="137">
        <v>1667</v>
      </c>
      <c r="AX48" s="137">
        <v>2176</v>
      </c>
      <c r="AY48" s="137">
        <v>1882</v>
      </c>
      <c r="AZ48" s="137">
        <v>55</v>
      </c>
      <c r="BA48" s="137">
        <v>1374</v>
      </c>
      <c r="BB48" s="137">
        <v>715</v>
      </c>
      <c r="BC48" s="137">
        <v>1449</v>
      </c>
      <c r="BD48" s="137">
        <v>817</v>
      </c>
      <c r="BE48" s="137">
        <v>739</v>
      </c>
      <c r="BF48" s="139">
        <v>3102</v>
      </c>
      <c r="BG48" s="137">
        <v>50</v>
      </c>
      <c r="BH48" s="137">
        <v>168</v>
      </c>
      <c r="BI48" s="137">
        <v>2417</v>
      </c>
      <c r="BJ48" s="137">
        <v>773</v>
      </c>
      <c r="BK48" s="137">
        <v>116</v>
      </c>
      <c r="BL48" s="137">
        <v>469</v>
      </c>
      <c r="BM48" s="137">
        <v>1619</v>
      </c>
      <c r="BN48" s="137">
        <v>2231</v>
      </c>
      <c r="BO48" s="137">
        <v>95</v>
      </c>
      <c r="BP48" s="137">
        <v>1411</v>
      </c>
      <c r="BQ48" s="137">
        <v>1422</v>
      </c>
      <c r="BR48" s="139">
        <v>919</v>
      </c>
      <c r="BS48" s="137">
        <v>249</v>
      </c>
      <c r="BT48" s="137">
        <v>2173</v>
      </c>
      <c r="BU48" s="137">
        <v>998</v>
      </c>
      <c r="BV48" s="137">
        <v>1682</v>
      </c>
      <c r="BW48" s="137">
        <v>906</v>
      </c>
      <c r="BX48" s="137">
        <v>1145</v>
      </c>
      <c r="BY48" s="137">
        <v>688</v>
      </c>
      <c r="BZ48" s="137">
        <v>1607</v>
      </c>
      <c r="CA48" s="137">
        <v>1691</v>
      </c>
      <c r="CB48" s="139">
        <v>2183</v>
      </c>
      <c r="CC48" s="137">
        <v>2729</v>
      </c>
      <c r="CD48" s="137">
        <v>920</v>
      </c>
      <c r="CE48" s="137">
        <v>1639</v>
      </c>
      <c r="CF48" s="137">
        <v>220</v>
      </c>
      <c r="CG48" s="137">
        <v>1937</v>
      </c>
      <c r="CH48" s="137">
        <v>2054</v>
      </c>
      <c r="CI48" s="137">
        <v>1586</v>
      </c>
      <c r="CJ48" s="137">
        <v>3481</v>
      </c>
      <c r="CK48" s="138">
        <v>1506</v>
      </c>
      <c r="CL48" s="140">
        <v>59741</v>
      </c>
    </row>
    <row r="49" spans="1:90">
      <c r="A49" s="80">
        <f>ROWS($A$3:A47)</f>
        <v>45</v>
      </c>
      <c r="B49" s="92" t="s">
        <v>75</v>
      </c>
      <c r="C49" s="393">
        <v>2010</v>
      </c>
      <c r="D49" s="259" t="s">
        <v>7</v>
      </c>
      <c r="E49" s="437">
        <v>40652</v>
      </c>
      <c r="F49" s="116">
        <v>89942</v>
      </c>
      <c r="G49" s="137">
        <v>37333</v>
      </c>
      <c r="H49" s="137">
        <v>58301</v>
      </c>
      <c r="I49" s="138">
        <v>80552</v>
      </c>
      <c r="J49" s="141"/>
      <c r="K49" s="116">
        <f t="shared" si="75"/>
        <v>11026</v>
      </c>
      <c r="L49" s="137">
        <f t="shared" si="76"/>
        <v>7998</v>
      </c>
      <c r="M49" s="137">
        <f t="shared" si="77"/>
        <v>3629</v>
      </c>
      <c r="N49" s="137">
        <f t="shared" si="78"/>
        <v>11011</v>
      </c>
      <c r="O49" s="137">
        <f t="shared" si="79"/>
        <v>9759</v>
      </c>
      <c r="P49" s="137">
        <f>'2011'!AZ49+'2011'!BA49</f>
        <v>8316</v>
      </c>
      <c r="Q49" s="137">
        <f>'2011'!AU49</f>
        <v>5002</v>
      </c>
      <c r="R49" s="137">
        <f>AT49+AX49</f>
        <v>3480</v>
      </c>
      <c r="S49" s="137">
        <f t="shared" si="80"/>
        <v>12878</v>
      </c>
      <c r="T49" s="137">
        <f t="shared" si="101"/>
        <v>6146</v>
      </c>
      <c r="U49" s="139">
        <f t="shared" si="81"/>
        <v>11329</v>
      </c>
      <c r="V49" s="137">
        <f>BG49+BJ49</f>
        <v>4079</v>
      </c>
      <c r="W49" s="137">
        <f t="shared" si="82"/>
        <v>8075</v>
      </c>
      <c r="X49" s="137">
        <f>BH49+BI49</f>
        <v>5162</v>
      </c>
      <c r="Y49" s="137">
        <f>BN49</f>
        <v>4778</v>
      </c>
      <c r="Z49" s="137">
        <f t="shared" si="83"/>
        <v>2872</v>
      </c>
      <c r="AA49" s="137">
        <f>BQ49</f>
        <v>1648</v>
      </c>
      <c r="AB49" s="139">
        <f t="shared" si="84"/>
        <v>9701</v>
      </c>
      <c r="AC49" s="137">
        <f t="shared" si="85"/>
        <v>3492</v>
      </c>
      <c r="AD49" s="137">
        <f t="shared" si="86"/>
        <v>2712</v>
      </c>
      <c r="AE49" s="137">
        <f>BS49+BT49</f>
        <v>9536</v>
      </c>
      <c r="AF49" s="137">
        <f t="shared" si="87"/>
        <v>4480</v>
      </c>
      <c r="AG49" s="137">
        <f t="shared" si="88"/>
        <v>5909</v>
      </c>
      <c r="AH49" s="137">
        <f t="shared" si="89"/>
        <v>4775</v>
      </c>
      <c r="AI49" s="137">
        <f t="shared" si="90"/>
        <v>7827</v>
      </c>
      <c r="AJ49" s="137">
        <f t="shared" si="91"/>
        <v>4733</v>
      </c>
      <c r="AK49" s="139">
        <f t="shared" si="92"/>
        <v>5174</v>
      </c>
      <c r="AL49" s="137">
        <f t="shared" si="93"/>
        <v>16486</v>
      </c>
      <c r="AM49" s="137">
        <f t="shared" si="94"/>
        <v>4167</v>
      </c>
      <c r="AN49" s="137">
        <f t="shared" si="95"/>
        <v>5606</v>
      </c>
      <c r="AO49" s="137">
        <f t="shared" si="102"/>
        <v>20120</v>
      </c>
      <c r="AP49" s="137" t="str">
        <f t="shared" si="96"/>
        <v>*</v>
      </c>
      <c r="AQ49" s="137">
        <f t="shared" si="97"/>
        <v>4076</v>
      </c>
      <c r="AR49" s="137">
        <f t="shared" si="98"/>
        <v>4623</v>
      </c>
      <c r="AS49" s="138">
        <f>CG49</f>
        <v>10366</v>
      </c>
      <c r="AT49" s="137">
        <v>387</v>
      </c>
      <c r="AU49" s="137">
        <v>5002</v>
      </c>
      <c r="AV49" s="137">
        <v>12878</v>
      </c>
      <c r="AW49" s="137">
        <v>11011</v>
      </c>
      <c r="AX49" s="137">
        <v>3093</v>
      </c>
      <c r="AY49" s="137">
        <v>7998</v>
      </c>
      <c r="AZ49" s="137">
        <v>0</v>
      </c>
      <c r="BA49" s="137">
        <v>8316</v>
      </c>
      <c r="BB49" s="137">
        <v>6146</v>
      </c>
      <c r="BC49" s="137">
        <v>11329</v>
      </c>
      <c r="BD49" s="137">
        <v>3629</v>
      </c>
      <c r="BE49" s="137">
        <v>9759</v>
      </c>
      <c r="BF49" s="139">
        <v>11026</v>
      </c>
      <c r="BG49" s="137">
        <v>1526</v>
      </c>
      <c r="BH49" s="137">
        <v>881</v>
      </c>
      <c r="BI49" s="137">
        <v>4281</v>
      </c>
      <c r="BJ49" s="137">
        <v>2553</v>
      </c>
      <c r="BK49" s="137" t="s">
        <v>233</v>
      </c>
      <c r="BL49" s="137" t="s">
        <v>233</v>
      </c>
      <c r="BM49" s="137">
        <v>2872</v>
      </c>
      <c r="BN49" s="137">
        <v>4778</v>
      </c>
      <c r="BO49" s="137" t="s">
        <v>233</v>
      </c>
      <c r="BP49" s="137">
        <v>9701</v>
      </c>
      <c r="BQ49" s="137">
        <v>1648</v>
      </c>
      <c r="BR49" s="139">
        <v>8075</v>
      </c>
      <c r="BS49" s="137">
        <v>3491</v>
      </c>
      <c r="BT49" s="137">
        <v>6045</v>
      </c>
      <c r="BU49" s="137">
        <v>2712</v>
      </c>
      <c r="BV49" s="137">
        <v>5909</v>
      </c>
      <c r="BW49" s="137">
        <v>7827</v>
      </c>
      <c r="BX49" s="137">
        <v>3492</v>
      </c>
      <c r="BY49" s="137">
        <v>4733</v>
      </c>
      <c r="BZ49" s="137">
        <v>4775</v>
      </c>
      <c r="CA49" s="137">
        <v>4480</v>
      </c>
      <c r="CB49" s="139">
        <v>5174</v>
      </c>
      <c r="CC49" s="137">
        <v>20120</v>
      </c>
      <c r="CD49" s="137" t="s">
        <v>233</v>
      </c>
      <c r="CE49" s="137">
        <v>16486</v>
      </c>
      <c r="CF49" s="137" t="s">
        <v>233</v>
      </c>
      <c r="CG49" s="137">
        <v>10366</v>
      </c>
      <c r="CH49" s="137">
        <v>4167</v>
      </c>
      <c r="CI49" s="137">
        <v>4623</v>
      </c>
      <c r="CJ49" s="137">
        <v>5606</v>
      </c>
      <c r="CK49" s="138">
        <v>4076</v>
      </c>
      <c r="CL49" s="140">
        <v>274311</v>
      </c>
    </row>
    <row r="50" spans="1:90">
      <c r="A50" s="80">
        <f>ROWS($A$3:A48)</f>
        <v>46</v>
      </c>
      <c r="B50" s="92" t="s">
        <v>76</v>
      </c>
      <c r="C50" s="393">
        <v>2010</v>
      </c>
      <c r="D50" s="259" t="s">
        <v>21</v>
      </c>
      <c r="E50" s="435"/>
      <c r="F50" s="116">
        <v>81</v>
      </c>
      <c r="G50" s="137">
        <v>45</v>
      </c>
      <c r="H50" s="137">
        <v>63</v>
      </c>
      <c r="I50" s="138">
        <v>95</v>
      </c>
      <c r="J50" s="141"/>
      <c r="K50" s="116">
        <f t="shared" si="75"/>
        <v>111</v>
      </c>
      <c r="L50" s="137">
        <f t="shared" si="76"/>
        <v>81</v>
      </c>
      <c r="M50" s="137">
        <f t="shared" si="77"/>
        <v>48</v>
      </c>
      <c r="N50" s="137">
        <f t="shared" si="78"/>
        <v>98</v>
      </c>
      <c r="O50" s="137">
        <f t="shared" si="79"/>
        <v>91</v>
      </c>
      <c r="P50" s="143">
        <f>(AZ50*AZ35+BA50*BA35)/P35</f>
        <v>30.632177970625204</v>
      </c>
      <c r="Q50" s="137">
        <f>'2011'!AU50</f>
        <v>53</v>
      </c>
      <c r="R50" s="143">
        <f>(AT50*AT35+AX50*AX35)/R35</f>
        <v>53.917846943779388</v>
      </c>
      <c r="S50" s="137">
        <f t="shared" si="80"/>
        <v>58</v>
      </c>
      <c r="T50" s="137">
        <f t="shared" si="101"/>
        <v>94</v>
      </c>
      <c r="U50" s="139">
        <f t="shared" si="81"/>
        <v>130</v>
      </c>
      <c r="V50" s="143">
        <f>(BG50*BG35+BJ50*BJ35)/V35</f>
        <v>23.90534722655519</v>
      </c>
      <c r="W50" s="137">
        <f t="shared" si="82"/>
        <v>66</v>
      </c>
      <c r="X50" s="143">
        <f>(BH50*BH35+BI50*BI35)/X35</f>
        <v>23</v>
      </c>
      <c r="Y50" s="143">
        <f>(BK50*BK35+BL50*BL35+BN50*BN35)/Y35</f>
        <v>41.732504324248517</v>
      </c>
      <c r="Z50" s="137">
        <f t="shared" si="83"/>
        <v>55</v>
      </c>
      <c r="AA50" s="143">
        <f>(BO50*BO35+BQ50*BQ35)/AA35</f>
        <v>51.696666005159756</v>
      </c>
      <c r="AB50" s="139">
        <f t="shared" si="84"/>
        <v>67</v>
      </c>
      <c r="AC50" s="137">
        <f t="shared" si="85"/>
        <v>73</v>
      </c>
      <c r="AD50" s="137">
        <f t="shared" si="86"/>
        <v>61</v>
      </c>
      <c r="AE50" s="143">
        <f>(BS50*BS35+BT50*BT35)/AE35</f>
        <v>54.149585762503833</v>
      </c>
      <c r="AF50" s="137">
        <f t="shared" si="87"/>
        <v>64</v>
      </c>
      <c r="AG50" s="137">
        <f t="shared" si="88"/>
        <v>52</v>
      </c>
      <c r="AH50" s="137">
        <f t="shared" si="89"/>
        <v>69</v>
      </c>
      <c r="AI50" s="137">
        <f t="shared" si="90"/>
        <v>65</v>
      </c>
      <c r="AJ50" s="137">
        <f t="shared" si="91"/>
        <v>60</v>
      </c>
      <c r="AK50" s="139">
        <f t="shared" si="92"/>
        <v>80</v>
      </c>
      <c r="AL50" s="137">
        <f t="shared" si="93"/>
        <v>42</v>
      </c>
      <c r="AM50" s="137">
        <f t="shared" si="94"/>
        <v>115</v>
      </c>
      <c r="AN50" s="137">
        <f t="shared" si="95"/>
        <v>142</v>
      </c>
      <c r="AO50" s="137">
        <f t="shared" si="102"/>
        <v>67</v>
      </c>
      <c r="AP50" s="137">
        <f t="shared" si="96"/>
        <v>39</v>
      </c>
      <c r="AQ50" s="137">
        <f t="shared" si="97"/>
        <v>79</v>
      </c>
      <c r="AR50" s="137">
        <f t="shared" si="98"/>
        <v>72</v>
      </c>
      <c r="AS50" s="144">
        <f>(CF50*CF35+CG50*CG35)/AS35</f>
        <v>98.344088616760459</v>
      </c>
      <c r="AT50" s="137">
        <v>40</v>
      </c>
      <c r="AU50" s="137">
        <v>53</v>
      </c>
      <c r="AV50" s="137">
        <v>58</v>
      </c>
      <c r="AW50" s="137">
        <v>98</v>
      </c>
      <c r="AX50" s="137">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c r="A51" s="80">
        <f>ROWS($A$3:A49)</f>
        <v>47</v>
      </c>
      <c r="B51" s="54" t="s">
        <v>92</v>
      </c>
      <c r="C51" s="393">
        <v>2010</v>
      </c>
      <c r="D51" s="259" t="s">
        <v>9</v>
      </c>
      <c r="E51" s="437">
        <v>40441</v>
      </c>
      <c r="F51" s="142">
        <f>IF(ISERROR(F95/F42)=TRUE,0,ROUND(F95/F42*1000,0))</f>
        <v>5314</v>
      </c>
      <c r="G51" s="143">
        <f>IF(ISERROR(G95/G42)=TRUE,0,ROUND(G95/G42*1000,0))</f>
        <v>4610</v>
      </c>
      <c r="H51" s="143">
        <f>IF(ISERROR(H95/H42)=TRUE,0,ROUND(H95/H42*1000,0))</f>
        <v>4091</v>
      </c>
      <c r="I51" s="144">
        <f>IF(ISERROR(I95/I42)=TRUE,0,ROUND(I95/I42*1000,0))</f>
        <v>5763</v>
      </c>
      <c r="J51" s="141"/>
      <c r="K51" s="145">
        <f t="shared" si="75"/>
        <v>5662</v>
      </c>
      <c r="L51" s="146">
        <f t="shared" si="76"/>
        <v>4978</v>
      </c>
      <c r="M51" s="146">
        <f t="shared" si="77"/>
        <v>5611</v>
      </c>
      <c r="N51" s="146">
        <f t="shared" si="78"/>
        <v>4667</v>
      </c>
      <c r="O51" s="146">
        <f t="shared" si="79"/>
        <v>5481</v>
      </c>
      <c r="P51" s="143">
        <f>IF(ISERROR(P95/P42)=TRUE,0,ROUND(P95/P42*1000,0))</f>
        <v>5463</v>
      </c>
      <c r="Q51" s="146">
        <f>'2010'!AU51</f>
        <v>4651</v>
      </c>
      <c r="R51" s="143">
        <f>IF(ISERROR(R95/R42)=TRUE,0,ROUND(R95/R42*1000,0))</f>
        <v>6097</v>
      </c>
      <c r="S51" s="146">
        <f t="shared" si="80"/>
        <v>3592</v>
      </c>
      <c r="T51" s="146">
        <f t="shared" si="101"/>
        <v>5040</v>
      </c>
      <c r="U51" s="147">
        <f t="shared" si="81"/>
        <v>5425</v>
      </c>
      <c r="V51" s="143">
        <f>IF(ISERROR(V95/V42)=TRUE,0,ROUND(V95/V42*1000,0))</f>
        <v>1734</v>
      </c>
      <c r="W51" s="146">
        <f t="shared" si="82"/>
        <v>4570</v>
      </c>
      <c r="X51" s="143">
        <f>IF(ISERROR(X95/X42)=TRUE,0,ROUND(X95/X42*1000,0))</f>
        <v>3349</v>
      </c>
      <c r="Y51" s="143">
        <f>IF(ISERROR(Y95/Y42)=TRUE,0,ROUND(Y95/Y42*1000,0))</f>
        <v>5181</v>
      </c>
      <c r="Z51" s="146">
        <f t="shared" si="83"/>
        <v>5363</v>
      </c>
      <c r="AA51" s="143">
        <f>IF(ISERROR(AA95/AA42)=TRUE,0,ROUND(AA95/AA42*1000,0))</f>
        <v>4610</v>
      </c>
      <c r="AB51" s="147">
        <f t="shared" si="84"/>
        <v>4358</v>
      </c>
      <c r="AC51" s="146">
        <f t="shared" si="85"/>
        <v>4475</v>
      </c>
      <c r="AD51" s="146">
        <f t="shared" si="86"/>
        <v>3106</v>
      </c>
      <c r="AE51" s="143">
        <f>IF(ISERROR(AE95/AE42)=TRUE,0,ROUND(AE95/AE42*1000,0))</f>
        <v>4109</v>
      </c>
      <c r="AF51" s="146">
        <f t="shared" si="87"/>
        <v>2819</v>
      </c>
      <c r="AG51" s="146">
        <f t="shared" si="88"/>
        <v>3198</v>
      </c>
      <c r="AH51" s="146">
        <f t="shared" si="89"/>
        <v>5418</v>
      </c>
      <c r="AI51" s="146">
        <f t="shared" si="90"/>
        <v>3998</v>
      </c>
      <c r="AJ51" s="146">
        <f t="shared" si="91"/>
        <v>4802</v>
      </c>
      <c r="AK51" s="147">
        <f t="shared" si="92"/>
        <v>4151</v>
      </c>
      <c r="AL51" s="146">
        <f t="shared" si="93"/>
        <v>3879</v>
      </c>
      <c r="AM51" s="146">
        <f t="shared" si="94"/>
        <v>5890</v>
      </c>
      <c r="AN51" s="146">
        <f t="shared" si="95"/>
        <v>6072</v>
      </c>
      <c r="AO51" s="146">
        <f t="shared" si="102"/>
        <v>5182</v>
      </c>
      <c r="AP51" s="146">
        <f t="shared" si="96"/>
        <v>4155</v>
      </c>
      <c r="AQ51" s="146">
        <f t="shared" si="97"/>
        <v>5182</v>
      </c>
      <c r="AR51" s="146">
        <f t="shared" si="98"/>
        <v>5575</v>
      </c>
      <c r="AS51" s="144">
        <f t="shared" ref="AS51:CL51" si="104">IF(ISERROR(AS95/AS42)=TRUE,0,ROUND(AS95/AS42*1000,0))</f>
        <v>5909</v>
      </c>
      <c r="AT51" s="143">
        <f t="shared" si="104"/>
        <v>4839</v>
      </c>
      <c r="AU51" s="143">
        <f t="shared" si="104"/>
        <v>4931</v>
      </c>
      <c r="AV51" s="143">
        <f t="shared" si="104"/>
        <v>3592</v>
      </c>
      <c r="AW51" s="143">
        <f t="shared" si="104"/>
        <v>4667</v>
      </c>
      <c r="AX51" s="143">
        <f t="shared" si="104"/>
        <v>6097</v>
      </c>
      <c r="AY51" s="143">
        <f t="shared" si="104"/>
        <v>4978</v>
      </c>
      <c r="AZ51" s="143">
        <f t="shared" si="104"/>
        <v>0</v>
      </c>
      <c r="BA51" s="143">
        <f t="shared" si="104"/>
        <v>5463</v>
      </c>
      <c r="BB51" s="143">
        <f t="shared" si="104"/>
        <v>5040</v>
      </c>
      <c r="BC51" s="143">
        <f t="shared" si="104"/>
        <v>5425</v>
      </c>
      <c r="BD51" s="143">
        <f t="shared" si="104"/>
        <v>5611</v>
      </c>
      <c r="BE51" s="143">
        <f t="shared" si="104"/>
        <v>5481</v>
      </c>
      <c r="BF51" s="148">
        <f t="shared" si="104"/>
        <v>5662</v>
      </c>
      <c r="BG51" s="143">
        <f t="shared" si="104"/>
        <v>0</v>
      </c>
      <c r="BH51" s="143">
        <f t="shared" si="104"/>
        <v>0</v>
      </c>
      <c r="BI51" s="143">
        <f t="shared" si="104"/>
        <v>3349</v>
      </c>
      <c r="BJ51" s="143">
        <f t="shared" si="104"/>
        <v>1734</v>
      </c>
      <c r="BK51" s="143">
        <f t="shared" si="104"/>
        <v>0</v>
      </c>
      <c r="BL51" s="143">
        <f t="shared" si="104"/>
        <v>0</v>
      </c>
      <c r="BM51" s="143">
        <f t="shared" si="104"/>
        <v>5363</v>
      </c>
      <c r="BN51" s="143">
        <f t="shared" si="104"/>
        <v>5181</v>
      </c>
      <c r="BO51" s="143">
        <f t="shared" si="104"/>
        <v>0</v>
      </c>
      <c r="BP51" s="143">
        <f t="shared" si="104"/>
        <v>4358</v>
      </c>
      <c r="BQ51" s="143">
        <f t="shared" si="104"/>
        <v>4610</v>
      </c>
      <c r="BR51" s="148">
        <f t="shared" si="104"/>
        <v>4570</v>
      </c>
      <c r="BS51" s="143">
        <f t="shared" si="104"/>
        <v>0</v>
      </c>
      <c r="BT51" s="143">
        <f t="shared" si="104"/>
        <v>4184</v>
      </c>
      <c r="BU51" s="143">
        <f t="shared" si="104"/>
        <v>3106</v>
      </c>
      <c r="BV51" s="143">
        <f t="shared" si="104"/>
        <v>3198</v>
      </c>
      <c r="BW51" s="143">
        <f t="shared" si="104"/>
        <v>3998</v>
      </c>
      <c r="BX51" s="143">
        <f t="shared" si="104"/>
        <v>4475</v>
      </c>
      <c r="BY51" s="143">
        <f t="shared" si="104"/>
        <v>4802</v>
      </c>
      <c r="BZ51" s="143">
        <f t="shared" si="104"/>
        <v>5418</v>
      </c>
      <c r="CA51" s="143">
        <f t="shared" si="104"/>
        <v>2819</v>
      </c>
      <c r="CB51" s="148">
        <f t="shared" si="104"/>
        <v>4151</v>
      </c>
      <c r="CC51" s="143">
        <f t="shared" si="104"/>
        <v>5182</v>
      </c>
      <c r="CD51" s="143">
        <f t="shared" si="104"/>
        <v>4155</v>
      </c>
      <c r="CE51" s="143">
        <f t="shared" si="104"/>
        <v>3879</v>
      </c>
      <c r="CF51" s="143">
        <f t="shared" si="104"/>
        <v>0</v>
      </c>
      <c r="CG51" s="143">
        <f t="shared" si="104"/>
        <v>6182</v>
      </c>
      <c r="CH51" s="143">
        <f t="shared" si="104"/>
        <v>5890</v>
      </c>
      <c r="CI51" s="143">
        <f t="shared" si="104"/>
        <v>5575</v>
      </c>
      <c r="CJ51" s="143">
        <f t="shared" si="104"/>
        <v>6072</v>
      </c>
      <c r="CK51" s="144">
        <f t="shared" si="104"/>
        <v>5182</v>
      </c>
      <c r="CL51" s="149">
        <f t="shared" si="104"/>
        <v>5421</v>
      </c>
    </row>
    <row r="52" spans="1:90">
      <c r="A52" s="80">
        <f>ROWS($A$3:A50)</f>
        <v>48</v>
      </c>
      <c r="B52" s="388" t="str">
        <f>'Stand der Daten'!B53</f>
        <v>Milcherzeugung</v>
      </c>
      <c r="C52" s="204">
        <v>2011</v>
      </c>
      <c r="D52" s="259" t="s">
        <v>358</v>
      </c>
      <c r="E52" s="437">
        <v>42919</v>
      </c>
      <c r="F52" s="389">
        <v>667</v>
      </c>
      <c r="G52" s="390">
        <v>154.6</v>
      </c>
      <c r="H52" s="390">
        <v>401.1</v>
      </c>
      <c r="I52" s="391">
        <v>1056</v>
      </c>
      <c r="J52" s="141"/>
      <c r="K52" s="178">
        <f t="shared" si="75"/>
        <v>181.7</v>
      </c>
      <c r="L52" s="179">
        <f t="shared" si="76"/>
        <v>46.2</v>
      </c>
      <c r="M52" s="179">
        <f t="shared" si="77"/>
        <v>44.6</v>
      </c>
      <c r="N52" s="179">
        <f t="shared" si="78"/>
        <v>62.6</v>
      </c>
      <c r="O52" s="179">
        <f t="shared" si="79"/>
        <v>45.9</v>
      </c>
      <c r="P52" s="179">
        <f>AZ52+BA52</f>
        <v>28.9</v>
      </c>
      <c r="Q52" s="179">
        <f>'2009'!AU52</f>
        <v>18.2</v>
      </c>
      <c r="R52" s="179">
        <f>AT52+AX52</f>
        <v>33.200000000000003</v>
      </c>
      <c r="S52" s="179">
        <f t="shared" si="80"/>
        <v>13.3</v>
      </c>
      <c r="T52" s="179">
        <f t="shared" si="101"/>
        <v>46.1</v>
      </c>
      <c r="U52" s="180">
        <f>BC52</f>
        <v>146.30000000000001</v>
      </c>
      <c r="V52" s="179">
        <f>BG52+BJ52</f>
        <v>2.1</v>
      </c>
      <c r="W52" s="179">
        <f t="shared" si="82"/>
        <v>25.7</v>
      </c>
      <c r="X52" s="179">
        <f>BH52+BI52</f>
        <v>6.9</v>
      </c>
      <c r="Y52" s="179">
        <f>BK52+BL52+BN52</f>
        <v>24.6</v>
      </c>
      <c r="Z52" s="179">
        <f t="shared" si="83"/>
        <v>52.3</v>
      </c>
      <c r="AA52" s="179">
        <f>BO52+BQ52</f>
        <v>20.3</v>
      </c>
      <c r="AB52" s="180">
        <f t="shared" si="84"/>
        <v>22.8</v>
      </c>
      <c r="AC52" s="179">
        <f t="shared" si="85"/>
        <v>71.5</v>
      </c>
      <c r="AD52" s="179">
        <f t="shared" si="86"/>
        <v>20.399999999999999</v>
      </c>
      <c r="AE52" s="179">
        <f>BS52+BT52</f>
        <v>60.1</v>
      </c>
      <c r="AF52" s="179">
        <f t="shared" si="87"/>
        <v>19.2</v>
      </c>
      <c r="AG52" s="179">
        <f t="shared" si="88"/>
        <v>41</v>
      </c>
      <c r="AH52" s="179">
        <f t="shared" si="89"/>
        <v>60.8</v>
      </c>
      <c r="AI52" s="179">
        <f t="shared" si="90"/>
        <v>28.1</v>
      </c>
      <c r="AJ52" s="179">
        <f t="shared" si="91"/>
        <v>36.700000000000003</v>
      </c>
      <c r="AK52" s="180">
        <f t="shared" si="92"/>
        <v>63.3</v>
      </c>
      <c r="AL52" s="179">
        <f t="shared" si="93"/>
        <v>22.9</v>
      </c>
      <c r="AM52" s="179">
        <f t="shared" si="94"/>
        <v>227.8</v>
      </c>
      <c r="AN52" s="179">
        <f t="shared" si="95"/>
        <v>473</v>
      </c>
      <c r="AO52" s="179">
        <f t="shared" si="102"/>
        <v>52.8</v>
      </c>
      <c r="AP52" s="179">
        <f>CD52</f>
        <v>10.3</v>
      </c>
      <c r="AQ52" s="179">
        <f t="shared" si="97"/>
        <v>85.5</v>
      </c>
      <c r="AR52" s="179">
        <f t="shared" si="98"/>
        <v>65</v>
      </c>
      <c r="AS52" s="391">
        <f>CF52+CG52</f>
        <v>118.9</v>
      </c>
      <c r="AT52" s="390">
        <v>2.1</v>
      </c>
      <c r="AU52" s="390">
        <v>18.2</v>
      </c>
      <c r="AV52" s="390">
        <v>13.3</v>
      </c>
      <c r="AW52" s="390">
        <v>62.6</v>
      </c>
      <c r="AX52" s="390">
        <v>31.1</v>
      </c>
      <c r="AY52" s="390">
        <v>46.2</v>
      </c>
      <c r="AZ52" s="390">
        <v>0</v>
      </c>
      <c r="BA52" s="390">
        <v>28.9</v>
      </c>
      <c r="BB52" s="390">
        <v>46.1</v>
      </c>
      <c r="BC52" s="390">
        <v>146.30000000000001</v>
      </c>
      <c r="BD52" s="390">
        <v>44.6</v>
      </c>
      <c r="BE52" s="390">
        <v>45.9</v>
      </c>
      <c r="BF52" s="514">
        <v>181.7</v>
      </c>
      <c r="BG52" s="390">
        <v>0</v>
      </c>
      <c r="BH52" s="390">
        <f>BH96</f>
        <v>0</v>
      </c>
      <c r="BI52" s="390">
        <v>6.9</v>
      </c>
      <c r="BJ52" s="390">
        <v>2.1</v>
      </c>
      <c r="BK52" s="390">
        <v>0</v>
      </c>
      <c r="BL52" s="390">
        <v>0</v>
      </c>
      <c r="BM52" s="390">
        <v>52.3</v>
      </c>
      <c r="BN52" s="390">
        <v>24.6</v>
      </c>
      <c r="BO52" s="390">
        <v>0</v>
      </c>
      <c r="BP52" s="390">
        <v>22.8</v>
      </c>
      <c r="BQ52" s="390">
        <v>20.3</v>
      </c>
      <c r="BR52" s="514">
        <v>25.7</v>
      </c>
      <c r="BS52" s="390">
        <f>BS96</f>
        <v>0</v>
      </c>
      <c r="BT52" s="390">
        <v>60.1</v>
      </c>
      <c r="BU52" s="390">
        <v>20.399999999999999</v>
      </c>
      <c r="BV52" s="390">
        <v>41</v>
      </c>
      <c r="BW52" s="390">
        <v>28.1</v>
      </c>
      <c r="BX52" s="390">
        <v>71.5</v>
      </c>
      <c r="BY52" s="390">
        <v>36.700000000000003</v>
      </c>
      <c r="BZ52" s="390">
        <v>60.8</v>
      </c>
      <c r="CA52" s="390">
        <v>19.2</v>
      </c>
      <c r="CB52" s="514">
        <v>63.3</v>
      </c>
      <c r="CC52" s="390">
        <v>52.8</v>
      </c>
      <c r="CD52" s="390">
        <v>10.3</v>
      </c>
      <c r="CE52" s="390">
        <v>22.9</v>
      </c>
      <c r="CF52" s="390">
        <v>0</v>
      </c>
      <c r="CG52" s="390">
        <v>118.9</v>
      </c>
      <c r="CH52" s="390">
        <v>227.8</v>
      </c>
      <c r="CI52" s="390">
        <v>65</v>
      </c>
      <c r="CJ52" s="390">
        <v>473</v>
      </c>
      <c r="CK52" s="391">
        <v>85.5</v>
      </c>
      <c r="CL52" s="515">
        <v>2285.4</v>
      </c>
    </row>
    <row r="53" spans="1:90">
      <c r="A53" s="80">
        <f>ROWS($A$3:A51)</f>
        <v>49</v>
      </c>
      <c r="B53" s="54" t="str">
        <f>"Änderung der Milcherzeugung "&amp;C52&amp;"/"&amp;"2010"</f>
        <v>Änderung der Milcherzeugung 2011/2010</v>
      </c>
      <c r="C53" s="252"/>
      <c r="D53" s="259" t="s">
        <v>3</v>
      </c>
      <c r="E53" s="483">
        <v>42919</v>
      </c>
      <c r="F53" s="167">
        <f>F52/'2010'!F52%-100</f>
        <v>3.0593325092707033</v>
      </c>
      <c r="G53" s="168">
        <f>G52/'2010'!G52%-100</f>
        <v>3.2732130928523731</v>
      </c>
      <c r="H53" s="168">
        <f>H52/'2010'!H52%-100</f>
        <v>3.2964202935874312</v>
      </c>
      <c r="I53" s="169">
        <f>I52/'2010'!I52%-100</f>
        <v>0.27537745703163807</v>
      </c>
      <c r="J53" s="173"/>
      <c r="K53" s="178">
        <f>K52/'2010'!K52%-100</f>
        <v>4.5454545454545325</v>
      </c>
      <c r="L53" s="179">
        <f>L52/'2010'!L52%-100</f>
        <v>5</v>
      </c>
      <c r="M53" s="179">
        <f>M52/'2010'!M52%-100</f>
        <v>1.5945330296127622</v>
      </c>
      <c r="N53" s="179">
        <f>N52/'2010'!N52%-100</f>
        <v>3.8142620232172533</v>
      </c>
      <c r="O53" s="179">
        <f>O52/'2010'!O52%-100</f>
        <v>-0.43383947939263123</v>
      </c>
      <c r="P53" s="168">
        <f>P52/'2010'!P52%-100</f>
        <v>0.69686411149825744</v>
      </c>
      <c r="Q53" s="179">
        <f>Q52/'2010'!Q52%-100</f>
        <v>0</v>
      </c>
      <c r="R53" s="168">
        <f>R52/'2010'!R52%-100</f>
        <v>2.4691358024691397</v>
      </c>
      <c r="S53" s="179">
        <f>S52/'2010'!S52%-100</f>
        <v>3.1007751937984551</v>
      </c>
      <c r="T53" s="179">
        <f>T52/'2010'!T52%-100</f>
        <v>1.7660044150110537</v>
      </c>
      <c r="U53" s="180">
        <f>U52/'2010'!U52%-100</f>
        <v>3.246294989414281</v>
      </c>
      <c r="V53" s="168">
        <f>V52/'2010'!V52%-100</f>
        <v>5</v>
      </c>
      <c r="W53" s="179">
        <f>W52/'2010'!W52%-100</f>
        <v>6.639004149377584</v>
      </c>
      <c r="X53" s="168">
        <f>X52/'2010'!X52%-100</f>
        <v>2.9850746268656678</v>
      </c>
      <c r="Y53" s="168">
        <f>Y52/'2010'!Y52%-100</f>
        <v>-1.5999999999999943</v>
      </c>
      <c r="Z53" s="179">
        <f>Z52/'2010'!Z52%-100</f>
        <v>3.9761431411530737</v>
      </c>
      <c r="AA53" s="168">
        <f>AA52/'2010'!AA52%-100</f>
        <v>-47.948717948717949</v>
      </c>
      <c r="AB53" s="180">
        <f>AB52/'2010'!AB52%-100</f>
        <v>3.167420814479641</v>
      </c>
      <c r="AC53" s="179">
        <f>AC52/'2010'!AC52%-100</f>
        <v>4.9926578560939845</v>
      </c>
      <c r="AD53" s="179">
        <f>AD52/'2010'!AD52%-100</f>
        <v>6.2499999999999858</v>
      </c>
      <c r="AE53" s="168">
        <f>AE52/'2010'!AE52%-100</f>
        <v>1.8644067796610244</v>
      </c>
      <c r="AF53" s="179">
        <f>AF52/'2010'!AF52%-100</f>
        <v>2.1276595744680833</v>
      </c>
      <c r="AG53" s="179">
        <f>AG52/'2010'!AG52%-100</f>
        <v>0.73710073710073232</v>
      </c>
      <c r="AH53" s="179">
        <f>AH52/'2010'!AH52%-100</f>
        <v>2.7027027027026804</v>
      </c>
      <c r="AI53" s="179">
        <f>AI52/'2010'!AI52%-100</f>
        <v>-0.35460992907799493</v>
      </c>
      <c r="AJ53" s="179">
        <f>AJ52/'2010'!AJ52%-100</f>
        <v>6.3768115942029198</v>
      </c>
      <c r="AK53" s="180">
        <f>AK52/'2010'!AK52%-100</f>
        <v>4.1118421052631504</v>
      </c>
      <c r="AL53" s="179">
        <f>AL52/'2010'!AL52%-100</f>
        <v>3.1531531531531414</v>
      </c>
      <c r="AM53" s="179">
        <f>AM52/'2010'!AM52%-100</f>
        <v>8.7873462214417941E-2</v>
      </c>
      <c r="AN53" s="179">
        <f>AN52/'2010'!AN52%-100</f>
        <v>1.6548463356973855</v>
      </c>
      <c r="AO53" s="179">
        <f>AO52/'2010'!AO52%-100</f>
        <v>1.1494252873563084</v>
      </c>
      <c r="AP53" s="179">
        <f>AP52/'2010'!AP52%-100</f>
        <v>7.2916666666666714</v>
      </c>
      <c r="AQ53" s="179">
        <f>AQ52/'2010'!AQ52%-100</f>
        <v>4.5232273838630874</v>
      </c>
      <c r="AR53" s="179">
        <f>AR52/'2010'!AR52%-100</f>
        <v>0.1540832049306573</v>
      </c>
      <c r="AS53" s="169">
        <f>AS52/'2010'!AS52%-100</f>
        <v>-8.1853281853281743</v>
      </c>
      <c r="AT53" s="168">
        <f>AT52/'2010'!AT52%-100</f>
        <v>-4.5454545454545467</v>
      </c>
      <c r="AU53" s="168">
        <f>AU52/'2010'!AU52%-100</f>
        <v>1.1111111111111143</v>
      </c>
      <c r="AV53" s="168">
        <f>AV52/'2010'!AV52%-100</f>
        <v>3.1007751937984551</v>
      </c>
      <c r="AW53" s="168">
        <f>AW52/'2010'!AW52%-100</f>
        <v>3.8142620232172533</v>
      </c>
      <c r="AX53" s="168">
        <f>AX52/'2010'!AX52%-100</f>
        <v>2.9801324503311406</v>
      </c>
      <c r="AY53" s="168">
        <f>AY52/'2010'!AY52%-100</f>
        <v>5</v>
      </c>
      <c r="AZ53" s="521" t="s">
        <v>233</v>
      </c>
      <c r="BA53" s="168">
        <f>BA52/'2010'!BA52%-100</f>
        <v>0.69686411149825744</v>
      </c>
      <c r="BB53" s="168">
        <f>BB52/'2010'!BB52%-100</f>
        <v>1.7660044150110537</v>
      </c>
      <c r="BC53" s="168">
        <f>BC52/'2010'!BC52%-100</f>
        <v>3.246294989414281</v>
      </c>
      <c r="BD53" s="168">
        <f>BD52/'2010'!BD52%-100</f>
        <v>1.5945330296127622</v>
      </c>
      <c r="BE53" s="168">
        <f>BE52/'2010'!BE52%-100</f>
        <v>-0.43383947939263123</v>
      </c>
      <c r="BF53" s="176">
        <f>BF52/'2010'!BF52%-100</f>
        <v>4.5454545454545325</v>
      </c>
      <c r="BG53" s="521" t="s">
        <v>233</v>
      </c>
      <c r="BH53" s="521" t="s">
        <v>233</v>
      </c>
      <c r="BI53" s="168">
        <f>BI52/'2010'!BI52%-100</f>
        <v>2.9850746268656678</v>
      </c>
      <c r="BJ53" s="168">
        <f>BJ52/'2010'!BJ52%-100</f>
        <v>5</v>
      </c>
      <c r="BK53" s="521" t="s">
        <v>233</v>
      </c>
      <c r="BL53" s="521" t="s">
        <v>233</v>
      </c>
      <c r="BM53" s="168">
        <f>BM52/'2010'!BM52%-100</f>
        <v>3.9761431411530737</v>
      </c>
      <c r="BN53" s="168">
        <f>BN52/'2010'!BN52%-100</f>
        <v>-1.5999999999999943</v>
      </c>
      <c r="BO53" s="521" t="s">
        <v>233</v>
      </c>
      <c r="BP53" s="168">
        <f>BP52/'2010'!BP52%-100</f>
        <v>3.167420814479641</v>
      </c>
      <c r="BQ53" s="168">
        <f>BQ52/'2010'!BQ52%-100</f>
        <v>4.1025641025641022</v>
      </c>
      <c r="BR53" s="176">
        <f>BR52/'2010'!BR52%-100</f>
        <v>6.639004149377584</v>
      </c>
      <c r="BS53" s="521" t="s">
        <v>233</v>
      </c>
      <c r="BT53" s="168">
        <f>BT52/'2010'!BT52%-100</f>
        <v>1.8644067796610244</v>
      </c>
      <c r="BU53" s="168">
        <f>BU52/'2010'!BU52%-100</f>
        <v>6.2499999999999858</v>
      </c>
      <c r="BV53" s="168">
        <f>BV52/'2010'!BV52%-100</f>
        <v>0.73710073710073232</v>
      </c>
      <c r="BW53" s="168">
        <f>BW52/'2010'!BW52%-100</f>
        <v>-0.35460992907799493</v>
      </c>
      <c r="BX53" s="168">
        <f>BX52/'2010'!BX52%-100</f>
        <v>4.9926578560939845</v>
      </c>
      <c r="BY53" s="168">
        <f>BY52/'2010'!BY52%-100</f>
        <v>6.3768115942029198</v>
      </c>
      <c r="BZ53" s="168">
        <f>BZ52/'2010'!BZ52%-100</f>
        <v>2.7027027027026804</v>
      </c>
      <c r="CA53" s="168">
        <f>CA52/'2010'!CA52%-100</f>
        <v>2.1276595744680833</v>
      </c>
      <c r="CB53" s="176">
        <f>CB52/'2010'!CB52%-100</f>
        <v>4.1118421052631504</v>
      </c>
      <c r="CC53" s="168">
        <f>CC52/'2010'!CC52%-100</f>
        <v>1.1494252873563084</v>
      </c>
      <c r="CD53" s="168">
        <f>CD52/'2010'!CD52%-100</f>
        <v>7.2916666666666714</v>
      </c>
      <c r="CE53" s="168">
        <f>CE52/'2010'!CE52%-100</f>
        <v>3.1531531531531414</v>
      </c>
      <c r="CF53" s="521" t="s">
        <v>233</v>
      </c>
      <c r="CG53" s="168">
        <f>CG52/'2010'!CG52%-100</f>
        <v>-8.1853281853281743</v>
      </c>
      <c r="CH53" s="168">
        <f>CH52/'2010'!CH52%-100</f>
        <v>8.7873462214417941E-2</v>
      </c>
      <c r="CI53" s="168">
        <f>CI52/'2010'!CI52%-100</f>
        <v>0.1540832049306573</v>
      </c>
      <c r="CJ53" s="168">
        <f>CJ52/'2010'!CJ52%-100</f>
        <v>1.6548463356973855</v>
      </c>
      <c r="CK53" s="169">
        <f>CK52/'2010'!CK52%-100</f>
        <v>4.5232273838630874</v>
      </c>
      <c r="CL53" s="177">
        <f>CL52/'2010'!CL52%-100</f>
        <v>2.4154156397042357</v>
      </c>
    </row>
    <row r="54" spans="1:90">
      <c r="A54" s="80">
        <f>ROWS($A$3:A52)</f>
        <v>50</v>
      </c>
      <c r="B54" s="93" t="str">
        <f>"Änderung der Milchkühe "&amp;C51&amp;"/"&amp;C97</f>
        <v>Änderung der Milchkühe 2010/2001</v>
      </c>
      <c r="C54" s="253"/>
      <c r="D54" s="262" t="s">
        <v>3</v>
      </c>
      <c r="E54" s="438">
        <v>40441</v>
      </c>
      <c r="F54" s="181">
        <f>IF(ISERROR(F42/F97)=FALSE,ROUND((F42-F97)/F97%,3)," -")</f>
        <v>-5.3609999999999998</v>
      </c>
      <c r="G54" s="182">
        <f>IF(ISERROR(G42/G97)=FALSE,ROUND((G42-G97)/G97%,3)," -")</f>
        <v>1.5149999999999999</v>
      </c>
      <c r="H54" s="182">
        <f>IF(ISERROR(H42/H97)=FALSE,ROUND((H42-H97)/H97%,3)," -")</f>
        <v>10.297000000000001</v>
      </c>
      <c r="I54" s="183">
        <f>IF(ISERROR(I42/I97)=FALSE,ROUND((I42-I97)/I97%,3)," -")</f>
        <v>-6.6829999999999998</v>
      </c>
      <c r="J54" s="279"/>
      <c r="K54" s="184">
        <f t="shared" si="75"/>
        <v>0.82599999999999996</v>
      </c>
      <c r="L54" s="185">
        <f t="shared" si="76"/>
        <v>-2.6989999999999998</v>
      </c>
      <c r="M54" s="185">
        <f t="shared" si="77"/>
        <v>-22.597999999999999</v>
      </c>
      <c r="N54" s="185">
        <f t="shared" si="78"/>
        <v>1.538</v>
      </c>
      <c r="O54" s="185">
        <f t="shared" si="79"/>
        <v>-9.6150000000000002</v>
      </c>
      <c r="P54" s="182">
        <f>IF(ISERROR(P42/P97)=FALSE,ROUND((P42-P97)/P97%,3)," -")</f>
        <v>-25.689</v>
      </c>
      <c r="Q54" s="185">
        <f>'2010'!AU54</f>
        <v>2.2530000000000001</v>
      </c>
      <c r="R54" s="182">
        <f>IF(ISERROR(R42/R97)=FALSE,ROUND((R42-R97)/R97%,3)," -")</f>
        <v>-25.712</v>
      </c>
      <c r="S54" s="185">
        <f t="shared" si="80"/>
        <v>-4.8099999999999996</v>
      </c>
      <c r="T54" s="185">
        <f>BB54</f>
        <v>-5.2610000000000001</v>
      </c>
      <c r="U54" s="186">
        <f t="shared" si="81"/>
        <v>-0.42</v>
      </c>
      <c r="V54" s="182">
        <f>IF(ISERROR(V42/V97)=FALSE,ROUND((V42-V97)/V97%,3)," -")</f>
        <v>49.523000000000003</v>
      </c>
      <c r="W54" s="185">
        <f t="shared" si="82"/>
        <v>6.0919999999999996</v>
      </c>
      <c r="X54" s="182">
        <f>IF(ISERROR(X42/X97)=FALSE,ROUND((X42-X97)/X97%,3)," -")</f>
        <v>-9.0869999999999997</v>
      </c>
      <c r="Y54" s="182">
        <f>IF(ISERROR(Y42/Y97)=FALSE,ROUND((Y42-Y97)/Y97%,3)," -")</f>
        <v>-15.343</v>
      </c>
      <c r="Z54" s="185">
        <f t="shared" si="83"/>
        <v>-8.0410000000000004</v>
      </c>
      <c r="AA54" s="182">
        <f>IF(ISERROR(AA42/AA97)=FALSE,ROUND((AA42-AA97)/AA97%,3)," -")</f>
        <v>22.199000000000002</v>
      </c>
      <c r="AB54" s="186">
        <f t="shared" si="84"/>
        <v>7.8079999999999998</v>
      </c>
      <c r="AC54" s="185">
        <f t="shared" si="85"/>
        <v>5.7610000000000001</v>
      </c>
      <c r="AD54" s="185">
        <f t="shared" si="86"/>
        <v>28.731000000000002</v>
      </c>
      <c r="AE54" s="182">
        <f>IF(ISERROR(AE42/AE97)=FALSE,ROUND((AE42-AE97)/AE97%,3)," -")</f>
        <v>8.9700000000000006</v>
      </c>
      <c r="AF54" s="185">
        <f t="shared" si="87"/>
        <v>25.004999999999999</v>
      </c>
      <c r="AG54" s="185">
        <f t="shared" si="88"/>
        <v>6.6459999999999999</v>
      </c>
      <c r="AH54" s="185">
        <f t="shared" si="89"/>
        <v>1.1759999999999999</v>
      </c>
      <c r="AI54" s="185">
        <f t="shared" si="90"/>
        <v>-3.4169999999999998</v>
      </c>
      <c r="AJ54" s="185">
        <f t="shared" si="91"/>
        <v>20.85</v>
      </c>
      <c r="AK54" s="186">
        <f t="shared" si="92"/>
        <v>17.963999999999999</v>
      </c>
      <c r="AL54" s="185">
        <f t="shared" si="93"/>
        <v>48.424999999999997</v>
      </c>
      <c r="AM54" s="185">
        <f t="shared" si="94"/>
        <v>-7.9530000000000003</v>
      </c>
      <c r="AN54" s="185">
        <f t="shared" si="95"/>
        <v>-6.1180000000000003</v>
      </c>
      <c r="AO54" s="185">
        <f>CC54</f>
        <v>-8.1430000000000007</v>
      </c>
      <c r="AP54" s="185">
        <f t="shared" si="96"/>
        <v>1.1879999999999999</v>
      </c>
      <c r="AQ54" s="185">
        <f t="shared" si="97"/>
        <v>-6.2240000000000002</v>
      </c>
      <c r="AR54" s="185">
        <f t="shared" si="98"/>
        <v>-15.984</v>
      </c>
      <c r="AS54" s="183">
        <f>IF(ISERROR(AS42/AS97)=FALSE,ROUND((AS42-AS97)/AS97%,3)," -")</f>
        <v>-10.212</v>
      </c>
      <c r="AT54" s="182">
        <f>IF(ISERROR(AT42/AT97)=FALSE,ROUND((AT42-AT97)/AT97%,3)," -")</f>
        <v>-11.066000000000001</v>
      </c>
      <c r="AU54" s="182">
        <f t="shared" ref="AU54:CL54" si="105">IF(ISERROR(AU42/AU97)=FALSE,ROUND((AU42-AU97)/AU97%,3)," -")</f>
        <v>-3.56</v>
      </c>
      <c r="AV54" s="182">
        <f t="shared" si="105"/>
        <v>-4.8099999999999996</v>
      </c>
      <c r="AW54" s="182">
        <f t="shared" si="105"/>
        <v>1.538</v>
      </c>
      <c r="AX54" s="182">
        <f t="shared" si="105"/>
        <v>-19.536999999999999</v>
      </c>
      <c r="AY54" s="182">
        <f t="shared" si="105"/>
        <v>-2.6989999999999998</v>
      </c>
      <c r="AZ54" s="182">
        <f t="shared" si="105"/>
        <v>-78.194999999999993</v>
      </c>
      <c r="BA54" s="182">
        <f t="shared" si="105"/>
        <v>-22.64</v>
      </c>
      <c r="BB54" s="182">
        <f t="shared" si="105"/>
        <v>-5.2610000000000001</v>
      </c>
      <c r="BC54" s="182">
        <f t="shared" si="105"/>
        <v>-0.42</v>
      </c>
      <c r="BD54" s="182">
        <f t="shared" si="105"/>
        <v>-22.597999999999999</v>
      </c>
      <c r="BE54" s="182">
        <f t="shared" si="105"/>
        <v>-9.6150000000000002</v>
      </c>
      <c r="BF54" s="187">
        <f t="shared" si="105"/>
        <v>0.82599999999999996</v>
      </c>
      <c r="BG54" s="182" t="str">
        <f t="shared" si="105"/>
        <v xml:space="preserve"> -</v>
      </c>
      <c r="BH54" s="182">
        <f t="shared" si="105"/>
        <v>-38.938000000000002</v>
      </c>
      <c r="BI54" s="182">
        <f t="shared" si="105"/>
        <v>-3.9220000000000002</v>
      </c>
      <c r="BJ54" s="182">
        <f t="shared" si="105"/>
        <v>49.523000000000003</v>
      </c>
      <c r="BK54" s="182">
        <f t="shared" si="105"/>
        <v>-8.5939999999999994</v>
      </c>
      <c r="BL54" s="182">
        <f t="shared" si="105"/>
        <v>-15.385</v>
      </c>
      <c r="BM54" s="182">
        <f t="shared" si="105"/>
        <v>-8.0410000000000004</v>
      </c>
      <c r="BN54" s="182">
        <f t="shared" si="105"/>
        <v>-10.225</v>
      </c>
      <c r="BO54" s="182">
        <f t="shared" si="105"/>
        <v>-29.204000000000001</v>
      </c>
      <c r="BP54" s="182">
        <f t="shared" si="105"/>
        <v>7.8079999999999998</v>
      </c>
      <c r="BQ54" s="182">
        <f t="shared" si="105"/>
        <v>26.529</v>
      </c>
      <c r="BR54" s="187">
        <f t="shared" si="105"/>
        <v>6.0919999999999996</v>
      </c>
      <c r="BS54" s="182" t="str">
        <f t="shared" si="105"/>
        <v xml:space="preserve"> -</v>
      </c>
      <c r="BT54" s="182">
        <f t="shared" si="105"/>
        <v>7.0060000000000002</v>
      </c>
      <c r="BU54" s="182">
        <f t="shared" si="105"/>
        <v>28.731000000000002</v>
      </c>
      <c r="BV54" s="182">
        <f t="shared" si="105"/>
        <v>6.6459999999999999</v>
      </c>
      <c r="BW54" s="182">
        <f t="shared" si="105"/>
        <v>-3.4169999999999998</v>
      </c>
      <c r="BX54" s="182">
        <f t="shared" si="105"/>
        <v>5.7610000000000001</v>
      </c>
      <c r="BY54" s="182">
        <f t="shared" si="105"/>
        <v>20.85</v>
      </c>
      <c r="BZ54" s="182">
        <f t="shared" si="105"/>
        <v>1.1759999999999999</v>
      </c>
      <c r="CA54" s="182">
        <f t="shared" si="105"/>
        <v>25.004999999999999</v>
      </c>
      <c r="CB54" s="187">
        <f t="shared" si="105"/>
        <v>17.963999999999999</v>
      </c>
      <c r="CC54" s="182">
        <f t="shared" si="105"/>
        <v>-8.1430000000000007</v>
      </c>
      <c r="CD54" s="182">
        <f t="shared" si="105"/>
        <v>1.1879999999999999</v>
      </c>
      <c r="CE54" s="182">
        <f t="shared" si="105"/>
        <v>48.424999999999997</v>
      </c>
      <c r="CF54" s="182">
        <f t="shared" si="105"/>
        <v>-7.8840000000000003</v>
      </c>
      <c r="CG54" s="182">
        <f t="shared" si="105"/>
        <v>-10.316000000000001</v>
      </c>
      <c r="CH54" s="182">
        <f t="shared" si="105"/>
        <v>-7.9530000000000003</v>
      </c>
      <c r="CI54" s="182">
        <f t="shared" si="105"/>
        <v>-15.984</v>
      </c>
      <c r="CJ54" s="182">
        <f t="shared" si="105"/>
        <v>-6.1180000000000003</v>
      </c>
      <c r="CK54" s="183">
        <f t="shared" si="105"/>
        <v>-6.2240000000000002</v>
      </c>
      <c r="CL54" s="188">
        <f t="shared" si="105"/>
        <v>-2.407</v>
      </c>
    </row>
    <row r="55" spans="1:90" ht="14.25">
      <c r="A55" s="80">
        <f>ROWS($A$3:A53)</f>
        <v>51</v>
      </c>
      <c r="B55" s="59" t="s">
        <v>208</v>
      </c>
      <c r="C55" s="203"/>
      <c r="D55" s="259"/>
      <c r="E55" s="435"/>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2">
        <v>2011</v>
      </c>
      <c r="D56" s="259" t="s">
        <v>13</v>
      </c>
      <c r="E56" s="437">
        <v>40836</v>
      </c>
      <c r="F56" s="116">
        <v>255</v>
      </c>
      <c r="G56" s="137">
        <v>218</v>
      </c>
      <c r="H56" s="137">
        <v>262</v>
      </c>
      <c r="I56" s="138">
        <v>301</v>
      </c>
      <c r="J56" s="141"/>
      <c r="K56" s="116">
        <f t="shared" ref="K56:K63" si="106">BF56</f>
        <v>42</v>
      </c>
      <c r="L56" s="137">
        <f t="shared" ref="L56:L63" si="107">AY56</f>
        <v>26</v>
      </c>
      <c r="M56" s="137">
        <f t="shared" ref="M56:M63" si="108">BD56</f>
        <v>35</v>
      </c>
      <c r="N56" s="137">
        <f t="shared" ref="N56:N63" si="109">AW56</f>
        <v>19</v>
      </c>
      <c r="O56" s="137">
        <f t="shared" ref="O56:O63" si="110">BE56</f>
        <v>12</v>
      </c>
      <c r="P56" s="137">
        <f>'2011'!AZ56+'2011'!BA56</f>
        <v>25</v>
      </c>
      <c r="Q56" s="137">
        <f>'2011'!AU56</f>
        <v>20</v>
      </c>
      <c r="R56" s="137">
        <f t="shared" ref="R56:R63" si="111">AT56+AX56</f>
        <v>27</v>
      </c>
      <c r="S56" s="137">
        <f t="shared" ref="S56:S63" si="112">AV56</f>
        <v>29</v>
      </c>
      <c r="T56" s="137">
        <f t="shared" ref="T56:U63" si="113">BB56</f>
        <v>21</v>
      </c>
      <c r="U56" s="139">
        <f t="shared" si="113"/>
        <v>18</v>
      </c>
      <c r="V56" s="137">
        <f t="shared" ref="V56:V63" si="114">BG56+BJ56</f>
        <v>32</v>
      </c>
      <c r="W56" s="137">
        <f t="shared" ref="W56:W63" si="115">BR56</f>
        <v>18</v>
      </c>
      <c r="X56" s="137">
        <f t="shared" ref="X56:X63" si="116">BH56+BI56</f>
        <v>48</v>
      </c>
      <c r="Y56" s="137">
        <f t="shared" ref="Y56:Y63" si="117">BK56+BL56+BN56</f>
        <v>61</v>
      </c>
      <c r="Z56" s="137">
        <f t="shared" ref="Z56:Z63" si="118">BM56</f>
        <v>26</v>
      </c>
      <c r="AA56" s="137">
        <f t="shared" ref="AA56:AA63" si="119">BO56+BQ56</f>
        <v>29</v>
      </c>
      <c r="AB56" s="139">
        <f t="shared" ref="AB56:AB63" si="120">BP56</f>
        <v>26</v>
      </c>
      <c r="AC56" s="137">
        <f t="shared" ref="AC56:AC63" si="121">BX56</f>
        <v>25</v>
      </c>
      <c r="AD56" s="137">
        <f t="shared" ref="AD56:AD63" si="122">BU56</f>
        <v>19</v>
      </c>
      <c r="AE56" s="137">
        <f t="shared" ref="AE56:AE63" si="123">BS56+BT56</f>
        <v>53</v>
      </c>
      <c r="AF56" s="137">
        <f t="shared" ref="AF56:AF63" si="124">CA56</f>
        <v>26</v>
      </c>
      <c r="AG56" s="137">
        <f t="shared" ref="AG56:AG63" si="125">BV56</f>
        <v>23</v>
      </c>
      <c r="AH56" s="137">
        <f t="shared" ref="AH56:AH63" si="126">BZ56</f>
        <v>64</v>
      </c>
      <c r="AI56" s="137">
        <f t="shared" ref="AI56:AI63" si="127">BW56</f>
        <v>10</v>
      </c>
      <c r="AJ56" s="137">
        <f t="shared" ref="AJ56:AJ63" si="128">BY56</f>
        <v>23</v>
      </c>
      <c r="AK56" s="139">
        <f t="shared" ref="AK56:AK63" si="129">CB56</f>
        <v>37</v>
      </c>
      <c r="AL56" s="137">
        <f t="shared" ref="AL56:AL63" si="130">CE56</f>
        <v>53</v>
      </c>
      <c r="AM56" s="137">
        <f t="shared" ref="AM56:AM63" si="131">CH56</f>
        <v>31</v>
      </c>
      <c r="AN56" s="137">
        <f t="shared" ref="AN56:AN63" si="132">CJ56</f>
        <v>76</v>
      </c>
      <c r="AO56" s="137">
        <f t="shared" ref="AO56:AP63" si="133">CC56</f>
        <v>42</v>
      </c>
      <c r="AP56" s="137">
        <f t="shared" si="133"/>
        <v>22</v>
      </c>
      <c r="AQ56" s="137">
        <f t="shared" ref="AQ56:AQ63" si="134">CK56</f>
        <v>25</v>
      </c>
      <c r="AR56" s="137">
        <f t="shared" ref="AR56:AR63" si="135">CI56</f>
        <v>33</v>
      </c>
      <c r="AS56" s="138">
        <f t="shared" ref="AS56:AS63" si="136">CF56+CG56</f>
        <v>34</v>
      </c>
      <c r="AT56" s="137">
        <v>7</v>
      </c>
      <c r="AU56" s="137">
        <v>20</v>
      </c>
      <c r="AV56" s="137">
        <v>29</v>
      </c>
      <c r="AW56" s="137">
        <v>19</v>
      </c>
      <c r="AX56" s="137">
        <v>20</v>
      </c>
      <c r="AY56" s="137">
        <v>26</v>
      </c>
      <c r="AZ56" s="137">
        <v>5</v>
      </c>
      <c r="BA56" s="137">
        <v>20</v>
      </c>
      <c r="BB56" s="137">
        <v>21</v>
      </c>
      <c r="BC56" s="137">
        <v>18</v>
      </c>
      <c r="BD56" s="137">
        <v>35</v>
      </c>
      <c r="BE56" s="137">
        <v>12</v>
      </c>
      <c r="BF56" s="139">
        <v>42</v>
      </c>
      <c r="BG56" s="137">
        <v>5</v>
      </c>
      <c r="BH56" s="137">
        <v>8</v>
      </c>
      <c r="BI56" s="137">
        <v>40</v>
      </c>
      <c r="BJ56" s="137">
        <v>27</v>
      </c>
      <c r="BK56" s="137">
        <v>5</v>
      </c>
      <c r="BL56" s="137">
        <v>9</v>
      </c>
      <c r="BM56" s="137">
        <v>26</v>
      </c>
      <c r="BN56" s="137">
        <v>47</v>
      </c>
      <c r="BO56" s="137">
        <v>3</v>
      </c>
      <c r="BP56" s="137">
        <v>26</v>
      </c>
      <c r="BQ56" s="137">
        <v>26</v>
      </c>
      <c r="BR56" s="139">
        <v>18</v>
      </c>
      <c r="BS56" s="137">
        <v>7</v>
      </c>
      <c r="BT56" s="137">
        <v>46</v>
      </c>
      <c r="BU56" s="137">
        <v>19</v>
      </c>
      <c r="BV56" s="137">
        <v>23</v>
      </c>
      <c r="BW56" s="137">
        <v>10</v>
      </c>
      <c r="BX56" s="137">
        <v>25</v>
      </c>
      <c r="BY56" s="137">
        <v>23</v>
      </c>
      <c r="BZ56" s="137">
        <v>64</v>
      </c>
      <c r="CA56" s="137">
        <v>26</v>
      </c>
      <c r="CB56" s="139">
        <v>37</v>
      </c>
      <c r="CC56" s="137">
        <v>42</v>
      </c>
      <c r="CD56" s="137">
        <v>22</v>
      </c>
      <c r="CE56" s="137">
        <v>53</v>
      </c>
      <c r="CF56" s="137">
        <v>1</v>
      </c>
      <c r="CG56" s="137">
        <v>33</v>
      </c>
      <c r="CH56" s="137">
        <v>31</v>
      </c>
      <c r="CI56" s="137">
        <v>33</v>
      </c>
      <c r="CJ56" s="137">
        <v>76</v>
      </c>
      <c r="CK56" s="138">
        <v>25</v>
      </c>
      <c r="CL56" s="140">
        <v>1136</v>
      </c>
    </row>
    <row r="57" spans="1:90">
      <c r="A57" s="80">
        <f>ROWS($A$3:A55)</f>
        <v>53</v>
      </c>
      <c r="B57" s="92"/>
      <c r="C57" s="203"/>
      <c r="D57" s="259" t="s">
        <v>1</v>
      </c>
      <c r="E57" s="435"/>
      <c r="F57" s="116">
        <v>14973.5</v>
      </c>
      <c r="G57" s="137">
        <v>19869.71</v>
      </c>
      <c r="H57" s="137">
        <v>31549.24</v>
      </c>
      <c r="I57" s="138">
        <v>19180.759999999998</v>
      </c>
      <c r="J57" s="141"/>
      <c r="K57" s="116">
        <f t="shared" si="106"/>
        <v>2051.1999999999998</v>
      </c>
      <c r="L57" s="137">
        <f t="shared" si="107"/>
        <v>833.37</v>
      </c>
      <c r="M57" s="137">
        <f t="shared" si="108"/>
        <v>1029.49</v>
      </c>
      <c r="N57" s="137">
        <f t="shared" si="109"/>
        <v>2876.77</v>
      </c>
      <c r="O57" s="137">
        <f t="shared" si="110"/>
        <v>771.29</v>
      </c>
      <c r="P57" s="137">
        <f>'2011'!AZ57+'2011'!BA57</f>
        <v>489.18999999999994</v>
      </c>
      <c r="Q57" s="137">
        <f>'2011'!AU57</f>
        <v>732.59</v>
      </c>
      <c r="R57" s="137">
        <f t="shared" si="111"/>
        <v>1999.5900000000001</v>
      </c>
      <c r="S57" s="137">
        <f t="shared" si="112"/>
        <v>2320.5700000000002</v>
      </c>
      <c r="T57" s="137">
        <f t="shared" si="113"/>
        <v>486.16</v>
      </c>
      <c r="U57" s="139">
        <f t="shared" si="113"/>
        <v>1383.29</v>
      </c>
      <c r="V57" s="137">
        <f t="shared" si="114"/>
        <v>4366.16</v>
      </c>
      <c r="W57" s="137">
        <f t="shared" si="115"/>
        <v>2903.2</v>
      </c>
      <c r="X57" s="137">
        <f t="shared" si="116"/>
        <v>3926.04</v>
      </c>
      <c r="Y57" s="137">
        <f t="shared" si="117"/>
        <v>3933.9500000000003</v>
      </c>
      <c r="Z57" s="137">
        <f t="shared" si="118"/>
        <v>924.79</v>
      </c>
      <c r="AA57" s="137">
        <f t="shared" si="119"/>
        <v>1560.84</v>
      </c>
      <c r="AB57" s="139">
        <f t="shared" si="120"/>
        <v>2254.73</v>
      </c>
      <c r="AC57" s="137">
        <f t="shared" si="121"/>
        <v>2050.66</v>
      </c>
      <c r="AD57" s="137">
        <f t="shared" si="122"/>
        <v>3872.7</v>
      </c>
      <c r="AE57" s="137">
        <f t="shared" si="123"/>
        <v>6237.73</v>
      </c>
      <c r="AF57" s="137">
        <f t="shared" si="124"/>
        <v>5977.45</v>
      </c>
      <c r="AG57" s="137">
        <f t="shared" si="125"/>
        <v>3504.74</v>
      </c>
      <c r="AH57" s="137">
        <f t="shared" si="126"/>
        <v>3668.21</v>
      </c>
      <c r="AI57" s="137">
        <f t="shared" si="127"/>
        <v>437.31</v>
      </c>
      <c r="AJ57" s="137">
        <f t="shared" si="128"/>
        <v>2149.71</v>
      </c>
      <c r="AK57" s="139">
        <f t="shared" si="129"/>
        <v>3650.72</v>
      </c>
      <c r="AL57" s="137">
        <f t="shared" si="130"/>
        <v>1560.55</v>
      </c>
      <c r="AM57" s="137">
        <f t="shared" si="131"/>
        <v>3573.62</v>
      </c>
      <c r="AN57" s="137">
        <f t="shared" si="132"/>
        <v>5868.79</v>
      </c>
      <c r="AO57" s="137">
        <f t="shared" si="133"/>
        <v>1974.11</v>
      </c>
      <c r="AP57" s="137">
        <f t="shared" si="133"/>
        <v>1187.6199999999999</v>
      </c>
      <c r="AQ57" s="137">
        <f t="shared" si="134"/>
        <v>2000.03</v>
      </c>
      <c r="AR57" s="137">
        <f t="shared" si="135"/>
        <v>1217.26</v>
      </c>
      <c r="AS57" s="138">
        <f t="shared" si="136"/>
        <v>1798.7800000000002</v>
      </c>
      <c r="AT57" s="137">
        <v>1353.19</v>
      </c>
      <c r="AU57" s="137">
        <v>732.59</v>
      </c>
      <c r="AV57" s="137">
        <v>2320.5700000000002</v>
      </c>
      <c r="AW57" s="137">
        <v>2876.77</v>
      </c>
      <c r="AX57" s="137">
        <v>646.4</v>
      </c>
      <c r="AY57" s="137">
        <v>833.37</v>
      </c>
      <c r="AZ57" s="137">
        <v>97.91</v>
      </c>
      <c r="BA57" s="137">
        <v>391.28</v>
      </c>
      <c r="BB57" s="137">
        <v>486.16</v>
      </c>
      <c r="BC57" s="137">
        <v>1383.29</v>
      </c>
      <c r="BD57" s="137">
        <v>1029.49</v>
      </c>
      <c r="BE57" s="137">
        <v>771.29</v>
      </c>
      <c r="BF57" s="139">
        <v>2051.1999999999998</v>
      </c>
      <c r="BG57" s="137">
        <v>439.87</v>
      </c>
      <c r="BH57" s="137">
        <v>720.58</v>
      </c>
      <c r="BI57" s="137">
        <v>3205.46</v>
      </c>
      <c r="BJ57" s="137">
        <v>3926.29</v>
      </c>
      <c r="BK57" s="137">
        <v>82.7</v>
      </c>
      <c r="BL57" s="137">
        <v>699.12</v>
      </c>
      <c r="BM57" s="137">
        <v>924.79</v>
      </c>
      <c r="BN57" s="137">
        <v>3152.13</v>
      </c>
      <c r="BO57" s="137">
        <v>194.28</v>
      </c>
      <c r="BP57" s="137">
        <v>2254.73</v>
      </c>
      <c r="BQ57" s="137">
        <v>1366.56</v>
      </c>
      <c r="BR57" s="139">
        <v>2903.2</v>
      </c>
      <c r="BS57" s="137">
        <v>683.11</v>
      </c>
      <c r="BT57" s="137">
        <v>5554.62</v>
      </c>
      <c r="BU57" s="137">
        <v>3872.7</v>
      </c>
      <c r="BV57" s="137">
        <v>3504.74</v>
      </c>
      <c r="BW57" s="137">
        <v>437.31</v>
      </c>
      <c r="BX57" s="137">
        <v>2050.66</v>
      </c>
      <c r="BY57" s="137">
        <v>2149.71</v>
      </c>
      <c r="BZ57" s="137">
        <v>3668.21</v>
      </c>
      <c r="CA57" s="137">
        <v>5977.45</v>
      </c>
      <c r="CB57" s="139">
        <v>3650.72</v>
      </c>
      <c r="CC57" s="137">
        <v>1974.11</v>
      </c>
      <c r="CD57" s="137">
        <v>1187.6199999999999</v>
      </c>
      <c r="CE57" s="137">
        <v>1560.55</v>
      </c>
      <c r="CF57" s="137">
        <v>39.4</v>
      </c>
      <c r="CG57" s="137">
        <v>1759.38</v>
      </c>
      <c r="CH57" s="137">
        <v>3573.62</v>
      </c>
      <c r="CI57" s="137">
        <v>1217.26</v>
      </c>
      <c r="CJ57" s="137">
        <v>5868.79</v>
      </c>
      <c r="CK57" s="138">
        <v>2000.03</v>
      </c>
      <c r="CL57" s="140">
        <v>86281.07</v>
      </c>
    </row>
    <row r="58" spans="1:90">
      <c r="A58" s="80">
        <f>ROWS($A$3:A56)</f>
        <v>54</v>
      </c>
      <c r="B58" s="92" t="s">
        <v>231</v>
      </c>
      <c r="C58" s="202">
        <v>2011</v>
      </c>
      <c r="D58" s="259" t="s">
        <v>13</v>
      </c>
      <c r="E58" s="437">
        <v>40836</v>
      </c>
      <c r="F58" s="116">
        <v>69</v>
      </c>
      <c r="G58" s="137">
        <v>71</v>
      </c>
      <c r="H58" s="137">
        <v>75</v>
      </c>
      <c r="I58" s="138">
        <v>85</v>
      </c>
      <c r="J58" s="141"/>
      <c r="K58" s="116">
        <f t="shared" si="106"/>
        <v>15</v>
      </c>
      <c r="L58" s="137">
        <f t="shared" si="107"/>
        <v>5</v>
      </c>
      <c r="M58" s="137">
        <f t="shared" si="108"/>
        <v>12</v>
      </c>
      <c r="N58" s="137">
        <f t="shared" si="109"/>
        <v>11</v>
      </c>
      <c r="O58" s="137">
        <f t="shared" si="110"/>
        <v>7</v>
      </c>
      <c r="P58" s="137">
        <f>'2011'!AZ58+'2011'!BA58</f>
        <v>14</v>
      </c>
      <c r="Q58" s="137">
        <f>'2011'!AU58</f>
        <v>5</v>
      </c>
      <c r="R58" s="137">
        <f t="shared" si="111"/>
        <v>12</v>
      </c>
      <c r="S58" s="137">
        <f t="shared" si="112"/>
        <v>11</v>
      </c>
      <c r="T58" s="137">
        <f t="shared" si="113"/>
        <v>10</v>
      </c>
      <c r="U58" s="139">
        <f t="shared" si="113"/>
        <v>13</v>
      </c>
      <c r="V58" s="137">
        <f t="shared" si="114"/>
        <v>21</v>
      </c>
      <c r="W58" s="137">
        <f t="shared" si="115"/>
        <v>11</v>
      </c>
      <c r="X58" s="137">
        <f t="shared" si="116"/>
        <v>30</v>
      </c>
      <c r="Y58" s="137">
        <f t="shared" si="117"/>
        <v>25</v>
      </c>
      <c r="Z58" s="137">
        <f t="shared" si="118"/>
        <v>12</v>
      </c>
      <c r="AA58" s="137">
        <f t="shared" si="119"/>
        <v>13</v>
      </c>
      <c r="AB58" s="139">
        <f t="shared" si="120"/>
        <v>9</v>
      </c>
      <c r="AC58" s="137">
        <f t="shared" si="121"/>
        <v>10</v>
      </c>
      <c r="AD58" s="137">
        <f t="shared" si="122"/>
        <v>10</v>
      </c>
      <c r="AE58" s="137">
        <f t="shared" si="123"/>
        <v>23</v>
      </c>
      <c r="AF58" s="137">
        <f t="shared" si="124"/>
        <v>11</v>
      </c>
      <c r="AG58" s="137">
        <f t="shared" si="125"/>
        <v>15</v>
      </c>
      <c r="AH58" s="137">
        <f t="shared" si="126"/>
        <v>10</v>
      </c>
      <c r="AI58" s="137">
        <f t="shared" si="127"/>
        <v>9</v>
      </c>
      <c r="AJ58" s="137">
        <f t="shared" si="128"/>
        <v>10</v>
      </c>
      <c r="AK58" s="139">
        <f t="shared" si="129"/>
        <v>17</v>
      </c>
      <c r="AL58" s="137">
        <f t="shared" si="130"/>
        <v>20</v>
      </c>
      <c r="AM58" s="137">
        <f t="shared" si="131"/>
        <v>12</v>
      </c>
      <c r="AN58" s="137">
        <f t="shared" si="132"/>
        <v>22</v>
      </c>
      <c r="AO58" s="137">
        <f t="shared" si="133"/>
        <v>20</v>
      </c>
      <c r="AP58" s="137">
        <f t="shared" si="133"/>
        <v>8</v>
      </c>
      <c r="AQ58" s="137">
        <f t="shared" si="134"/>
        <v>14</v>
      </c>
      <c r="AR58" s="137">
        <f t="shared" si="135"/>
        <v>11</v>
      </c>
      <c r="AS58" s="138">
        <f t="shared" si="136"/>
        <v>19</v>
      </c>
      <c r="AT58" s="137">
        <v>4</v>
      </c>
      <c r="AU58" s="137">
        <v>5</v>
      </c>
      <c r="AV58" s="141">
        <v>11</v>
      </c>
      <c r="AW58" s="141">
        <v>11</v>
      </c>
      <c r="AX58" s="141">
        <v>8</v>
      </c>
      <c r="AY58" s="141">
        <v>5</v>
      </c>
      <c r="AZ58" s="141">
        <v>3</v>
      </c>
      <c r="BA58" s="141">
        <v>11</v>
      </c>
      <c r="BB58" s="141">
        <v>10</v>
      </c>
      <c r="BC58" s="141">
        <v>13</v>
      </c>
      <c r="BD58" s="141">
        <v>12</v>
      </c>
      <c r="BE58" s="141">
        <v>7</v>
      </c>
      <c r="BF58" s="139">
        <v>15</v>
      </c>
      <c r="BG58" s="141">
        <v>6</v>
      </c>
      <c r="BH58" s="141">
        <v>9</v>
      </c>
      <c r="BI58" s="141">
        <v>21</v>
      </c>
      <c r="BJ58" s="141">
        <v>15</v>
      </c>
      <c r="BK58" s="141">
        <v>4</v>
      </c>
      <c r="BL58" s="141">
        <v>3</v>
      </c>
      <c r="BM58" s="141">
        <v>12</v>
      </c>
      <c r="BN58" s="141">
        <v>18</v>
      </c>
      <c r="BO58" s="141">
        <v>3</v>
      </c>
      <c r="BP58" s="141">
        <v>9</v>
      </c>
      <c r="BQ58" s="141">
        <v>10</v>
      </c>
      <c r="BR58" s="139">
        <v>11</v>
      </c>
      <c r="BS58" s="141">
        <v>5</v>
      </c>
      <c r="BT58" s="141">
        <v>18</v>
      </c>
      <c r="BU58" s="141">
        <v>10</v>
      </c>
      <c r="BV58" s="141">
        <v>15</v>
      </c>
      <c r="BW58" s="141">
        <v>9</v>
      </c>
      <c r="BX58" s="141">
        <v>10</v>
      </c>
      <c r="BY58" s="141">
        <v>10</v>
      </c>
      <c r="BZ58" s="141">
        <v>10</v>
      </c>
      <c r="CA58" s="141">
        <v>11</v>
      </c>
      <c r="CB58" s="139">
        <v>17</v>
      </c>
      <c r="CC58" s="141">
        <v>20</v>
      </c>
      <c r="CD58" s="141">
        <v>8</v>
      </c>
      <c r="CE58" s="141">
        <v>20</v>
      </c>
      <c r="CF58" s="141">
        <v>3</v>
      </c>
      <c r="CG58" s="141">
        <v>16</v>
      </c>
      <c r="CH58" s="141">
        <v>12</v>
      </c>
      <c r="CI58" s="141">
        <v>11</v>
      </c>
      <c r="CJ58" s="141">
        <v>22</v>
      </c>
      <c r="CK58" s="138">
        <v>14</v>
      </c>
      <c r="CL58" s="140">
        <v>300</v>
      </c>
    </row>
    <row r="59" spans="1:90">
      <c r="A59" s="80">
        <f>ROWS($A$3:A57)</f>
        <v>55</v>
      </c>
      <c r="B59" s="92"/>
      <c r="C59" s="203"/>
      <c r="D59" s="259" t="s">
        <v>1</v>
      </c>
      <c r="E59" s="435"/>
      <c r="F59" s="116">
        <v>92286.89</v>
      </c>
      <c r="G59" s="137">
        <v>93812.68</v>
      </c>
      <c r="H59" s="137">
        <v>131397.09</v>
      </c>
      <c r="I59" s="138">
        <v>94058.93</v>
      </c>
      <c r="J59" s="141"/>
      <c r="K59" s="116">
        <f t="shared" si="106"/>
        <v>10514.0848616332</v>
      </c>
      <c r="L59" s="137">
        <f t="shared" si="107"/>
        <v>3118.9839788331001</v>
      </c>
      <c r="M59" s="137">
        <f t="shared" si="108"/>
        <v>8156.1568828520003</v>
      </c>
      <c r="N59" s="137">
        <f t="shared" si="109"/>
        <v>9447.90927398649</v>
      </c>
      <c r="O59" s="137">
        <f t="shared" si="110"/>
        <v>7232.5078828524001</v>
      </c>
      <c r="P59" s="137">
        <f>'2011'!AZ59+'2011'!BA59</f>
        <v>11731.646883465999</v>
      </c>
      <c r="Q59" s="137">
        <f>'2011'!AU59</f>
        <v>6903.2617254364004</v>
      </c>
      <c r="R59" s="137">
        <f t="shared" si="111"/>
        <v>10448.371783771399</v>
      </c>
      <c r="S59" s="137">
        <f t="shared" si="112"/>
        <v>8991.7518148619001</v>
      </c>
      <c r="T59" s="137">
        <f t="shared" si="113"/>
        <v>8599.2624732380009</v>
      </c>
      <c r="U59" s="139">
        <f t="shared" si="113"/>
        <v>7142.9500235680998</v>
      </c>
      <c r="V59" s="137">
        <f t="shared" si="114"/>
        <v>13461.7490488004</v>
      </c>
      <c r="W59" s="137">
        <f t="shared" si="115"/>
        <v>3930.8866817062999</v>
      </c>
      <c r="X59" s="137">
        <f t="shared" si="116"/>
        <v>30112.655106490602</v>
      </c>
      <c r="Y59" s="137">
        <f t="shared" si="117"/>
        <v>19461.205763579703</v>
      </c>
      <c r="Z59" s="137">
        <f t="shared" si="118"/>
        <v>9694.1869237757001</v>
      </c>
      <c r="AA59" s="137">
        <f t="shared" si="119"/>
        <v>11746.1532117672</v>
      </c>
      <c r="AB59" s="139">
        <f t="shared" si="120"/>
        <v>5405.8429948985004</v>
      </c>
      <c r="AC59" s="137">
        <f t="shared" si="121"/>
        <v>8370.0470149258999</v>
      </c>
      <c r="AD59" s="137">
        <f t="shared" si="122"/>
        <v>10483.264491391999</v>
      </c>
      <c r="AE59" s="137">
        <f t="shared" si="123"/>
        <v>22710.122406597096</v>
      </c>
      <c r="AF59" s="137">
        <f t="shared" si="124"/>
        <v>15963.3913585147</v>
      </c>
      <c r="AG59" s="137">
        <f t="shared" si="125"/>
        <v>18197.2109896072</v>
      </c>
      <c r="AH59" s="137">
        <f t="shared" si="126"/>
        <v>14705.7313187543</v>
      </c>
      <c r="AI59" s="137">
        <f t="shared" si="127"/>
        <v>5990.7440859356002</v>
      </c>
      <c r="AJ59" s="137">
        <f t="shared" si="128"/>
        <v>12289.518744946199</v>
      </c>
      <c r="AK59" s="139">
        <f t="shared" si="129"/>
        <v>22687.055704322502</v>
      </c>
      <c r="AL59" s="137">
        <f t="shared" si="130"/>
        <v>12288.204825852299</v>
      </c>
      <c r="AM59" s="137">
        <f t="shared" si="131"/>
        <v>8184.5983018178003</v>
      </c>
      <c r="AN59" s="137">
        <f t="shared" si="132"/>
        <v>12894.7429296269</v>
      </c>
      <c r="AO59" s="137">
        <f t="shared" si="133"/>
        <v>22517.471888232802</v>
      </c>
      <c r="AP59" s="137">
        <f t="shared" si="133"/>
        <v>13063.2025363048</v>
      </c>
      <c r="AQ59" s="137">
        <f t="shared" si="134"/>
        <v>9769.8232242325994</v>
      </c>
      <c r="AR59" s="137">
        <f t="shared" si="135"/>
        <v>3900.7799452352001</v>
      </c>
      <c r="AS59" s="138">
        <f t="shared" si="136"/>
        <v>11440.1048846878</v>
      </c>
      <c r="AT59" s="137">
        <v>2318.4398999912</v>
      </c>
      <c r="AU59" s="137">
        <v>6903.2617254364004</v>
      </c>
      <c r="AV59" s="137">
        <v>8991.7518148619001</v>
      </c>
      <c r="AW59" s="137">
        <v>9447.90927398649</v>
      </c>
      <c r="AX59" s="137">
        <v>8129.9318837802002</v>
      </c>
      <c r="AY59" s="137">
        <v>3118.9839788331001</v>
      </c>
      <c r="AZ59" s="137">
        <v>1078.7210884946001</v>
      </c>
      <c r="BA59" s="137">
        <v>10652.925794971399</v>
      </c>
      <c r="BB59" s="137">
        <v>8599.2624732380009</v>
      </c>
      <c r="BC59" s="137">
        <v>7142.9500235680998</v>
      </c>
      <c r="BD59" s="137">
        <v>8156.1568828520003</v>
      </c>
      <c r="BE59" s="137">
        <v>7232.5078828524001</v>
      </c>
      <c r="BF59" s="139">
        <v>10514.0848616332</v>
      </c>
      <c r="BG59" s="137">
        <v>1427.2802447254001</v>
      </c>
      <c r="BH59" s="137">
        <v>4271.2493833193003</v>
      </c>
      <c r="BI59" s="137">
        <v>25841.405723171301</v>
      </c>
      <c r="BJ59" s="137">
        <v>12034.468804075001</v>
      </c>
      <c r="BK59" s="137">
        <v>2339.6957995201001</v>
      </c>
      <c r="BL59" s="137">
        <v>1635.3512122857001</v>
      </c>
      <c r="BM59" s="137">
        <v>9694.1869237757001</v>
      </c>
      <c r="BN59" s="137">
        <v>15486.158751773901</v>
      </c>
      <c r="BO59" s="137">
        <v>1436.2707530600001</v>
      </c>
      <c r="BP59" s="137">
        <v>5405.8429948985004</v>
      </c>
      <c r="BQ59" s="137">
        <v>10309.882458707199</v>
      </c>
      <c r="BR59" s="139">
        <v>3930.8866817062999</v>
      </c>
      <c r="BS59" s="137">
        <v>3158.094770275</v>
      </c>
      <c r="BT59" s="137">
        <v>19552.027636322098</v>
      </c>
      <c r="BU59" s="137">
        <v>10483.264491391999</v>
      </c>
      <c r="BV59" s="137">
        <v>18197.2109896072</v>
      </c>
      <c r="BW59" s="137">
        <v>5990.7440859356002</v>
      </c>
      <c r="BX59" s="137">
        <v>8370.0470149258999</v>
      </c>
      <c r="BY59" s="137">
        <v>12289.518744946199</v>
      </c>
      <c r="BZ59" s="137">
        <v>14705.7313187543</v>
      </c>
      <c r="CA59" s="137">
        <v>15963.3913585147</v>
      </c>
      <c r="CB59" s="139">
        <v>22687.055704322502</v>
      </c>
      <c r="CC59" s="137">
        <v>22517.471888232802</v>
      </c>
      <c r="CD59" s="137">
        <v>13063.2025363048</v>
      </c>
      <c r="CE59" s="137">
        <v>12288.204825852299</v>
      </c>
      <c r="CF59" s="137">
        <v>513.94041347070004</v>
      </c>
      <c r="CG59" s="137">
        <v>10926.1644712171</v>
      </c>
      <c r="CH59" s="137">
        <v>8184.5983018178003</v>
      </c>
      <c r="CI59" s="137">
        <v>3900.7799452352001</v>
      </c>
      <c r="CJ59" s="137">
        <v>12894.7429296269</v>
      </c>
      <c r="CK59" s="138">
        <v>9769.8232242325994</v>
      </c>
      <c r="CL59" s="140">
        <v>426223.94</v>
      </c>
    </row>
    <row r="60" spans="1:90">
      <c r="A60" s="80">
        <f>ROWS($A$3:A58)</f>
        <v>56</v>
      </c>
      <c r="B60" s="92" t="s">
        <v>232</v>
      </c>
      <c r="C60" s="202">
        <v>2011</v>
      </c>
      <c r="D60" s="259" t="s">
        <v>13</v>
      </c>
      <c r="E60" s="437">
        <v>40836</v>
      </c>
      <c r="F60" s="116">
        <v>21</v>
      </c>
      <c r="G60" s="141">
        <v>23</v>
      </c>
      <c r="H60" s="141">
        <v>34</v>
      </c>
      <c r="I60" s="138">
        <v>23</v>
      </c>
      <c r="J60" s="141"/>
      <c r="K60" s="116">
        <f t="shared" si="106"/>
        <v>6</v>
      </c>
      <c r="L60" s="137">
        <f t="shared" si="107"/>
        <v>2</v>
      </c>
      <c r="M60" s="137">
        <f t="shared" si="108"/>
        <v>2</v>
      </c>
      <c r="N60" s="137">
        <f t="shared" si="109"/>
        <v>3</v>
      </c>
      <c r="O60" s="137">
        <f t="shared" si="110"/>
        <v>3</v>
      </c>
      <c r="P60" s="137">
        <f>'2011'!AZ60+'2011'!BA60</f>
        <v>3</v>
      </c>
      <c r="Q60" s="137">
        <f>'2011'!AU60</f>
        <v>1</v>
      </c>
      <c r="R60" s="137">
        <f t="shared" si="111"/>
        <v>5</v>
      </c>
      <c r="S60" s="137">
        <f t="shared" si="112"/>
        <v>4</v>
      </c>
      <c r="T60" s="137">
        <f t="shared" si="113"/>
        <v>2</v>
      </c>
      <c r="U60" s="139">
        <f t="shared" si="113"/>
        <v>3</v>
      </c>
      <c r="V60" s="137">
        <f t="shared" si="114"/>
        <v>6</v>
      </c>
      <c r="W60" s="137">
        <f t="shared" si="115"/>
        <v>1</v>
      </c>
      <c r="X60" s="137">
        <f t="shared" si="116"/>
        <v>10</v>
      </c>
      <c r="Y60" s="137">
        <f t="shared" si="117"/>
        <v>9</v>
      </c>
      <c r="Z60" s="137">
        <f t="shared" si="118"/>
        <v>3</v>
      </c>
      <c r="AA60" s="137">
        <f t="shared" si="119"/>
        <v>3</v>
      </c>
      <c r="AB60" s="139">
        <f t="shared" si="120"/>
        <v>2</v>
      </c>
      <c r="AC60" s="137">
        <f t="shared" si="121"/>
        <v>3</v>
      </c>
      <c r="AD60" s="137">
        <f t="shared" si="122"/>
        <v>7</v>
      </c>
      <c r="AE60" s="137">
        <f t="shared" si="123"/>
        <v>14</v>
      </c>
      <c r="AF60" s="137">
        <f t="shared" si="124"/>
        <v>3</v>
      </c>
      <c r="AG60" s="137">
        <f t="shared" si="125"/>
        <v>12</v>
      </c>
      <c r="AH60" s="137">
        <f t="shared" si="126"/>
        <v>6</v>
      </c>
      <c r="AI60" s="137">
        <f t="shared" si="127"/>
        <v>6</v>
      </c>
      <c r="AJ60" s="137">
        <f t="shared" si="128"/>
        <v>3</v>
      </c>
      <c r="AK60" s="139">
        <f t="shared" si="129"/>
        <v>2</v>
      </c>
      <c r="AL60" s="137">
        <f t="shared" si="130"/>
        <v>3</v>
      </c>
      <c r="AM60" s="137">
        <f t="shared" si="131"/>
        <v>3</v>
      </c>
      <c r="AN60" s="137">
        <f t="shared" si="132"/>
        <v>7</v>
      </c>
      <c r="AO60" s="137">
        <f t="shared" si="133"/>
        <v>3</v>
      </c>
      <c r="AP60" s="137">
        <f t="shared" si="133"/>
        <v>5</v>
      </c>
      <c r="AQ60" s="137">
        <f t="shared" si="134"/>
        <v>3</v>
      </c>
      <c r="AR60" s="137">
        <f t="shared" si="135"/>
        <v>3</v>
      </c>
      <c r="AS60" s="138">
        <f t="shared" si="136"/>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4</v>
      </c>
      <c r="BI60" s="141">
        <v>6</v>
      </c>
      <c r="BJ60" s="141">
        <v>5</v>
      </c>
      <c r="BK60" s="141">
        <v>1</v>
      </c>
      <c r="BL60" s="141">
        <v>1</v>
      </c>
      <c r="BM60" s="141">
        <v>3</v>
      </c>
      <c r="BN60" s="141">
        <v>7</v>
      </c>
      <c r="BO60" s="141"/>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c r="A61" s="80">
        <f>ROWS($A$3:A59)</f>
        <v>57</v>
      </c>
      <c r="B61" s="92"/>
      <c r="C61" s="203"/>
      <c r="D61" s="259" t="s">
        <v>1</v>
      </c>
      <c r="E61" s="435"/>
      <c r="F61" s="116">
        <v>69152.55</v>
      </c>
      <c r="G61" s="137">
        <v>41762.43</v>
      </c>
      <c r="H61" s="137">
        <v>181973.33</v>
      </c>
      <c r="I61" s="138">
        <v>83744</v>
      </c>
      <c r="J61" s="141"/>
      <c r="K61" s="116">
        <f t="shared" si="106"/>
        <v>3640.5994290985</v>
      </c>
      <c r="L61" s="137">
        <f t="shared" si="107"/>
        <v>2438.3136599405002</v>
      </c>
      <c r="M61" s="137">
        <f t="shared" si="108"/>
        <v>2670.3195366896002</v>
      </c>
      <c r="N61" s="137">
        <f t="shared" si="109"/>
        <v>18786.683837996901</v>
      </c>
      <c r="O61" s="137">
        <f t="shared" si="110"/>
        <v>7507.4710391156004</v>
      </c>
      <c r="P61" s="137">
        <f>'2011'!AZ61+'2011'!BA61</f>
        <v>2511.9478698377002</v>
      </c>
      <c r="Q61" s="137">
        <f>'2011'!AU61</f>
        <v>5384.5298784226998</v>
      </c>
      <c r="R61" s="137">
        <f t="shared" si="111"/>
        <v>6609.3052492992001</v>
      </c>
      <c r="S61" s="137">
        <f t="shared" si="112"/>
        <v>17682.189973978398</v>
      </c>
      <c r="T61" s="137">
        <f t="shared" si="113"/>
        <v>713.74209477930003</v>
      </c>
      <c r="U61" s="139">
        <f t="shared" si="113"/>
        <v>1207.4505157019</v>
      </c>
      <c r="V61" s="137">
        <f t="shared" si="114"/>
        <v>9900.4399746990002</v>
      </c>
      <c r="W61" s="137">
        <f t="shared" si="115"/>
        <v>7573.4018909245997</v>
      </c>
      <c r="X61" s="137">
        <f t="shared" si="116"/>
        <v>12530.1999913738</v>
      </c>
      <c r="Y61" s="137">
        <f t="shared" si="117"/>
        <v>6488.9607463743996</v>
      </c>
      <c r="Z61" s="137">
        <f t="shared" si="118"/>
        <v>218.49048465249999</v>
      </c>
      <c r="AA61" s="137">
        <f t="shared" si="119"/>
        <v>2407.1023463197998</v>
      </c>
      <c r="AB61" s="139">
        <f t="shared" si="120"/>
        <v>2643.8364706858001</v>
      </c>
      <c r="AC61" s="137">
        <f t="shared" si="121"/>
        <v>50305.849584941498</v>
      </c>
      <c r="AD61" s="137">
        <f t="shared" si="122"/>
        <v>12559.8536271513</v>
      </c>
      <c r="AE61" s="137">
        <f t="shared" si="123"/>
        <v>29117.771517075402</v>
      </c>
      <c r="AF61" s="137">
        <f t="shared" si="124"/>
        <v>11381.724682945</v>
      </c>
      <c r="AG61" s="137">
        <f t="shared" si="125"/>
        <v>27564.806430484699</v>
      </c>
      <c r="AH61" s="137">
        <f t="shared" si="126"/>
        <v>9555.3166355496996</v>
      </c>
      <c r="AI61" s="137">
        <f t="shared" si="127"/>
        <v>3426.6761712292</v>
      </c>
      <c r="AJ61" s="137">
        <f t="shared" si="128"/>
        <v>20646.152337914998</v>
      </c>
      <c r="AK61" s="139">
        <f t="shared" si="129"/>
        <v>17415.176874928398</v>
      </c>
      <c r="AL61" s="137">
        <f t="shared" si="130"/>
        <v>19750.628003054801</v>
      </c>
      <c r="AM61" s="137">
        <f t="shared" si="131"/>
        <v>2982.4588136552002</v>
      </c>
      <c r="AN61" s="137">
        <f t="shared" si="132"/>
        <v>8762.4028419921997</v>
      </c>
      <c r="AO61" s="137">
        <f t="shared" si="133"/>
        <v>21921.1036261156</v>
      </c>
      <c r="AP61" s="137">
        <f t="shared" si="133"/>
        <v>13710.3889004105</v>
      </c>
      <c r="AQ61" s="137">
        <f t="shared" si="134"/>
        <v>8600.4111832252001</v>
      </c>
      <c r="AR61" s="137">
        <f t="shared" si="135"/>
        <v>882.97538220659999</v>
      </c>
      <c r="AS61" s="138">
        <f t="shared" si="136"/>
        <v>7133.6289120625006</v>
      </c>
      <c r="AT61" s="137">
        <v>3.0137999999999998</v>
      </c>
      <c r="AU61" s="137">
        <v>5384.5298784226998</v>
      </c>
      <c r="AV61" s="137">
        <v>17682.189973978398</v>
      </c>
      <c r="AW61" s="137">
        <v>18786.683837996901</v>
      </c>
      <c r="AX61" s="137">
        <v>6606.2914492992004</v>
      </c>
      <c r="AY61" s="137">
        <v>2438.3136599405002</v>
      </c>
      <c r="AZ61" s="137">
        <v>0</v>
      </c>
      <c r="BA61" s="137">
        <v>2511.9478698377002</v>
      </c>
      <c r="BB61" s="137">
        <v>713.74209477930003</v>
      </c>
      <c r="BC61" s="137">
        <v>1207.4505157019</v>
      </c>
      <c r="BD61" s="137">
        <v>2670.3195366896002</v>
      </c>
      <c r="BE61" s="137">
        <v>7507.4710391156004</v>
      </c>
      <c r="BF61" s="139">
        <v>3640.5994290985</v>
      </c>
      <c r="BG61" s="137">
        <v>365.5694995348</v>
      </c>
      <c r="BH61" s="137">
        <v>2893.5880259496998</v>
      </c>
      <c r="BI61" s="137">
        <v>9636.6119654240993</v>
      </c>
      <c r="BJ61" s="137">
        <v>9534.8704751641999</v>
      </c>
      <c r="BK61" s="137">
        <v>3.9557544061000001</v>
      </c>
      <c r="BL61" s="137">
        <v>418.254256134</v>
      </c>
      <c r="BM61" s="137">
        <v>218.49048465249999</v>
      </c>
      <c r="BN61" s="137">
        <v>6066.7507358343</v>
      </c>
      <c r="BO61" s="137"/>
      <c r="BP61" s="137">
        <v>2643.8364706858001</v>
      </c>
      <c r="BQ61" s="137">
        <v>2407.1023463197998</v>
      </c>
      <c r="BR61" s="139">
        <v>7573.4018909245997</v>
      </c>
      <c r="BS61" s="137">
        <v>2995.6705828342001</v>
      </c>
      <c r="BT61" s="137">
        <v>26122.1009342412</v>
      </c>
      <c r="BU61" s="137">
        <v>12559.8536271513</v>
      </c>
      <c r="BV61" s="137">
        <v>27564.806430484699</v>
      </c>
      <c r="BW61" s="137">
        <v>3426.6761712292</v>
      </c>
      <c r="BX61" s="137">
        <v>50305.849584941498</v>
      </c>
      <c r="BY61" s="137">
        <v>20646.152337914998</v>
      </c>
      <c r="BZ61" s="137">
        <v>9555.3166355496996</v>
      </c>
      <c r="CA61" s="137">
        <v>11381.724682945</v>
      </c>
      <c r="CB61" s="139">
        <v>17415.176874928398</v>
      </c>
      <c r="CC61" s="137">
        <v>21921.1036261156</v>
      </c>
      <c r="CD61" s="137">
        <v>13710.3889004105</v>
      </c>
      <c r="CE61" s="137">
        <v>19750.628003054801</v>
      </c>
      <c r="CF61" s="137">
        <v>132.02297042039999</v>
      </c>
      <c r="CG61" s="137">
        <v>7001.6059416421003</v>
      </c>
      <c r="CH61" s="137">
        <v>2982.4588136552002</v>
      </c>
      <c r="CI61" s="137">
        <v>882.97538220659999</v>
      </c>
      <c r="CJ61" s="137">
        <v>8762.4028419921997</v>
      </c>
      <c r="CK61" s="138">
        <v>8600.4111832252001</v>
      </c>
      <c r="CL61" s="140">
        <v>397044.05</v>
      </c>
    </row>
    <row r="62" spans="1:90">
      <c r="A62" s="80">
        <f>ROWS($A$3:A60)</f>
        <v>58</v>
      </c>
      <c r="B62" s="388" t="s">
        <v>56</v>
      </c>
      <c r="C62" s="393">
        <v>2010</v>
      </c>
      <c r="D62" s="259" t="s">
        <v>13</v>
      </c>
      <c r="E62" s="437">
        <v>40695</v>
      </c>
      <c r="F62" s="116">
        <v>787</v>
      </c>
      <c r="G62" s="137">
        <v>403</v>
      </c>
      <c r="H62" s="137">
        <v>1002</v>
      </c>
      <c r="I62" s="138">
        <v>385</v>
      </c>
      <c r="J62" s="141"/>
      <c r="K62" s="116">
        <f t="shared" si="106"/>
        <v>85</v>
      </c>
      <c r="L62" s="137">
        <f t="shared" si="107"/>
        <v>181</v>
      </c>
      <c r="M62" s="137">
        <f t="shared" si="108"/>
        <v>51</v>
      </c>
      <c r="N62" s="137">
        <f t="shared" si="109"/>
        <v>42</v>
      </c>
      <c r="O62" s="137">
        <f t="shared" si="110"/>
        <v>17</v>
      </c>
      <c r="P62" s="137">
        <f>'2011'!AZ62+'2011'!BA62</f>
        <v>118</v>
      </c>
      <c r="Q62" s="137">
        <f>'2011'!AU62</f>
        <v>29</v>
      </c>
      <c r="R62" s="137">
        <f t="shared" si="111"/>
        <v>51</v>
      </c>
      <c r="S62" s="137">
        <f t="shared" si="112"/>
        <v>43</v>
      </c>
      <c r="T62" s="137">
        <f t="shared" si="113"/>
        <v>77</v>
      </c>
      <c r="U62" s="139">
        <f t="shared" si="113"/>
        <v>93</v>
      </c>
      <c r="V62" s="137">
        <f t="shared" si="114"/>
        <v>80</v>
      </c>
      <c r="W62" s="137">
        <f t="shared" si="115"/>
        <v>49</v>
      </c>
      <c r="X62" s="137">
        <f t="shared" si="116"/>
        <v>54</v>
      </c>
      <c r="Y62" s="137">
        <f t="shared" si="117"/>
        <v>67</v>
      </c>
      <c r="Z62" s="137">
        <f t="shared" si="118"/>
        <v>41</v>
      </c>
      <c r="AA62" s="137">
        <f t="shared" si="119"/>
        <v>50</v>
      </c>
      <c r="AB62" s="139">
        <f t="shared" si="120"/>
        <v>62</v>
      </c>
      <c r="AC62" s="137">
        <f t="shared" si="121"/>
        <v>123</v>
      </c>
      <c r="AD62" s="137">
        <f t="shared" si="122"/>
        <v>77</v>
      </c>
      <c r="AE62" s="137">
        <f t="shared" si="123"/>
        <v>131</v>
      </c>
      <c r="AF62" s="137">
        <f t="shared" si="124"/>
        <v>134</v>
      </c>
      <c r="AG62" s="137">
        <f t="shared" si="125"/>
        <v>139</v>
      </c>
      <c r="AH62" s="137">
        <f t="shared" si="126"/>
        <v>102</v>
      </c>
      <c r="AI62" s="137">
        <f t="shared" si="127"/>
        <v>43</v>
      </c>
      <c r="AJ62" s="137">
        <f t="shared" si="128"/>
        <v>65</v>
      </c>
      <c r="AK62" s="139">
        <f t="shared" si="129"/>
        <v>188</v>
      </c>
      <c r="AL62" s="137">
        <f t="shared" si="130"/>
        <v>41</v>
      </c>
      <c r="AM62" s="137">
        <f t="shared" si="131"/>
        <v>49</v>
      </c>
      <c r="AN62" s="137">
        <f t="shared" si="132"/>
        <v>82</v>
      </c>
      <c r="AO62" s="137">
        <f t="shared" si="133"/>
        <v>47</v>
      </c>
      <c r="AP62" s="137">
        <f t="shared" si="133"/>
        <v>13</v>
      </c>
      <c r="AQ62" s="137">
        <f t="shared" si="134"/>
        <v>66</v>
      </c>
      <c r="AR62" s="137">
        <f t="shared" si="135"/>
        <v>44</v>
      </c>
      <c r="AS62" s="138">
        <f t="shared" si="136"/>
        <v>43</v>
      </c>
      <c r="AT62" s="137">
        <v>4</v>
      </c>
      <c r="AU62" s="137">
        <v>29</v>
      </c>
      <c r="AV62" s="137">
        <v>43</v>
      </c>
      <c r="AW62" s="137">
        <v>42</v>
      </c>
      <c r="AX62" s="137">
        <v>47</v>
      </c>
      <c r="AY62" s="137">
        <v>181</v>
      </c>
      <c r="AZ62" s="137">
        <v>8</v>
      </c>
      <c r="BA62" s="137">
        <v>110</v>
      </c>
      <c r="BB62" s="137">
        <v>77</v>
      </c>
      <c r="BC62" s="137">
        <v>93</v>
      </c>
      <c r="BD62" s="137">
        <v>51</v>
      </c>
      <c r="BE62" s="137">
        <v>17</v>
      </c>
      <c r="BF62" s="139">
        <v>85</v>
      </c>
      <c r="BG62" s="137">
        <v>10</v>
      </c>
      <c r="BH62" s="137">
        <v>4</v>
      </c>
      <c r="BI62" s="137">
        <v>50</v>
      </c>
      <c r="BJ62" s="137">
        <v>70</v>
      </c>
      <c r="BK62" s="137">
        <v>9</v>
      </c>
      <c r="BL62" s="137">
        <v>3</v>
      </c>
      <c r="BM62" s="137">
        <v>41</v>
      </c>
      <c r="BN62" s="137">
        <v>55</v>
      </c>
      <c r="BO62" s="137">
        <v>7</v>
      </c>
      <c r="BP62" s="137">
        <v>62</v>
      </c>
      <c r="BQ62" s="137">
        <v>43</v>
      </c>
      <c r="BR62" s="139">
        <v>49</v>
      </c>
      <c r="BS62" s="137">
        <v>9</v>
      </c>
      <c r="BT62" s="137">
        <v>122</v>
      </c>
      <c r="BU62" s="137">
        <v>77</v>
      </c>
      <c r="BV62" s="137">
        <v>139</v>
      </c>
      <c r="BW62" s="137">
        <v>43</v>
      </c>
      <c r="BX62" s="137">
        <v>123</v>
      </c>
      <c r="BY62" s="137">
        <v>65</v>
      </c>
      <c r="BZ62" s="137">
        <v>102</v>
      </c>
      <c r="CA62" s="137">
        <v>134</v>
      </c>
      <c r="CB62" s="139">
        <v>188</v>
      </c>
      <c r="CC62" s="137">
        <v>47</v>
      </c>
      <c r="CD62" s="137">
        <v>13</v>
      </c>
      <c r="CE62" s="137">
        <v>41</v>
      </c>
      <c r="CF62" s="137">
        <v>3</v>
      </c>
      <c r="CG62" s="137">
        <v>40</v>
      </c>
      <c r="CH62" s="137">
        <v>49</v>
      </c>
      <c r="CI62" s="137">
        <v>44</v>
      </c>
      <c r="CJ62" s="137">
        <v>82</v>
      </c>
      <c r="CK62" s="138">
        <v>66</v>
      </c>
      <c r="CL62" s="140">
        <v>2577</v>
      </c>
    </row>
    <row r="63" spans="1:90">
      <c r="A63" s="80">
        <f>ROWS($A$3:A61)</f>
        <v>59</v>
      </c>
      <c r="B63" s="92"/>
      <c r="C63" s="203"/>
      <c r="D63" s="259" t="s">
        <v>1</v>
      </c>
      <c r="E63" s="435"/>
      <c r="F63" s="116">
        <v>281340</v>
      </c>
      <c r="G63" s="137">
        <v>198590</v>
      </c>
      <c r="H63" s="137">
        <v>152061</v>
      </c>
      <c r="I63" s="138">
        <v>300773</v>
      </c>
      <c r="J63" s="141"/>
      <c r="K63" s="116">
        <f t="shared" si="106"/>
        <v>39949</v>
      </c>
      <c r="L63" s="137">
        <f t="shared" si="107"/>
        <v>7799</v>
      </c>
      <c r="M63" s="137">
        <f t="shared" si="108"/>
        <v>51768</v>
      </c>
      <c r="N63" s="137">
        <f t="shared" si="109"/>
        <v>21225</v>
      </c>
      <c r="O63" s="137">
        <f t="shared" si="110"/>
        <v>59293</v>
      </c>
      <c r="P63" s="137">
        <f>'2011'!AZ63+'2011'!BA63</f>
        <v>27440</v>
      </c>
      <c r="Q63" s="137">
        <f>'2011'!AU63</f>
        <v>26703</v>
      </c>
      <c r="R63" s="137">
        <f t="shared" si="111"/>
        <v>17224</v>
      </c>
      <c r="S63" s="137">
        <f t="shared" si="112"/>
        <v>9237</v>
      </c>
      <c r="T63" s="137">
        <f t="shared" si="113"/>
        <v>13258</v>
      </c>
      <c r="U63" s="139">
        <f t="shared" si="113"/>
        <v>7444</v>
      </c>
      <c r="V63" s="137">
        <f t="shared" si="114"/>
        <v>19319</v>
      </c>
      <c r="W63" s="137">
        <f t="shared" si="115"/>
        <v>16339</v>
      </c>
      <c r="X63" s="137">
        <f t="shared" si="116"/>
        <v>43301</v>
      </c>
      <c r="Y63" s="137">
        <f t="shared" si="117"/>
        <v>41183</v>
      </c>
      <c r="Z63" s="137">
        <f t="shared" si="118"/>
        <v>29380</v>
      </c>
      <c r="AA63" s="137">
        <f t="shared" si="119"/>
        <v>26209</v>
      </c>
      <c r="AB63" s="139">
        <f t="shared" si="120"/>
        <v>22860</v>
      </c>
      <c r="AC63" s="137">
        <f t="shared" si="121"/>
        <v>17562</v>
      </c>
      <c r="AD63" s="137">
        <f t="shared" si="122"/>
        <v>8039</v>
      </c>
      <c r="AE63" s="137">
        <f t="shared" si="123"/>
        <v>19005</v>
      </c>
      <c r="AF63" s="137">
        <f t="shared" si="124"/>
        <v>10140</v>
      </c>
      <c r="AG63" s="137">
        <f t="shared" si="125"/>
        <v>18925</v>
      </c>
      <c r="AH63" s="137">
        <f t="shared" si="126"/>
        <v>24693</v>
      </c>
      <c r="AI63" s="137">
        <f t="shared" si="127"/>
        <v>17872</v>
      </c>
      <c r="AJ63" s="137">
        <f t="shared" si="128"/>
        <v>14632</v>
      </c>
      <c r="AK63" s="139">
        <f t="shared" si="129"/>
        <v>21193</v>
      </c>
      <c r="AL63" s="137">
        <f t="shared" si="130"/>
        <v>30522</v>
      </c>
      <c r="AM63" s="137">
        <f t="shared" si="131"/>
        <v>26135</v>
      </c>
      <c r="AN63" s="137">
        <f t="shared" si="132"/>
        <v>20579</v>
      </c>
      <c r="AO63" s="137">
        <f t="shared" si="133"/>
        <v>65501</v>
      </c>
      <c r="AP63" s="137">
        <f t="shared" si="133"/>
        <v>12089</v>
      </c>
      <c r="AQ63" s="137">
        <f t="shared" si="134"/>
        <v>43410</v>
      </c>
      <c r="AR63" s="137">
        <f t="shared" si="135"/>
        <v>8478</v>
      </c>
      <c r="AS63" s="138">
        <f t="shared" si="136"/>
        <v>94058</v>
      </c>
      <c r="AT63" s="137">
        <v>1265</v>
      </c>
      <c r="AU63" s="137">
        <v>26703</v>
      </c>
      <c r="AV63" s="137">
        <v>9237</v>
      </c>
      <c r="AW63" s="137">
        <v>21225</v>
      </c>
      <c r="AX63" s="137">
        <v>15959</v>
      </c>
      <c r="AY63" s="137">
        <v>7799</v>
      </c>
      <c r="AZ63" s="137">
        <v>2749</v>
      </c>
      <c r="BA63" s="137">
        <v>24691</v>
      </c>
      <c r="BB63" s="137">
        <v>13258</v>
      </c>
      <c r="BC63" s="137">
        <v>7444</v>
      </c>
      <c r="BD63" s="137">
        <v>51768</v>
      </c>
      <c r="BE63" s="137">
        <v>59293</v>
      </c>
      <c r="BF63" s="139">
        <v>39949</v>
      </c>
      <c r="BG63" s="137">
        <v>3662</v>
      </c>
      <c r="BH63" s="137">
        <v>6757</v>
      </c>
      <c r="BI63" s="137">
        <v>36544</v>
      </c>
      <c r="BJ63" s="137">
        <v>15657</v>
      </c>
      <c r="BK63" s="137">
        <v>4245</v>
      </c>
      <c r="BL63" s="137">
        <v>2329</v>
      </c>
      <c r="BM63" s="137">
        <v>29380</v>
      </c>
      <c r="BN63" s="137">
        <v>34609</v>
      </c>
      <c r="BO63" s="137">
        <v>3968</v>
      </c>
      <c r="BP63" s="137">
        <v>22860</v>
      </c>
      <c r="BQ63" s="137">
        <v>22241</v>
      </c>
      <c r="BR63" s="139">
        <v>16339</v>
      </c>
      <c r="BS63" s="137">
        <v>1786</v>
      </c>
      <c r="BT63" s="137">
        <v>17219</v>
      </c>
      <c r="BU63" s="137">
        <v>8039</v>
      </c>
      <c r="BV63" s="137">
        <v>18925</v>
      </c>
      <c r="BW63" s="137">
        <v>17872</v>
      </c>
      <c r="BX63" s="137">
        <v>17562</v>
      </c>
      <c r="BY63" s="137">
        <v>14632</v>
      </c>
      <c r="BZ63" s="137">
        <v>24693</v>
      </c>
      <c r="CA63" s="137">
        <v>10140</v>
      </c>
      <c r="CB63" s="139">
        <v>21193</v>
      </c>
      <c r="CC63" s="137">
        <v>65501</v>
      </c>
      <c r="CD63" s="137">
        <v>12089</v>
      </c>
      <c r="CE63" s="137">
        <v>30522</v>
      </c>
      <c r="CF63" s="137">
        <v>827</v>
      </c>
      <c r="CG63" s="137">
        <v>93231</v>
      </c>
      <c r="CH63" s="137">
        <v>26135</v>
      </c>
      <c r="CI63" s="137">
        <v>8478</v>
      </c>
      <c r="CJ63" s="137">
        <v>20579</v>
      </c>
      <c r="CK63" s="138">
        <v>43410</v>
      </c>
      <c r="CL63" s="140">
        <v>932763</v>
      </c>
    </row>
    <row r="64" spans="1:90">
      <c r="A64" s="80">
        <f>ROWS($A$3:A62)</f>
        <v>60</v>
      </c>
      <c r="B64" s="59" t="s">
        <v>80</v>
      </c>
      <c r="C64" s="203"/>
      <c r="D64" s="259"/>
      <c r="E64" s="435"/>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v>11660</v>
      </c>
      <c r="AW65" s="493">
        <v>21550</v>
      </c>
      <c r="AX65" s="493">
        <v>184</v>
      </c>
      <c r="AY65" s="493">
        <v>17583</v>
      </c>
      <c r="AZ65" s="493">
        <v>0</v>
      </c>
      <c r="BA65" s="493">
        <v>4301</v>
      </c>
      <c r="BB65" s="493">
        <v>20868</v>
      </c>
      <c r="BC65" s="493">
        <v>72802</v>
      </c>
      <c r="BD65" s="493">
        <v>44936</v>
      </c>
      <c r="BE65" s="493">
        <v>13465</v>
      </c>
      <c r="BF65" s="510">
        <v>64713</v>
      </c>
      <c r="BG65" s="493">
        <v>0</v>
      </c>
      <c r="BH65" s="493">
        <v>0</v>
      </c>
      <c r="BI65" s="493">
        <v>1416</v>
      </c>
      <c r="BJ65" s="493">
        <v>1994</v>
      </c>
      <c r="BK65" s="493">
        <v>0</v>
      </c>
      <c r="BL65" s="493">
        <v>0</v>
      </c>
      <c r="BM65" s="493">
        <v>29776</v>
      </c>
      <c r="BN65" s="493">
        <v>2994</v>
      </c>
      <c r="BO65" s="493">
        <v>0</v>
      </c>
      <c r="BP65" s="493">
        <v>11776</v>
      </c>
      <c r="BQ65" s="493">
        <v>7224</v>
      </c>
      <c r="BR65" s="510">
        <v>16365</v>
      </c>
      <c r="BS65" s="493">
        <v>0</v>
      </c>
      <c r="BT65" s="493">
        <v>25848</v>
      </c>
      <c r="BU65" s="493">
        <v>10282</v>
      </c>
      <c r="BV65" s="493">
        <v>23805</v>
      </c>
      <c r="BW65" s="493">
        <v>31285</v>
      </c>
      <c r="BX65" s="493">
        <v>38054</v>
      </c>
      <c r="BY65" s="493">
        <v>24640</v>
      </c>
      <c r="BZ65" s="493">
        <v>19530</v>
      </c>
      <c r="CA65" s="493">
        <v>14169</v>
      </c>
      <c r="CB65" s="510">
        <v>40181</v>
      </c>
      <c r="CC65" s="493">
        <v>40988</v>
      </c>
      <c r="CD65" s="493">
        <v>10760</v>
      </c>
      <c r="CE65" s="493">
        <v>33810</v>
      </c>
      <c r="CF65" s="493">
        <v>0</v>
      </c>
      <c r="CG65" s="493">
        <v>34239</v>
      </c>
      <c r="CH65" s="493">
        <v>10710</v>
      </c>
      <c r="CI65" s="493">
        <v>8198</v>
      </c>
      <c r="CJ65" s="493">
        <v>52208</v>
      </c>
      <c r="CK65" s="509">
        <v>40571</v>
      </c>
      <c r="CL65" s="511">
        <v>815447</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2011</v>
      </c>
      <c r="D67" s="260" t="s">
        <v>3</v>
      </c>
      <c r="E67" s="483">
        <v>42909</v>
      </c>
      <c r="F67" s="526">
        <f>IF(F65/F35%&gt;100,100,F65/F35%)</f>
        <v>61.112689822050569</v>
      </c>
      <c r="G67" s="523">
        <f t="shared" ref="G67:BR67" si="137">IF(G65/G35%&gt;100,100,G65/G35%)</f>
        <v>35.529478367963129</v>
      </c>
      <c r="H67" s="523">
        <f t="shared" si="137"/>
        <v>71.572789055798708</v>
      </c>
      <c r="I67" s="525">
        <f t="shared" si="137"/>
        <v>54.359766765217678</v>
      </c>
      <c r="J67" s="173"/>
      <c r="K67" s="170">
        <f t="shared" si="137"/>
        <v>100</v>
      </c>
      <c r="L67" s="171">
        <f t="shared" si="137"/>
        <v>68.963759021022909</v>
      </c>
      <c r="M67" s="171">
        <f t="shared" si="137"/>
        <v>66.03768039267554</v>
      </c>
      <c r="N67" s="171">
        <f t="shared" si="137"/>
        <v>76.619497973405387</v>
      </c>
      <c r="O67" s="171">
        <f t="shared" si="137"/>
        <v>51.412752959144719</v>
      </c>
      <c r="P67" s="171">
        <f t="shared" si="137"/>
        <v>12.537349835505964</v>
      </c>
      <c r="Q67" s="171">
        <f t="shared" si="137"/>
        <v>60.029989512716028</v>
      </c>
      <c r="R67" s="171">
        <f t="shared" si="137"/>
        <v>0.53076412726800704</v>
      </c>
      <c r="S67" s="171">
        <f t="shared" si="137"/>
        <v>59.389802882901236</v>
      </c>
      <c r="T67" s="171">
        <f t="shared" si="137"/>
        <v>50.619769557307457</v>
      </c>
      <c r="U67" s="172">
        <f t="shared" si="137"/>
        <v>95.361722751267308</v>
      </c>
      <c r="V67" s="171">
        <f t="shared" si="137"/>
        <v>12.441504960379358</v>
      </c>
      <c r="W67" s="171">
        <f t="shared" si="137"/>
        <v>86.523210320397595</v>
      </c>
      <c r="X67" s="171">
        <f t="shared" si="137"/>
        <v>3.5476273989076517</v>
      </c>
      <c r="Y67" s="171">
        <f t="shared" si="137"/>
        <v>6.9982703005937079</v>
      </c>
      <c r="Z67" s="171">
        <f t="shared" si="137"/>
        <v>64.279083824450055</v>
      </c>
      <c r="AA67" s="171">
        <f t="shared" si="137"/>
        <v>35.840444532645364</v>
      </c>
      <c r="AB67" s="172">
        <f t="shared" si="137"/>
        <v>68.258752608393223</v>
      </c>
      <c r="AC67" s="171">
        <f t="shared" si="137"/>
        <v>98.004069123593183</v>
      </c>
      <c r="AD67" s="171">
        <f t="shared" si="137"/>
        <v>46.097287603676307</v>
      </c>
      <c r="AE67" s="171">
        <f t="shared" si="137"/>
        <v>49.570420374347954</v>
      </c>
      <c r="AF67" s="171">
        <f t="shared" si="137"/>
        <v>61.210471747019184</v>
      </c>
      <c r="AG67" s="171">
        <f t="shared" si="137"/>
        <v>42.891891891891895</v>
      </c>
      <c r="AH67" s="171">
        <f t="shared" si="137"/>
        <v>58.030010399643437</v>
      </c>
      <c r="AI67" s="171">
        <f t="shared" si="137"/>
        <v>100</v>
      </c>
      <c r="AJ67" s="171">
        <f t="shared" si="137"/>
        <v>100</v>
      </c>
      <c r="AK67" s="172">
        <f t="shared" si="137"/>
        <v>100</v>
      </c>
      <c r="AL67" s="171">
        <f t="shared" si="137"/>
        <v>99.687463144238706</v>
      </c>
      <c r="AM67" s="171">
        <f t="shared" si="137"/>
        <v>14.030812765288475</v>
      </c>
      <c r="AN67" s="171">
        <f t="shared" si="137"/>
        <v>60.554885404101327</v>
      </c>
      <c r="AO67" s="171">
        <f t="shared" si="137"/>
        <v>96.037864054921613</v>
      </c>
      <c r="AP67" s="171">
        <f t="shared" si="137"/>
        <v>53.550987906236003</v>
      </c>
      <c r="AQ67" s="171">
        <f t="shared" si="137"/>
        <v>74.444933759037028</v>
      </c>
      <c r="AR67" s="171">
        <f t="shared" si="137"/>
        <v>24.559616536848413</v>
      </c>
      <c r="AS67" s="174">
        <f t="shared" si="137"/>
        <v>43.494112117478181</v>
      </c>
      <c r="AT67" s="523">
        <f t="shared" si="137"/>
        <v>0</v>
      </c>
      <c r="AU67" s="523">
        <f t="shared" si="137"/>
        <v>53.563333031099823</v>
      </c>
      <c r="AV67" s="523">
        <f t="shared" si="137"/>
        <v>59.389802882901236</v>
      </c>
      <c r="AW67" s="523">
        <f t="shared" si="137"/>
        <v>76.619497973405387</v>
      </c>
      <c r="AX67" s="523">
        <f t="shared" si="137"/>
        <v>0.57203258098613441</v>
      </c>
      <c r="AY67" s="523">
        <f t="shared" si="137"/>
        <v>68.963759021022909</v>
      </c>
      <c r="AZ67" s="523">
        <f t="shared" si="137"/>
        <v>0</v>
      </c>
      <c r="BA67" s="523">
        <f t="shared" si="137"/>
        <v>7.9801840581861354</v>
      </c>
      <c r="BB67" s="523">
        <f t="shared" si="137"/>
        <v>50.619769557307457</v>
      </c>
      <c r="BC67" s="523">
        <f t="shared" si="137"/>
        <v>95.361722751267308</v>
      </c>
      <c r="BD67" s="523">
        <f t="shared" si="137"/>
        <v>66.03768039267554</v>
      </c>
      <c r="BE67" s="523">
        <f t="shared" si="137"/>
        <v>51.412752959144719</v>
      </c>
      <c r="BF67" s="524">
        <f t="shared" si="137"/>
        <v>100</v>
      </c>
      <c r="BG67" s="523">
        <f t="shared" si="137"/>
        <v>0</v>
      </c>
      <c r="BH67" s="523">
        <f t="shared" si="137"/>
        <v>0</v>
      </c>
      <c r="BI67" s="523">
        <f t="shared" si="137"/>
        <v>3.7865012300780836</v>
      </c>
      <c r="BJ67" s="523">
        <f t="shared" si="137"/>
        <v>13.742246726395591</v>
      </c>
      <c r="BK67" s="523">
        <f t="shared" si="137"/>
        <v>0</v>
      </c>
      <c r="BL67" s="523">
        <f t="shared" si="137"/>
        <v>0</v>
      </c>
      <c r="BM67" s="523">
        <f t="shared" si="137"/>
        <v>64.279083824450055</v>
      </c>
      <c r="BN67" s="523">
        <f t="shared" si="137"/>
        <v>7.8588865264981491</v>
      </c>
      <c r="BO67" s="523">
        <f t="shared" si="137"/>
        <v>0</v>
      </c>
      <c r="BP67" s="523">
        <f t="shared" si="137"/>
        <v>68.258752608393223</v>
      </c>
      <c r="BQ67" s="523">
        <f t="shared" si="137"/>
        <v>37.748863458222289</v>
      </c>
      <c r="BR67" s="524">
        <f t="shared" si="137"/>
        <v>86.523210320397595</v>
      </c>
      <c r="BS67" s="523">
        <f t="shared" ref="BS67:CL67" si="138">IF(BS65/BS35%&gt;100,100,BS65/BS35%)</f>
        <v>0</v>
      </c>
      <c r="BT67" s="523">
        <f t="shared" si="138"/>
        <v>53.078155160376191</v>
      </c>
      <c r="BU67" s="523">
        <f t="shared" si="138"/>
        <v>46.097287603676307</v>
      </c>
      <c r="BV67" s="523">
        <f t="shared" si="138"/>
        <v>42.891891891891895</v>
      </c>
      <c r="BW67" s="523">
        <f t="shared" si="138"/>
        <v>100</v>
      </c>
      <c r="BX67" s="523">
        <f t="shared" si="138"/>
        <v>98.004069123593183</v>
      </c>
      <c r="BY67" s="523">
        <f t="shared" si="138"/>
        <v>100</v>
      </c>
      <c r="BZ67" s="523">
        <f t="shared" si="138"/>
        <v>58.030010399643437</v>
      </c>
      <c r="CA67" s="523">
        <f t="shared" si="138"/>
        <v>61.210471747019184</v>
      </c>
      <c r="CB67" s="524">
        <f t="shared" si="138"/>
        <v>100</v>
      </c>
      <c r="CC67" s="523">
        <f t="shared" si="138"/>
        <v>96.037864054921613</v>
      </c>
      <c r="CD67" s="523">
        <f t="shared" si="138"/>
        <v>53.550987906236003</v>
      </c>
      <c r="CE67" s="523">
        <f t="shared" si="138"/>
        <v>99.687463144238706</v>
      </c>
      <c r="CF67" s="523">
        <f t="shared" si="138"/>
        <v>0</v>
      </c>
      <c r="CG67" s="523">
        <f t="shared" si="138"/>
        <v>46.252043173436718</v>
      </c>
      <c r="CH67" s="523">
        <f t="shared" si="138"/>
        <v>14.030812765288475</v>
      </c>
      <c r="CI67" s="523">
        <f t="shared" si="138"/>
        <v>24.559616536848413</v>
      </c>
      <c r="CJ67" s="523">
        <f t="shared" si="138"/>
        <v>60.554885404101327</v>
      </c>
      <c r="CK67" s="525">
        <f t="shared" si="138"/>
        <v>74.444933759037028</v>
      </c>
      <c r="CL67" s="478">
        <f t="shared" si="138"/>
        <v>57.83361276833562</v>
      </c>
    </row>
    <row r="68" spans="1:90">
      <c r="A68" s="80">
        <f>ROWS($A$3:A66)</f>
        <v>64</v>
      </c>
      <c r="B68" s="59" t="s">
        <v>81</v>
      </c>
      <c r="C68" s="203"/>
      <c r="D68" s="259"/>
      <c r="E68" s="437">
        <v>42572</v>
      </c>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306</v>
      </c>
      <c r="C69" s="202">
        <v>2011</v>
      </c>
      <c r="D69" s="259" t="s">
        <v>13</v>
      </c>
      <c r="E69" s="435"/>
      <c r="F69" s="116">
        <v>683</v>
      </c>
      <c r="G69" s="137">
        <v>207</v>
      </c>
      <c r="H69" s="137">
        <v>996</v>
      </c>
      <c r="I69" s="138">
        <v>778</v>
      </c>
      <c r="J69" s="141"/>
      <c r="K69" s="116">
        <f>BF69</f>
        <v>95</v>
      </c>
      <c r="L69" s="137">
        <f>AY69</f>
        <v>66</v>
      </c>
      <c r="M69" s="137">
        <f>BD69</f>
        <v>89</v>
      </c>
      <c r="N69" s="137">
        <f>AW69</f>
        <v>35</v>
      </c>
      <c r="O69" s="137">
        <f>BE69</f>
        <v>54</v>
      </c>
      <c r="P69" s="137">
        <f>SUM(AZ69,BA69)</f>
        <v>65</v>
      </c>
      <c r="Q69" s="137">
        <f>'2010'!AU69</f>
        <v>29</v>
      </c>
      <c r="R69" s="137">
        <f>SUM(AT69+AX69)</f>
        <v>43</v>
      </c>
      <c r="S69" s="137">
        <f>AV69</f>
        <v>36</v>
      </c>
      <c r="T69" s="137">
        <f>BB69</f>
        <v>39</v>
      </c>
      <c r="U69" s="139">
        <f>BC69</f>
        <v>135</v>
      </c>
      <c r="V69" s="137">
        <f>SUM(BG69,BJ69)</f>
        <v>14</v>
      </c>
      <c r="W69" s="137">
        <f>BR69</f>
        <v>35</v>
      </c>
      <c r="X69" s="137">
        <f>SUM(BH69,BI69)</f>
        <v>32</v>
      </c>
      <c r="Y69" s="137">
        <f>SUM(BK69,BL69,BN69)</f>
        <v>29</v>
      </c>
      <c r="Z69" s="137">
        <f>BM69</f>
        <v>34</v>
      </c>
      <c r="AA69" s="137">
        <f>SUM(BO69,BQ69)</f>
        <v>35</v>
      </c>
      <c r="AB69" s="139">
        <f>BP69</f>
        <v>28</v>
      </c>
      <c r="AC69" s="137">
        <f>BX69</f>
        <v>112</v>
      </c>
      <c r="AD69" s="137">
        <f>BU69</f>
        <v>73</v>
      </c>
      <c r="AE69" s="137">
        <f>SUM(BS69+BT69)</f>
        <v>262</v>
      </c>
      <c r="AF69" s="137">
        <f>CA69</f>
        <v>99</v>
      </c>
      <c r="AG69" s="137">
        <f>BV69</f>
        <v>118</v>
      </c>
      <c r="AH69" s="137">
        <f>BZ69</f>
        <v>64</v>
      </c>
      <c r="AI69" s="137">
        <f>BW69</f>
        <v>48</v>
      </c>
      <c r="AJ69" s="137">
        <f>BY69</f>
        <v>39</v>
      </c>
      <c r="AK69" s="139">
        <f>CB69</f>
        <v>181</v>
      </c>
      <c r="AL69" s="137">
        <f>CE69</f>
        <v>69</v>
      </c>
      <c r="AM69" s="137">
        <f>CH69</f>
        <v>72</v>
      </c>
      <c r="AN69" s="137">
        <f>CJ69</f>
        <v>277</v>
      </c>
      <c r="AO69" s="137">
        <f>CC69</f>
        <v>84</v>
      </c>
      <c r="AP69" s="137">
        <f>CD69</f>
        <v>40</v>
      </c>
      <c r="AQ69" s="137">
        <f>CK69</f>
        <v>55</v>
      </c>
      <c r="AR69" s="137">
        <f>CI69</f>
        <v>103</v>
      </c>
      <c r="AS69" s="138">
        <f>SUM(CF69:CG69)</f>
        <v>78</v>
      </c>
      <c r="AT69" s="137">
        <v>0</v>
      </c>
      <c r="AU69" s="137">
        <v>26</v>
      </c>
      <c r="AV69" s="137">
        <v>36</v>
      </c>
      <c r="AW69" s="137">
        <v>35</v>
      </c>
      <c r="AX69" s="137">
        <v>43</v>
      </c>
      <c r="AY69" s="137">
        <v>66</v>
      </c>
      <c r="AZ69" s="137">
        <v>0</v>
      </c>
      <c r="BA69" s="137">
        <v>65</v>
      </c>
      <c r="BB69" s="137">
        <v>39</v>
      </c>
      <c r="BC69" s="137">
        <v>135</v>
      </c>
      <c r="BD69" s="137">
        <v>89</v>
      </c>
      <c r="BE69" s="137">
        <v>54</v>
      </c>
      <c r="BF69" s="139">
        <v>95</v>
      </c>
      <c r="BG69" s="137">
        <v>0</v>
      </c>
      <c r="BH69" s="137">
        <v>0</v>
      </c>
      <c r="BI69" s="137">
        <v>32</v>
      </c>
      <c r="BJ69" s="137">
        <v>14</v>
      </c>
      <c r="BK69" s="137">
        <v>0</v>
      </c>
      <c r="BL69" s="137">
        <v>0</v>
      </c>
      <c r="BM69" s="137">
        <v>34</v>
      </c>
      <c r="BN69" s="137">
        <v>29</v>
      </c>
      <c r="BO69" s="137">
        <v>0</v>
      </c>
      <c r="BP69" s="137">
        <v>28</v>
      </c>
      <c r="BQ69" s="137">
        <v>35</v>
      </c>
      <c r="BR69" s="139">
        <v>35</v>
      </c>
      <c r="BS69" s="137">
        <v>0</v>
      </c>
      <c r="BT69" s="137">
        <v>262</v>
      </c>
      <c r="BU69" s="137">
        <v>73</v>
      </c>
      <c r="BV69" s="137">
        <v>118</v>
      </c>
      <c r="BW69" s="137">
        <v>48</v>
      </c>
      <c r="BX69" s="137">
        <v>112</v>
      </c>
      <c r="BY69" s="137">
        <v>39</v>
      </c>
      <c r="BZ69" s="137">
        <v>64</v>
      </c>
      <c r="CA69" s="137">
        <v>99</v>
      </c>
      <c r="CB69" s="139">
        <v>181</v>
      </c>
      <c r="CC69" s="137">
        <v>84</v>
      </c>
      <c r="CD69" s="137">
        <v>40</v>
      </c>
      <c r="CE69" s="137">
        <v>69</v>
      </c>
      <c r="CF69" s="137">
        <v>0</v>
      </c>
      <c r="CG69" s="137">
        <v>78</v>
      </c>
      <c r="CH69" s="137">
        <v>72</v>
      </c>
      <c r="CI69" s="137">
        <v>103</v>
      </c>
      <c r="CJ69" s="137">
        <v>277</v>
      </c>
      <c r="CK69" s="138">
        <v>55</v>
      </c>
      <c r="CL69" s="140">
        <f>SUM(AT69:CK69)</f>
        <v>2664</v>
      </c>
    </row>
    <row r="70" spans="1:90">
      <c r="A70" s="80">
        <f>ROWS($A$3:A68)</f>
        <v>66</v>
      </c>
      <c r="B70" s="92" t="s">
        <v>70</v>
      </c>
      <c r="C70" s="252"/>
      <c r="D70" s="259" t="s">
        <v>1</v>
      </c>
      <c r="E70" s="435"/>
      <c r="F70" s="302">
        <v>25494</v>
      </c>
      <c r="G70" s="141">
        <v>9469</v>
      </c>
      <c r="H70" s="141">
        <v>32134</v>
      </c>
      <c r="I70" s="298">
        <v>31299</v>
      </c>
      <c r="J70" s="141"/>
      <c r="K70" s="116">
        <f>BF70</f>
        <v>3188</v>
      </c>
      <c r="L70" s="137">
        <f>AY70</f>
        <v>2297</v>
      </c>
      <c r="M70" s="137">
        <f>BD70</f>
        <v>3654</v>
      </c>
      <c r="N70" s="137">
        <f>AW70</f>
        <v>1493</v>
      </c>
      <c r="O70" s="137">
        <f>BE70</f>
        <v>2576</v>
      </c>
      <c r="P70" s="137">
        <f>SUM(AZ70,BA70)</f>
        <v>1929</v>
      </c>
      <c r="Q70" s="137">
        <f>'2010'!AU70</f>
        <v>1115</v>
      </c>
      <c r="R70" s="137">
        <f>SUM(AT70+AX70)</f>
        <v>1357</v>
      </c>
      <c r="S70" s="137">
        <f>AV70</f>
        <v>1371</v>
      </c>
      <c r="T70" s="137">
        <f>BB70</f>
        <v>1730</v>
      </c>
      <c r="U70" s="139">
        <f>BC70</f>
        <v>4770</v>
      </c>
      <c r="V70" s="137">
        <f>SUM(BG70,BJ70)</f>
        <v>430</v>
      </c>
      <c r="W70" s="137">
        <f>BR70</f>
        <v>1563</v>
      </c>
      <c r="X70" s="137">
        <f>SUM(BH70,BI70)</f>
        <v>1351</v>
      </c>
      <c r="Y70" s="137">
        <f>SUM(BK70,BL70,BN70)</f>
        <v>1334</v>
      </c>
      <c r="Z70" s="137">
        <f>BM70</f>
        <v>1614</v>
      </c>
      <c r="AA70" s="137">
        <f>SUM(BO70,BQ70)</f>
        <v>2046</v>
      </c>
      <c r="AB70" s="139">
        <f>BP70</f>
        <v>1131</v>
      </c>
      <c r="AC70" s="137">
        <f>BX70</f>
        <v>3762</v>
      </c>
      <c r="AD70" s="137">
        <f>BU70</f>
        <v>1282</v>
      </c>
      <c r="AE70" s="137">
        <f>SUM(BS70+BT70)</f>
        <v>7001</v>
      </c>
      <c r="AF70" s="137">
        <f>CA70</f>
        <v>2998</v>
      </c>
      <c r="AG70" s="137">
        <f>BV70</f>
        <v>3098</v>
      </c>
      <c r="AH70" s="137">
        <f>BZ70</f>
        <v>3054</v>
      </c>
      <c r="AI70" s="137">
        <f>BW70</f>
        <v>1634</v>
      </c>
      <c r="AJ70" s="137">
        <f>BY70</f>
        <v>2487</v>
      </c>
      <c r="AK70" s="139">
        <f>CB70</f>
        <v>6818</v>
      </c>
      <c r="AL70" s="137">
        <f>CE70</f>
        <v>3951</v>
      </c>
      <c r="AM70" s="137">
        <f>CH70</f>
        <v>3295</v>
      </c>
      <c r="AN70" s="137">
        <f>CJ70</f>
        <v>8764</v>
      </c>
      <c r="AO70" s="137">
        <f>CC70</f>
        <v>3514</v>
      </c>
      <c r="AP70" s="137">
        <f>CD70</f>
        <v>2675</v>
      </c>
      <c r="AQ70" s="137">
        <f>CK70</f>
        <v>3124</v>
      </c>
      <c r="AR70" s="137">
        <f>CI70</f>
        <v>2878</v>
      </c>
      <c r="AS70" s="138">
        <f>SUM(CF70:CG70)</f>
        <v>3098</v>
      </c>
      <c r="AT70" s="141">
        <v>0</v>
      </c>
      <c r="AU70" s="141">
        <v>1129</v>
      </c>
      <c r="AV70" s="141">
        <v>1371</v>
      </c>
      <c r="AW70" s="141">
        <v>1493</v>
      </c>
      <c r="AX70" s="141">
        <v>1357</v>
      </c>
      <c r="AY70" s="141">
        <v>2297</v>
      </c>
      <c r="AZ70" s="141">
        <v>0</v>
      </c>
      <c r="BA70" s="141">
        <v>1929</v>
      </c>
      <c r="BB70" s="141">
        <v>1730</v>
      </c>
      <c r="BC70" s="141">
        <v>4770</v>
      </c>
      <c r="BD70" s="141">
        <v>3654</v>
      </c>
      <c r="BE70" s="141">
        <v>2576</v>
      </c>
      <c r="BF70" s="297">
        <v>3188</v>
      </c>
      <c r="BG70" s="141">
        <v>0</v>
      </c>
      <c r="BH70" s="141">
        <v>0</v>
      </c>
      <c r="BI70" s="141">
        <v>1351</v>
      </c>
      <c r="BJ70" s="141">
        <v>430</v>
      </c>
      <c r="BK70" s="141">
        <v>0</v>
      </c>
      <c r="BL70" s="141">
        <v>0</v>
      </c>
      <c r="BM70" s="141">
        <v>1614</v>
      </c>
      <c r="BN70" s="141">
        <v>1334</v>
      </c>
      <c r="BO70" s="141">
        <v>0</v>
      </c>
      <c r="BP70" s="141">
        <v>1131</v>
      </c>
      <c r="BQ70" s="141">
        <v>2046</v>
      </c>
      <c r="BR70" s="297">
        <v>1563</v>
      </c>
      <c r="BS70" s="141">
        <v>0</v>
      </c>
      <c r="BT70" s="141">
        <v>7001</v>
      </c>
      <c r="BU70" s="141">
        <v>1282</v>
      </c>
      <c r="BV70" s="141">
        <v>3098</v>
      </c>
      <c r="BW70" s="141">
        <v>1634</v>
      </c>
      <c r="BX70" s="141">
        <v>3762</v>
      </c>
      <c r="BY70" s="141">
        <v>2487</v>
      </c>
      <c r="BZ70" s="141">
        <v>3054</v>
      </c>
      <c r="CA70" s="141">
        <v>2998</v>
      </c>
      <c r="CB70" s="297">
        <v>6818</v>
      </c>
      <c r="CC70" s="141">
        <v>3514</v>
      </c>
      <c r="CD70" s="141">
        <v>2675</v>
      </c>
      <c r="CE70" s="141">
        <v>3951</v>
      </c>
      <c r="CF70" s="137">
        <v>0</v>
      </c>
      <c r="CG70" s="141">
        <v>3098</v>
      </c>
      <c r="CH70" s="141">
        <v>3295</v>
      </c>
      <c r="CI70" s="141">
        <v>2878</v>
      </c>
      <c r="CJ70" s="141">
        <v>8764</v>
      </c>
      <c r="CK70" s="298">
        <v>3124</v>
      </c>
      <c r="CL70" s="140">
        <f>SUM(AT70:CK70)</f>
        <v>98396</v>
      </c>
    </row>
    <row r="71" spans="1:90">
      <c r="A71" s="80">
        <f>ROWS($A$3:A69)</f>
        <v>67</v>
      </c>
      <c r="B71" s="54" t="s">
        <v>307</v>
      </c>
      <c r="C71" s="252"/>
      <c r="D71" s="259" t="s">
        <v>1</v>
      </c>
      <c r="E71" s="435"/>
      <c r="F71" s="167">
        <f>IF(ISERROR(F70/F69)=FALSE,F70/F69," -")</f>
        <v>37.326500732064424</v>
      </c>
      <c r="G71" s="168">
        <f>IF(ISERROR(G70/G69)=FALSE,G70/G69," -")</f>
        <v>45.743961352657003</v>
      </c>
      <c r="H71" s="168">
        <f>IF(ISERROR(H70/H69)=FALSE,H70/H69," -")</f>
        <v>32.26305220883534</v>
      </c>
      <c r="I71" s="169">
        <f>IF(ISERROR(I70/I69)=FALSE,I70/I69," -")</f>
        <v>40.230077120822621</v>
      </c>
      <c r="J71" s="173"/>
      <c r="K71" s="167">
        <f t="shared" ref="K71:BD71" si="139">IF(ISERROR(K70/K69)=FALSE,K70/K69," -")</f>
        <v>33.557894736842108</v>
      </c>
      <c r="L71" s="168">
        <f t="shared" si="139"/>
        <v>34.803030303030305</v>
      </c>
      <c r="M71" s="168">
        <f t="shared" si="139"/>
        <v>41.056179775280896</v>
      </c>
      <c r="N71" s="168">
        <f t="shared" si="139"/>
        <v>42.657142857142858</v>
      </c>
      <c r="O71" s="168">
        <f t="shared" si="139"/>
        <v>47.703703703703702</v>
      </c>
      <c r="P71" s="168">
        <f t="shared" si="139"/>
        <v>29.676923076923078</v>
      </c>
      <c r="Q71" s="168">
        <f t="shared" si="139"/>
        <v>38.448275862068968</v>
      </c>
      <c r="R71" s="168">
        <f t="shared" si="139"/>
        <v>31.558139534883722</v>
      </c>
      <c r="S71" s="168">
        <f t="shared" si="139"/>
        <v>38.083333333333336</v>
      </c>
      <c r="T71" s="168">
        <f t="shared" si="139"/>
        <v>44.358974358974358</v>
      </c>
      <c r="U71" s="176">
        <f t="shared" si="139"/>
        <v>35.333333333333336</v>
      </c>
      <c r="V71" s="168">
        <f t="shared" si="139"/>
        <v>30.714285714285715</v>
      </c>
      <c r="W71" s="168">
        <f t="shared" si="139"/>
        <v>44.657142857142858</v>
      </c>
      <c r="X71" s="168">
        <f t="shared" si="139"/>
        <v>42.21875</v>
      </c>
      <c r="Y71" s="168">
        <f t="shared" si="139"/>
        <v>46</v>
      </c>
      <c r="Z71" s="168">
        <f t="shared" si="139"/>
        <v>47.470588235294116</v>
      </c>
      <c r="AA71" s="168">
        <f t="shared" si="139"/>
        <v>58.457142857142856</v>
      </c>
      <c r="AB71" s="176">
        <f t="shared" si="139"/>
        <v>40.392857142857146</v>
      </c>
      <c r="AC71" s="168">
        <f t="shared" si="139"/>
        <v>33.589285714285715</v>
      </c>
      <c r="AD71" s="168">
        <f t="shared" si="139"/>
        <v>17.561643835616437</v>
      </c>
      <c r="AE71" s="168">
        <f t="shared" si="139"/>
        <v>26.721374045801525</v>
      </c>
      <c r="AF71" s="168">
        <f t="shared" si="139"/>
        <v>30.282828282828284</v>
      </c>
      <c r="AG71" s="168">
        <f t="shared" si="139"/>
        <v>26.254237288135592</v>
      </c>
      <c r="AH71" s="168">
        <f t="shared" si="139"/>
        <v>47.71875</v>
      </c>
      <c r="AI71" s="168">
        <f t="shared" si="139"/>
        <v>34.041666666666664</v>
      </c>
      <c r="AJ71" s="168">
        <f t="shared" si="139"/>
        <v>63.769230769230766</v>
      </c>
      <c r="AK71" s="176">
        <f t="shared" si="139"/>
        <v>37.668508287292816</v>
      </c>
      <c r="AL71" s="168">
        <f t="shared" si="139"/>
        <v>57.260869565217391</v>
      </c>
      <c r="AM71" s="168">
        <f t="shared" si="139"/>
        <v>45.763888888888886</v>
      </c>
      <c r="AN71" s="168">
        <f t="shared" si="139"/>
        <v>31.638989169675089</v>
      </c>
      <c r="AO71" s="168">
        <f t="shared" si="139"/>
        <v>41.833333333333336</v>
      </c>
      <c r="AP71" s="168">
        <f t="shared" si="139"/>
        <v>66.875</v>
      </c>
      <c r="AQ71" s="168">
        <f t="shared" si="139"/>
        <v>56.8</v>
      </c>
      <c r="AR71" s="168">
        <f t="shared" si="139"/>
        <v>27.941747572815533</v>
      </c>
      <c r="AS71" s="169">
        <f t="shared" si="139"/>
        <v>39.717948717948715</v>
      </c>
      <c r="AT71" s="168" t="str">
        <f t="shared" si="139"/>
        <v xml:space="preserve"> -</v>
      </c>
      <c r="AU71" s="168">
        <f t="shared" si="139"/>
        <v>43.42307692307692</v>
      </c>
      <c r="AV71" s="168">
        <f t="shared" si="139"/>
        <v>38.083333333333336</v>
      </c>
      <c r="AW71" s="168">
        <f t="shared" si="139"/>
        <v>42.657142857142858</v>
      </c>
      <c r="AX71" s="168">
        <f t="shared" si="139"/>
        <v>31.558139534883722</v>
      </c>
      <c r="AY71" s="168">
        <f t="shared" si="139"/>
        <v>34.803030303030305</v>
      </c>
      <c r="AZ71" s="168" t="str">
        <f t="shared" si="139"/>
        <v xml:space="preserve"> -</v>
      </c>
      <c r="BA71" s="168">
        <f t="shared" si="139"/>
        <v>29.676923076923078</v>
      </c>
      <c r="BB71" s="168">
        <f t="shared" si="139"/>
        <v>44.358974358974358</v>
      </c>
      <c r="BC71" s="168">
        <f t="shared" si="139"/>
        <v>35.333333333333336</v>
      </c>
      <c r="BD71" s="168">
        <f t="shared" si="139"/>
        <v>41.056179775280896</v>
      </c>
      <c r="BE71" s="168">
        <f t="shared" ref="BE71:CK71" si="140">IF(ISERROR(BE70/BE69)=FALSE,BE70/BE69," -")</f>
        <v>47.703703703703702</v>
      </c>
      <c r="BF71" s="176">
        <f t="shared" si="140"/>
        <v>33.557894736842108</v>
      </c>
      <c r="BG71" s="168" t="str">
        <f t="shared" si="140"/>
        <v xml:space="preserve"> -</v>
      </c>
      <c r="BH71" s="168" t="str">
        <f t="shared" si="140"/>
        <v xml:space="preserve"> -</v>
      </c>
      <c r="BI71" s="168">
        <f t="shared" si="140"/>
        <v>42.21875</v>
      </c>
      <c r="BJ71" s="168">
        <f t="shared" si="140"/>
        <v>30.714285714285715</v>
      </c>
      <c r="BK71" s="168" t="str">
        <f t="shared" si="140"/>
        <v xml:space="preserve"> -</v>
      </c>
      <c r="BL71" s="168" t="str">
        <f t="shared" si="140"/>
        <v xml:space="preserve"> -</v>
      </c>
      <c r="BM71" s="168">
        <f t="shared" si="140"/>
        <v>47.470588235294116</v>
      </c>
      <c r="BN71" s="168">
        <f t="shared" si="140"/>
        <v>46</v>
      </c>
      <c r="BO71" s="168" t="str">
        <f t="shared" si="140"/>
        <v xml:space="preserve"> -</v>
      </c>
      <c r="BP71" s="168">
        <f t="shared" si="140"/>
        <v>40.392857142857146</v>
      </c>
      <c r="BQ71" s="168">
        <f t="shared" si="140"/>
        <v>58.457142857142856</v>
      </c>
      <c r="BR71" s="176">
        <f t="shared" si="140"/>
        <v>44.657142857142858</v>
      </c>
      <c r="BS71" s="168" t="str">
        <f t="shared" si="140"/>
        <v xml:space="preserve"> -</v>
      </c>
      <c r="BT71" s="168">
        <f t="shared" si="140"/>
        <v>26.721374045801525</v>
      </c>
      <c r="BU71" s="168">
        <f t="shared" si="140"/>
        <v>17.561643835616437</v>
      </c>
      <c r="BV71" s="168">
        <f t="shared" si="140"/>
        <v>26.254237288135592</v>
      </c>
      <c r="BW71" s="168">
        <f t="shared" si="140"/>
        <v>34.041666666666664</v>
      </c>
      <c r="BX71" s="168">
        <f t="shared" si="140"/>
        <v>33.589285714285715</v>
      </c>
      <c r="BY71" s="168">
        <f t="shared" si="140"/>
        <v>63.769230769230766</v>
      </c>
      <c r="BZ71" s="168">
        <f t="shared" si="140"/>
        <v>47.71875</v>
      </c>
      <c r="CA71" s="168">
        <f t="shared" si="140"/>
        <v>30.282828282828284</v>
      </c>
      <c r="CB71" s="176">
        <f t="shared" si="140"/>
        <v>37.668508287292816</v>
      </c>
      <c r="CC71" s="168">
        <f t="shared" si="140"/>
        <v>41.833333333333336</v>
      </c>
      <c r="CD71" s="168">
        <f t="shared" si="140"/>
        <v>66.875</v>
      </c>
      <c r="CE71" s="168">
        <f t="shared" si="140"/>
        <v>57.260869565217391</v>
      </c>
      <c r="CF71" s="168" t="str">
        <f t="shared" si="140"/>
        <v xml:space="preserve"> -</v>
      </c>
      <c r="CG71" s="168">
        <f t="shared" si="140"/>
        <v>39.717948717948715</v>
      </c>
      <c r="CH71" s="168">
        <f t="shared" si="140"/>
        <v>45.763888888888886</v>
      </c>
      <c r="CI71" s="168">
        <f t="shared" si="140"/>
        <v>27.941747572815533</v>
      </c>
      <c r="CJ71" s="168">
        <f t="shared" si="140"/>
        <v>31.638989169675089</v>
      </c>
      <c r="CK71" s="168">
        <f t="shared" si="140"/>
        <v>56.8</v>
      </c>
      <c r="CL71" s="177">
        <f>IF(OR(CL69&lt;0.1,CL70&lt;0.1),0,CL70/CL69)</f>
        <v>36.935435435435437</v>
      </c>
    </row>
    <row r="72" spans="1:90">
      <c r="A72" s="80">
        <f>ROWS($A$3:A70)</f>
        <v>68</v>
      </c>
      <c r="B72" s="59" t="s">
        <v>83</v>
      </c>
      <c r="C72" s="203"/>
      <c r="D72" s="259"/>
      <c r="E72" s="435"/>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202">
        <v>2010</v>
      </c>
      <c r="D73" s="259" t="s">
        <v>13</v>
      </c>
      <c r="E73" s="435"/>
      <c r="F73" s="116">
        <v>2934</v>
      </c>
      <c r="G73" s="137">
        <v>1628</v>
      </c>
      <c r="H73" s="137">
        <v>1925</v>
      </c>
      <c r="I73" s="138">
        <v>2407</v>
      </c>
      <c r="J73" s="141"/>
      <c r="K73" s="116">
        <f t="shared" ref="K73:K78" si="141">BF73</f>
        <v>261</v>
      </c>
      <c r="L73" s="137">
        <f t="shared" ref="L73:L78" si="142">AY73</f>
        <v>128</v>
      </c>
      <c r="M73" s="137">
        <f t="shared" ref="M73:M78" si="143">BD73</f>
        <v>692</v>
      </c>
      <c r="N73" s="137">
        <f t="shared" ref="N73:N78" si="144">AW73</f>
        <v>93</v>
      </c>
      <c r="O73" s="137">
        <f t="shared" ref="O73:O78" si="145">BE73</f>
        <v>141</v>
      </c>
      <c r="P73" s="137">
        <f t="shared" ref="P73:P78" si="146">SUM(AZ73,BA73)</f>
        <v>467</v>
      </c>
      <c r="Q73" s="137">
        <f>'2010'!AU73</f>
        <v>256</v>
      </c>
      <c r="R73" s="137">
        <f t="shared" ref="R73:R78" si="147">SUM(AT73,AX73)</f>
        <v>320</v>
      </c>
      <c r="S73" s="137">
        <f t="shared" ref="S73:S78" si="148">AV73</f>
        <v>167</v>
      </c>
      <c r="T73" s="137">
        <f t="shared" ref="T73:U78" si="149">BB73</f>
        <v>195</v>
      </c>
      <c r="U73" s="139">
        <f t="shared" si="149"/>
        <v>214</v>
      </c>
      <c r="V73" s="137">
        <f t="shared" ref="V73:V78" si="150">SUM(BG73,BJ73)</f>
        <v>118</v>
      </c>
      <c r="W73" s="137">
        <f t="shared" ref="W73:W78" si="151">BR73</f>
        <v>139</v>
      </c>
      <c r="X73" s="137">
        <f t="shared" ref="X73:X78" si="152">SUM(BH73,BI73)</f>
        <v>350</v>
      </c>
      <c r="Y73" s="137">
        <f t="shared" ref="Y73:Y78" si="153">SUM(BK73,BL73,BN73)</f>
        <v>461</v>
      </c>
      <c r="Z73" s="137">
        <f t="shared" ref="Z73:Z78" si="154">BM73</f>
        <v>333</v>
      </c>
      <c r="AA73" s="137">
        <f t="shared" ref="AA73:AA78" si="155">SUM(BO73,BQ73)</f>
        <v>125</v>
      </c>
      <c r="AB73" s="139">
        <f t="shared" ref="AB73:AB78" si="156">BP73</f>
        <v>92</v>
      </c>
      <c r="AC73" s="137">
        <f t="shared" ref="AC73:AC78" si="157">BX73</f>
        <v>196</v>
      </c>
      <c r="AD73" s="137">
        <f t="shared" ref="AD73:AD78" si="158">BU73</f>
        <v>154</v>
      </c>
      <c r="AE73" s="137">
        <f t="shared" ref="AE73:AE78" si="159">SUM(BS73,BT73)</f>
        <v>313</v>
      </c>
      <c r="AF73" s="137">
        <f t="shared" ref="AF73:AF78" si="160">CA73</f>
        <v>95</v>
      </c>
      <c r="AG73" s="137">
        <f t="shared" ref="AG73:AG78" si="161">BV73</f>
        <v>426</v>
      </c>
      <c r="AH73" s="137">
        <f t="shared" ref="AH73:AH78" si="162">BZ73</f>
        <v>194</v>
      </c>
      <c r="AI73" s="137">
        <f t="shared" ref="AI73:AI78" si="163">BW73</f>
        <v>199</v>
      </c>
      <c r="AJ73" s="137">
        <f t="shared" ref="AJ73:AJ78" si="164">BY73</f>
        <v>150</v>
      </c>
      <c r="AK73" s="139">
        <f t="shared" ref="AK73:AK78" si="165">CB73</f>
        <v>198</v>
      </c>
      <c r="AL73" s="137">
        <f t="shared" ref="AL73:AL78" si="166">CE73</f>
        <v>317</v>
      </c>
      <c r="AM73" s="137">
        <f t="shared" ref="AM73:AM78" si="167">CH73</f>
        <v>348</v>
      </c>
      <c r="AN73" s="137">
        <f t="shared" ref="AN73:AN78" si="168">CJ73</f>
        <v>190</v>
      </c>
      <c r="AO73" s="137">
        <f t="shared" ref="AO73:AP78" si="169">CC73</f>
        <v>306</v>
      </c>
      <c r="AP73" s="137">
        <f t="shared" si="169"/>
        <v>195</v>
      </c>
      <c r="AQ73" s="137">
        <f t="shared" ref="AQ73:AQ78" si="170">CK73</f>
        <v>347</v>
      </c>
      <c r="AR73" s="137">
        <f t="shared" ref="AR73:AR78" si="171">CI73</f>
        <v>181</v>
      </c>
      <c r="AS73" s="138">
        <f t="shared" ref="AS73:AS78" si="172">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c r="A74" s="80">
        <f>ROWS($A$3:A72)</f>
        <v>70</v>
      </c>
      <c r="B74" s="92" t="s">
        <v>85</v>
      </c>
      <c r="C74" s="203"/>
      <c r="D74" s="259" t="s">
        <v>13</v>
      </c>
      <c r="E74" s="435"/>
      <c r="F74" s="116">
        <v>465</v>
      </c>
      <c r="G74" s="137">
        <v>243</v>
      </c>
      <c r="H74" s="137">
        <v>314</v>
      </c>
      <c r="I74" s="138">
        <v>188</v>
      </c>
      <c r="J74" s="141"/>
      <c r="K74" s="116">
        <f t="shared" si="141"/>
        <v>46</v>
      </c>
      <c r="L74" s="137">
        <f t="shared" si="142"/>
        <v>76</v>
      </c>
      <c r="M74" s="137">
        <f t="shared" si="143"/>
        <v>12</v>
      </c>
      <c r="N74" s="137">
        <f t="shared" si="144"/>
        <v>30</v>
      </c>
      <c r="O74" s="137">
        <f t="shared" si="145"/>
        <v>12</v>
      </c>
      <c r="P74" s="137">
        <f t="shared" si="146"/>
        <v>50</v>
      </c>
      <c r="Q74" s="137">
        <f>'2010'!AU74</f>
        <v>20</v>
      </c>
      <c r="R74" s="137">
        <f t="shared" si="147"/>
        <v>137</v>
      </c>
      <c r="S74" s="137">
        <f t="shared" si="148"/>
        <v>47</v>
      </c>
      <c r="T74" s="137">
        <f t="shared" si="149"/>
        <v>16</v>
      </c>
      <c r="U74" s="139">
        <f t="shared" si="149"/>
        <v>19</v>
      </c>
      <c r="V74" s="137">
        <f t="shared" si="150"/>
        <v>27</v>
      </c>
      <c r="W74" s="137">
        <f t="shared" si="151"/>
        <v>10</v>
      </c>
      <c r="X74" s="137">
        <f t="shared" si="152"/>
        <v>51</v>
      </c>
      <c r="Y74" s="137">
        <f t="shared" si="153"/>
        <v>86</v>
      </c>
      <c r="Z74" s="137">
        <f t="shared" si="154"/>
        <v>18</v>
      </c>
      <c r="AA74" s="137">
        <f t="shared" si="155"/>
        <v>29</v>
      </c>
      <c r="AB74" s="139">
        <f t="shared" si="156"/>
        <v>22</v>
      </c>
      <c r="AC74" s="137">
        <f t="shared" si="157"/>
        <v>9</v>
      </c>
      <c r="AD74" s="137">
        <f t="shared" si="158"/>
        <v>29</v>
      </c>
      <c r="AE74" s="137">
        <f t="shared" si="159"/>
        <v>56</v>
      </c>
      <c r="AF74" s="137">
        <f t="shared" si="160"/>
        <v>29</v>
      </c>
      <c r="AG74" s="137">
        <f t="shared" si="161"/>
        <v>63</v>
      </c>
      <c r="AH74" s="137">
        <f t="shared" si="162"/>
        <v>98</v>
      </c>
      <c r="AI74" s="137">
        <f t="shared" si="163"/>
        <v>11</v>
      </c>
      <c r="AJ74" s="137">
        <f t="shared" si="164"/>
        <v>6</v>
      </c>
      <c r="AK74" s="139">
        <f t="shared" si="165"/>
        <v>13</v>
      </c>
      <c r="AL74" s="137">
        <f t="shared" si="166"/>
        <v>16</v>
      </c>
      <c r="AM74" s="137">
        <f t="shared" si="167"/>
        <v>27</v>
      </c>
      <c r="AN74" s="137">
        <f t="shared" si="168"/>
        <v>29</v>
      </c>
      <c r="AO74" s="137">
        <f t="shared" si="169"/>
        <v>26</v>
      </c>
      <c r="AP74" s="137">
        <f t="shared" si="169"/>
        <v>24</v>
      </c>
      <c r="AQ74" s="137">
        <f t="shared" si="170"/>
        <v>13</v>
      </c>
      <c r="AR74" s="137">
        <f t="shared" si="171"/>
        <v>22</v>
      </c>
      <c r="AS74" s="138">
        <f t="shared" si="172"/>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c r="A75" s="80">
        <f>ROWS($A$3:A73)</f>
        <v>71</v>
      </c>
      <c r="B75" s="92" t="s">
        <v>86</v>
      </c>
      <c r="C75" s="203"/>
      <c r="D75" s="259" t="s">
        <v>13</v>
      </c>
      <c r="E75" s="435"/>
      <c r="F75" s="116">
        <v>3016</v>
      </c>
      <c r="G75" s="137">
        <v>779</v>
      </c>
      <c r="H75" s="137">
        <v>4390</v>
      </c>
      <c r="I75" s="138">
        <v>1072</v>
      </c>
      <c r="J75" s="141"/>
      <c r="K75" s="116">
        <f t="shared" si="141"/>
        <v>12</v>
      </c>
      <c r="L75" s="137">
        <f t="shared" si="142"/>
        <v>446</v>
      </c>
      <c r="M75" s="137">
        <f t="shared" si="143"/>
        <v>200</v>
      </c>
      <c r="N75" s="137">
        <f t="shared" si="144"/>
        <v>33</v>
      </c>
      <c r="O75" s="137" t="str">
        <f t="shared" si="145"/>
        <v>*</v>
      </c>
      <c r="P75" s="137">
        <f t="shared" si="146"/>
        <v>1287</v>
      </c>
      <c r="Q75" s="137">
        <f>'2010'!AU75</f>
        <v>31</v>
      </c>
      <c r="R75" s="137">
        <f t="shared" si="147"/>
        <v>600</v>
      </c>
      <c r="S75" s="137">
        <f t="shared" si="148"/>
        <v>81</v>
      </c>
      <c r="T75" s="137">
        <f t="shared" si="149"/>
        <v>316</v>
      </c>
      <c r="U75" s="139" t="str">
        <f t="shared" si="149"/>
        <v>*</v>
      </c>
      <c r="V75" s="137">
        <f t="shared" si="150"/>
        <v>334</v>
      </c>
      <c r="W75" s="137" t="str">
        <f t="shared" si="151"/>
        <v>*</v>
      </c>
      <c r="X75" s="137">
        <f t="shared" si="152"/>
        <v>145</v>
      </c>
      <c r="Y75" s="137">
        <f t="shared" si="153"/>
        <v>197</v>
      </c>
      <c r="Z75" s="137">
        <f t="shared" si="154"/>
        <v>32</v>
      </c>
      <c r="AA75" s="137">
        <f t="shared" si="155"/>
        <v>63</v>
      </c>
      <c r="AB75" s="139" t="str">
        <f t="shared" si="156"/>
        <v xml:space="preserve"> -</v>
      </c>
      <c r="AC75" s="137" t="str">
        <f t="shared" si="157"/>
        <v xml:space="preserve"> -</v>
      </c>
      <c r="AD75" s="137">
        <f t="shared" si="158"/>
        <v>602</v>
      </c>
      <c r="AE75" s="137">
        <f t="shared" si="159"/>
        <v>1615</v>
      </c>
      <c r="AF75" s="137">
        <f t="shared" si="160"/>
        <v>249</v>
      </c>
      <c r="AG75" s="137">
        <f t="shared" si="161"/>
        <v>1758</v>
      </c>
      <c r="AH75" s="137">
        <f t="shared" si="162"/>
        <v>116</v>
      </c>
      <c r="AI75" s="137" t="str">
        <f t="shared" si="163"/>
        <v>*</v>
      </c>
      <c r="AJ75" s="137" t="str">
        <f t="shared" si="164"/>
        <v>*</v>
      </c>
      <c r="AK75" s="139">
        <f t="shared" si="165"/>
        <v>43</v>
      </c>
      <c r="AL75" s="137" t="str">
        <f t="shared" si="166"/>
        <v>*</v>
      </c>
      <c r="AM75" s="137">
        <f t="shared" si="167"/>
        <v>6</v>
      </c>
      <c r="AN75" s="137">
        <f t="shared" si="168"/>
        <v>137</v>
      </c>
      <c r="AO75" s="137">
        <f t="shared" si="169"/>
        <v>29</v>
      </c>
      <c r="AP75" s="137">
        <f t="shared" si="169"/>
        <v>13</v>
      </c>
      <c r="AQ75" s="137">
        <f t="shared" si="170"/>
        <v>13</v>
      </c>
      <c r="AR75" s="137">
        <f t="shared" si="171"/>
        <v>859</v>
      </c>
      <c r="AS75" s="138">
        <f t="shared" si="172"/>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c r="A76" s="80">
        <f>ROWS($A$3:A74)</f>
        <v>72</v>
      </c>
      <c r="B76" s="92" t="s">
        <v>87</v>
      </c>
      <c r="C76" s="203"/>
      <c r="D76" s="259" t="s">
        <v>13</v>
      </c>
      <c r="E76" s="435"/>
      <c r="F76" s="116">
        <v>4205</v>
      </c>
      <c r="G76" s="137">
        <v>1272</v>
      </c>
      <c r="H76" s="137">
        <v>5289</v>
      </c>
      <c r="I76" s="138">
        <v>5348</v>
      </c>
      <c r="J76" s="141"/>
      <c r="K76" s="116">
        <f t="shared" si="141"/>
        <v>1123</v>
      </c>
      <c r="L76" s="137">
        <f t="shared" si="142"/>
        <v>428</v>
      </c>
      <c r="M76" s="137">
        <f t="shared" si="143"/>
        <v>179</v>
      </c>
      <c r="N76" s="137">
        <f t="shared" si="144"/>
        <v>491</v>
      </c>
      <c r="O76" s="137">
        <f t="shared" si="145"/>
        <v>233</v>
      </c>
      <c r="P76" s="137">
        <f t="shared" si="146"/>
        <v>125</v>
      </c>
      <c r="Q76" s="137">
        <f>'2010'!AU76</f>
        <v>122</v>
      </c>
      <c r="R76" s="137">
        <f t="shared" si="147"/>
        <v>107</v>
      </c>
      <c r="S76" s="137">
        <f t="shared" si="148"/>
        <v>207</v>
      </c>
      <c r="T76" s="137">
        <f t="shared" si="149"/>
        <v>253</v>
      </c>
      <c r="U76" s="139">
        <f t="shared" si="149"/>
        <v>923</v>
      </c>
      <c r="V76" s="137">
        <f t="shared" si="150"/>
        <v>105</v>
      </c>
      <c r="W76" s="137">
        <f t="shared" si="151"/>
        <v>272</v>
      </c>
      <c r="X76" s="137">
        <f t="shared" si="152"/>
        <v>121</v>
      </c>
      <c r="Y76" s="137">
        <f t="shared" si="153"/>
        <v>179</v>
      </c>
      <c r="Z76" s="137">
        <f t="shared" si="154"/>
        <v>235</v>
      </c>
      <c r="AA76" s="137">
        <f t="shared" si="155"/>
        <v>123</v>
      </c>
      <c r="AB76" s="139">
        <f t="shared" si="156"/>
        <v>237</v>
      </c>
      <c r="AC76" s="137">
        <f t="shared" si="157"/>
        <v>688</v>
      </c>
      <c r="AD76" s="137">
        <f t="shared" si="158"/>
        <v>513</v>
      </c>
      <c r="AE76" s="137">
        <f t="shared" si="159"/>
        <v>870</v>
      </c>
      <c r="AF76" s="137">
        <f t="shared" si="160"/>
        <v>551</v>
      </c>
      <c r="AG76" s="137">
        <f t="shared" si="161"/>
        <v>898</v>
      </c>
      <c r="AH76" s="137">
        <f t="shared" si="162"/>
        <v>322</v>
      </c>
      <c r="AI76" s="137">
        <f t="shared" si="163"/>
        <v>392</v>
      </c>
      <c r="AJ76" s="137">
        <f t="shared" si="164"/>
        <v>225</v>
      </c>
      <c r="AK76" s="139">
        <f t="shared" si="165"/>
        <v>830</v>
      </c>
      <c r="AL76" s="137">
        <f t="shared" si="166"/>
        <v>327</v>
      </c>
      <c r="AM76" s="137">
        <f t="shared" si="167"/>
        <v>1026</v>
      </c>
      <c r="AN76" s="137">
        <f t="shared" si="168"/>
        <v>1983</v>
      </c>
      <c r="AO76" s="137">
        <f t="shared" si="169"/>
        <v>441</v>
      </c>
      <c r="AP76" s="137">
        <f t="shared" si="169"/>
        <v>99</v>
      </c>
      <c r="AQ76" s="137">
        <f t="shared" si="170"/>
        <v>498</v>
      </c>
      <c r="AR76" s="137">
        <f t="shared" si="171"/>
        <v>328</v>
      </c>
      <c r="AS76" s="138">
        <f t="shared" si="172"/>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c r="A77" s="80">
        <f>ROWS($A$3:A75)</f>
        <v>73</v>
      </c>
      <c r="B77" s="92" t="s">
        <v>88</v>
      </c>
      <c r="C77" s="203"/>
      <c r="D77" s="259" t="s">
        <v>13</v>
      </c>
      <c r="E77" s="435"/>
      <c r="F77" s="116">
        <v>1140</v>
      </c>
      <c r="G77" s="137">
        <v>76</v>
      </c>
      <c r="H77" s="137">
        <v>119</v>
      </c>
      <c r="I77" s="138">
        <v>662</v>
      </c>
      <c r="J77" s="141"/>
      <c r="K77" s="116">
        <f t="shared" si="141"/>
        <v>123</v>
      </c>
      <c r="L77" s="137">
        <f t="shared" si="142"/>
        <v>22</v>
      </c>
      <c r="M77" s="137">
        <f t="shared" si="143"/>
        <v>132</v>
      </c>
      <c r="N77" s="137">
        <f t="shared" si="144"/>
        <v>21</v>
      </c>
      <c r="O77" s="137">
        <f t="shared" si="145"/>
        <v>46</v>
      </c>
      <c r="P77" s="137">
        <f t="shared" si="146"/>
        <v>29</v>
      </c>
      <c r="Q77" s="137">
        <f>'2010'!AU77</f>
        <v>14</v>
      </c>
      <c r="R77" s="137">
        <f t="shared" si="147"/>
        <v>39</v>
      </c>
      <c r="S77" s="137" t="str">
        <f t="shared" si="148"/>
        <v>*</v>
      </c>
      <c r="T77" s="137">
        <f t="shared" si="149"/>
        <v>168</v>
      </c>
      <c r="U77" s="139">
        <f t="shared" si="149"/>
        <v>538</v>
      </c>
      <c r="V77" s="137">
        <f t="shared" si="150"/>
        <v>0</v>
      </c>
      <c r="W77" s="137">
        <f t="shared" si="151"/>
        <v>10</v>
      </c>
      <c r="X77" s="137">
        <f t="shared" si="152"/>
        <v>0</v>
      </c>
      <c r="Y77" s="137">
        <f t="shared" si="153"/>
        <v>24</v>
      </c>
      <c r="Z77" s="137">
        <f t="shared" si="154"/>
        <v>24</v>
      </c>
      <c r="AA77" s="137">
        <f t="shared" si="155"/>
        <v>6</v>
      </c>
      <c r="AB77" s="139">
        <f t="shared" si="156"/>
        <v>3</v>
      </c>
      <c r="AC77" s="137">
        <f t="shared" si="157"/>
        <v>17</v>
      </c>
      <c r="AD77" s="137">
        <f t="shared" si="158"/>
        <v>6</v>
      </c>
      <c r="AE77" s="137">
        <f t="shared" si="159"/>
        <v>8</v>
      </c>
      <c r="AF77" s="137" t="str">
        <f t="shared" si="160"/>
        <v>*</v>
      </c>
      <c r="AG77" s="137">
        <f t="shared" si="161"/>
        <v>25</v>
      </c>
      <c r="AH77" s="137">
        <f t="shared" si="162"/>
        <v>16</v>
      </c>
      <c r="AI77" s="137">
        <f t="shared" si="163"/>
        <v>21</v>
      </c>
      <c r="AJ77" s="137" t="str">
        <f t="shared" si="164"/>
        <v>*</v>
      </c>
      <c r="AK77" s="139">
        <f t="shared" si="165"/>
        <v>19</v>
      </c>
      <c r="AL77" s="137">
        <f t="shared" si="166"/>
        <v>7</v>
      </c>
      <c r="AM77" s="137">
        <f t="shared" si="167"/>
        <v>156</v>
      </c>
      <c r="AN77" s="137">
        <f t="shared" si="168"/>
        <v>55</v>
      </c>
      <c r="AO77" s="137">
        <f t="shared" si="169"/>
        <v>28</v>
      </c>
      <c r="AP77" s="137">
        <f t="shared" si="169"/>
        <v>7</v>
      </c>
      <c r="AQ77" s="137">
        <f t="shared" si="170"/>
        <v>84</v>
      </c>
      <c r="AR77" s="137">
        <f t="shared" si="171"/>
        <v>13</v>
      </c>
      <c r="AS77" s="138">
        <f t="shared" si="172"/>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c r="A78" s="80">
        <f>ROWS($A$3:A76)</f>
        <v>74</v>
      </c>
      <c r="B78" s="92" t="s">
        <v>89</v>
      </c>
      <c r="C78" s="203"/>
      <c r="D78" s="259" t="s">
        <v>13</v>
      </c>
      <c r="E78" s="435"/>
      <c r="F78" s="116">
        <v>2637</v>
      </c>
      <c r="G78" s="137">
        <v>932</v>
      </c>
      <c r="H78" s="137">
        <v>1574</v>
      </c>
      <c r="I78" s="138">
        <v>1897</v>
      </c>
      <c r="J78" s="141"/>
      <c r="K78" s="116">
        <f t="shared" si="141"/>
        <v>262</v>
      </c>
      <c r="L78" s="137">
        <f t="shared" si="142"/>
        <v>188</v>
      </c>
      <c r="M78" s="137">
        <f t="shared" si="143"/>
        <v>337</v>
      </c>
      <c r="N78" s="137">
        <f t="shared" si="144"/>
        <v>114</v>
      </c>
      <c r="O78" s="137">
        <f t="shared" si="145"/>
        <v>143</v>
      </c>
      <c r="P78" s="137">
        <f t="shared" si="146"/>
        <v>348</v>
      </c>
      <c r="Q78" s="137">
        <f>'2010'!AU78</f>
        <v>161</v>
      </c>
      <c r="R78" s="137">
        <f t="shared" si="147"/>
        <v>319</v>
      </c>
      <c r="S78" s="137">
        <f t="shared" si="148"/>
        <v>138</v>
      </c>
      <c r="T78" s="137">
        <f t="shared" si="149"/>
        <v>281</v>
      </c>
      <c r="U78" s="139">
        <f t="shared" si="149"/>
        <v>323</v>
      </c>
      <c r="V78" s="137">
        <f t="shared" si="150"/>
        <v>66</v>
      </c>
      <c r="W78" s="137">
        <f t="shared" si="151"/>
        <v>63</v>
      </c>
      <c r="X78" s="137">
        <f t="shared" si="152"/>
        <v>131</v>
      </c>
      <c r="Y78" s="137">
        <f t="shared" si="153"/>
        <v>159</v>
      </c>
      <c r="Z78" s="137">
        <f t="shared" si="154"/>
        <v>236</v>
      </c>
      <c r="AA78" s="137">
        <f t="shared" si="155"/>
        <v>107</v>
      </c>
      <c r="AB78" s="139">
        <f t="shared" si="156"/>
        <v>110</v>
      </c>
      <c r="AC78" s="137">
        <f t="shared" si="157"/>
        <v>127</v>
      </c>
      <c r="AD78" s="137">
        <f t="shared" si="158"/>
        <v>118</v>
      </c>
      <c r="AE78" s="137">
        <f t="shared" si="159"/>
        <v>215</v>
      </c>
      <c r="AF78" s="137">
        <f t="shared" si="160"/>
        <v>141</v>
      </c>
      <c r="AG78" s="137">
        <f t="shared" si="161"/>
        <v>402</v>
      </c>
      <c r="AH78" s="137">
        <f t="shared" si="162"/>
        <v>154</v>
      </c>
      <c r="AI78" s="137">
        <f t="shared" si="163"/>
        <v>171</v>
      </c>
      <c r="AJ78" s="137">
        <f t="shared" si="164"/>
        <v>33</v>
      </c>
      <c r="AK78" s="139">
        <f t="shared" si="165"/>
        <v>139</v>
      </c>
      <c r="AL78" s="137">
        <f t="shared" si="166"/>
        <v>67</v>
      </c>
      <c r="AM78" s="137">
        <f t="shared" si="167"/>
        <v>285</v>
      </c>
      <c r="AN78" s="137">
        <f t="shared" si="168"/>
        <v>166</v>
      </c>
      <c r="AO78" s="137">
        <f t="shared" si="169"/>
        <v>228</v>
      </c>
      <c r="AP78" s="137">
        <f t="shared" si="169"/>
        <v>81</v>
      </c>
      <c r="AQ78" s="137">
        <f t="shared" si="170"/>
        <v>293</v>
      </c>
      <c r="AR78" s="137">
        <f t="shared" si="171"/>
        <v>274</v>
      </c>
      <c r="AS78" s="138">
        <f t="shared" si="172"/>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c r="A79" s="80">
        <f>ROWS($A$3:A77)</f>
        <v>75</v>
      </c>
      <c r="B79" s="59" t="s">
        <v>79</v>
      </c>
      <c r="C79" s="202">
        <v>2011</v>
      </c>
      <c r="D79" s="259"/>
      <c r="E79" s="435"/>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c r="A80" s="80">
        <f>ROWS($A$3:A78)</f>
        <v>76</v>
      </c>
      <c r="B80" s="92" t="s">
        <v>90</v>
      </c>
      <c r="C80" s="205">
        <v>2011</v>
      </c>
      <c r="D80" s="259" t="s">
        <v>13</v>
      </c>
      <c r="E80" s="435"/>
      <c r="F80" s="116">
        <f>SUM(AT80:BF80)</f>
        <v>15597</v>
      </c>
      <c r="G80" s="137">
        <f>SUM(BG80:BR80)</f>
        <v>5399</v>
      </c>
      <c r="H80" s="137">
        <f>SUM(BS80:CB80)</f>
        <v>14164</v>
      </c>
      <c r="I80" s="138">
        <f>SUM(CC80:CK80)</f>
        <v>13395</v>
      </c>
      <c r="J80" s="141"/>
      <c r="K80" s="116">
        <f>BF80</f>
        <v>2390</v>
      </c>
      <c r="L80" s="137">
        <f>AY80</f>
        <v>1179</v>
      </c>
      <c r="M80" s="137">
        <f>BD80</f>
        <v>1817</v>
      </c>
      <c r="N80" s="137">
        <f>AW80</f>
        <v>854</v>
      </c>
      <c r="O80" s="137">
        <f>BE80</f>
        <v>629</v>
      </c>
      <c r="P80" s="137">
        <f>AZ80+BA80</f>
        <v>2012</v>
      </c>
      <c r="Q80" s="137">
        <f>AU80</f>
        <v>680</v>
      </c>
      <c r="R80" s="137">
        <f>AT80+AX80</f>
        <v>1297</v>
      </c>
      <c r="S80" s="137">
        <f>AV80</f>
        <v>626</v>
      </c>
      <c r="T80" s="137">
        <f>BB80</f>
        <v>1505</v>
      </c>
      <c r="U80" s="139">
        <f>BC80</f>
        <v>2608</v>
      </c>
      <c r="V80" s="137">
        <f>BG80+BJ80</f>
        <v>612</v>
      </c>
      <c r="W80" s="137">
        <f>BR80</f>
        <v>812</v>
      </c>
      <c r="X80" s="137">
        <f>BH80+BI80</f>
        <v>798</v>
      </c>
      <c r="Y80" s="137">
        <f>BK80+BL80+BN80</f>
        <v>1015</v>
      </c>
      <c r="Z80" s="137">
        <f>BM80</f>
        <v>1086</v>
      </c>
      <c r="AA80" s="137">
        <f>BO80+BQ80</f>
        <v>472</v>
      </c>
      <c r="AB80" s="139">
        <f>BP80</f>
        <v>604</v>
      </c>
      <c r="AC80" s="137">
        <f>BX80</f>
        <v>1304</v>
      </c>
      <c r="AD80" s="137">
        <f>BU80</f>
        <v>1348</v>
      </c>
      <c r="AE80" s="137">
        <f>BS80+BT80</f>
        <v>2459</v>
      </c>
      <c r="AF80" s="137">
        <f>CA80</f>
        <v>1177</v>
      </c>
      <c r="AG80" s="137">
        <f>BV80</f>
        <v>3589</v>
      </c>
      <c r="AH80" s="137">
        <f>BZ80</f>
        <v>1019</v>
      </c>
      <c r="AI80" s="137">
        <f>BW80</f>
        <v>1078</v>
      </c>
      <c r="AJ80" s="137">
        <f>BY80</f>
        <v>566</v>
      </c>
      <c r="AK80" s="139">
        <f>CB80</f>
        <v>1624</v>
      </c>
      <c r="AL80" s="137">
        <f>CE80</f>
        <v>941</v>
      </c>
      <c r="AM80" s="137">
        <f>CH80</f>
        <v>2188</v>
      </c>
      <c r="AN80" s="137">
        <f>CJ80</f>
        <v>3142</v>
      </c>
      <c r="AO80" s="137">
        <f>CC80</f>
        <v>1211</v>
      </c>
      <c r="AP80" s="137">
        <f>CD80</f>
        <v>475</v>
      </c>
      <c r="AQ80" s="137">
        <f>CK80</f>
        <v>1596</v>
      </c>
      <c r="AR80" s="137">
        <f>CI80</f>
        <v>1524</v>
      </c>
      <c r="AS80" s="138">
        <f>CF80+CG80</f>
        <v>2318</v>
      </c>
      <c r="AT80" s="137">
        <v>145</v>
      </c>
      <c r="AU80" s="137">
        <v>680</v>
      </c>
      <c r="AV80" s="137">
        <v>626</v>
      </c>
      <c r="AW80" s="137">
        <v>854</v>
      </c>
      <c r="AX80" s="137">
        <v>1152</v>
      </c>
      <c r="AY80" s="137">
        <v>1179</v>
      </c>
      <c r="AZ80" s="137">
        <v>168</v>
      </c>
      <c r="BA80" s="137">
        <v>1844</v>
      </c>
      <c r="BB80" s="137">
        <v>1505</v>
      </c>
      <c r="BC80" s="137">
        <v>2608</v>
      </c>
      <c r="BD80" s="137">
        <v>1817</v>
      </c>
      <c r="BE80" s="137">
        <v>629</v>
      </c>
      <c r="BF80" s="139">
        <v>2390</v>
      </c>
      <c r="BG80" s="137">
        <v>86</v>
      </c>
      <c r="BH80" s="137">
        <v>46</v>
      </c>
      <c r="BI80" s="137">
        <v>752</v>
      </c>
      <c r="BJ80" s="137">
        <v>526</v>
      </c>
      <c r="BK80" s="137">
        <v>70</v>
      </c>
      <c r="BL80" s="137">
        <v>61</v>
      </c>
      <c r="BM80" s="137">
        <v>1086</v>
      </c>
      <c r="BN80" s="137">
        <v>884</v>
      </c>
      <c r="BO80" s="137">
        <v>16</v>
      </c>
      <c r="BP80" s="137">
        <v>604</v>
      </c>
      <c r="BQ80" s="137">
        <v>456</v>
      </c>
      <c r="BR80" s="139">
        <v>812</v>
      </c>
      <c r="BS80" s="137">
        <v>140</v>
      </c>
      <c r="BT80" s="137">
        <f>1381+938</f>
        <v>2319</v>
      </c>
      <c r="BU80" s="137">
        <v>1348</v>
      </c>
      <c r="BV80" s="137">
        <v>3589</v>
      </c>
      <c r="BW80" s="137">
        <v>1078</v>
      </c>
      <c r="BX80" s="137">
        <v>1304</v>
      </c>
      <c r="BY80" s="137">
        <v>566</v>
      </c>
      <c r="BZ80" s="137">
        <v>1019</v>
      </c>
      <c r="CA80" s="137">
        <v>1177</v>
      </c>
      <c r="CB80" s="139">
        <v>1624</v>
      </c>
      <c r="CC80" s="137">
        <v>1211</v>
      </c>
      <c r="CD80" s="137">
        <v>475</v>
      </c>
      <c r="CE80" s="137">
        <v>941</v>
      </c>
      <c r="CF80" s="137">
        <v>123</v>
      </c>
      <c r="CG80" s="137">
        <v>2195</v>
      </c>
      <c r="CH80" s="137">
        <v>2188</v>
      </c>
      <c r="CI80" s="137">
        <v>1524</v>
      </c>
      <c r="CJ80" s="137">
        <v>3142</v>
      </c>
      <c r="CK80" s="138">
        <v>1596</v>
      </c>
      <c r="CL80" s="149">
        <f>SUM(AT80:CK80)</f>
        <v>48555</v>
      </c>
    </row>
    <row r="81" spans="1:90">
      <c r="A81" s="80">
        <f>ROWS($A$3:A79)</f>
        <v>77</v>
      </c>
      <c r="B81" s="602" t="s">
        <v>365</v>
      </c>
      <c r="C81" s="590">
        <v>2011</v>
      </c>
      <c r="D81" s="603" t="s">
        <v>13</v>
      </c>
      <c r="E81" s="522">
        <v>43320</v>
      </c>
      <c r="F81" s="154">
        <f>SUM(AT81:BF81)</f>
        <v>1004737</v>
      </c>
      <c r="G81" s="155">
        <f>SUM(BG81:BR81)</f>
        <v>658668</v>
      </c>
      <c r="H81" s="155">
        <f>SUM(BS81:CB81)</f>
        <v>660653</v>
      </c>
      <c r="I81" s="156">
        <f>SUM(CC81:CK81)</f>
        <v>578022</v>
      </c>
      <c r="J81" s="141"/>
      <c r="K81" s="154">
        <f>BF81</f>
        <v>79283</v>
      </c>
      <c r="L81" s="155">
        <f>AY81</f>
        <v>119123</v>
      </c>
      <c r="M81" s="155">
        <f>BD81</f>
        <v>98085</v>
      </c>
      <c r="N81" s="155">
        <f>AW81</f>
        <v>50490</v>
      </c>
      <c r="O81" s="155">
        <f>BE81</f>
        <v>28704</v>
      </c>
      <c r="P81" s="155">
        <f>AZ81+BA81</f>
        <v>149754</v>
      </c>
      <c r="Q81" s="155">
        <f>AU81</f>
        <v>99656</v>
      </c>
      <c r="R81" s="155">
        <f>AT81+AX81</f>
        <v>143800</v>
      </c>
      <c r="S81" s="155">
        <f>AV81</f>
        <v>101499</v>
      </c>
      <c r="T81" s="155">
        <f>BB81</f>
        <v>52130</v>
      </c>
      <c r="U81" s="552">
        <f>BC81</f>
        <v>82213</v>
      </c>
      <c r="V81" s="155">
        <f>BG81+BJ81</f>
        <v>91329</v>
      </c>
      <c r="W81" s="155">
        <f>BR81</f>
        <v>52953</v>
      </c>
      <c r="X81" s="155">
        <f>BH81+BI81</f>
        <v>172613</v>
      </c>
      <c r="Y81" s="155">
        <f>BK81+BL81+BN81</f>
        <v>98592</v>
      </c>
      <c r="Z81" s="155">
        <f>BM81</f>
        <v>78924</v>
      </c>
      <c r="AA81" s="155">
        <f>BO81+BQ81</f>
        <v>108292</v>
      </c>
      <c r="AB81" s="552">
        <f>BP81</f>
        <v>55965</v>
      </c>
      <c r="AC81" s="155">
        <f>BX81</f>
        <v>35675</v>
      </c>
      <c r="AD81" s="155">
        <f>BU81</f>
        <v>57639</v>
      </c>
      <c r="AE81" s="155">
        <f>BS81+BT81</f>
        <v>100607</v>
      </c>
      <c r="AF81" s="155">
        <f>CA81</f>
        <v>71761</v>
      </c>
      <c r="AG81" s="155">
        <f>BV81</f>
        <v>136280</v>
      </c>
      <c r="AH81" s="155">
        <f>BZ81</f>
        <v>57325</v>
      </c>
      <c r="AI81" s="155">
        <f>BW81</f>
        <v>60521</v>
      </c>
      <c r="AJ81" s="155">
        <f>BY81</f>
        <v>76619</v>
      </c>
      <c r="AK81" s="552">
        <f>CB81</f>
        <v>64226</v>
      </c>
      <c r="AL81" s="155">
        <f>CE81</f>
        <v>102470</v>
      </c>
      <c r="AM81" s="155">
        <f>CH81</f>
        <v>75500</v>
      </c>
      <c r="AN81" s="155">
        <f>CJ81</f>
        <v>31953</v>
      </c>
      <c r="AO81" s="155">
        <f>CC81</f>
        <v>79134</v>
      </c>
      <c r="AP81" s="155">
        <f>CD81</f>
        <v>89892</v>
      </c>
      <c r="AQ81" s="155">
        <f>CK81</f>
        <v>68809</v>
      </c>
      <c r="AR81" s="155">
        <f>CI81</f>
        <v>58731</v>
      </c>
      <c r="AS81" s="156">
        <f>CF81+CG81</f>
        <v>71533</v>
      </c>
      <c r="AT81" s="155">
        <v>12302</v>
      </c>
      <c r="AU81" s="155">
        <v>99656</v>
      </c>
      <c r="AV81" s="155">
        <v>101499</v>
      </c>
      <c r="AW81" s="155">
        <v>50490</v>
      </c>
      <c r="AX81" s="155">
        <v>131498</v>
      </c>
      <c r="AY81" s="155">
        <v>119123</v>
      </c>
      <c r="AZ81" s="155">
        <v>15663</v>
      </c>
      <c r="BA81" s="155">
        <v>134091</v>
      </c>
      <c r="BB81" s="155">
        <v>52130</v>
      </c>
      <c r="BC81" s="155">
        <v>82213</v>
      </c>
      <c r="BD81" s="155">
        <v>98085</v>
      </c>
      <c r="BE81" s="155">
        <v>28704</v>
      </c>
      <c r="BF81" s="552">
        <v>79283</v>
      </c>
      <c r="BG81" s="155">
        <v>11045</v>
      </c>
      <c r="BH81" s="155">
        <v>9255</v>
      </c>
      <c r="BI81" s="155">
        <v>163358</v>
      </c>
      <c r="BJ81" s="155">
        <v>80284</v>
      </c>
      <c r="BK81" s="155">
        <v>3418</v>
      </c>
      <c r="BL81" s="155">
        <v>5147</v>
      </c>
      <c r="BM81" s="155">
        <v>78924</v>
      </c>
      <c r="BN81" s="155">
        <v>90027</v>
      </c>
      <c r="BO81" s="155">
        <v>4326</v>
      </c>
      <c r="BP81" s="155">
        <v>55965</v>
      </c>
      <c r="BQ81" s="155">
        <v>103966</v>
      </c>
      <c r="BR81" s="552">
        <v>52953</v>
      </c>
      <c r="BS81" s="155">
        <v>8900</v>
      </c>
      <c r="BT81" s="155">
        <v>91707</v>
      </c>
      <c r="BU81" s="155">
        <v>57639</v>
      </c>
      <c r="BV81" s="155">
        <v>136280</v>
      </c>
      <c r="BW81" s="155">
        <v>60521</v>
      </c>
      <c r="BX81" s="155">
        <v>35675</v>
      </c>
      <c r="BY81" s="155">
        <v>76619</v>
      </c>
      <c r="BZ81" s="155">
        <v>57325</v>
      </c>
      <c r="CA81" s="155">
        <v>71761</v>
      </c>
      <c r="CB81" s="552">
        <v>64226</v>
      </c>
      <c r="CC81" s="155">
        <v>79134</v>
      </c>
      <c r="CD81" s="155">
        <v>89892</v>
      </c>
      <c r="CE81" s="155">
        <v>102470</v>
      </c>
      <c r="CF81" s="155">
        <v>5541</v>
      </c>
      <c r="CG81" s="155">
        <v>65992</v>
      </c>
      <c r="CH81" s="155">
        <v>75500</v>
      </c>
      <c r="CI81" s="155">
        <v>58731</v>
      </c>
      <c r="CJ81" s="155">
        <v>31953</v>
      </c>
      <c r="CK81" s="156">
        <v>68809</v>
      </c>
      <c r="CL81" s="553">
        <f>SUM(AT81:CK81)</f>
        <v>2902080</v>
      </c>
    </row>
    <row r="82" spans="1:90">
      <c r="A82" s="80">
        <f>ROWS($A$3:A80)</f>
        <v>78</v>
      </c>
      <c r="B82" s="610" t="s">
        <v>367</v>
      </c>
      <c r="C82" s="590">
        <v>2011</v>
      </c>
      <c r="D82" s="603" t="s">
        <v>13</v>
      </c>
      <c r="E82" s="522">
        <v>43320</v>
      </c>
      <c r="F82" s="530">
        <f t="shared" ref="F82:AQ82" si="173">F81/F80</f>
        <v>64.418606142206841</v>
      </c>
      <c r="G82" s="531">
        <f t="shared" si="173"/>
        <v>121.9981478051491</v>
      </c>
      <c r="H82" s="531">
        <f t="shared" si="173"/>
        <v>46.643109291160691</v>
      </c>
      <c r="I82" s="532">
        <f t="shared" si="173"/>
        <v>43.152071668533033</v>
      </c>
      <c r="J82" s="141"/>
      <c r="K82" s="530">
        <f t="shared" si="173"/>
        <v>33.172803347280336</v>
      </c>
      <c r="L82" s="531">
        <f t="shared" si="173"/>
        <v>101.03731976251061</v>
      </c>
      <c r="M82" s="531">
        <f t="shared" si="173"/>
        <v>53.981838194826636</v>
      </c>
      <c r="N82" s="531">
        <f t="shared" si="173"/>
        <v>59.121779859484775</v>
      </c>
      <c r="O82" s="531">
        <f t="shared" si="173"/>
        <v>45.634340222575517</v>
      </c>
      <c r="P82" s="531">
        <f t="shared" si="173"/>
        <v>74.430417495029815</v>
      </c>
      <c r="Q82" s="531">
        <f t="shared" si="173"/>
        <v>146.5529411764706</v>
      </c>
      <c r="R82" s="531">
        <f t="shared" si="173"/>
        <v>110.87124132613724</v>
      </c>
      <c r="S82" s="531">
        <f t="shared" si="173"/>
        <v>162.13897763578274</v>
      </c>
      <c r="T82" s="531">
        <f t="shared" si="173"/>
        <v>34.637873754152821</v>
      </c>
      <c r="U82" s="555">
        <f t="shared" si="173"/>
        <v>31.523389570552148</v>
      </c>
      <c r="V82" s="531">
        <f t="shared" si="173"/>
        <v>149.23039215686273</v>
      </c>
      <c r="W82" s="531">
        <f t="shared" si="173"/>
        <v>65.213054187192114</v>
      </c>
      <c r="X82" s="531">
        <f t="shared" si="173"/>
        <v>216.30701754385964</v>
      </c>
      <c r="Y82" s="531">
        <f t="shared" si="173"/>
        <v>97.134975369458132</v>
      </c>
      <c r="Z82" s="531">
        <f t="shared" si="173"/>
        <v>72.674033149171265</v>
      </c>
      <c r="AA82" s="531">
        <f t="shared" si="173"/>
        <v>229.43220338983051</v>
      </c>
      <c r="AB82" s="555">
        <f t="shared" si="173"/>
        <v>92.657284768211923</v>
      </c>
      <c r="AC82" s="531">
        <f t="shared" si="173"/>
        <v>27.358128834355828</v>
      </c>
      <c r="AD82" s="531">
        <f t="shared" si="173"/>
        <v>42.758902077151333</v>
      </c>
      <c r="AE82" s="531">
        <f t="shared" si="173"/>
        <v>40.913786091907276</v>
      </c>
      <c r="AF82" s="531">
        <f t="shared" si="173"/>
        <v>60.969413763806287</v>
      </c>
      <c r="AG82" s="531">
        <f t="shared" si="173"/>
        <v>37.971579827249933</v>
      </c>
      <c r="AH82" s="531">
        <f t="shared" si="173"/>
        <v>56.256133464180571</v>
      </c>
      <c r="AI82" s="531">
        <f t="shared" si="173"/>
        <v>56.141929499072354</v>
      </c>
      <c r="AJ82" s="531">
        <f t="shared" si="173"/>
        <v>135.36925795053003</v>
      </c>
      <c r="AK82" s="555">
        <f t="shared" si="173"/>
        <v>39.548029556650249</v>
      </c>
      <c r="AL82" s="531">
        <f t="shared" si="173"/>
        <v>108.89479277364507</v>
      </c>
      <c r="AM82" s="531">
        <f t="shared" si="173"/>
        <v>34.506398537477146</v>
      </c>
      <c r="AN82" s="531">
        <f t="shared" si="173"/>
        <v>10.169637173774666</v>
      </c>
      <c r="AO82" s="531">
        <f t="shared" si="173"/>
        <v>65.345995045417013</v>
      </c>
      <c r="AP82" s="531">
        <f t="shared" si="173"/>
        <v>189.2463157894737</v>
      </c>
      <c r="AQ82" s="531">
        <f t="shared" si="173"/>
        <v>43.113408521303256</v>
      </c>
      <c r="AR82" s="531">
        <f>AR81/AR80</f>
        <v>38.537401574803148</v>
      </c>
      <c r="AS82" s="532">
        <f>AS81/AS80</f>
        <v>30.859792924935288</v>
      </c>
      <c r="AT82" s="531">
        <f>IF(OR(AT80&lt;0.1,AT81&lt;0.1),0,AT81/AT80)</f>
        <v>84.841379310344834</v>
      </c>
      <c r="AU82" s="531">
        <f>IF(OR(AU80&lt;0.1,AU81&lt;0.1),0,AU81/AU80)</f>
        <v>146.5529411764706</v>
      </c>
      <c r="AV82" s="531">
        <f t="shared" ref="AV82:CK82" si="174">IF(OR(AV80&lt;0.1,AV81&lt;0.1),0,AV81/AV80)</f>
        <v>162.13897763578274</v>
      </c>
      <c r="AW82" s="531">
        <f t="shared" si="174"/>
        <v>59.121779859484775</v>
      </c>
      <c r="AX82" s="531">
        <f>IF(OR(AX80&lt;0.1,AX81&lt;0.1),0,AX81/AX80)</f>
        <v>114.14756944444444</v>
      </c>
      <c r="AY82" s="531">
        <f t="shared" si="174"/>
        <v>101.03731976251061</v>
      </c>
      <c r="AZ82" s="531">
        <f t="shared" si="174"/>
        <v>93.232142857142861</v>
      </c>
      <c r="BA82" s="531">
        <f t="shared" si="174"/>
        <v>72.717462039045557</v>
      </c>
      <c r="BB82" s="531">
        <f t="shared" si="174"/>
        <v>34.637873754152821</v>
      </c>
      <c r="BC82" s="531">
        <f t="shared" si="174"/>
        <v>31.523389570552148</v>
      </c>
      <c r="BD82" s="531">
        <f t="shared" si="174"/>
        <v>53.981838194826636</v>
      </c>
      <c r="BE82" s="531">
        <f t="shared" si="174"/>
        <v>45.634340222575517</v>
      </c>
      <c r="BF82" s="555">
        <f t="shared" si="174"/>
        <v>33.172803347280336</v>
      </c>
      <c r="BG82" s="531">
        <f t="shared" si="174"/>
        <v>128.43023255813952</v>
      </c>
      <c r="BH82" s="531">
        <f>IF(OR(BH80&lt;0.1,BH81&lt;0.1),0,BH81/BH80)</f>
        <v>201.19565217391303</v>
      </c>
      <c r="BI82" s="531">
        <f>IF(OR(BI80&lt;0.1,BI81&lt;0.1),0,BI81/BI80)</f>
        <v>217.23138297872342</v>
      </c>
      <c r="BJ82" s="531">
        <f>IF(OR(BJ80&lt;0.1,BJ81&lt;0.1),0,BJ81/BJ80)</f>
        <v>152.63117870722434</v>
      </c>
      <c r="BK82" s="531">
        <f t="shared" si="174"/>
        <v>48.828571428571429</v>
      </c>
      <c r="BL82" s="531">
        <f t="shared" si="174"/>
        <v>84.377049180327873</v>
      </c>
      <c r="BM82" s="531">
        <f>IF(OR(BM80&lt;0.1,BM81&lt;0.1),0,BM81/BM80)</f>
        <v>72.674033149171265</v>
      </c>
      <c r="BN82" s="531">
        <f t="shared" si="174"/>
        <v>101.84049773755656</v>
      </c>
      <c r="BO82" s="531">
        <f t="shared" si="174"/>
        <v>270.375</v>
      </c>
      <c r="BP82" s="531">
        <f t="shared" si="174"/>
        <v>92.657284768211923</v>
      </c>
      <c r="BQ82" s="531">
        <f>IF(OR(BQ80&lt;0.1,BQ81&lt;0.1),0,BQ81/BQ80)</f>
        <v>227.99561403508773</v>
      </c>
      <c r="BR82" s="555">
        <f t="shared" si="174"/>
        <v>65.213054187192114</v>
      </c>
      <c r="BS82" s="531">
        <f t="shared" si="174"/>
        <v>63.571428571428569</v>
      </c>
      <c r="BT82" s="531">
        <f t="shared" si="174"/>
        <v>39.545924967658472</v>
      </c>
      <c r="BU82" s="531">
        <f t="shared" si="174"/>
        <v>42.758902077151333</v>
      </c>
      <c r="BV82" s="531">
        <f t="shared" si="174"/>
        <v>37.971579827249933</v>
      </c>
      <c r="BW82" s="531">
        <f t="shared" si="174"/>
        <v>56.141929499072354</v>
      </c>
      <c r="BX82" s="531">
        <f t="shared" si="174"/>
        <v>27.358128834355828</v>
      </c>
      <c r="BY82" s="531">
        <f t="shared" si="174"/>
        <v>135.36925795053003</v>
      </c>
      <c r="BZ82" s="531">
        <f t="shared" si="174"/>
        <v>56.256133464180571</v>
      </c>
      <c r="CA82" s="531">
        <f t="shared" si="174"/>
        <v>60.969413763806287</v>
      </c>
      <c r="CB82" s="555">
        <f t="shared" si="174"/>
        <v>39.548029556650249</v>
      </c>
      <c r="CC82" s="531">
        <f t="shared" si="174"/>
        <v>65.345995045417013</v>
      </c>
      <c r="CD82" s="531">
        <f t="shared" si="174"/>
        <v>189.2463157894737</v>
      </c>
      <c r="CE82" s="531">
        <f t="shared" si="174"/>
        <v>108.89479277364507</v>
      </c>
      <c r="CF82" s="531">
        <f t="shared" si="174"/>
        <v>45.048780487804876</v>
      </c>
      <c r="CG82" s="531">
        <f t="shared" si="174"/>
        <v>30.064692482915717</v>
      </c>
      <c r="CH82" s="531">
        <f t="shared" si="174"/>
        <v>34.506398537477146</v>
      </c>
      <c r="CI82" s="531">
        <f t="shared" si="174"/>
        <v>38.537401574803148</v>
      </c>
      <c r="CJ82" s="531">
        <f t="shared" si="174"/>
        <v>10.169637173774666</v>
      </c>
      <c r="CK82" s="532">
        <f t="shared" si="174"/>
        <v>43.113408521303256</v>
      </c>
      <c r="CL82" s="556">
        <f>IF(OR(CL80&lt;0.1,CL81&lt;0.1),0,CL81/CL80)</f>
        <v>59.768921841210997</v>
      </c>
    </row>
    <row r="83" spans="1:90">
      <c r="A83" s="80">
        <f>ROWS($A$3:A81)</f>
        <v>79</v>
      </c>
      <c r="B83" s="602" t="s">
        <v>366</v>
      </c>
      <c r="C83" s="590">
        <v>2011</v>
      </c>
      <c r="D83" s="603" t="s">
        <v>13</v>
      </c>
      <c r="E83" s="522">
        <v>43320</v>
      </c>
      <c r="F83" s="154">
        <f>SUM(AT83:BF83)</f>
        <v>1161930</v>
      </c>
      <c r="G83" s="155">
        <f>SUM(BG83:BR83)</f>
        <v>738570</v>
      </c>
      <c r="H83" s="155">
        <f>SUM(BS83:CB83)</f>
        <v>844059</v>
      </c>
      <c r="I83" s="156">
        <f>SUM(CC83:CK83)</f>
        <v>721886</v>
      </c>
      <c r="J83" s="122"/>
      <c r="K83" s="154">
        <f>BF83</f>
        <v>101126</v>
      </c>
      <c r="L83" s="155">
        <f>AY83</f>
        <v>133284</v>
      </c>
      <c r="M83" s="155">
        <f>BD83</f>
        <v>116541</v>
      </c>
      <c r="N83" s="155">
        <f>AW83</f>
        <v>60836</v>
      </c>
      <c r="O83" s="155">
        <f>BE83</f>
        <v>34441</v>
      </c>
      <c r="P83" s="155">
        <f>AZ83+BA83</f>
        <v>167354</v>
      </c>
      <c r="Q83" s="155">
        <f>AU83</f>
        <v>106529</v>
      </c>
      <c r="R83" s="155">
        <f>AT83+AX83</f>
        <v>155092</v>
      </c>
      <c r="S83" s="155">
        <f>AV83</f>
        <v>108353</v>
      </c>
      <c r="T83" s="155">
        <f>BB83</f>
        <v>66923</v>
      </c>
      <c r="U83" s="552">
        <f>BC83</f>
        <v>111451</v>
      </c>
      <c r="V83" s="155">
        <f>BG83+BJ83</f>
        <v>99280</v>
      </c>
      <c r="W83" s="155">
        <f>BR83</f>
        <v>62371</v>
      </c>
      <c r="X83" s="155">
        <f>BH83+BI83</f>
        <v>186411</v>
      </c>
      <c r="Y83" s="155">
        <f>BK83+BL83+BN83</f>
        <v>111432</v>
      </c>
      <c r="Z83" s="155">
        <f>BM83</f>
        <v>96966</v>
      </c>
      <c r="AA83" s="155">
        <f>BO83+BQ83</f>
        <v>116625</v>
      </c>
      <c r="AB83" s="552">
        <f>BP83</f>
        <v>65485</v>
      </c>
      <c r="AC83" s="155">
        <f>BX83</f>
        <v>57000</v>
      </c>
      <c r="AD83" s="155">
        <f>BU83</f>
        <v>73056</v>
      </c>
      <c r="AE83" s="155">
        <f>BS83+BT83</f>
        <v>125140</v>
      </c>
      <c r="AF83" s="155">
        <f>CA83</f>
        <v>88860</v>
      </c>
      <c r="AG83" s="155">
        <f>BV83</f>
        <v>180292</v>
      </c>
      <c r="AH83" s="155">
        <f>BZ83</f>
        <v>74652</v>
      </c>
      <c r="AI83" s="155">
        <f>BW83</f>
        <v>76286</v>
      </c>
      <c r="AJ83" s="155">
        <f>BY83</f>
        <v>85113</v>
      </c>
      <c r="AK83" s="552">
        <f>CB83</f>
        <v>83660</v>
      </c>
      <c r="AL83" s="155">
        <f>CE83</f>
        <v>112844</v>
      </c>
      <c r="AM83" s="155">
        <f>CH83</f>
        <v>94360</v>
      </c>
      <c r="AN83" s="155">
        <f>CJ83</f>
        <v>48657</v>
      </c>
      <c r="AO83" s="155">
        <f>CC83</f>
        <v>95331</v>
      </c>
      <c r="AP83" s="155">
        <f>CD83</f>
        <v>96294</v>
      </c>
      <c r="AQ83" s="155">
        <f>CK83</f>
        <v>87468</v>
      </c>
      <c r="AR83" s="155">
        <f>CI83</f>
        <v>96273</v>
      </c>
      <c r="AS83" s="156">
        <f>CF83+CG83</f>
        <v>90659</v>
      </c>
      <c r="AT83" s="155">
        <v>13156</v>
      </c>
      <c r="AU83" s="155">
        <v>106529</v>
      </c>
      <c r="AV83" s="155">
        <v>108353</v>
      </c>
      <c r="AW83" s="155">
        <v>60836</v>
      </c>
      <c r="AX83" s="155">
        <v>141936</v>
      </c>
      <c r="AY83" s="155">
        <v>133284</v>
      </c>
      <c r="AZ83" s="155">
        <v>18675</v>
      </c>
      <c r="BA83" s="155">
        <v>148679</v>
      </c>
      <c r="BB83" s="155">
        <v>66923</v>
      </c>
      <c r="BC83" s="155">
        <v>111451</v>
      </c>
      <c r="BD83" s="155">
        <v>116541</v>
      </c>
      <c r="BE83" s="155">
        <v>34441</v>
      </c>
      <c r="BF83" s="552">
        <v>101126</v>
      </c>
      <c r="BG83" s="155">
        <v>12059</v>
      </c>
      <c r="BH83" s="155">
        <v>10143</v>
      </c>
      <c r="BI83" s="155">
        <v>176268</v>
      </c>
      <c r="BJ83" s="155">
        <v>87221</v>
      </c>
      <c r="BK83" s="155">
        <v>4170</v>
      </c>
      <c r="BL83" s="155">
        <v>6033</v>
      </c>
      <c r="BM83" s="155">
        <v>96966</v>
      </c>
      <c r="BN83" s="155">
        <v>101229</v>
      </c>
      <c r="BO83" s="155">
        <v>4947</v>
      </c>
      <c r="BP83" s="155">
        <v>65485</v>
      </c>
      <c r="BQ83" s="155">
        <v>111678</v>
      </c>
      <c r="BR83" s="552">
        <v>62371</v>
      </c>
      <c r="BS83" s="155">
        <v>10062</v>
      </c>
      <c r="BT83" s="155">
        <v>115078</v>
      </c>
      <c r="BU83" s="155">
        <v>73056</v>
      </c>
      <c r="BV83" s="155">
        <v>180292</v>
      </c>
      <c r="BW83" s="155">
        <v>76286</v>
      </c>
      <c r="BX83" s="155">
        <v>57000</v>
      </c>
      <c r="BY83" s="155">
        <v>85113</v>
      </c>
      <c r="BZ83" s="155">
        <v>74652</v>
      </c>
      <c r="CA83" s="155">
        <v>88860</v>
      </c>
      <c r="CB83" s="552">
        <v>83660</v>
      </c>
      <c r="CC83" s="155">
        <v>95331</v>
      </c>
      <c r="CD83" s="155">
        <v>96294</v>
      </c>
      <c r="CE83" s="155">
        <v>112844</v>
      </c>
      <c r="CF83" s="155">
        <v>6480</v>
      </c>
      <c r="CG83" s="155">
        <v>84179</v>
      </c>
      <c r="CH83" s="155">
        <v>94360</v>
      </c>
      <c r="CI83" s="155">
        <v>96273</v>
      </c>
      <c r="CJ83" s="155">
        <v>48657</v>
      </c>
      <c r="CK83" s="156">
        <v>87468</v>
      </c>
      <c r="CL83" s="320">
        <f>SUM(AT83:CK83)</f>
        <v>3466445</v>
      </c>
    </row>
    <row r="84" spans="1:90">
      <c r="A84" s="80">
        <f>ROWS($A$3:A82)</f>
        <v>80</v>
      </c>
      <c r="B84" s="610" t="s">
        <v>368</v>
      </c>
      <c r="C84" s="590">
        <v>2011</v>
      </c>
      <c r="D84" s="603" t="s">
        <v>13</v>
      </c>
      <c r="E84" s="522">
        <v>43320</v>
      </c>
      <c r="F84" s="530">
        <f>F83/F80</f>
        <v>74.497018657434126</v>
      </c>
      <c r="G84" s="531">
        <f>G83/G80</f>
        <v>136.79755510279682</v>
      </c>
      <c r="H84" s="531">
        <f>H83/H80</f>
        <v>59.591852584015818</v>
      </c>
      <c r="I84" s="532">
        <f>I83/I80</f>
        <v>53.892198581560287</v>
      </c>
      <c r="J84" s="122"/>
      <c r="K84" s="530">
        <f t="shared" ref="K84:BV84" si="175">K83/K80</f>
        <v>42.312133891213392</v>
      </c>
      <c r="L84" s="531">
        <f t="shared" si="175"/>
        <v>113.04834605597965</v>
      </c>
      <c r="M84" s="531">
        <f t="shared" si="175"/>
        <v>64.139240506329116</v>
      </c>
      <c r="N84" s="531">
        <f t="shared" si="175"/>
        <v>71.236533957845438</v>
      </c>
      <c r="O84" s="531">
        <f t="shared" si="175"/>
        <v>54.755166931637518</v>
      </c>
      <c r="P84" s="531">
        <f t="shared" si="175"/>
        <v>83.177932405566594</v>
      </c>
      <c r="Q84" s="531">
        <f t="shared" si="175"/>
        <v>156.66029411764706</v>
      </c>
      <c r="R84" s="531">
        <f t="shared" si="175"/>
        <v>119.57748650732459</v>
      </c>
      <c r="S84" s="531">
        <f t="shared" si="175"/>
        <v>173.08785942492014</v>
      </c>
      <c r="T84" s="531">
        <f t="shared" si="175"/>
        <v>44.467109634551498</v>
      </c>
      <c r="U84" s="555">
        <f t="shared" si="175"/>
        <v>42.734279141104295</v>
      </c>
      <c r="V84" s="531">
        <f t="shared" si="175"/>
        <v>162.22222222222223</v>
      </c>
      <c r="W84" s="531">
        <f t="shared" si="175"/>
        <v>76.811576354679801</v>
      </c>
      <c r="X84" s="531">
        <f t="shared" si="175"/>
        <v>233.59774436090225</v>
      </c>
      <c r="Y84" s="531">
        <f t="shared" si="175"/>
        <v>109.78522167487685</v>
      </c>
      <c r="Z84" s="531">
        <f t="shared" si="175"/>
        <v>89.287292817679557</v>
      </c>
      <c r="AA84" s="531">
        <f t="shared" si="175"/>
        <v>247.08686440677965</v>
      </c>
      <c r="AB84" s="555">
        <f t="shared" si="175"/>
        <v>108.41887417218543</v>
      </c>
      <c r="AC84" s="531">
        <f t="shared" si="175"/>
        <v>43.711656441717793</v>
      </c>
      <c r="AD84" s="531">
        <f t="shared" si="175"/>
        <v>54.195845697329375</v>
      </c>
      <c r="AE84" s="531">
        <f t="shared" si="175"/>
        <v>50.890605937372918</v>
      </c>
      <c r="AF84" s="531">
        <f t="shared" si="175"/>
        <v>75.497026338147833</v>
      </c>
      <c r="AG84" s="531">
        <f t="shared" si="175"/>
        <v>50.234605739760376</v>
      </c>
      <c r="AH84" s="531">
        <f t="shared" si="175"/>
        <v>73.260058881256128</v>
      </c>
      <c r="AI84" s="531">
        <f t="shared" si="175"/>
        <v>70.766233766233768</v>
      </c>
      <c r="AJ84" s="531">
        <f t="shared" si="175"/>
        <v>150.37632508833923</v>
      </c>
      <c r="AK84" s="555">
        <f t="shared" si="175"/>
        <v>51.514778325123153</v>
      </c>
      <c r="AL84" s="531">
        <f t="shared" si="175"/>
        <v>119.9192348565356</v>
      </c>
      <c r="AM84" s="531">
        <f t="shared" si="175"/>
        <v>43.12614259597806</v>
      </c>
      <c r="AN84" s="531">
        <f t="shared" si="175"/>
        <v>15.485996180776576</v>
      </c>
      <c r="AO84" s="531">
        <f t="shared" si="175"/>
        <v>78.720891824938064</v>
      </c>
      <c r="AP84" s="531">
        <f t="shared" si="175"/>
        <v>202.7242105263158</v>
      </c>
      <c r="AQ84" s="531">
        <f t="shared" si="175"/>
        <v>54.804511278195491</v>
      </c>
      <c r="AR84" s="531">
        <f t="shared" si="175"/>
        <v>63.171259842519682</v>
      </c>
      <c r="AS84" s="532">
        <f t="shared" si="175"/>
        <v>39.110871440897327</v>
      </c>
      <c r="AT84" s="531">
        <f t="shared" si="175"/>
        <v>90.731034482758616</v>
      </c>
      <c r="AU84" s="531">
        <f t="shared" si="175"/>
        <v>156.66029411764706</v>
      </c>
      <c r="AV84" s="531">
        <f t="shared" si="175"/>
        <v>173.08785942492014</v>
      </c>
      <c r="AW84" s="531">
        <f t="shared" si="175"/>
        <v>71.236533957845438</v>
      </c>
      <c r="AX84" s="531">
        <f t="shared" si="175"/>
        <v>123.20833333333333</v>
      </c>
      <c r="AY84" s="531">
        <f t="shared" si="175"/>
        <v>113.04834605597965</v>
      </c>
      <c r="AZ84" s="531">
        <f t="shared" si="175"/>
        <v>111.16071428571429</v>
      </c>
      <c r="BA84" s="531">
        <f t="shared" si="175"/>
        <v>80.628524945770067</v>
      </c>
      <c r="BB84" s="531">
        <f t="shared" si="175"/>
        <v>44.467109634551498</v>
      </c>
      <c r="BC84" s="531">
        <f t="shared" si="175"/>
        <v>42.734279141104295</v>
      </c>
      <c r="BD84" s="531">
        <f t="shared" si="175"/>
        <v>64.139240506329116</v>
      </c>
      <c r="BE84" s="531">
        <f t="shared" si="175"/>
        <v>54.755166931637518</v>
      </c>
      <c r="BF84" s="555">
        <f t="shared" si="175"/>
        <v>42.312133891213392</v>
      </c>
      <c r="BG84" s="531">
        <f t="shared" si="175"/>
        <v>140.22093023255815</v>
      </c>
      <c r="BH84" s="531">
        <f t="shared" si="175"/>
        <v>220.5</v>
      </c>
      <c r="BI84" s="531">
        <f t="shared" si="175"/>
        <v>234.39893617021278</v>
      </c>
      <c r="BJ84" s="531">
        <f t="shared" si="175"/>
        <v>165.819391634981</v>
      </c>
      <c r="BK84" s="531">
        <f t="shared" si="175"/>
        <v>59.571428571428569</v>
      </c>
      <c r="BL84" s="531">
        <f t="shared" si="175"/>
        <v>98.901639344262293</v>
      </c>
      <c r="BM84" s="531">
        <f t="shared" si="175"/>
        <v>89.287292817679557</v>
      </c>
      <c r="BN84" s="531">
        <f t="shared" si="175"/>
        <v>114.51244343891403</v>
      </c>
      <c r="BO84" s="531">
        <f t="shared" si="175"/>
        <v>309.1875</v>
      </c>
      <c r="BP84" s="531">
        <f t="shared" si="175"/>
        <v>108.41887417218543</v>
      </c>
      <c r="BQ84" s="531">
        <f t="shared" si="175"/>
        <v>244.90789473684211</v>
      </c>
      <c r="BR84" s="555">
        <f t="shared" si="175"/>
        <v>76.811576354679801</v>
      </c>
      <c r="BS84" s="531">
        <f t="shared" si="175"/>
        <v>71.871428571428567</v>
      </c>
      <c r="BT84" s="531">
        <f t="shared" si="175"/>
        <v>49.623975851660198</v>
      </c>
      <c r="BU84" s="531">
        <f t="shared" si="175"/>
        <v>54.195845697329375</v>
      </c>
      <c r="BV84" s="531">
        <f t="shared" si="175"/>
        <v>50.234605739760376</v>
      </c>
      <c r="BW84" s="531">
        <f t="shared" ref="BW84:CL84" si="176">BW83/BW80</f>
        <v>70.766233766233768</v>
      </c>
      <c r="BX84" s="531">
        <f t="shared" si="176"/>
        <v>43.711656441717793</v>
      </c>
      <c r="BY84" s="531">
        <f t="shared" si="176"/>
        <v>150.37632508833923</v>
      </c>
      <c r="BZ84" s="531">
        <f t="shared" si="176"/>
        <v>73.260058881256128</v>
      </c>
      <c r="CA84" s="531">
        <f t="shared" si="176"/>
        <v>75.497026338147833</v>
      </c>
      <c r="CB84" s="555">
        <f t="shared" si="176"/>
        <v>51.514778325123153</v>
      </c>
      <c r="CC84" s="531">
        <f t="shared" si="176"/>
        <v>78.720891824938064</v>
      </c>
      <c r="CD84" s="531">
        <f t="shared" si="176"/>
        <v>202.7242105263158</v>
      </c>
      <c r="CE84" s="531">
        <f t="shared" si="176"/>
        <v>119.9192348565356</v>
      </c>
      <c r="CF84" s="531">
        <f t="shared" si="176"/>
        <v>52.68292682926829</v>
      </c>
      <c r="CG84" s="531">
        <f t="shared" si="176"/>
        <v>38.350341685649205</v>
      </c>
      <c r="CH84" s="531">
        <f t="shared" si="176"/>
        <v>43.12614259597806</v>
      </c>
      <c r="CI84" s="531">
        <f t="shared" si="176"/>
        <v>63.171259842519682</v>
      </c>
      <c r="CJ84" s="531">
        <f t="shared" si="176"/>
        <v>15.485996180776576</v>
      </c>
      <c r="CK84" s="532">
        <f t="shared" si="176"/>
        <v>54.804511278195491</v>
      </c>
      <c r="CL84" s="556">
        <f t="shared" si="176"/>
        <v>71.392132633096494</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363">
        <v>2011</v>
      </c>
      <c r="D86" s="259"/>
      <c r="E86" s="435"/>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9" t="s">
        <v>188</v>
      </c>
      <c r="E87" s="471">
        <v>41361</v>
      </c>
      <c r="F87" s="364">
        <v>22382</v>
      </c>
      <c r="G87" s="364">
        <v>20668</v>
      </c>
      <c r="H87" s="364">
        <v>16123</v>
      </c>
      <c r="I87" s="365">
        <v>21433</v>
      </c>
      <c r="J87" s="280"/>
      <c r="K87" s="366">
        <f>BF87</f>
        <v>19218</v>
      </c>
      <c r="L87" s="367">
        <f>AY87</f>
        <v>25140</v>
      </c>
      <c r="M87" s="367">
        <f>BD87</f>
        <v>14182</v>
      </c>
      <c r="N87" s="367">
        <f>AW87</f>
        <v>18328</v>
      </c>
      <c r="O87" s="367">
        <f>BE87</f>
        <v>19182</v>
      </c>
      <c r="P87" s="368">
        <f>(AZ100*AZ87+BA100*BA87)/(AZ100+BA100)</f>
        <v>22838.48</v>
      </c>
      <c r="Q87" s="367">
        <f>'2008'!AU87</f>
        <v>31866</v>
      </c>
      <c r="R87" s="368">
        <f>(AT100*AT87+AX100*AX87)/(AT100+AX100)</f>
        <v>39583.878048780491</v>
      </c>
      <c r="S87" s="367">
        <f>AV87</f>
        <v>36172</v>
      </c>
      <c r="T87" s="367">
        <f>BB87</f>
        <v>21533</v>
      </c>
      <c r="U87" s="369">
        <f>BC87</f>
        <v>20096</v>
      </c>
      <c r="V87" s="368">
        <f>(BG100*BG87+BJ100*BJ87)/(BG100+BJ100)</f>
        <v>26121.529411764706</v>
      </c>
      <c r="W87" s="367">
        <f>BR87</f>
        <v>12977</v>
      </c>
      <c r="X87" s="368">
        <f>(BH100*BH87+BI100*BI87)/(BH100+BI100)</f>
        <v>23242.291970802919</v>
      </c>
      <c r="Y87" s="368">
        <f>(BK100*BK87+BL100*BL87+BN100*BN87)/(BK100+BL100+BN100)</f>
        <v>38758.055555555555</v>
      </c>
      <c r="Z87" s="367">
        <f>BM87</f>
        <v>12152</v>
      </c>
      <c r="AA87" s="368">
        <f>(BO100*BO87+BQ100*BQ87)/(BO100+BQ100)</f>
        <v>24170</v>
      </c>
      <c r="AB87" s="369">
        <f>BP87</f>
        <v>15893</v>
      </c>
      <c r="AC87" s="367">
        <f>BX87</f>
        <v>11357</v>
      </c>
      <c r="AD87" s="367">
        <f>BU87</f>
        <v>24378</v>
      </c>
      <c r="AE87" s="368">
        <f>(BS100*BS87+BT100*BT87)/(BS100+BT100)</f>
        <v>20075</v>
      </c>
      <c r="AF87" s="367">
        <f>CA87</f>
        <v>15640</v>
      </c>
      <c r="AG87" s="367">
        <f>BV87</f>
        <v>19375</v>
      </c>
      <c r="AH87" s="367">
        <f>BZ87</f>
        <v>15598</v>
      </c>
      <c r="AI87" s="367">
        <f>BW87</f>
        <v>11513</v>
      </c>
      <c r="AJ87" s="367">
        <f>BY87</f>
        <v>12561</v>
      </c>
      <c r="AK87" s="369">
        <f>CB87</f>
        <v>12408</v>
      </c>
      <c r="AL87" s="367">
        <f>CE87</f>
        <v>12811</v>
      </c>
      <c r="AM87" s="367">
        <f>CH87</f>
        <v>23661</v>
      </c>
      <c r="AN87" s="367">
        <f>CJ87</f>
        <v>20232</v>
      </c>
      <c r="AO87" s="367">
        <f>CC87</f>
        <v>17615</v>
      </c>
      <c r="AP87" s="367">
        <f>CD87</f>
        <v>24928</v>
      </c>
      <c r="AQ87" s="367">
        <f>CK87</f>
        <v>15692</v>
      </c>
      <c r="AR87" s="367">
        <f>CI87</f>
        <v>27270</v>
      </c>
      <c r="AS87" s="370">
        <f>(CF100*CF87+CG100*CG87)/(CF100+CG100)</f>
        <v>24215.151750972764</v>
      </c>
      <c r="AT87" s="367">
        <v>156587</v>
      </c>
      <c r="AU87" s="364">
        <v>35048</v>
      </c>
      <c r="AV87" s="364">
        <v>36172</v>
      </c>
      <c r="AW87" s="364">
        <v>18328</v>
      </c>
      <c r="AX87" s="364">
        <v>35651</v>
      </c>
      <c r="AY87" s="364">
        <v>25140</v>
      </c>
      <c r="AZ87" s="364">
        <v>43286</v>
      </c>
      <c r="BA87" s="364">
        <v>21467</v>
      </c>
      <c r="BB87" s="364">
        <v>21533</v>
      </c>
      <c r="BC87" s="364">
        <v>20096</v>
      </c>
      <c r="BD87" s="364">
        <v>14182</v>
      </c>
      <c r="BE87" s="364">
        <v>19182</v>
      </c>
      <c r="BF87" s="371">
        <v>19218</v>
      </c>
      <c r="BG87" s="364">
        <v>22233</v>
      </c>
      <c r="BH87" s="364">
        <v>45722</v>
      </c>
      <c r="BI87" s="364">
        <v>23077</v>
      </c>
      <c r="BJ87" s="364">
        <v>26640</v>
      </c>
      <c r="BK87" s="364">
        <v>91680</v>
      </c>
      <c r="BL87" s="364">
        <v>0</v>
      </c>
      <c r="BM87" s="364">
        <v>12152</v>
      </c>
      <c r="BN87" s="364">
        <v>37246</v>
      </c>
      <c r="BO87" s="364">
        <v>54794</v>
      </c>
      <c r="BP87" s="364">
        <v>15893</v>
      </c>
      <c r="BQ87" s="364">
        <v>22586</v>
      </c>
      <c r="BR87" s="371">
        <v>12977</v>
      </c>
      <c r="BS87" s="364">
        <v>0</v>
      </c>
      <c r="BT87" s="364">
        <v>20075</v>
      </c>
      <c r="BU87" s="364">
        <v>24378</v>
      </c>
      <c r="BV87" s="364">
        <v>19375</v>
      </c>
      <c r="BW87" s="364">
        <v>11513</v>
      </c>
      <c r="BX87" s="364">
        <v>11357</v>
      </c>
      <c r="BY87" s="364">
        <v>12561</v>
      </c>
      <c r="BZ87" s="364">
        <v>15598</v>
      </c>
      <c r="CA87" s="364">
        <v>15640</v>
      </c>
      <c r="CB87" s="371">
        <v>12408</v>
      </c>
      <c r="CC87" s="364">
        <v>17615</v>
      </c>
      <c r="CD87" s="364">
        <v>24928</v>
      </c>
      <c r="CE87" s="364">
        <v>12811</v>
      </c>
      <c r="CF87" s="364">
        <v>0</v>
      </c>
      <c r="CG87" s="364">
        <v>24598</v>
      </c>
      <c r="CH87" s="364">
        <v>23661</v>
      </c>
      <c r="CI87" s="364">
        <v>27270</v>
      </c>
      <c r="CJ87" s="364">
        <v>20232</v>
      </c>
      <c r="CK87" s="364">
        <v>15692</v>
      </c>
      <c r="CL87" s="372">
        <v>20668</v>
      </c>
    </row>
    <row r="88" spans="1:90">
      <c r="A88" s="80">
        <f>ROWS($A$3:A86)</f>
        <v>84</v>
      </c>
      <c r="B88" s="59" t="s">
        <v>190</v>
      </c>
      <c r="C88" s="202">
        <v>2011</v>
      </c>
      <c r="D88" s="259"/>
      <c r="E88" s="435"/>
      <c r="F88" s="116"/>
      <c r="G88" s="137"/>
      <c r="H88" s="137"/>
      <c r="I88" s="138"/>
      <c r="J88" s="141"/>
      <c r="K88" s="366"/>
      <c r="L88" s="367"/>
      <c r="M88" s="367"/>
      <c r="N88" s="367"/>
      <c r="O88" s="367"/>
      <c r="P88" s="367"/>
      <c r="Q88" s="367"/>
      <c r="R88" s="367"/>
      <c r="S88" s="367"/>
      <c r="T88" s="367"/>
      <c r="U88" s="369"/>
      <c r="V88" s="367"/>
      <c r="W88" s="367"/>
      <c r="X88" s="367"/>
      <c r="Y88" s="367"/>
      <c r="Z88" s="367"/>
      <c r="AA88" s="367"/>
      <c r="AB88" s="369"/>
      <c r="AC88" s="367"/>
      <c r="AD88" s="367"/>
      <c r="AE88" s="367"/>
      <c r="AF88" s="367"/>
      <c r="AG88" s="367"/>
      <c r="AH88" s="367"/>
      <c r="AI88" s="367"/>
      <c r="AJ88" s="367"/>
      <c r="AK88" s="369"/>
      <c r="AL88" s="367"/>
      <c r="AM88" s="367"/>
      <c r="AN88" s="367"/>
      <c r="AO88" s="367"/>
      <c r="AP88" s="367"/>
      <c r="AQ88" s="367"/>
      <c r="AR88" s="367"/>
      <c r="AS88" s="373"/>
      <c r="AT88" s="367"/>
      <c r="AU88" s="367"/>
      <c r="AV88" s="367"/>
      <c r="AW88" s="367"/>
      <c r="AX88" s="367"/>
      <c r="AY88" s="367"/>
      <c r="AZ88" s="367"/>
      <c r="BA88" s="367"/>
      <c r="BB88" s="367"/>
      <c r="BC88" s="367"/>
      <c r="BD88" s="367"/>
      <c r="BE88" s="367"/>
      <c r="BF88" s="369"/>
      <c r="BG88" s="367"/>
      <c r="BH88" s="367"/>
      <c r="BI88" s="367"/>
      <c r="BJ88" s="367"/>
      <c r="BK88" s="367"/>
      <c r="BL88" s="367"/>
      <c r="BM88" s="367"/>
      <c r="BN88" s="367"/>
      <c r="BO88" s="367"/>
      <c r="BP88" s="367"/>
      <c r="BQ88" s="367"/>
      <c r="BR88" s="369"/>
      <c r="BS88" s="367"/>
      <c r="BT88" s="367"/>
      <c r="BU88" s="367"/>
      <c r="BV88" s="367"/>
      <c r="BW88" s="367"/>
      <c r="BX88" s="367"/>
      <c r="BY88" s="367"/>
      <c r="BZ88" s="367"/>
      <c r="CA88" s="367"/>
      <c r="CB88" s="369"/>
      <c r="CC88" s="367"/>
      <c r="CD88" s="367"/>
      <c r="CE88" s="367"/>
      <c r="CF88" s="367"/>
      <c r="CG88" s="367"/>
      <c r="CH88" s="367"/>
      <c r="CI88" s="367"/>
      <c r="CJ88" s="367"/>
      <c r="CK88" s="373"/>
      <c r="CL88" s="372"/>
    </row>
    <row r="89" spans="1:90">
      <c r="A89" s="80">
        <f>ROWS($A$3:A87)</f>
        <v>85</v>
      </c>
      <c r="B89" s="92" t="str">
        <f>'2012'!B89</f>
        <v>Winterweizen (einschl. Dinkel u. Einkorn)</v>
      </c>
      <c r="C89" s="205"/>
      <c r="D89" s="259" t="s">
        <v>192</v>
      </c>
      <c r="E89" s="471">
        <v>41499</v>
      </c>
      <c r="F89" s="356">
        <v>66.2</v>
      </c>
      <c r="G89" s="357">
        <v>64.400000000000006</v>
      </c>
      <c r="H89" s="357">
        <v>76.2</v>
      </c>
      <c r="I89" s="358">
        <v>75.599999999999994</v>
      </c>
      <c r="J89" s="173"/>
      <c r="K89" s="356">
        <f>BF89</f>
        <v>71.599999999999994</v>
      </c>
      <c r="L89" s="359">
        <f>AY89</f>
        <v>65.400000000000006</v>
      </c>
      <c r="M89" s="359">
        <f>BD89</f>
        <v>54.8</v>
      </c>
      <c r="N89" s="359">
        <f>AW89</f>
        <v>81.3</v>
      </c>
      <c r="O89" s="359">
        <f>BE89</f>
        <v>59.7</v>
      </c>
      <c r="P89" s="359">
        <f>'2011'!BA89</f>
        <v>71.900000000000006</v>
      </c>
      <c r="Q89" s="359">
        <f>'2011'!AU89</f>
        <v>82.6</v>
      </c>
      <c r="R89" s="359">
        <f>AX89</f>
        <v>75.599999999999994</v>
      </c>
      <c r="S89" s="359">
        <f>AV89</f>
        <v>67.900000000000006</v>
      </c>
      <c r="T89" s="359">
        <f t="shared" ref="T89:U93" si="177">BB89</f>
        <v>60.7</v>
      </c>
      <c r="U89" s="360">
        <f t="shared" si="177"/>
        <v>78.599999999999994</v>
      </c>
      <c r="V89" s="359" t="str">
        <f>BJ89</f>
        <v>-</v>
      </c>
      <c r="W89" s="359">
        <f>BR89</f>
        <v>84.2</v>
      </c>
      <c r="X89" s="359">
        <f>BI89</f>
        <v>62.7</v>
      </c>
      <c r="Y89" s="359">
        <f>BN89</f>
        <v>61.1</v>
      </c>
      <c r="Z89" s="359">
        <f>BM89</f>
        <v>61.9</v>
      </c>
      <c r="AA89" s="359">
        <f>BQ89</f>
        <v>77.400000000000006</v>
      </c>
      <c r="AB89" s="360">
        <f>BP89</f>
        <v>88.8</v>
      </c>
      <c r="AC89" s="359">
        <f>BX89</f>
        <v>83.7</v>
      </c>
      <c r="AD89" s="359">
        <f>BU89</f>
        <v>83</v>
      </c>
      <c r="AE89" s="359">
        <f>BT89</f>
        <v>91.9</v>
      </c>
      <c r="AF89" s="359" t="str">
        <f>CA89</f>
        <v>-</v>
      </c>
      <c r="AG89" s="359">
        <f>BV89</f>
        <v>81.2</v>
      </c>
      <c r="AH89" s="359">
        <f>BZ89</f>
        <v>42.1</v>
      </c>
      <c r="AI89" s="359">
        <f>BW89</f>
        <v>82.8</v>
      </c>
      <c r="AJ89" s="359">
        <f>BY89</f>
        <v>65.3</v>
      </c>
      <c r="AK89" s="360">
        <f>CB89</f>
        <v>61.6</v>
      </c>
      <c r="AL89" s="359">
        <f>CE89</f>
        <v>61.8</v>
      </c>
      <c r="AM89" s="359">
        <f>CH89</f>
        <v>77.8</v>
      </c>
      <c r="AN89" s="359">
        <f>CJ89</f>
        <v>87.8</v>
      </c>
      <c r="AO89" s="359">
        <f t="shared" ref="AO89:AP93" si="178">CC89</f>
        <v>65.3</v>
      </c>
      <c r="AP89" s="359">
        <f t="shared" si="178"/>
        <v>69.900000000000006</v>
      </c>
      <c r="AQ89" s="359">
        <f>CK89</f>
        <v>74.099999999999994</v>
      </c>
      <c r="AR89" s="359">
        <f>CI89</f>
        <v>81.8</v>
      </c>
      <c r="AS89" s="358">
        <f>CG89</f>
        <v>81</v>
      </c>
      <c r="AT89" s="359" t="s">
        <v>58</v>
      </c>
      <c r="AU89" s="357">
        <v>82.6</v>
      </c>
      <c r="AV89" s="357">
        <v>67.900000000000006</v>
      </c>
      <c r="AW89" s="357">
        <v>81.3</v>
      </c>
      <c r="AX89" s="357">
        <v>75.599999999999994</v>
      </c>
      <c r="AY89" s="357">
        <v>65.400000000000006</v>
      </c>
      <c r="AZ89" s="359" t="s">
        <v>58</v>
      </c>
      <c r="BA89" s="357">
        <v>71.900000000000006</v>
      </c>
      <c r="BB89" s="357">
        <v>60.7</v>
      </c>
      <c r="BC89" s="357">
        <v>78.599999999999994</v>
      </c>
      <c r="BD89" s="357">
        <v>54.8</v>
      </c>
      <c r="BE89" s="357">
        <v>59.7</v>
      </c>
      <c r="BF89" s="360">
        <v>71.599999999999994</v>
      </c>
      <c r="BG89" s="359" t="s">
        <v>58</v>
      </c>
      <c r="BH89" s="359" t="s">
        <v>58</v>
      </c>
      <c r="BI89" s="357">
        <v>62.7</v>
      </c>
      <c r="BJ89" s="357" t="s">
        <v>58</v>
      </c>
      <c r="BK89" s="359" t="s">
        <v>58</v>
      </c>
      <c r="BL89" s="357" t="s">
        <v>58</v>
      </c>
      <c r="BM89" s="357">
        <v>61.9</v>
      </c>
      <c r="BN89" s="357">
        <v>61.1</v>
      </c>
      <c r="BO89" s="359" t="s">
        <v>58</v>
      </c>
      <c r="BP89" s="357">
        <v>88.8</v>
      </c>
      <c r="BQ89" s="357">
        <v>77.400000000000006</v>
      </c>
      <c r="BR89" s="360">
        <v>84.2</v>
      </c>
      <c r="BS89" s="359" t="s">
        <v>58</v>
      </c>
      <c r="BT89" s="357">
        <v>91.9</v>
      </c>
      <c r="BU89" s="357">
        <v>83</v>
      </c>
      <c r="BV89" s="357">
        <v>81.2</v>
      </c>
      <c r="BW89" s="357">
        <v>82.8</v>
      </c>
      <c r="BX89" s="357">
        <v>83.7</v>
      </c>
      <c r="BY89" s="357">
        <v>65.3</v>
      </c>
      <c r="BZ89" s="357">
        <v>42.1</v>
      </c>
      <c r="CA89" s="359" t="s">
        <v>58</v>
      </c>
      <c r="CB89" s="360">
        <v>61.6</v>
      </c>
      <c r="CC89" s="357">
        <v>65.3</v>
      </c>
      <c r="CD89" s="357">
        <v>69.900000000000006</v>
      </c>
      <c r="CE89" s="357">
        <v>61.8</v>
      </c>
      <c r="CF89" s="359" t="s">
        <v>58</v>
      </c>
      <c r="CG89" s="357">
        <v>81</v>
      </c>
      <c r="CH89" s="357">
        <v>77.8</v>
      </c>
      <c r="CI89" s="357">
        <v>81.8</v>
      </c>
      <c r="CJ89" s="357">
        <v>87.8</v>
      </c>
      <c r="CK89" s="358">
        <v>74.099999999999994</v>
      </c>
      <c r="CL89" s="361">
        <v>69.8</v>
      </c>
    </row>
    <row r="90" spans="1:90">
      <c r="A90" s="80">
        <f>ROWS($A$3:A88)</f>
        <v>86</v>
      </c>
      <c r="B90" s="92" t="s">
        <v>193</v>
      </c>
      <c r="C90" s="203"/>
      <c r="D90" s="259" t="s">
        <v>192</v>
      </c>
      <c r="E90" s="471">
        <v>41361</v>
      </c>
      <c r="F90" s="356">
        <v>817.5</v>
      </c>
      <c r="G90" s="357">
        <v>761.5</v>
      </c>
      <c r="H90" s="357" t="s">
        <v>58</v>
      </c>
      <c r="I90" s="358">
        <v>776.7</v>
      </c>
      <c r="J90" s="173"/>
      <c r="K90" s="356" t="str">
        <f>BF90</f>
        <v>-</v>
      </c>
      <c r="L90" s="359">
        <f>AY90</f>
        <v>824.3</v>
      </c>
      <c r="M90" s="359">
        <f>BD90</f>
        <v>774.2</v>
      </c>
      <c r="N90" s="359" t="str">
        <f>AW90</f>
        <v>-</v>
      </c>
      <c r="O90" s="359" t="str">
        <f>BE90</f>
        <v>-</v>
      </c>
      <c r="P90" s="359">
        <f>'2011'!BA90</f>
        <v>802.4</v>
      </c>
      <c r="Q90" s="359">
        <f>'2011'!AU90</f>
        <v>813</v>
      </c>
      <c r="R90" s="359">
        <f>AX90</f>
        <v>841.9</v>
      </c>
      <c r="S90" s="359" t="str">
        <f>AV90</f>
        <v>-</v>
      </c>
      <c r="T90" s="359">
        <f t="shared" si="177"/>
        <v>844.7</v>
      </c>
      <c r="U90" s="360" t="str">
        <f t="shared" si="177"/>
        <v>-</v>
      </c>
      <c r="V90" s="359" t="str">
        <f>BJ90</f>
        <v>-</v>
      </c>
      <c r="W90" s="359" t="str">
        <f>BR90</f>
        <v>-</v>
      </c>
      <c r="X90" s="359">
        <f>BI90</f>
        <v>735.9</v>
      </c>
      <c r="Y90" s="359">
        <f>BN90</f>
        <v>782.1</v>
      </c>
      <c r="Z90" s="359">
        <f>BM90</f>
        <v>759.3</v>
      </c>
      <c r="AA90" s="359" t="str">
        <f>BQ90</f>
        <v>-</v>
      </c>
      <c r="AB90" s="360" t="str">
        <f>BP90</f>
        <v>-</v>
      </c>
      <c r="AC90" s="359" t="str">
        <f>BX90</f>
        <v>-</v>
      </c>
      <c r="AD90" s="359" t="str">
        <f>BU90</f>
        <v>-</v>
      </c>
      <c r="AE90" s="359" t="str">
        <f>BT90</f>
        <v>-</v>
      </c>
      <c r="AF90" s="359" t="str">
        <f>CA90</f>
        <v>-</v>
      </c>
      <c r="AG90" s="359" t="str">
        <f>BV90</f>
        <v>-</v>
      </c>
      <c r="AH90" s="359" t="str">
        <f>BZ90</f>
        <v>-</v>
      </c>
      <c r="AI90" s="359" t="str">
        <f>BW90</f>
        <v>-</v>
      </c>
      <c r="AJ90" s="359" t="str">
        <f>BY90</f>
        <v>-</v>
      </c>
      <c r="AK90" s="360" t="str">
        <f>CB90</f>
        <v>-</v>
      </c>
      <c r="AL90" s="359" t="str">
        <f>CE90</f>
        <v>-</v>
      </c>
      <c r="AM90" s="359" t="str">
        <f>CH90</f>
        <v>-</v>
      </c>
      <c r="AN90" s="359" t="str">
        <f>CJ90</f>
        <v>-</v>
      </c>
      <c r="AO90" s="359" t="str">
        <f t="shared" si="178"/>
        <v>-</v>
      </c>
      <c r="AP90" s="359" t="str">
        <f t="shared" si="178"/>
        <v>-</v>
      </c>
      <c r="AQ90" s="359" t="str">
        <f>CK90</f>
        <v>-</v>
      </c>
      <c r="AR90" s="359" t="str">
        <f>CI90</f>
        <v>-</v>
      </c>
      <c r="AS90" s="358">
        <f>CG90</f>
        <v>753</v>
      </c>
      <c r="AT90" s="359" t="s">
        <v>58</v>
      </c>
      <c r="AU90" s="357">
        <v>813</v>
      </c>
      <c r="AV90" s="359" t="s">
        <v>58</v>
      </c>
      <c r="AW90" s="357" t="s">
        <v>58</v>
      </c>
      <c r="AX90" s="357">
        <v>841.9</v>
      </c>
      <c r="AY90" s="357">
        <v>824.3</v>
      </c>
      <c r="AZ90" s="359" t="s">
        <v>58</v>
      </c>
      <c r="BA90" s="357">
        <v>802.4</v>
      </c>
      <c r="BB90" s="357">
        <v>844.7</v>
      </c>
      <c r="BC90" s="357" t="s">
        <v>58</v>
      </c>
      <c r="BD90" s="357">
        <v>774.2</v>
      </c>
      <c r="BE90" s="359" t="s">
        <v>58</v>
      </c>
      <c r="BF90" s="360" t="s">
        <v>58</v>
      </c>
      <c r="BG90" s="359" t="s">
        <v>58</v>
      </c>
      <c r="BH90" s="359" t="s">
        <v>58</v>
      </c>
      <c r="BI90" s="357">
        <v>735.9</v>
      </c>
      <c r="BJ90" s="357" t="s">
        <v>58</v>
      </c>
      <c r="BK90" s="359" t="s">
        <v>58</v>
      </c>
      <c r="BL90" s="357" t="s">
        <v>58</v>
      </c>
      <c r="BM90" s="357">
        <v>759.3</v>
      </c>
      <c r="BN90" s="357">
        <v>782.1</v>
      </c>
      <c r="BO90" s="359" t="s">
        <v>58</v>
      </c>
      <c r="BP90" s="359" t="s">
        <v>58</v>
      </c>
      <c r="BQ90" s="359" t="s">
        <v>58</v>
      </c>
      <c r="BR90" s="360" t="s">
        <v>58</v>
      </c>
      <c r="BS90" s="359" t="s">
        <v>58</v>
      </c>
      <c r="BT90" s="359" t="s">
        <v>58</v>
      </c>
      <c r="BU90" s="359" t="s">
        <v>58</v>
      </c>
      <c r="BV90" s="359" t="s">
        <v>58</v>
      </c>
      <c r="BW90" s="359" t="s">
        <v>58</v>
      </c>
      <c r="BX90" s="359" t="s">
        <v>58</v>
      </c>
      <c r="BY90" s="359" t="s">
        <v>58</v>
      </c>
      <c r="BZ90" s="359" t="s">
        <v>58</v>
      </c>
      <c r="CA90" s="359" t="s">
        <v>58</v>
      </c>
      <c r="CB90" s="360" t="s">
        <v>58</v>
      </c>
      <c r="CC90" s="359" t="s">
        <v>58</v>
      </c>
      <c r="CD90" s="359" t="s">
        <v>58</v>
      </c>
      <c r="CE90" s="359" t="s">
        <v>58</v>
      </c>
      <c r="CF90" s="359" t="s">
        <v>58</v>
      </c>
      <c r="CG90" s="357">
        <v>753</v>
      </c>
      <c r="CH90" s="357" t="s">
        <v>58</v>
      </c>
      <c r="CI90" s="359" t="s">
        <v>58</v>
      </c>
      <c r="CJ90" s="357" t="s">
        <v>58</v>
      </c>
      <c r="CK90" s="358" t="s">
        <v>58</v>
      </c>
      <c r="CL90" s="362">
        <v>802.5</v>
      </c>
    </row>
    <row r="91" spans="1:90">
      <c r="A91" s="80">
        <f>ROWS($A$3:A89)</f>
        <v>87</v>
      </c>
      <c r="B91" s="92" t="s">
        <v>194</v>
      </c>
      <c r="C91" s="203"/>
      <c r="D91" s="259" t="s">
        <v>192</v>
      </c>
      <c r="E91" s="471">
        <v>41361</v>
      </c>
      <c r="F91" s="356">
        <v>20.6</v>
      </c>
      <c r="G91" s="359">
        <v>28.5</v>
      </c>
      <c r="H91" s="359">
        <v>31.7</v>
      </c>
      <c r="I91" s="358">
        <v>34.200000000000003</v>
      </c>
      <c r="J91" s="173"/>
      <c r="K91" s="356">
        <f>BF91</f>
        <v>27.4</v>
      </c>
      <c r="L91" s="359" t="str">
        <f>AY91</f>
        <v>-</v>
      </c>
      <c r="M91" s="359">
        <f>BD91</f>
        <v>10.7</v>
      </c>
      <c r="N91" s="359" t="str">
        <f>AW91</f>
        <v>-</v>
      </c>
      <c r="O91" s="359">
        <f>BE91</f>
        <v>31.5</v>
      </c>
      <c r="P91" s="359">
        <f>'2011'!BA91</f>
        <v>31</v>
      </c>
      <c r="Q91" s="359">
        <f>'2011'!AU91</f>
        <v>29.4</v>
      </c>
      <c r="R91" s="359">
        <f>AX91</f>
        <v>37.9</v>
      </c>
      <c r="S91" s="359">
        <f>AV91</f>
        <v>36.299999999999997</v>
      </c>
      <c r="T91" s="359">
        <f t="shared" si="177"/>
        <v>17.399999999999999</v>
      </c>
      <c r="U91" s="360">
        <f t="shared" si="177"/>
        <v>25.9</v>
      </c>
      <c r="V91" s="359" t="str">
        <f>BJ91</f>
        <v>-</v>
      </c>
      <c r="W91" s="359">
        <f>BR91</f>
        <v>37</v>
      </c>
      <c r="X91" s="359">
        <f>BI91</f>
        <v>29.6</v>
      </c>
      <c r="Y91" s="359">
        <f>BN91</f>
        <v>25.8</v>
      </c>
      <c r="Z91" s="359">
        <f>BM91</f>
        <v>22.9</v>
      </c>
      <c r="AA91" s="359">
        <f>BQ91</f>
        <v>32.799999999999997</v>
      </c>
      <c r="AB91" s="360" t="str">
        <f>BP91</f>
        <v>-</v>
      </c>
      <c r="AC91" s="359" t="str">
        <f>BX91</f>
        <v>-</v>
      </c>
      <c r="AD91" s="359" t="str">
        <f>BU91</f>
        <v>-</v>
      </c>
      <c r="AE91" s="359" t="str">
        <f>BT91</f>
        <v>-</v>
      </c>
      <c r="AF91" s="359" t="str">
        <f>CA91</f>
        <v>-</v>
      </c>
      <c r="AG91" s="359" t="str">
        <f>BV91</f>
        <v>-</v>
      </c>
      <c r="AH91" s="359">
        <f>BZ91</f>
        <v>19.5</v>
      </c>
      <c r="AI91" s="359">
        <f>BW91</f>
        <v>33.6</v>
      </c>
      <c r="AJ91" s="359">
        <f>BY91</f>
        <v>29</v>
      </c>
      <c r="AK91" s="360" t="str">
        <f>CB91</f>
        <v>-</v>
      </c>
      <c r="AL91" s="359">
        <f>CE91</f>
        <v>0</v>
      </c>
      <c r="AM91" s="359">
        <f>CH91</f>
        <v>33.299999999999997</v>
      </c>
      <c r="AN91" s="359" t="str">
        <f>CJ91</f>
        <v>-</v>
      </c>
      <c r="AO91" s="359">
        <f t="shared" si="178"/>
        <v>0</v>
      </c>
      <c r="AP91" s="359">
        <f t="shared" si="178"/>
        <v>35.4</v>
      </c>
      <c r="AQ91" s="359">
        <f>CK91</f>
        <v>32.4</v>
      </c>
      <c r="AR91" s="359" t="str">
        <f>CI91</f>
        <v>-</v>
      </c>
      <c r="AS91" s="358">
        <f>CG91</f>
        <v>34.6</v>
      </c>
      <c r="AT91" s="359" t="s">
        <v>58</v>
      </c>
      <c r="AU91" s="359">
        <v>29.4</v>
      </c>
      <c r="AV91" s="359">
        <v>36.299999999999997</v>
      </c>
      <c r="AW91" s="357" t="s">
        <v>58</v>
      </c>
      <c r="AX91" s="359">
        <v>37.9</v>
      </c>
      <c r="AY91" s="357" t="s">
        <v>58</v>
      </c>
      <c r="AZ91" s="359" t="s">
        <v>58</v>
      </c>
      <c r="BA91" s="357">
        <v>31</v>
      </c>
      <c r="BB91" s="357">
        <v>17.399999999999999</v>
      </c>
      <c r="BC91" s="357">
        <v>25.9</v>
      </c>
      <c r="BD91" s="357">
        <v>10.7</v>
      </c>
      <c r="BE91" s="357">
        <v>31.5</v>
      </c>
      <c r="BF91" s="360">
        <v>27.4</v>
      </c>
      <c r="BG91" s="359" t="s">
        <v>58</v>
      </c>
      <c r="BH91" s="359" t="s">
        <v>58</v>
      </c>
      <c r="BI91" s="357">
        <v>29.6</v>
      </c>
      <c r="BJ91" s="357" t="s">
        <v>58</v>
      </c>
      <c r="BK91" s="359" t="s">
        <v>58</v>
      </c>
      <c r="BL91" s="357" t="s">
        <v>58</v>
      </c>
      <c r="BM91" s="359">
        <v>22.9</v>
      </c>
      <c r="BN91" s="359">
        <v>25.8</v>
      </c>
      <c r="BO91" s="359" t="s">
        <v>58</v>
      </c>
      <c r="BP91" s="357" t="s">
        <v>58</v>
      </c>
      <c r="BQ91" s="359">
        <v>32.799999999999997</v>
      </c>
      <c r="BR91" s="360">
        <v>37</v>
      </c>
      <c r="BS91" s="359" t="s">
        <v>58</v>
      </c>
      <c r="BT91" s="359" t="s">
        <v>58</v>
      </c>
      <c r="BU91" s="359" t="s">
        <v>58</v>
      </c>
      <c r="BV91" s="359" t="s">
        <v>58</v>
      </c>
      <c r="BW91" s="357">
        <v>33.6</v>
      </c>
      <c r="BX91" s="359" t="s">
        <v>58</v>
      </c>
      <c r="BY91" s="357">
        <v>29</v>
      </c>
      <c r="BZ91" s="357">
        <v>19.5</v>
      </c>
      <c r="CA91" s="359" t="s">
        <v>58</v>
      </c>
      <c r="CB91" s="360" t="s">
        <v>58</v>
      </c>
      <c r="CC91" s="357"/>
      <c r="CD91" s="357">
        <v>35.4</v>
      </c>
      <c r="CE91" s="357"/>
      <c r="CF91" s="359" t="s">
        <v>58</v>
      </c>
      <c r="CG91" s="357">
        <v>34.6</v>
      </c>
      <c r="CH91" s="357">
        <v>33.299999999999997</v>
      </c>
      <c r="CI91" s="357" t="s">
        <v>58</v>
      </c>
      <c r="CJ91" s="357" t="s">
        <v>58</v>
      </c>
      <c r="CK91" s="358">
        <v>32.4</v>
      </c>
      <c r="CL91" s="362">
        <v>26.5</v>
      </c>
    </row>
    <row r="92" spans="1:90">
      <c r="A92" s="80">
        <f>ROWS($A$3:A90)</f>
        <v>88</v>
      </c>
      <c r="B92" s="92" t="s">
        <v>195</v>
      </c>
      <c r="C92" s="203"/>
      <c r="D92" s="259" t="s">
        <v>192</v>
      </c>
      <c r="E92" s="471">
        <v>41361</v>
      </c>
      <c r="F92" s="356">
        <v>484.4</v>
      </c>
      <c r="G92" s="357">
        <v>498.3</v>
      </c>
      <c r="H92" s="357">
        <v>469</v>
      </c>
      <c r="I92" s="358">
        <v>488.2</v>
      </c>
      <c r="J92" s="173"/>
      <c r="K92" s="356">
        <f>BF92</f>
        <v>476.4</v>
      </c>
      <c r="L92" s="359">
        <f>AY92</f>
        <v>508</v>
      </c>
      <c r="M92" s="359">
        <f>BD92</f>
        <v>466.2</v>
      </c>
      <c r="N92" s="359" t="str">
        <f>AW92</f>
        <v>-</v>
      </c>
      <c r="O92" s="359">
        <f>BE92</f>
        <v>0</v>
      </c>
      <c r="P92" s="359">
        <f>'2011'!BA92</f>
        <v>480.8</v>
      </c>
      <c r="Q92" s="359">
        <f>'2011'!AU92</f>
        <v>493.4</v>
      </c>
      <c r="R92" s="359">
        <f>AX92</f>
        <v>520</v>
      </c>
      <c r="S92" s="359">
        <f>AV92</f>
        <v>513.6</v>
      </c>
      <c r="T92" s="359">
        <f t="shared" si="177"/>
        <v>519.29999999999995</v>
      </c>
      <c r="U92" s="360">
        <f t="shared" si="177"/>
        <v>429.1</v>
      </c>
      <c r="V92" s="359" t="str">
        <f>BJ92</f>
        <v>-</v>
      </c>
      <c r="W92" s="359">
        <f>BR92</f>
        <v>540.79999999999995</v>
      </c>
      <c r="X92" s="359" t="str">
        <f>BI92</f>
        <v>-</v>
      </c>
      <c r="Y92" s="359">
        <f>BN92</f>
        <v>485.1</v>
      </c>
      <c r="Z92" s="359">
        <f>BM92</f>
        <v>471.7</v>
      </c>
      <c r="AA92" s="359">
        <f>BQ92</f>
        <v>569</v>
      </c>
      <c r="AB92" s="360" t="str">
        <f>BP92</f>
        <v>-</v>
      </c>
      <c r="AC92" s="359" t="str">
        <f>BX92</f>
        <v>-</v>
      </c>
      <c r="AD92" s="359" t="str">
        <f>BU92</f>
        <v>-</v>
      </c>
      <c r="AE92" s="359" t="str">
        <f>BT92</f>
        <v>-</v>
      </c>
      <c r="AF92" s="359" t="str">
        <f>CA92</f>
        <v>-</v>
      </c>
      <c r="AG92" s="359">
        <f>BV92</f>
        <v>430.2</v>
      </c>
      <c r="AH92" s="359">
        <f>BZ92</f>
        <v>411.7</v>
      </c>
      <c r="AI92" s="359">
        <f>BW92</f>
        <v>555.79999999999995</v>
      </c>
      <c r="AJ92" s="359">
        <f>BY92</f>
        <v>475.6</v>
      </c>
      <c r="AK92" s="360">
        <f>CB92</f>
        <v>442.6</v>
      </c>
      <c r="AL92" s="359">
        <f>CE92</f>
        <v>447.7</v>
      </c>
      <c r="AM92" s="359">
        <f>CH92</f>
        <v>515.5</v>
      </c>
      <c r="AN92" s="359">
        <f>CJ92</f>
        <v>481.8</v>
      </c>
      <c r="AO92" s="359">
        <f t="shared" si="178"/>
        <v>414.6</v>
      </c>
      <c r="AP92" s="359" t="str">
        <f t="shared" si="178"/>
        <v>-</v>
      </c>
      <c r="AQ92" s="359">
        <f>CK92</f>
        <v>506.3</v>
      </c>
      <c r="AR92" s="359" t="str">
        <f>CI92</f>
        <v>-</v>
      </c>
      <c r="AS92" s="358">
        <f>CG92</f>
        <v>465.8</v>
      </c>
      <c r="AT92" s="359" t="s">
        <v>58</v>
      </c>
      <c r="AU92" s="357">
        <v>493.4</v>
      </c>
      <c r="AV92" s="357">
        <v>513.6</v>
      </c>
      <c r="AW92" s="357" t="s">
        <v>58</v>
      </c>
      <c r="AX92" s="357">
        <v>520</v>
      </c>
      <c r="AY92" s="357">
        <v>508</v>
      </c>
      <c r="AZ92" s="359" t="s">
        <v>58</v>
      </c>
      <c r="BA92" s="357">
        <v>480.8</v>
      </c>
      <c r="BB92" s="357">
        <v>519.29999999999995</v>
      </c>
      <c r="BC92" s="357">
        <v>429.1</v>
      </c>
      <c r="BD92" s="357">
        <v>466.2</v>
      </c>
      <c r="BE92" s="357">
        <v>0</v>
      </c>
      <c r="BF92" s="360">
        <v>476.4</v>
      </c>
      <c r="BG92" s="359" t="s">
        <v>58</v>
      </c>
      <c r="BH92" s="359" t="s">
        <v>58</v>
      </c>
      <c r="BI92" s="357" t="s">
        <v>58</v>
      </c>
      <c r="BJ92" s="357" t="s">
        <v>58</v>
      </c>
      <c r="BK92" s="359" t="s">
        <v>58</v>
      </c>
      <c r="BL92" s="357" t="s">
        <v>58</v>
      </c>
      <c r="BM92" s="357">
        <v>471.7</v>
      </c>
      <c r="BN92" s="357">
        <v>485.1</v>
      </c>
      <c r="BO92" s="359" t="s">
        <v>58</v>
      </c>
      <c r="BP92" s="357" t="s">
        <v>58</v>
      </c>
      <c r="BQ92" s="357">
        <v>569</v>
      </c>
      <c r="BR92" s="360">
        <v>540.79999999999995</v>
      </c>
      <c r="BS92" s="359" t="s">
        <v>58</v>
      </c>
      <c r="BT92" s="359" t="s">
        <v>58</v>
      </c>
      <c r="BU92" s="359" t="s">
        <v>58</v>
      </c>
      <c r="BV92" s="357">
        <v>430.2</v>
      </c>
      <c r="BW92" s="357">
        <v>555.79999999999995</v>
      </c>
      <c r="BX92" s="359" t="s">
        <v>58</v>
      </c>
      <c r="BY92" s="357">
        <v>475.6</v>
      </c>
      <c r="BZ92" s="357">
        <v>411.7</v>
      </c>
      <c r="CA92" s="359" t="s">
        <v>58</v>
      </c>
      <c r="CB92" s="360">
        <v>442.6</v>
      </c>
      <c r="CC92" s="357">
        <v>414.6</v>
      </c>
      <c r="CD92" s="357" t="s">
        <v>58</v>
      </c>
      <c r="CE92" s="357">
        <v>447.7</v>
      </c>
      <c r="CF92" s="359" t="s">
        <v>58</v>
      </c>
      <c r="CG92" s="357">
        <v>465.8</v>
      </c>
      <c r="CH92" s="357">
        <v>515.5</v>
      </c>
      <c r="CI92" s="357" t="s">
        <v>58</v>
      </c>
      <c r="CJ92" s="357">
        <v>481.8</v>
      </c>
      <c r="CK92" s="358">
        <v>506.3</v>
      </c>
      <c r="CL92" s="362">
        <v>484.8</v>
      </c>
    </row>
    <row r="93" spans="1:90">
      <c r="A93" s="80">
        <f>ROWS($A$3:A91)</f>
        <v>89</v>
      </c>
      <c r="B93" s="54" t="s">
        <v>94</v>
      </c>
      <c r="C93" s="252"/>
      <c r="D93" s="259" t="s">
        <v>3</v>
      </c>
      <c r="E93" s="437"/>
      <c r="F93" s="117">
        <v>0.37</v>
      </c>
      <c r="G93" s="118">
        <v>0.37</v>
      </c>
      <c r="H93" s="118">
        <v>0.69</v>
      </c>
      <c r="I93" s="119">
        <v>0.54</v>
      </c>
      <c r="J93" s="122"/>
      <c r="K93" s="117">
        <f>BF93</f>
        <v>0.99</v>
      </c>
      <c r="L93" s="118">
        <f>AY93</f>
        <v>0.69</v>
      </c>
      <c r="M93" s="118">
        <f>BD93</f>
        <v>0.7</v>
      </c>
      <c r="N93" s="118">
        <f>AW93</f>
        <v>0.74</v>
      </c>
      <c r="O93" s="118">
        <f>BE93</f>
        <v>0.6</v>
      </c>
      <c r="P93" s="190">
        <f>(AZ35*AZ93+BA35*BA93)/P35</f>
        <v>0.12064121769375141</v>
      </c>
      <c r="Q93" s="118">
        <f>'2011'!AU93</f>
        <v>0.48</v>
      </c>
      <c r="R93" s="190">
        <f>(AT35*AT93+AX35*AX93)/R35</f>
        <v>1.7214353708137422E-2</v>
      </c>
      <c r="S93" s="118">
        <f>AV93</f>
        <v>0.56999999999999995</v>
      </c>
      <c r="T93" s="118">
        <f t="shared" si="177"/>
        <v>0.56999999999999995</v>
      </c>
      <c r="U93" s="120">
        <f t="shared" si="177"/>
        <v>0.97</v>
      </c>
      <c r="V93" s="190">
        <f>(BG35*BG93+BJ35*BJ93)/V35</f>
        <v>0.32098958008360889</v>
      </c>
      <c r="W93" s="118">
        <f>BR93</f>
        <v>0.82</v>
      </c>
      <c r="X93" s="190">
        <f>(BH35*BH93+BI35*BI93)/X35</f>
        <v>6.5584005612065954E-2</v>
      </c>
      <c r="Y93" s="190">
        <f>(BK35*BK93+BL35*BL93+BN35*BN93)/Y35</f>
        <v>0.10728694310691411</v>
      </c>
      <c r="Z93" s="118">
        <f>BM93</f>
        <v>0.7</v>
      </c>
      <c r="AA93" s="190">
        <f>(BO35*BO93+BQ35*BQ93)/AA35</f>
        <v>0.46039442349672549</v>
      </c>
      <c r="AB93" s="120">
        <f>BP93</f>
        <v>0.78</v>
      </c>
      <c r="AC93" s="118">
        <f>BX93</f>
        <v>0.65</v>
      </c>
      <c r="AD93" s="118">
        <f>BU93</f>
        <v>0.36</v>
      </c>
      <c r="AE93" s="190">
        <f>(BS35*BS93+BT35*BT93)/AE35</f>
        <v>0.1160348266339368</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8"/>
        <v>1</v>
      </c>
      <c r="AP93" s="118">
        <f t="shared" si="178"/>
        <v>0.61</v>
      </c>
      <c r="AQ93" s="118">
        <f>CK93</f>
        <v>0.72</v>
      </c>
      <c r="AR93" s="118">
        <f>CI93</f>
        <v>0.24</v>
      </c>
      <c r="AS93" s="191">
        <f>(CF35*CF93+CG35*CG93)/AS35</f>
        <v>0.45045947078924298</v>
      </c>
      <c r="AT93" s="118">
        <v>0.11</v>
      </c>
      <c r="AU93" s="118">
        <v>0.48</v>
      </c>
      <c r="AV93" s="118">
        <v>0.56999999999999995</v>
      </c>
      <c r="AW93" s="118">
        <v>0.74</v>
      </c>
      <c r="AX93" s="118">
        <v>0.01</v>
      </c>
      <c r="AY93" s="118">
        <v>0.69</v>
      </c>
      <c r="AZ93" s="118">
        <v>0</v>
      </c>
      <c r="BA93" s="118">
        <v>0.13</v>
      </c>
      <c r="BB93" s="118">
        <v>0.56999999999999995</v>
      </c>
      <c r="BC93" s="118">
        <v>0.97</v>
      </c>
      <c r="BD93" s="118">
        <v>0.7</v>
      </c>
      <c r="BE93" s="118">
        <v>0.6</v>
      </c>
      <c r="BF93" s="120">
        <v>0.99</v>
      </c>
      <c r="BG93" s="118">
        <v>1</v>
      </c>
      <c r="BH93" s="118">
        <v>0</v>
      </c>
      <c r="BI93" s="118">
        <v>7.0000000000000007E-2</v>
      </c>
      <c r="BJ93" s="118">
        <v>0.25</v>
      </c>
      <c r="BK93" s="342">
        <v>0.01</v>
      </c>
      <c r="BL93" s="118">
        <v>0</v>
      </c>
      <c r="BM93" s="118">
        <v>0.7</v>
      </c>
      <c r="BN93" s="118">
        <v>0.12</v>
      </c>
      <c r="BO93" s="118">
        <v>0.28000000000000003</v>
      </c>
      <c r="BP93" s="118">
        <v>0.78</v>
      </c>
      <c r="BQ93" s="118">
        <v>0.47</v>
      </c>
      <c r="BR93" s="120">
        <v>0.82</v>
      </c>
      <c r="BS93" s="118">
        <v>0.06</v>
      </c>
      <c r="BT93" s="118">
        <v>0.12</v>
      </c>
      <c r="BU93" s="118">
        <v>0.36</v>
      </c>
      <c r="BV93" s="118">
        <v>0.34</v>
      </c>
      <c r="BW93" s="118">
        <v>0.96</v>
      </c>
      <c r="BX93" s="118">
        <v>0.65</v>
      </c>
      <c r="BY93" s="118">
        <v>0.63</v>
      </c>
      <c r="BZ93" s="118">
        <v>0.65</v>
      </c>
      <c r="CA93" s="118">
        <v>0.28999999999999998</v>
      </c>
      <c r="CB93" s="120">
        <v>0.71</v>
      </c>
      <c r="CC93" s="118">
        <v>1</v>
      </c>
      <c r="CD93" s="118">
        <v>0.61</v>
      </c>
      <c r="CE93" s="118">
        <v>0.61</v>
      </c>
      <c r="CF93" s="118">
        <v>0.3</v>
      </c>
      <c r="CG93" s="118">
        <v>0.46</v>
      </c>
      <c r="CH93" s="118">
        <v>0.2</v>
      </c>
      <c r="CI93" s="118">
        <v>0.24</v>
      </c>
      <c r="CJ93" s="118">
        <v>0.57999999999999996</v>
      </c>
      <c r="CK93" s="119">
        <v>0.72</v>
      </c>
      <c r="CL93" s="121">
        <v>0.54</v>
      </c>
    </row>
    <row r="94" spans="1:90">
      <c r="A94" s="80">
        <f>ROWS($A$3:A92)</f>
        <v>90</v>
      </c>
      <c r="B94" s="59" t="s">
        <v>247</v>
      </c>
      <c r="C94" s="203"/>
      <c r="D94" s="259"/>
      <c r="E94" s="437"/>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c r="A95" s="80">
        <f>ROWS($A$3:A93)</f>
        <v>91</v>
      </c>
      <c r="B95" s="236" t="s">
        <v>95</v>
      </c>
      <c r="C95" s="393">
        <v>2010</v>
      </c>
      <c r="D95" s="259" t="s">
        <v>10</v>
      </c>
      <c r="E95" s="437">
        <v>40441</v>
      </c>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'2011'!BA95</f>
        <v>27400</v>
      </c>
      <c r="Q95" s="137">
        <f>'2011'!AU95</f>
        <v>17100</v>
      </c>
      <c r="R95" s="137">
        <f>AX95</f>
        <v>28800</v>
      </c>
      <c r="S95" s="137">
        <f>AV95</f>
        <v>12300</v>
      </c>
      <c r="T95" s="137">
        <f t="shared" ref="T95:U98" si="179">BB95</f>
        <v>43200</v>
      </c>
      <c r="U95" s="139">
        <f t="shared" si="179"/>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80">CC95</f>
        <v>49800</v>
      </c>
      <c r="AP95" s="137">
        <f t="shared" si="180"/>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c r="A96" s="80">
        <f>ROWS($A$3:A94)</f>
        <v>92</v>
      </c>
      <c r="B96" s="388" t="s">
        <v>96</v>
      </c>
      <c r="C96" s="396">
        <v>2010</v>
      </c>
      <c r="D96" s="259" t="s">
        <v>10</v>
      </c>
      <c r="E96" s="437">
        <v>40441</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'2011'!BA96</f>
        <v>26046</v>
      </c>
      <c r="Q96" s="137">
        <f>'2011'!AU96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1">
      <c r="A97" s="80">
        <f>ROWS($A$3:A95)</f>
        <v>93</v>
      </c>
      <c r="B97" s="55" t="s">
        <v>77</v>
      </c>
      <c r="C97" s="202">
        <v>2001</v>
      </c>
      <c r="D97" s="259" t="s">
        <v>13</v>
      </c>
      <c r="E97" s="437">
        <v>40441</v>
      </c>
      <c r="F97" s="154">
        <v>122737</v>
      </c>
      <c r="G97" s="155">
        <v>30239</v>
      </c>
      <c r="H97" s="155">
        <v>82089</v>
      </c>
      <c r="I97" s="156">
        <v>186831</v>
      </c>
      <c r="J97" s="281"/>
      <c r="K97" s="157">
        <f>BF97</f>
        <v>29042</v>
      </c>
      <c r="L97" s="113">
        <f>AY97</f>
        <v>8671</v>
      </c>
      <c r="M97" s="113">
        <f>BD97</f>
        <v>9647</v>
      </c>
      <c r="N97" s="113">
        <f>AW97</f>
        <v>12155</v>
      </c>
      <c r="O97" s="113">
        <f>BE97</f>
        <v>8882</v>
      </c>
      <c r="P97" s="113">
        <f>'2011'!AZ97+'2011'!BA97</f>
        <v>6750</v>
      </c>
      <c r="Q97" s="113">
        <f>'2011'!AU97</f>
        <v>3596</v>
      </c>
      <c r="R97" s="113">
        <f>AT97+AX97</f>
        <v>6359</v>
      </c>
      <c r="S97" s="113">
        <f>AV97</f>
        <v>3597</v>
      </c>
      <c r="T97" s="113">
        <f t="shared" si="179"/>
        <v>9048</v>
      </c>
      <c r="U97" s="112">
        <f t="shared" si="179"/>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80"/>
        <v>10463</v>
      </c>
      <c r="AP97" s="113">
        <f t="shared" si="180"/>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1">
      <c r="A98" s="80">
        <f>ROWS($A$3:A96)</f>
        <v>94</v>
      </c>
      <c r="B98" s="55" t="s">
        <v>96</v>
      </c>
      <c r="C98" s="205">
        <f>C97</f>
        <v>2001</v>
      </c>
      <c r="D98" s="259" t="s">
        <v>10</v>
      </c>
      <c r="E98" s="437">
        <v>40441</v>
      </c>
      <c r="F98" s="154">
        <v>618865</v>
      </c>
      <c r="G98" s="155">
        <v>149025</v>
      </c>
      <c r="H98" s="155">
        <v>366598</v>
      </c>
      <c r="I98" s="156">
        <v>1009287</v>
      </c>
      <c r="J98" s="281"/>
      <c r="K98" s="157">
        <f>BF98</f>
        <v>150712</v>
      </c>
      <c r="L98" s="113">
        <f>AY98</f>
        <v>42810</v>
      </c>
      <c r="M98" s="113">
        <f>BD98</f>
        <v>45971</v>
      </c>
      <c r="N98" s="113">
        <f>AW98</f>
        <v>57752</v>
      </c>
      <c r="O98" s="113">
        <f>BE98</f>
        <v>42099</v>
      </c>
      <c r="P98" s="113">
        <f>'2011'!AZ98+'2011'!BA98</f>
        <v>34324</v>
      </c>
      <c r="Q98" s="113">
        <f>'2011'!AU98</f>
        <v>18437</v>
      </c>
      <c r="R98" s="113">
        <f>AT98+AX98</f>
        <v>31700</v>
      </c>
      <c r="S98" s="113">
        <f>AV98</f>
        <v>14642</v>
      </c>
      <c r="T98" s="113">
        <f t="shared" si="179"/>
        <v>45007</v>
      </c>
      <c r="U98" s="112">
        <f t="shared" si="179"/>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80"/>
        <v>51966</v>
      </c>
      <c r="AP98" s="113">
        <f t="shared" si="180"/>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1">
      <c r="A99" s="80">
        <f>ROWS($A$3:A97)</f>
        <v>95</v>
      </c>
      <c r="B99" s="55"/>
      <c r="C99" s="203"/>
      <c r="D99" s="259"/>
      <c r="E99" s="435"/>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1">
      <c r="A100" s="80">
        <f>ROWS($A$3:A98)</f>
        <v>96</v>
      </c>
      <c r="B100" s="55" t="s">
        <v>255</v>
      </c>
      <c r="C100" s="374">
        <f>C86</f>
        <v>2011</v>
      </c>
      <c r="D100" s="259" t="s">
        <v>13</v>
      </c>
      <c r="E100" s="471">
        <f>E87</f>
        <v>41361</v>
      </c>
      <c r="F100" s="154">
        <v>1657</v>
      </c>
      <c r="G100" s="155">
        <v>433</v>
      </c>
      <c r="H100" s="155">
        <v>749</v>
      </c>
      <c r="I100" s="156">
        <v>1460</v>
      </c>
      <c r="J100" s="281"/>
      <c r="K100" s="157">
        <f>BF100</f>
        <v>193</v>
      </c>
      <c r="L100" s="113">
        <f>AY100</f>
        <v>83</v>
      </c>
      <c r="M100" s="113">
        <f>BD100</f>
        <v>258</v>
      </c>
      <c r="N100" s="113">
        <f>AW100</f>
        <v>118</v>
      </c>
      <c r="O100" s="113">
        <f>BE100</f>
        <v>137</v>
      </c>
      <c r="P100" s="113">
        <f>'2009'!AZ101+'2009'!BA101</f>
        <v>658</v>
      </c>
      <c r="Q100" s="113">
        <f>'2009'!AU101</f>
        <v>260</v>
      </c>
      <c r="R100" s="113">
        <f>AT100+AX100</f>
        <v>123</v>
      </c>
      <c r="S100" s="113">
        <f>AV100</f>
        <v>91</v>
      </c>
      <c r="T100" s="113">
        <f>BB100</f>
        <v>197</v>
      </c>
      <c r="U100" s="112">
        <f>BC100</f>
        <v>314</v>
      </c>
      <c r="V100" s="113">
        <f>BG100+BJ100</f>
        <v>34</v>
      </c>
      <c r="W100" s="113">
        <f>BR100</f>
        <v>40</v>
      </c>
      <c r="X100" s="113">
        <f>BH100+BI100</f>
        <v>137</v>
      </c>
      <c r="Y100" s="113">
        <f>BK100+BL100+BN100</f>
        <v>36</v>
      </c>
      <c r="Z100" s="113">
        <f>BM100</f>
        <v>115</v>
      </c>
      <c r="AA100" s="113">
        <f>BO100+BQ100</f>
        <v>61</v>
      </c>
      <c r="AB100" s="112">
        <f>BP100</f>
        <v>31</v>
      </c>
      <c r="AC100" s="113">
        <f>BX100</f>
        <v>112</v>
      </c>
      <c r="AD100" s="113">
        <f>BU100</f>
        <v>67</v>
      </c>
      <c r="AE100" s="113">
        <f>BS100+BT100</f>
        <v>148</v>
      </c>
      <c r="AF100" s="113">
        <f>CA100</f>
        <v>55</v>
      </c>
      <c r="AG100" s="113">
        <f>BV100</f>
        <v>137</v>
      </c>
      <c r="AH100" s="113">
        <f>BZ100</f>
        <v>112</v>
      </c>
      <c r="AI100" s="113">
        <f>BW100</f>
        <v>92</v>
      </c>
      <c r="AJ100" s="113">
        <f>BY100</f>
        <v>82</v>
      </c>
      <c r="AK100" s="112">
        <f>CB100</f>
        <v>68</v>
      </c>
      <c r="AL100" s="113">
        <f>CE100</f>
        <v>102</v>
      </c>
      <c r="AM100" s="113">
        <f>CH100</f>
        <v>320</v>
      </c>
      <c r="AN100" s="113">
        <f>CJ100</f>
        <v>285</v>
      </c>
      <c r="AO100" s="113">
        <f>CC100</f>
        <v>84</v>
      </c>
      <c r="AP100" s="113">
        <f>CD100</f>
        <v>49</v>
      </c>
      <c r="AQ100" s="113">
        <f>CK100</f>
        <v>96</v>
      </c>
      <c r="AR100" s="113">
        <f>CI100</f>
        <v>57</v>
      </c>
      <c r="AS100" s="158">
        <f>CF100+CG100</f>
        <v>257</v>
      </c>
      <c r="AT100" s="375">
        <v>4</v>
      </c>
      <c r="AU100" s="375">
        <v>67</v>
      </c>
      <c r="AV100" s="375">
        <v>91</v>
      </c>
      <c r="AW100" s="375">
        <v>118</v>
      </c>
      <c r="AX100" s="375">
        <v>119</v>
      </c>
      <c r="AY100" s="375">
        <v>83</v>
      </c>
      <c r="AZ100" s="375">
        <v>11</v>
      </c>
      <c r="BA100" s="375">
        <v>164</v>
      </c>
      <c r="BB100" s="375">
        <v>197</v>
      </c>
      <c r="BC100" s="375">
        <v>314</v>
      </c>
      <c r="BD100" s="375">
        <v>258</v>
      </c>
      <c r="BE100" s="375">
        <v>137</v>
      </c>
      <c r="BF100" s="376">
        <v>193</v>
      </c>
      <c r="BG100" s="377">
        <v>4</v>
      </c>
      <c r="BH100" s="375">
        <v>1</v>
      </c>
      <c r="BI100" s="375">
        <v>136</v>
      </c>
      <c r="BJ100" s="375">
        <v>30</v>
      </c>
      <c r="BK100" s="375">
        <v>1</v>
      </c>
      <c r="BL100" s="375">
        <v>0</v>
      </c>
      <c r="BM100" s="375">
        <v>115</v>
      </c>
      <c r="BN100" s="375">
        <v>35</v>
      </c>
      <c r="BO100" s="377">
        <v>3</v>
      </c>
      <c r="BP100" s="375">
        <v>31</v>
      </c>
      <c r="BQ100" s="375">
        <v>58</v>
      </c>
      <c r="BR100" s="376">
        <v>40</v>
      </c>
      <c r="BS100" s="377">
        <v>0</v>
      </c>
      <c r="BT100" s="375">
        <v>148</v>
      </c>
      <c r="BU100" s="375">
        <v>67</v>
      </c>
      <c r="BV100" s="375">
        <v>137</v>
      </c>
      <c r="BW100" s="375">
        <v>92</v>
      </c>
      <c r="BX100" s="375">
        <v>112</v>
      </c>
      <c r="BY100" s="375">
        <v>82</v>
      </c>
      <c r="BZ100" s="375">
        <v>112</v>
      </c>
      <c r="CA100" s="375">
        <v>55</v>
      </c>
      <c r="CB100" s="376">
        <v>68</v>
      </c>
      <c r="CC100" s="375">
        <v>84</v>
      </c>
      <c r="CD100" s="375">
        <v>49</v>
      </c>
      <c r="CE100" s="375">
        <v>102</v>
      </c>
      <c r="CF100" s="375">
        <v>4</v>
      </c>
      <c r="CG100" s="375">
        <v>253</v>
      </c>
      <c r="CH100" s="375">
        <v>320</v>
      </c>
      <c r="CI100" s="375">
        <v>57</v>
      </c>
      <c r="CJ100" s="375">
        <v>285</v>
      </c>
      <c r="CK100" s="378">
        <v>96</v>
      </c>
      <c r="CL100" s="379">
        <v>4334</v>
      </c>
      <c r="CM100" s="380"/>
    </row>
    <row r="101" spans="1:91">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1">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1">
      <c r="A103" s="80">
        <f>ROWS($A$3:A101)</f>
        <v>99</v>
      </c>
      <c r="B103" s="55"/>
      <c r="C103" s="203"/>
      <c r="D103" s="259"/>
      <c r="E103" s="435"/>
      <c r="F103" s="154"/>
      <c r="G103" s="155"/>
      <c r="H103" s="155"/>
      <c r="I103" s="156"/>
      <c r="J103" s="281"/>
      <c r="K103" s="157">
        <f>BF103</f>
        <v>0</v>
      </c>
      <c r="L103" s="113">
        <f>AY103</f>
        <v>0</v>
      </c>
      <c r="M103" s="113">
        <f>BD103</f>
        <v>0</v>
      </c>
      <c r="N103" s="113">
        <f>AW103</f>
        <v>0</v>
      </c>
      <c r="O103" s="113">
        <f>BE103</f>
        <v>0</v>
      </c>
      <c r="P103" s="113">
        <f>'2011'!AZ103+'2011'!BA103</f>
        <v>0</v>
      </c>
      <c r="Q103" s="113">
        <f>'2011'!AU103</f>
        <v>0</v>
      </c>
      <c r="R103" s="113">
        <f>AT103+AX103</f>
        <v>0</v>
      </c>
      <c r="S103" s="113">
        <f>AV103</f>
        <v>0</v>
      </c>
      <c r="T103" s="113">
        <f t="shared" ref="T103:U106" si="181">BB103</f>
        <v>0</v>
      </c>
      <c r="U103" s="112">
        <f t="shared" si="181"/>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2">CC103</f>
        <v>0</v>
      </c>
      <c r="AP103" s="113">
        <f t="shared" si="182"/>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1">
      <c r="A104" s="80">
        <f>ROWS($A$3:A102)</f>
        <v>100</v>
      </c>
      <c r="B104" s="55"/>
      <c r="C104" s="203"/>
      <c r="D104" s="259"/>
      <c r="E104" s="435"/>
      <c r="F104" s="154"/>
      <c r="G104" s="155"/>
      <c r="H104" s="155"/>
      <c r="I104" s="156"/>
      <c r="J104" s="281"/>
      <c r="K104" s="157">
        <f>BF104</f>
        <v>0</v>
      </c>
      <c r="L104" s="113">
        <f>AY104</f>
        <v>0</v>
      </c>
      <c r="M104" s="113">
        <f>BD104</f>
        <v>0</v>
      </c>
      <c r="N104" s="113">
        <f>AW104</f>
        <v>0</v>
      </c>
      <c r="O104" s="113">
        <f>BE104</f>
        <v>0</v>
      </c>
      <c r="P104" s="113">
        <f>'2011'!AZ104+'2011'!BA104</f>
        <v>0</v>
      </c>
      <c r="Q104" s="113">
        <f>'2011'!AU104</f>
        <v>0</v>
      </c>
      <c r="R104" s="113">
        <f>AT104+AX104</f>
        <v>0</v>
      </c>
      <c r="S104" s="113">
        <f>AV104</f>
        <v>0</v>
      </c>
      <c r="T104" s="113">
        <f t="shared" si="181"/>
        <v>0</v>
      </c>
      <c r="U104" s="112">
        <f t="shared" si="181"/>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2"/>
        <v>0</v>
      </c>
      <c r="AP104" s="113">
        <f t="shared" si="182"/>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1">
      <c r="A105" s="80">
        <f>ROWS($A$3:A103)</f>
        <v>101</v>
      </c>
      <c r="B105" s="55"/>
      <c r="C105" s="203"/>
      <c r="D105" s="259"/>
      <c r="E105" s="435"/>
      <c r="F105" s="154"/>
      <c r="G105" s="155"/>
      <c r="H105" s="155"/>
      <c r="I105" s="156"/>
      <c r="J105" s="281"/>
      <c r="K105" s="157">
        <f>BF105</f>
        <v>0</v>
      </c>
      <c r="L105" s="113">
        <f>AY105</f>
        <v>0</v>
      </c>
      <c r="M105" s="113">
        <f>BD105</f>
        <v>0</v>
      </c>
      <c r="N105" s="113">
        <f>AW105</f>
        <v>0</v>
      </c>
      <c r="O105" s="113">
        <f>BE105</f>
        <v>0</v>
      </c>
      <c r="P105" s="113">
        <f>'2011'!AZ105+'2011'!BA105</f>
        <v>0</v>
      </c>
      <c r="Q105" s="113">
        <f>'2011'!AU105</f>
        <v>0</v>
      </c>
      <c r="R105" s="113">
        <f>AT105+AX105</f>
        <v>0</v>
      </c>
      <c r="S105" s="113">
        <f>AV105</f>
        <v>0</v>
      </c>
      <c r="T105" s="113">
        <f t="shared" si="181"/>
        <v>0</v>
      </c>
      <c r="U105" s="112">
        <f t="shared" si="181"/>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2"/>
        <v>0</v>
      </c>
      <c r="AP105" s="113">
        <f t="shared" si="182"/>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1" ht="13.5" thickBot="1">
      <c r="A106" s="80">
        <f>ROWS($A$3:A104)</f>
        <v>102</v>
      </c>
      <c r="B106" s="56"/>
      <c r="C106" s="206"/>
      <c r="D106" s="265"/>
      <c r="E106" s="439"/>
      <c r="F106" s="160"/>
      <c r="G106" s="161"/>
      <c r="H106" s="161"/>
      <c r="I106" s="162"/>
      <c r="J106" s="282"/>
      <c r="K106" s="163">
        <f>BF106</f>
        <v>0</v>
      </c>
      <c r="L106" s="164">
        <f>AY106</f>
        <v>0</v>
      </c>
      <c r="M106" s="164">
        <f>BD106</f>
        <v>0</v>
      </c>
      <c r="N106" s="164">
        <f>AW106</f>
        <v>0</v>
      </c>
      <c r="O106" s="164">
        <f>BE106</f>
        <v>0</v>
      </c>
      <c r="P106" s="164">
        <f>'2011'!AZ106+'2011'!BA106</f>
        <v>0</v>
      </c>
      <c r="Q106" s="164">
        <f>'2011'!AU106</f>
        <v>0</v>
      </c>
      <c r="R106" s="164">
        <f>AT106+AX106</f>
        <v>0</v>
      </c>
      <c r="S106" s="164">
        <f>AV106</f>
        <v>0</v>
      </c>
      <c r="T106" s="164">
        <f t="shared" si="181"/>
        <v>0</v>
      </c>
      <c r="U106" s="114">
        <f t="shared" si="181"/>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2"/>
        <v>0</v>
      </c>
      <c r="AP106" s="164">
        <f t="shared" si="182"/>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1">
      <c r="B107" s="57"/>
      <c r="C107" s="203"/>
      <c r="D107" s="48"/>
      <c r="E107" s="322"/>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row>
    <row r="108" spans="1:91">
      <c r="B108" s="71" t="s">
        <v>209</v>
      </c>
    </row>
    <row r="109" spans="1:91">
      <c r="B109" s="73" t="s">
        <v>278</v>
      </c>
    </row>
    <row r="110" spans="1:91">
      <c r="B110" s="73" t="s">
        <v>205</v>
      </c>
    </row>
    <row r="111" spans="1:91">
      <c r="B111" s="73" t="s">
        <v>206</v>
      </c>
    </row>
    <row r="112" spans="1:91">
      <c r="B112" s="72"/>
    </row>
    <row r="113" spans="1:90">
      <c r="B113" s="73" t="s">
        <v>78</v>
      </c>
    </row>
    <row r="114" spans="1:90">
      <c r="B114" s="73" t="s">
        <v>207</v>
      </c>
    </row>
    <row r="115" spans="1:90">
      <c r="B115" s="73" t="s">
        <v>211</v>
      </c>
    </row>
    <row r="117" spans="1:90" s="69" customFormat="1" ht="11.25">
      <c r="A117" s="327"/>
      <c r="B117" s="328" t="s">
        <v>63</v>
      </c>
      <c r="C117" s="322"/>
      <c r="D117" s="329" t="s">
        <v>11</v>
      </c>
      <c r="E117" s="441"/>
      <c r="F117" s="323"/>
      <c r="G117" s="323"/>
      <c r="H117" s="323"/>
      <c r="I117" s="323"/>
      <c r="J117" s="324"/>
      <c r="K117" s="323">
        <f>BF117</f>
        <v>3500</v>
      </c>
      <c r="L117" s="323">
        <f>AY117</f>
        <v>3600</v>
      </c>
      <c r="M117" s="323">
        <f>BD117</f>
        <v>2600</v>
      </c>
      <c r="N117" s="323">
        <f>AW117</f>
        <v>1600</v>
      </c>
      <c r="O117" s="323">
        <f>BE117</f>
        <v>1100</v>
      </c>
      <c r="P117" s="323">
        <f>'2011'!AZ117+'2011'!BA117</f>
        <v>5400</v>
      </c>
      <c r="Q117" s="323">
        <f>'2011'!AU117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325">
        <v>2009</v>
      </c>
      <c r="D118" s="329" t="s">
        <v>285</v>
      </c>
      <c r="E118" s="442"/>
      <c r="F118" s="323">
        <v>706</v>
      </c>
      <c r="G118" s="324">
        <v>364</v>
      </c>
      <c r="H118" s="324">
        <v>507</v>
      </c>
      <c r="I118" s="323">
        <v>423</v>
      </c>
      <c r="J118" s="324"/>
      <c r="K118" s="323">
        <f>BF118</f>
        <v>74</v>
      </c>
      <c r="L118" s="324">
        <f>AY118</f>
        <v>71</v>
      </c>
      <c r="M118" s="324">
        <f>BD118</f>
        <v>53</v>
      </c>
      <c r="N118" s="324">
        <f>AW118</f>
        <v>31</v>
      </c>
      <c r="O118" s="324">
        <f>BE118</f>
        <v>29</v>
      </c>
      <c r="P118" s="423">
        <f>AZ118+BA118</f>
        <v>95</v>
      </c>
      <c r="Q118" s="323">
        <f>AU118</f>
        <v>36</v>
      </c>
      <c r="R118" s="423">
        <f>AT118+AX118</f>
        <v>124</v>
      </c>
      <c r="S118" s="324">
        <f>AV118</f>
        <v>53</v>
      </c>
      <c r="T118" s="324">
        <f>BB118</f>
        <v>56</v>
      </c>
      <c r="U118" s="323">
        <f>BC118</f>
        <v>84</v>
      </c>
      <c r="V118" s="423">
        <f>BG118+BJ118</f>
        <v>57</v>
      </c>
      <c r="W118" s="324">
        <f>BR118</f>
        <v>26</v>
      </c>
      <c r="X118" s="423">
        <f>BH118+BI118</f>
        <v>69</v>
      </c>
      <c r="Y118" s="423">
        <f>BK118+BL118+BN118</f>
        <v>101</v>
      </c>
      <c r="Z118" s="324">
        <f>BM118</f>
        <v>41</v>
      </c>
      <c r="AA118" s="423">
        <f>BO118+BQ118</f>
        <v>37</v>
      </c>
      <c r="AB118" s="323">
        <f>BP118</f>
        <v>33</v>
      </c>
      <c r="AC118" s="324">
        <f>BX118</f>
        <v>36</v>
      </c>
      <c r="AD118" s="324">
        <f>BU118</f>
        <v>43</v>
      </c>
      <c r="AE118" s="423">
        <f>BS118+BT118</f>
        <v>107</v>
      </c>
      <c r="AF118" s="324">
        <f>CA118</f>
        <v>44</v>
      </c>
      <c r="AG118" s="324">
        <f>BV118</f>
        <v>124</v>
      </c>
      <c r="AH118" s="324">
        <f>BZ118</f>
        <v>74</v>
      </c>
      <c r="AI118" s="324">
        <f>BW118</f>
        <v>30</v>
      </c>
      <c r="AJ118" s="324">
        <f>BY118</f>
        <v>19</v>
      </c>
      <c r="AK118" s="323">
        <f>CB118</f>
        <v>31</v>
      </c>
      <c r="AL118" s="324">
        <f>CE118</f>
        <v>32</v>
      </c>
      <c r="AM118" s="324">
        <f>CH118</f>
        <v>66</v>
      </c>
      <c r="AN118" s="324">
        <f>CJ118</f>
        <v>91</v>
      </c>
      <c r="AO118" s="324">
        <f>CC118</f>
        <v>46</v>
      </c>
      <c r="AP118" s="324">
        <f>CD118</f>
        <v>19</v>
      </c>
      <c r="AQ118" s="324">
        <f>CK118</f>
        <v>45</v>
      </c>
      <c r="AR118" s="324">
        <f>CI118</f>
        <v>64</v>
      </c>
      <c r="AS118" s="423">
        <f>CF118+CG118</f>
        <v>60</v>
      </c>
      <c r="AT118" s="324">
        <v>44</v>
      </c>
      <c r="AU118" s="324">
        <v>36</v>
      </c>
      <c r="AV118" s="324">
        <v>53</v>
      </c>
      <c r="AW118" s="324">
        <v>31</v>
      </c>
      <c r="AX118" s="324">
        <v>80</v>
      </c>
      <c r="AY118" s="324">
        <v>71</v>
      </c>
      <c r="AZ118" s="324">
        <v>14</v>
      </c>
      <c r="BA118" s="324">
        <v>81</v>
      </c>
      <c r="BB118" s="324">
        <v>56</v>
      </c>
      <c r="BC118" s="324">
        <v>84</v>
      </c>
      <c r="BD118" s="324">
        <v>53</v>
      </c>
      <c r="BE118" s="324">
        <v>29</v>
      </c>
      <c r="BF118" s="323">
        <v>74</v>
      </c>
      <c r="BG118" s="324">
        <v>16</v>
      </c>
      <c r="BH118" s="324">
        <v>14</v>
      </c>
      <c r="BI118" s="324">
        <v>55</v>
      </c>
      <c r="BJ118" s="324">
        <v>41</v>
      </c>
      <c r="BK118" s="324">
        <v>15</v>
      </c>
      <c r="BL118" s="324">
        <v>17</v>
      </c>
      <c r="BM118" s="324">
        <v>41</v>
      </c>
      <c r="BN118" s="324">
        <v>69</v>
      </c>
      <c r="BO118" s="324">
        <v>13</v>
      </c>
      <c r="BP118" s="324">
        <v>33</v>
      </c>
      <c r="BQ118" s="324">
        <v>24</v>
      </c>
      <c r="BR118" s="323">
        <v>26</v>
      </c>
      <c r="BS118" s="324">
        <v>16</v>
      </c>
      <c r="BT118" s="324">
        <v>91</v>
      </c>
      <c r="BU118" s="324">
        <v>43</v>
      </c>
      <c r="BV118" s="324">
        <v>124</v>
      </c>
      <c r="BW118" s="324">
        <v>30</v>
      </c>
      <c r="BX118" s="324">
        <v>36</v>
      </c>
      <c r="BY118" s="324">
        <v>19</v>
      </c>
      <c r="BZ118" s="324">
        <v>74</v>
      </c>
      <c r="CA118" s="324">
        <v>44</v>
      </c>
      <c r="CB118" s="323">
        <v>31</v>
      </c>
      <c r="CC118" s="324">
        <v>46</v>
      </c>
      <c r="CD118" s="324">
        <v>19</v>
      </c>
      <c r="CE118" s="324">
        <v>32</v>
      </c>
      <c r="CF118" s="324">
        <v>10</v>
      </c>
      <c r="CG118" s="324">
        <v>50</v>
      </c>
      <c r="CH118" s="324">
        <v>66</v>
      </c>
      <c r="CI118" s="324">
        <v>64</v>
      </c>
      <c r="CJ118" s="324">
        <v>91</v>
      </c>
      <c r="CK118" s="323">
        <v>45</v>
      </c>
      <c r="CL118" s="323">
        <v>2001</v>
      </c>
    </row>
    <row r="119" spans="1:90" s="69" customFormat="1" ht="11.25">
      <c r="B119" s="328" t="s">
        <v>55</v>
      </c>
      <c r="C119" s="322">
        <v>2010</v>
      </c>
      <c r="D119" s="69" t="s">
        <v>13</v>
      </c>
      <c r="E119" s="443">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322"/>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197</v>
      </c>
      <c r="C121" s="322">
        <v>2010</v>
      </c>
      <c r="D121" s="69" t="s">
        <v>13</v>
      </c>
      <c r="E121" s="443">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322"/>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1.25">
      <c r="B123" s="328" t="s">
        <v>235</v>
      </c>
      <c r="C123" s="322">
        <v>2010</v>
      </c>
      <c r="D123" s="69" t="s">
        <v>13</v>
      </c>
      <c r="E123" s="443">
        <v>40648</v>
      </c>
      <c r="F123" s="323">
        <v>3148</v>
      </c>
      <c r="G123" s="323">
        <v>681</v>
      </c>
      <c r="H123" s="323">
        <v>2722</v>
      </c>
      <c r="I123" s="323">
        <v>4220</v>
      </c>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v>89</v>
      </c>
      <c r="AV123" s="323">
        <v>96</v>
      </c>
      <c r="AW123" s="323">
        <v>309</v>
      </c>
      <c r="AX123" s="323">
        <v>140</v>
      </c>
      <c r="AY123" s="323">
        <v>242</v>
      </c>
      <c r="AZ123" s="323">
        <v>4</v>
      </c>
      <c r="BA123" s="323">
        <v>125</v>
      </c>
      <c r="BB123" s="323">
        <v>226</v>
      </c>
      <c r="BC123" s="323">
        <v>693</v>
      </c>
      <c r="BD123" s="323">
        <v>254</v>
      </c>
      <c r="BE123" s="323">
        <v>210</v>
      </c>
      <c r="BF123" s="323">
        <v>746</v>
      </c>
      <c r="BG123" s="323" t="s">
        <v>58</v>
      </c>
      <c r="BH123" s="323" t="s">
        <v>233</v>
      </c>
      <c r="BI123" s="323">
        <v>31</v>
      </c>
      <c r="BJ123" s="323">
        <v>19</v>
      </c>
      <c r="BK123" s="323" t="s">
        <v>233</v>
      </c>
      <c r="BL123" s="323" t="s">
        <v>233</v>
      </c>
      <c r="BM123" s="323">
        <v>213</v>
      </c>
      <c r="BN123" s="323">
        <v>90</v>
      </c>
      <c r="BO123" s="323" t="s">
        <v>233</v>
      </c>
      <c r="BP123" s="323">
        <v>123</v>
      </c>
      <c r="BQ123" s="323">
        <v>65</v>
      </c>
      <c r="BR123" s="323">
        <v>130</v>
      </c>
      <c r="BS123" s="323">
        <v>5</v>
      </c>
      <c r="BT123" s="323">
        <v>443</v>
      </c>
      <c r="BU123" s="323">
        <v>183</v>
      </c>
      <c r="BV123" s="323">
        <v>479</v>
      </c>
      <c r="BW123" s="323">
        <v>221</v>
      </c>
      <c r="BX123" s="323">
        <v>466</v>
      </c>
      <c r="BY123" s="323">
        <v>139</v>
      </c>
      <c r="BZ123" s="323">
        <v>233</v>
      </c>
      <c r="CA123" s="323">
        <v>182</v>
      </c>
      <c r="CB123" s="323">
        <v>371</v>
      </c>
      <c r="CC123" s="323">
        <v>247</v>
      </c>
      <c r="CD123" s="323">
        <v>40</v>
      </c>
      <c r="CE123" s="323">
        <v>82</v>
      </c>
      <c r="CF123" s="323">
        <v>21</v>
      </c>
      <c r="CG123" s="323">
        <v>569</v>
      </c>
      <c r="CH123" s="323">
        <v>886</v>
      </c>
      <c r="CI123" s="323">
        <v>338</v>
      </c>
      <c r="CJ123" s="323">
        <v>1662</v>
      </c>
      <c r="CK123" s="323">
        <v>375</v>
      </c>
      <c r="CL123" s="323">
        <v>10771</v>
      </c>
    </row>
    <row r="124" spans="1:90" s="69" customFormat="1" ht="11.25">
      <c r="B124" s="328" t="s">
        <v>236</v>
      </c>
      <c r="C124" s="322">
        <v>2010</v>
      </c>
      <c r="D124" s="69" t="s">
        <v>13</v>
      </c>
      <c r="E124" s="443">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c r="B125" s="328" t="s">
        <v>237</v>
      </c>
      <c r="C125" s="322">
        <v>2010</v>
      </c>
      <c r="D125" s="69" t="s">
        <v>13</v>
      </c>
      <c r="E125" s="443">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c r="B126" s="58" t="s">
        <v>275</v>
      </c>
      <c r="F126" s="126">
        <f>SUM(AT126:BF126)</f>
        <v>292396</v>
      </c>
      <c r="G126" s="126">
        <f>SUM(BG126:BR126)</f>
        <v>85522</v>
      </c>
      <c r="H126" s="126">
        <f>SUM(BS126:CB126)</f>
        <v>157968</v>
      </c>
      <c r="I126" s="126">
        <f>SUM(CC126:CK126)</f>
        <v>224236</v>
      </c>
      <c r="K126" s="126">
        <f>BF126</f>
        <v>64181</v>
      </c>
      <c r="L126" s="126">
        <f>AY126</f>
        <v>17637</v>
      </c>
      <c r="M126" s="126">
        <f>BD126</f>
        <v>47812</v>
      </c>
      <c r="N126" s="126">
        <f>AW126</f>
        <v>20788</v>
      </c>
      <c r="O126" s="126">
        <f>BE126</f>
        <v>15643</v>
      </c>
      <c r="P126" s="126">
        <f>'2011'!AZ126+'2011'!BA126</f>
        <v>6973</v>
      </c>
      <c r="Q126" s="126">
        <f>'2011'!AU126</f>
        <v>10663</v>
      </c>
      <c r="R126" s="126">
        <f>AT126+AX126</f>
        <v>502</v>
      </c>
      <c r="S126" s="126">
        <f>AV126</f>
        <v>11139</v>
      </c>
      <c r="T126" s="126">
        <f>BB126</f>
        <v>23307</v>
      </c>
      <c r="U126" s="126">
        <f>BC126</f>
        <v>73751</v>
      </c>
      <c r="V126" s="126">
        <f>BG126+BJ126</f>
        <v>5394</v>
      </c>
      <c r="W126" s="126">
        <f>BR126</f>
        <v>15584</v>
      </c>
      <c r="X126" s="126">
        <f>BH126+BI126</f>
        <v>2629</v>
      </c>
      <c r="Y126" s="126">
        <f>BK126+BL126+BN126</f>
        <v>6752</v>
      </c>
      <c r="Z126" s="126">
        <f>BM126</f>
        <v>32508</v>
      </c>
      <c r="AA126" s="126">
        <f>BO126+BQ126</f>
        <v>9261</v>
      </c>
      <c r="AB126" s="126">
        <f>BP126</f>
        <v>13394</v>
      </c>
      <c r="AC126" s="126">
        <f>BX126</f>
        <v>25072</v>
      </c>
      <c r="AD126" s="126">
        <f>BU126</f>
        <v>7961</v>
      </c>
      <c r="AE126" s="126">
        <f>BS126+BT126</f>
        <v>5828</v>
      </c>
      <c r="AF126" s="126">
        <f>CA126</f>
        <v>6710</v>
      </c>
      <c r="AG126" s="126">
        <f>BV126</f>
        <v>18946</v>
      </c>
      <c r="AH126" s="126">
        <f>BZ126</f>
        <v>22025</v>
      </c>
      <c r="AI126" s="126">
        <f>BW126</f>
        <v>28970</v>
      </c>
      <c r="AJ126" s="126">
        <f>BY126</f>
        <v>15228</v>
      </c>
      <c r="AK126" s="126">
        <f>CB126</f>
        <v>27228</v>
      </c>
      <c r="AL126" s="126">
        <f>CE126</f>
        <v>20852</v>
      </c>
      <c r="AM126" s="126">
        <f>CH126</f>
        <v>15010</v>
      </c>
      <c r="AN126" s="126">
        <f>CJ126</f>
        <v>50386</v>
      </c>
      <c r="AO126" s="126">
        <f>CC126</f>
        <v>43147</v>
      </c>
      <c r="AP126" s="126">
        <f>CD126</f>
        <v>12194</v>
      </c>
      <c r="AQ126" s="126">
        <f>CK126</f>
        <v>39427</v>
      </c>
      <c r="AR126" s="126">
        <f>CI126</f>
        <v>7845</v>
      </c>
      <c r="AS126" s="126">
        <f>CF126+CG126</f>
        <v>35375</v>
      </c>
      <c r="AT126" s="126">
        <v>279</v>
      </c>
      <c r="AU126" s="126">
        <v>10663</v>
      </c>
      <c r="AV126" s="126">
        <v>11139</v>
      </c>
      <c r="AW126" s="126">
        <v>20788</v>
      </c>
      <c r="AX126" s="126">
        <v>223</v>
      </c>
      <c r="AY126" s="126">
        <v>17637</v>
      </c>
      <c r="AZ126" s="126">
        <v>0</v>
      </c>
      <c r="BA126" s="126">
        <v>6973</v>
      </c>
      <c r="BB126" s="126">
        <v>23307</v>
      </c>
      <c r="BC126" s="126">
        <v>73751</v>
      </c>
      <c r="BD126" s="126">
        <v>47812</v>
      </c>
      <c r="BE126" s="126">
        <v>15643</v>
      </c>
      <c r="BF126" s="126">
        <v>64181</v>
      </c>
      <c r="BG126" s="126">
        <v>1799</v>
      </c>
      <c r="BH126" s="126">
        <v>0</v>
      </c>
      <c r="BI126" s="126">
        <v>2629</v>
      </c>
      <c r="BJ126" s="126">
        <v>3595</v>
      </c>
      <c r="BK126" s="126">
        <v>2067</v>
      </c>
      <c r="BL126" s="126">
        <v>0</v>
      </c>
      <c r="BM126" s="126">
        <v>32508</v>
      </c>
      <c r="BN126" s="126">
        <v>4685</v>
      </c>
      <c r="BO126" s="126">
        <v>281</v>
      </c>
      <c r="BP126" s="126">
        <v>13394</v>
      </c>
      <c r="BQ126" s="126">
        <v>8980</v>
      </c>
      <c r="BR126" s="126">
        <v>15584</v>
      </c>
      <c r="BS126" s="126">
        <v>210</v>
      </c>
      <c r="BT126" s="126">
        <v>5618</v>
      </c>
      <c r="BU126" s="126">
        <v>7961</v>
      </c>
      <c r="BV126" s="126">
        <v>18946</v>
      </c>
      <c r="BW126" s="126">
        <v>28970</v>
      </c>
      <c r="BX126" s="126">
        <v>25072</v>
      </c>
      <c r="BY126" s="126">
        <v>15228</v>
      </c>
      <c r="BZ126" s="126">
        <v>22025</v>
      </c>
      <c r="CA126" s="126">
        <v>6710</v>
      </c>
      <c r="CB126" s="126">
        <v>27228</v>
      </c>
      <c r="CC126" s="126">
        <v>43147</v>
      </c>
      <c r="CD126" s="126">
        <v>12194</v>
      </c>
      <c r="CE126" s="126">
        <v>20852</v>
      </c>
      <c r="CF126" s="126">
        <v>1397</v>
      </c>
      <c r="CG126" s="126">
        <v>33978</v>
      </c>
      <c r="CH126" s="126">
        <v>15010</v>
      </c>
      <c r="CI126" s="126">
        <v>7845</v>
      </c>
      <c r="CJ126" s="126">
        <v>50386</v>
      </c>
      <c r="CK126" s="126">
        <v>39427</v>
      </c>
      <c r="CL126" s="126">
        <v>760122</v>
      </c>
    </row>
    <row r="127" spans="1:90">
      <c r="F127" s="126">
        <f>F126/F35%</f>
        <v>62.946649616588516</v>
      </c>
      <c r="G127" s="126">
        <f>G126/G35%</f>
        <v>42.470501767907514</v>
      </c>
      <c r="H127" s="126">
        <f>H126/H35%</f>
        <v>49.633486139083601</v>
      </c>
      <c r="I127" s="126">
        <f>I126/I35%</f>
        <v>52.657707056925538</v>
      </c>
      <c r="K127" s="126">
        <f t="shared" ref="K127:AP127" si="183">K126/K35%</f>
        <v>99.268413400563006</v>
      </c>
      <c r="L127" s="126">
        <f t="shared" si="183"/>
        <v>69.175556950109822</v>
      </c>
      <c r="M127" s="126">
        <f t="shared" si="183"/>
        <v>70.264233018840187</v>
      </c>
      <c r="N127" s="126">
        <f t="shared" si="183"/>
        <v>73.910260968498903</v>
      </c>
      <c r="O127" s="126">
        <f t="shared" si="183"/>
        <v>59.728904161893858</v>
      </c>
      <c r="P127" s="126">
        <f t="shared" si="183"/>
        <v>12.006474163610379</v>
      </c>
      <c r="Q127" s="126">
        <f t="shared" si="183"/>
        <v>48.340738054220687</v>
      </c>
      <c r="R127" s="126">
        <f t="shared" si="183"/>
        <v>1.4480629993942364</v>
      </c>
      <c r="S127" s="126">
        <f t="shared" si="183"/>
        <v>56.736107573982579</v>
      </c>
      <c r="T127" s="126">
        <f t="shared" si="183"/>
        <v>56.536082474226802</v>
      </c>
      <c r="U127" s="126">
        <f t="shared" si="183"/>
        <v>96.604796772461142</v>
      </c>
      <c r="V127" s="126">
        <f t="shared" si="183"/>
        <v>33.655705996131523</v>
      </c>
      <c r="W127" s="126">
        <f t="shared" si="183"/>
        <v>82.393993866976842</v>
      </c>
      <c r="X127" s="126">
        <f t="shared" si="183"/>
        <v>6.5866613218419605</v>
      </c>
      <c r="Y127" s="126">
        <f t="shared" si="183"/>
        <v>15.782338366602778</v>
      </c>
      <c r="Z127" s="126">
        <f t="shared" si="183"/>
        <v>70.176802020594522</v>
      </c>
      <c r="AA127" s="126">
        <f t="shared" si="183"/>
        <v>45.946616392141294</v>
      </c>
      <c r="AB127" s="126">
        <f t="shared" si="183"/>
        <v>77.637375376767906</v>
      </c>
      <c r="AC127" s="126">
        <f t="shared" si="183"/>
        <v>64.570295397769698</v>
      </c>
      <c r="AD127" s="126">
        <f t="shared" si="183"/>
        <v>35.691548980049312</v>
      </c>
      <c r="AE127" s="126">
        <f t="shared" si="183"/>
        <v>11.176741331696839</v>
      </c>
      <c r="AF127" s="126">
        <f t="shared" si="183"/>
        <v>28.987385519267324</v>
      </c>
      <c r="AG127" s="126">
        <f t="shared" si="183"/>
        <v>34.136936936936934</v>
      </c>
      <c r="AH127" s="126">
        <f t="shared" si="183"/>
        <v>65.443470509582525</v>
      </c>
      <c r="AI127" s="126">
        <f t="shared" si="183"/>
        <v>96.268235137739666</v>
      </c>
      <c r="AJ127" s="126">
        <f t="shared" si="183"/>
        <v>62.795876288659791</v>
      </c>
      <c r="AK127" s="126">
        <f t="shared" si="183"/>
        <v>71.009805967035263</v>
      </c>
      <c r="AL127" s="126">
        <f t="shared" si="183"/>
        <v>61.481306757872389</v>
      </c>
      <c r="AM127" s="126">
        <f t="shared" si="183"/>
        <v>19.664098936225958</v>
      </c>
      <c r="AN127" s="126">
        <f t="shared" si="183"/>
        <v>58.441588568247198</v>
      </c>
      <c r="AO127" s="126">
        <f t="shared" si="183"/>
        <v>101.09655802619555</v>
      </c>
      <c r="AP127" s="126">
        <f t="shared" si="183"/>
        <v>60.687801721992734</v>
      </c>
      <c r="AQ127" s="126">
        <f t="shared" ref="AQ127:BV127" si="184">AQ126/AQ35%</f>
        <v>72.345774156849785</v>
      </c>
      <c r="AR127" s="126">
        <f t="shared" si="184"/>
        <v>23.502097064110245</v>
      </c>
      <c r="AS127" s="126">
        <f t="shared" si="184"/>
        <v>44.937183216676615</v>
      </c>
      <c r="AT127" s="126">
        <f t="shared" si="184"/>
        <v>11.155537784886045</v>
      </c>
      <c r="AU127" s="126">
        <f t="shared" si="184"/>
        <v>48.340738054220687</v>
      </c>
      <c r="AV127" s="126">
        <f t="shared" si="184"/>
        <v>56.736107573982579</v>
      </c>
      <c r="AW127" s="126">
        <f t="shared" si="184"/>
        <v>73.910260968498903</v>
      </c>
      <c r="AX127" s="126">
        <f t="shared" si="184"/>
        <v>0.69327861717341288</v>
      </c>
      <c r="AY127" s="126">
        <f t="shared" si="184"/>
        <v>69.175556950109822</v>
      </c>
      <c r="AZ127" s="126">
        <f t="shared" si="184"/>
        <v>0</v>
      </c>
      <c r="BA127" s="126">
        <f t="shared" si="184"/>
        <v>12.93788036217901</v>
      </c>
      <c r="BB127" s="126">
        <f t="shared" si="184"/>
        <v>56.536082474226802</v>
      </c>
      <c r="BC127" s="126">
        <f t="shared" si="184"/>
        <v>96.604796772461142</v>
      </c>
      <c r="BD127" s="126">
        <f t="shared" si="184"/>
        <v>70.264233018840187</v>
      </c>
      <c r="BE127" s="126">
        <f t="shared" si="184"/>
        <v>59.728904161893858</v>
      </c>
      <c r="BF127" s="126">
        <f t="shared" si="184"/>
        <v>99.268413400563006</v>
      </c>
      <c r="BG127" s="126">
        <f t="shared" si="184"/>
        <v>118.58932102834542</v>
      </c>
      <c r="BH127" s="126">
        <f t="shared" si="184"/>
        <v>0</v>
      </c>
      <c r="BI127" s="126">
        <f t="shared" si="184"/>
        <v>7.0301636538667243</v>
      </c>
      <c r="BJ127" s="126">
        <f t="shared" si="184"/>
        <v>24.776016540317023</v>
      </c>
      <c r="BK127" s="126">
        <f t="shared" si="184"/>
        <v>112.88913162206445</v>
      </c>
      <c r="BL127" s="126">
        <f t="shared" si="184"/>
        <v>0</v>
      </c>
      <c r="BM127" s="126">
        <f t="shared" si="184"/>
        <v>70.176802020594522</v>
      </c>
      <c r="BN127" s="126">
        <f t="shared" si="184"/>
        <v>12.29755623802399</v>
      </c>
      <c r="BO127" s="126">
        <f t="shared" si="184"/>
        <v>27.576054955839059</v>
      </c>
      <c r="BP127" s="126">
        <f t="shared" si="184"/>
        <v>77.637375376767906</v>
      </c>
      <c r="BQ127" s="126">
        <f t="shared" si="184"/>
        <v>46.924805350890942</v>
      </c>
      <c r="BR127" s="126">
        <f t="shared" si="184"/>
        <v>82.393993866976842</v>
      </c>
      <c r="BS127" s="126">
        <f t="shared" si="184"/>
        <v>6.0940220545560067</v>
      </c>
      <c r="BT127" s="126">
        <f t="shared" si="184"/>
        <v>11.536408066039673</v>
      </c>
      <c r="BU127" s="126">
        <f t="shared" si="184"/>
        <v>35.691548980049312</v>
      </c>
      <c r="BV127" s="126">
        <f t="shared" si="184"/>
        <v>34.136936936936934</v>
      </c>
      <c r="BW127" s="126">
        <f t="shared" ref="BW127:CL127" si="185">BW126/BW35%</f>
        <v>96.268235137739666</v>
      </c>
      <c r="BX127" s="126">
        <f t="shared" si="185"/>
        <v>64.570295397769698</v>
      </c>
      <c r="BY127" s="126">
        <f t="shared" si="185"/>
        <v>62.795876288659791</v>
      </c>
      <c r="BZ127" s="126">
        <f t="shared" si="185"/>
        <v>65.443470509582525</v>
      </c>
      <c r="CA127" s="126">
        <f t="shared" si="185"/>
        <v>28.987385519267324</v>
      </c>
      <c r="CB127" s="126">
        <f t="shared" si="185"/>
        <v>71.009805967035263</v>
      </c>
      <c r="CC127" s="126">
        <f t="shared" si="185"/>
        <v>101.09655802619555</v>
      </c>
      <c r="CD127" s="126">
        <f t="shared" si="185"/>
        <v>60.687801721992734</v>
      </c>
      <c r="CE127" s="126">
        <f t="shared" si="185"/>
        <v>61.481306757872389</v>
      </c>
      <c r="CF127" s="126">
        <f t="shared" si="185"/>
        <v>29.761397528760121</v>
      </c>
      <c r="CG127" s="126">
        <f t="shared" si="185"/>
        <v>45.89946911262107</v>
      </c>
      <c r="CH127" s="126">
        <f t="shared" si="185"/>
        <v>19.664098936225958</v>
      </c>
      <c r="CI127" s="126">
        <f t="shared" si="185"/>
        <v>23.502097064110245</v>
      </c>
      <c r="CJ127" s="126">
        <f t="shared" si="185"/>
        <v>58.441588568247198</v>
      </c>
      <c r="CK127" s="126">
        <f t="shared" si="185"/>
        <v>72.345774156849785</v>
      </c>
      <c r="CL127" s="126">
        <f t="shared" si="185"/>
        <v>53.909820509110716</v>
      </c>
    </row>
    <row r="129" spans="2:90">
      <c r="B129" s="58" t="s">
        <v>234</v>
      </c>
      <c r="D129" t="s">
        <v>7</v>
      </c>
      <c r="E129" s="440">
        <v>40648</v>
      </c>
      <c r="F129" s="126">
        <v>15500</v>
      </c>
      <c r="G129" s="126">
        <v>7543</v>
      </c>
      <c r="H129" s="126">
        <v>21801</v>
      </c>
      <c r="I129" s="126">
        <v>12214</v>
      </c>
      <c r="K129" s="126">
        <v>4058</v>
      </c>
      <c r="L129" s="126">
        <v>1576</v>
      </c>
      <c r="M129" s="126">
        <v>690</v>
      </c>
      <c r="N129" s="126">
        <v>1576</v>
      </c>
      <c r="O129" s="126">
        <v>593</v>
      </c>
      <c r="P129" s="126">
        <v>629</v>
      </c>
      <c r="Q129" s="126">
        <v>616</v>
      </c>
      <c r="R129" s="126">
        <v>520</v>
      </c>
      <c r="S129" s="126">
        <v>795</v>
      </c>
      <c r="T129" s="126">
        <v>1229</v>
      </c>
      <c r="U129" s="126">
        <v>3189</v>
      </c>
      <c r="V129" s="126">
        <v>641</v>
      </c>
      <c r="W129" s="126">
        <v>1280</v>
      </c>
      <c r="X129" s="126">
        <v>815</v>
      </c>
      <c r="Y129" s="126">
        <v>1065</v>
      </c>
      <c r="Z129" s="126">
        <v>1364</v>
      </c>
      <c r="AA129" s="126">
        <v>968</v>
      </c>
      <c r="AB129" s="126">
        <v>1252</v>
      </c>
      <c r="AC129" s="126">
        <v>1981</v>
      </c>
      <c r="AD129" s="126">
        <v>2079</v>
      </c>
      <c r="AE129" s="126">
        <v>3167</v>
      </c>
      <c r="AF129" s="126">
        <v>2676</v>
      </c>
      <c r="AG129" s="126">
        <v>4028</v>
      </c>
      <c r="AH129" s="126">
        <v>1242</v>
      </c>
      <c r="AI129" s="126">
        <v>1694</v>
      </c>
      <c r="AJ129" s="126">
        <v>1262</v>
      </c>
      <c r="AK129" s="126">
        <v>3672</v>
      </c>
      <c r="AL129" s="126">
        <v>1809</v>
      </c>
      <c r="AM129" s="126">
        <v>1846</v>
      </c>
      <c r="AN129" s="126">
        <v>2095</v>
      </c>
      <c r="AO129" s="126">
        <v>1435</v>
      </c>
      <c r="AP129" s="126">
        <v>617</v>
      </c>
      <c r="AQ129" s="126">
        <v>1805</v>
      </c>
      <c r="AR129" s="126">
        <v>922</v>
      </c>
      <c r="AS129" s="126">
        <v>1685</v>
      </c>
      <c r="AT129" s="126" t="s">
        <v>233</v>
      </c>
      <c r="AU129" s="126">
        <v>616</v>
      </c>
      <c r="AV129" s="126">
        <v>795</v>
      </c>
      <c r="AW129" s="126">
        <v>1576</v>
      </c>
      <c r="AX129" s="126">
        <v>520</v>
      </c>
      <c r="AY129" s="126">
        <v>1576</v>
      </c>
      <c r="AZ129" s="126" t="s">
        <v>233</v>
      </c>
      <c r="BA129" s="126">
        <v>629</v>
      </c>
      <c r="BB129" s="126">
        <v>1229</v>
      </c>
      <c r="BC129" s="126">
        <v>3189</v>
      </c>
      <c r="BD129" s="126">
        <v>690</v>
      </c>
      <c r="BE129" s="126">
        <v>593</v>
      </c>
      <c r="BF129" s="126">
        <v>4058</v>
      </c>
      <c r="BG129" s="126">
        <v>70</v>
      </c>
      <c r="BH129" s="126" t="s">
        <v>233</v>
      </c>
      <c r="BI129" s="126">
        <v>815</v>
      </c>
      <c r="BJ129" s="126">
        <v>571</v>
      </c>
      <c r="BK129" s="126" t="s">
        <v>233</v>
      </c>
      <c r="BL129" s="126" t="s">
        <v>233</v>
      </c>
      <c r="BM129" s="126">
        <v>1364</v>
      </c>
      <c r="BN129" s="126">
        <v>1065</v>
      </c>
      <c r="BO129" s="126" t="s">
        <v>233</v>
      </c>
      <c r="BP129" s="126">
        <v>1252</v>
      </c>
      <c r="BQ129" s="126">
        <v>968</v>
      </c>
      <c r="BR129" s="126">
        <v>1280</v>
      </c>
      <c r="BS129" s="126">
        <v>49</v>
      </c>
      <c r="BT129" s="126">
        <v>3118</v>
      </c>
      <c r="BU129" s="126">
        <v>2079</v>
      </c>
      <c r="BV129" s="126">
        <v>4028</v>
      </c>
      <c r="BW129" s="126">
        <v>1694</v>
      </c>
      <c r="BX129" s="126">
        <v>1981</v>
      </c>
      <c r="BY129" s="126">
        <v>1262</v>
      </c>
      <c r="BZ129" s="126">
        <v>1242</v>
      </c>
      <c r="CA129" s="126">
        <v>2676</v>
      </c>
      <c r="CB129" s="126">
        <v>3672</v>
      </c>
      <c r="CC129" s="126">
        <v>1435</v>
      </c>
      <c r="CD129" s="126">
        <v>617</v>
      </c>
      <c r="CE129" s="126">
        <v>1809</v>
      </c>
      <c r="CF129" s="126">
        <v>33</v>
      </c>
      <c r="CG129" s="126">
        <v>1652</v>
      </c>
      <c r="CH129" s="126">
        <v>1846</v>
      </c>
      <c r="CI129" s="126">
        <v>922</v>
      </c>
      <c r="CJ129" s="126">
        <v>2095</v>
      </c>
      <c r="CK129" s="126">
        <v>1805</v>
      </c>
      <c r="CL129" s="126">
        <v>57058</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CM127"/>
  <sheetViews>
    <sheetView zoomScaleNormal="100" workbookViewId="0">
      <pane xSplit="5" ySplit="4" topLeftCell="F5" activePane="bottomRight" state="frozen"/>
      <selection activeCell="Y57" sqref="Y57"/>
      <selection pane="topRight" activeCell="Y57" sqref="Y57"/>
      <selection pane="bottomLeft" activeCell="Y57" sqref="Y57"/>
      <selection pane="bottomRight" activeCell="Y57" sqref="Y5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440" bestFit="1" customWidth="1"/>
    <col min="6" max="89" width="11.42578125" style="126" customWidth="1"/>
    <col min="90" max="90" width="17.85546875" style="126" bestFit="1" customWidth="1"/>
  </cols>
  <sheetData>
    <row r="1" spans="1:91" ht="13.5" thickBot="1">
      <c r="B1" s="70" t="s">
        <v>187</v>
      </c>
      <c r="E1" s="322"/>
    </row>
    <row r="2" spans="1:91">
      <c r="B2" s="81"/>
      <c r="C2" s="199"/>
      <c r="D2" s="82"/>
      <c r="E2" s="277"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34"/>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34"/>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3"/>
      <c r="E5" s="264"/>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0"/>
      <c r="E6" s="435"/>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2010</v>
      </c>
      <c r="D7" s="259" t="s">
        <v>1</v>
      </c>
      <c r="E7" s="435"/>
      <c r="F7" s="116">
        <v>1055770</v>
      </c>
      <c r="G7" s="137">
        <v>691908</v>
      </c>
      <c r="H7" s="137">
        <v>934708</v>
      </c>
      <c r="I7" s="138">
        <v>891767</v>
      </c>
      <c r="J7" s="137"/>
      <c r="K7" s="116">
        <f t="shared" ref="K7:K20" si="0">BF7</f>
        <v>151158</v>
      </c>
      <c r="L7" s="137">
        <f t="shared" ref="L7:L20" si="1">AY7</f>
        <v>85814</v>
      </c>
      <c r="M7" s="137">
        <f t="shared" ref="M7:M20" si="2">BD7</f>
        <v>130441</v>
      </c>
      <c r="N7" s="137">
        <f t="shared" ref="N7:N20" si="3">AW7</f>
        <v>64237</v>
      </c>
      <c r="O7" s="137">
        <f t="shared" ref="O7:O20" si="4">BE7</f>
        <v>62712</v>
      </c>
      <c r="P7" s="137">
        <f t="shared" ref="P7:P13" si="5">AZ7+BA7</f>
        <v>119981</v>
      </c>
      <c r="Q7" s="137">
        <f>'2010'!AU7</f>
        <v>61785</v>
      </c>
      <c r="R7" s="137">
        <f>AT7+AX7</f>
        <v>89417</v>
      </c>
      <c r="S7" s="137">
        <f t="shared" ref="S7:S20" si="6">AV7</f>
        <v>64148</v>
      </c>
      <c r="T7" s="137">
        <f t="shared" ref="T7:T20" si="7">BB7</f>
        <v>77676</v>
      </c>
      <c r="U7" s="139">
        <f t="shared" ref="U7:U20" si="8">BC7</f>
        <v>148401</v>
      </c>
      <c r="V7" s="137">
        <f t="shared" ref="V7:V13" si="9">BG7+BJ7</f>
        <v>87896</v>
      </c>
      <c r="W7" s="137">
        <f t="shared" ref="W7:W20" si="10">BR7</f>
        <v>87068</v>
      </c>
      <c r="X7" s="137">
        <f t="shared" ref="X7:X13" si="11">BH7+BI7</f>
        <v>125846</v>
      </c>
      <c r="Y7" s="137">
        <f t="shared" ref="Y7:Y13" si="12">BK7+BL7+BN7</f>
        <v>131550</v>
      </c>
      <c r="Z7" s="137">
        <f t="shared" ref="Z7:Z20" si="13">BM7</f>
        <v>112628</v>
      </c>
      <c r="AA7" s="137">
        <f t="shared" ref="AA7:AA13" si="14">BO7+BQ7</f>
        <v>67168</v>
      </c>
      <c r="AB7" s="139">
        <f t="shared" ref="AB7:AB20" si="15">BP7</f>
        <v>79751</v>
      </c>
      <c r="AC7" s="137">
        <f t="shared" ref="AC7:AC20" si="16">BX7</f>
        <v>102527</v>
      </c>
      <c r="AD7" s="137">
        <f t="shared" ref="AD7:AD20" si="17">BU7</f>
        <v>67988</v>
      </c>
      <c r="AE7" s="137">
        <f t="shared" ref="AE7:AE13" si="18">BS7+BT7</f>
        <v>153139</v>
      </c>
      <c r="AF7" s="137">
        <f t="shared" ref="AF7:AF20" si="19">CA7</f>
        <v>80677</v>
      </c>
      <c r="AG7" s="137">
        <f t="shared" ref="AG7:AG20" si="20">BV7</f>
        <v>185085</v>
      </c>
      <c r="AH7" s="137">
        <f t="shared" ref="AH7:AH20" si="21">BZ7</f>
        <v>81798</v>
      </c>
      <c r="AI7" s="137">
        <f t="shared" ref="AI7:AI20" si="22">BW7</f>
        <v>76943</v>
      </c>
      <c r="AJ7" s="137">
        <f t="shared" ref="AJ7:AJ20" si="23">BY7</f>
        <v>73435</v>
      </c>
      <c r="AK7" s="139">
        <f t="shared" ref="AK7:AK20" si="24">CB7</f>
        <v>113116</v>
      </c>
      <c r="AL7" s="137">
        <f t="shared" ref="AL7:AL20" si="25">CE7</f>
        <v>91772</v>
      </c>
      <c r="AM7" s="137">
        <f t="shared" ref="AM7:AM20" si="26">CH7</f>
        <v>140975</v>
      </c>
      <c r="AN7" s="137">
        <f t="shared" ref="AN7:AN20" si="27">CJ7</f>
        <v>163183</v>
      </c>
      <c r="AO7" s="137">
        <f t="shared" ref="AO7:AO20" si="28">CC7</f>
        <v>109404</v>
      </c>
      <c r="AP7" s="137">
        <f t="shared" ref="AP7:AP20" si="29">CD7</f>
        <v>51918</v>
      </c>
      <c r="AQ7" s="137">
        <f t="shared" ref="AQ7:AQ20" si="30">CK7</f>
        <v>120436</v>
      </c>
      <c r="AR7" s="137">
        <f t="shared" ref="AR7:AR20" si="31">CI7</f>
        <v>66479</v>
      </c>
      <c r="AS7" s="138">
        <f t="shared" ref="AS7:AS13" si="32">CF7+CG7</f>
        <v>147601</v>
      </c>
      <c r="AT7" s="137">
        <v>20735</v>
      </c>
      <c r="AU7" s="137">
        <v>61785</v>
      </c>
      <c r="AV7" s="137">
        <v>64148</v>
      </c>
      <c r="AW7" s="137">
        <v>64237</v>
      </c>
      <c r="AX7" s="137">
        <v>68682</v>
      </c>
      <c r="AY7" s="137">
        <v>85814</v>
      </c>
      <c r="AZ7" s="137">
        <v>9988</v>
      </c>
      <c r="BA7" s="137">
        <v>109993</v>
      </c>
      <c r="BB7" s="137">
        <v>77676</v>
      </c>
      <c r="BC7" s="137">
        <v>148401</v>
      </c>
      <c r="BD7" s="137">
        <v>130441</v>
      </c>
      <c r="BE7" s="137">
        <v>62712</v>
      </c>
      <c r="BF7" s="139">
        <v>151158</v>
      </c>
      <c r="BG7" s="137">
        <v>14021</v>
      </c>
      <c r="BH7" s="137">
        <v>17346</v>
      </c>
      <c r="BI7" s="137">
        <v>108500</v>
      </c>
      <c r="BJ7" s="137">
        <v>73875</v>
      </c>
      <c r="BK7" s="137">
        <v>10883</v>
      </c>
      <c r="BL7" s="137">
        <v>14496</v>
      </c>
      <c r="BM7" s="137">
        <v>112628</v>
      </c>
      <c r="BN7" s="137">
        <v>106171</v>
      </c>
      <c r="BO7" s="137">
        <v>9800</v>
      </c>
      <c r="BP7" s="137">
        <v>79751</v>
      </c>
      <c r="BQ7" s="137">
        <v>57368</v>
      </c>
      <c r="BR7" s="139">
        <v>87068</v>
      </c>
      <c r="BS7" s="137">
        <v>15306</v>
      </c>
      <c r="BT7" s="137">
        <v>137833</v>
      </c>
      <c r="BU7" s="137">
        <v>67988</v>
      </c>
      <c r="BV7" s="137">
        <v>185085</v>
      </c>
      <c r="BW7" s="137">
        <v>76943</v>
      </c>
      <c r="BX7" s="137">
        <v>102527</v>
      </c>
      <c r="BY7" s="137">
        <v>73435</v>
      </c>
      <c r="BZ7" s="137">
        <v>81798</v>
      </c>
      <c r="CA7" s="137">
        <v>80677</v>
      </c>
      <c r="CB7" s="139">
        <v>113116</v>
      </c>
      <c r="CC7" s="137">
        <v>109404</v>
      </c>
      <c r="CD7" s="137">
        <v>51918</v>
      </c>
      <c r="CE7" s="137">
        <v>91772</v>
      </c>
      <c r="CF7" s="137">
        <v>11869</v>
      </c>
      <c r="CG7" s="141">
        <v>135732</v>
      </c>
      <c r="CH7" s="137">
        <v>140975</v>
      </c>
      <c r="CI7" s="137">
        <v>66479</v>
      </c>
      <c r="CJ7" s="137">
        <v>163183</v>
      </c>
      <c r="CK7" s="138">
        <v>120436</v>
      </c>
      <c r="CL7" s="140">
        <v>3575148</v>
      </c>
      <c r="CM7" s="49"/>
    </row>
    <row r="8" spans="1:91" ht="14.25">
      <c r="A8" s="80">
        <f>ROWS($A$3:A6)</f>
        <v>4</v>
      </c>
      <c r="B8" s="92" t="s">
        <v>242</v>
      </c>
      <c r="C8" s="203"/>
      <c r="D8" s="259" t="s">
        <v>1</v>
      </c>
      <c r="E8" s="435"/>
      <c r="F8" s="116">
        <v>172034</v>
      </c>
      <c r="G8" s="137">
        <v>112780</v>
      </c>
      <c r="H8" s="137">
        <v>112040</v>
      </c>
      <c r="I8" s="138">
        <v>108519</v>
      </c>
      <c r="J8" s="137"/>
      <c r="K8" s="116">
        <f t="shared" si="0"/>
        <v>18967</v>
      </c>
      <c r="L8" s="137">
        <f t="shared" si="1"/>
        <v>14887</v>
      </c>
      <c r="M8" s="137">
        <f t="shared" si="2"/>
        <v>14051</v>
      </c>
      <c r="N8" s="137">
        <f t="shared" si="3"/>
        <v>10508</v>
      </c>
      <c r="O8" s="137">
        <f t="shared" si="4"/>
        <v>7825</v>
      </c>
      <c r="P8" s="137">
        <f t="shared" si="5"/>
        <v>22380</v>
      </c>
      <c r="Q8" s="137">
        <f>'2010'!AU8</f>
        <v>13720</v>
      </c>
      <c r="R8" s="137">
        <f>AT8+AX8</f>
        <v>27158</v>
      </c>
      <c r="S8" s="137">
        <f t="shared" si="6"/>
        <v>15715</v>
      </c>
      <c r="T8" s="137">
        <f t="shared" si="7"/>
        <v>9928</v>
      </c>
      <c r="U8" s="139">
        <f t="shared" si="8"/>
        <v>16895</v>
      </c>
      <c r="V8" s="137">
        <f t="shared" si="9"/>
        <v>12357</v>
      </c>
      <c r="W8" s="137">
        <f t="shared" si="10"/>
        <v>8228</v>
      </c>
      <c r="X8" s="137">
        <f t="shared" si="11"/>
        <v>27238</v>
      </c>
      <c r="Y8" s="137">
        <f t="shared" si="12"/>
        <v>32175</v>
      </c>
      <c r="Z8" s="137">
        <f t="shared" si="13"/>
        <v>11913</v>
      </c>
      <c r="AA8" s="137">
        <f t="shared" si="14"/>
        <v>12100</v>
      </c>
      <c r="AB8" s="139">
        <f t="shared" si="15"/>
        <v>8770</v>
      </c>
      <c r="AC8" s="137">
        <f t="shared" si="16"/>
        <v>11684</v>
      </c>
      <c r="AD8" s="137">
        <f t="shared" si="17"/>
        <v>7360</v>
      </c>
      <c r="AE8" s="137">
        <f t="shared" si="18"/>
        <v>19067</v>
      </c>
      <c r="AF8" s="137">
        <f t="shared" si="19"/>
        <v>10135</v>
      </c>
      <c r="AG8" s="137">
        <f t="shared" si="20"/>
        <v>21550</v>
      </c>
      <c r="AH8" s="137">
        <f t="shared" si="21"/>
        <v>12514</v>
      </c>
      <c r="AI8" s="137">
        <f t="shared" si="22"/>
        <v>9826</v>
      </c>
      <c r="AJ8" s="137">
        <f t="shared" si="23"/>
        <v>8469</v>
      </c>
      <c r="AK8" s="139">
        <f t="shared" si="24"/>
        <v>11435</v>
      </c>
      <c r="AL8" s="137">
        <f t="shared" si="25"/>
        <v>12156</v>
      </c>
      <c r="AM8" s="137">
        <f t="shared" si="26"/>
        <v>15857</v>
      </c>
      <c r="AN8" s="137">
        <f t="shared" si="27"/>
        <v>16806</v>
      </c>
      <c r="AO8" s="137">
        <f t="shared" si="28"/>
        <v>14176</v>
      </c>
      <c r="AP8" s="137">
        <f t="shared" si="29"/>
        <v>9148</v>
      </c>
      <c r="AQ8" s="137">
        <f t="shared" si="30"/>
        <v>11674</v>
      </c>
      <c r="AR8" s="137">
        <f t="shared" si="31"/>
        <v>9664</v>
      </c>
      <c r="AS8" s="138">
        <f t="shared" si="32"/>
        <v>19037</v>
      </c>
      <c r="AT8" s="137">
        <v>10656</v>
      </c>
      <c r="AU8" s="137">
        <v>13720</v>
      </c>
      <c r="AV8" s="137">
        <v>15715</v>
      </c>
      <c r="AW8" s="137">
        <v>10508</v>
      </c>
      <c r="AX8" s="137">
        <v>16502</v>
      </c>
      <c r="AY8" s="137">
        <v>14887</v>
      </c>
      <c r="AZ8" s="137">
        <v>3537</v>
      </c>
      <c r="BA8" s="137">
        <v>18843</v>
      </c>
      <c r="BB8" s="137">
        <v>9928</v>
      </c>
      <c r="BC8" s="137">
        <v>16895</v>
      </c>
      <c r="BD8" s="137">
        <v>14051</v>
      </c>
      <c r="BE8" s="137">
        <v>7825</v>
      </c>
      <c r="BF8" s="139">
        <v>18967</v>
      </c>
      <c r="BG8" s="137">
        <v>2036</v>
      </c>
      <c r="BH8" s="137">
        <v>8034</v>
      </c>
      <c r="BI8" s="137">
        <v>19204</v>
      </c>
      <c r="BJ8" s="137">
        <v>10321</v>
      </c>
      <c r="BK8" s="137">
        <v>3273</v>
      </c>
      <c r="BL8" s="137">
        <v>8417</v>
      </c>
      <c r="BM8" s="137">
        <v>11913</v>
      </c>
      <c r="BN8" s="137">
        <v>20485</v>
      </c>
      <c r="BO8" s="137">
        <v>3005</v>
      </c>
      <c r="BP8" s="137">
        <v>8770</v>
      </c>
      <c r="BQ8" s="137">
        <v>9095</v>
      </c>
      <c r="BR8" s="139">
        <v>8228</v>
      </c>
      <c r="BS8" s="137">
        <v>4861</v>
      </c>
      <c r="BT8" s="137">
        <v>14206</v>
      </c>
      <c r="BU8" s="137">
        <v>7360</v>
      </c>
      <c r="BV8" s="137">
        <v>21550</v>
      </c>
      <c r="BW8" s="137">
        <v>9826</v>
      </c>
      <c r="BX8" s="137">
        <v>11684</v>
      </c>
      <c r="BY8" s="137">
        <v>8469</v>
      </c>
      <c r="BZ8" s="137">
        <v>12514</v>
      </c>
      <c r="CA8" s="137">
        <v>10135</v>
      </c>
      <c r="CB8" s="139">
        <v>11435</v>
      </c>
      <c r="CC8" s="137">
        <v>14176</v>
      </c>
      <c r="CD8" s="137">
        <v>9148</v>
      </c>
      <c r="CE8" s="137">
        <v>12156</v>
      </c>
      <c r="CF8" s="137">
        <v>3771</v>
      </c>
      <c r="CG8" s="141">
        <v>15266</v>
      </c>
      <c r="CH8" s="137">
        <v>15857</v>
      </c>
      <c r="CI8" s="137">
        <v>9664</v>
      </c>
      <c r="CJ8" s="137">
        <v>16806</v>
      </c>
      <c r="CK8" s="138">
        <v>11674</v>
      </c>
      <c r="CL8" s="140">
        <v>505380</v>
      </c>
      <c r="CM8" s="49"/>
    </row>
    <row r="9" spans="1:91">
      <c r="A9" s="80">
        <f>ROWS($A$3:A7)</f>
        <v>5</v>
      </c>
      <c r="B9" s="92" t="s">
        <v>0</v>
      </c>
      <c r="C9" s="203"/>
      <c r="D9" s="259" t="s">
        <v>1</v>
      </c>
      <c r="E9" s="435"/>
      <c r="F9" s="116">
        <v>532839</v>
      </c>
      <c r="G9" s="137">
        <v>253002</v>
      </c>
      <c r="H9" s="137">
        <v>372317</v>
      </c>
      <c r="I9" s="138">
        <v>477234</v>
      </c>
      <c r="J9" s="137"/>
      <c r="K9" s="116">
        <f t="shared" si="0"/>
        <v>71430</v>
      </c>
      <c r="L9" s="137">
        <f t="shared" si="1"/>
        <v>36332</v>
      </c>
      <c r="M9" s="137">
        <f t="shared" si="2"/>
        <v>75457</v>
      </c>
      <c r="N9" s="137">
        <f t="shared" si="3"/>
        <v>32300</v>
      </c>
      <c r="O9" s="137">
        <f t="shared" si="4"/>
        <v>27228</v>
      </c>
      <c r="P9" s="137">
        <f t="shared" si="5"/>
        <v>65920</v>
      </c>
      <c r="Q9" s="137">
        <f>'2010'!AU9</f>
        <v>25858</v>
      </c>
      <c r="R9" s="137">
        <f t="shared" ref="R9:R16" si="33">AT9+AX9</f>
        <v>42861</v>
      </c>
      <c r="S9" s="137">
        <f t="shared" si="6"/>
        <v>28660</v>
      </c>
      <c r="T9" s="137">
        <f t="shared" si="7"/>
        <v>44522</v>
      </c>
      <c r="U9" s="139">
        <f t="shared" si="8"/>
        <v>82270</v>
      </c>
      <c r="V9" s="137">
        <f t="shared" si="9"/>
        <v>25976</v>
      </c>
      <c r="W9" s="137">
        <f t="shared" si="10"/>
        <v>23114</v>
      </c>
      <c r="X9" s="137">
        <f t="shared" si="11"/>
        <v>52752</v>
      </c>
      <c r="Y9" s="137">
        <f t="shared" si="12"/>
        <v>51314</v>
      </c>
      <c r="Z9" s="137">
        <f t="shared" si="13"/>
        <v>51845</v>
      </c>
      <c r="AA9" s="137">
        <f t="shared" si="14"/>
        <v>27142</v>
      </c>
      <c r="AB9" s="139">
        <f t="shared" si="15"/>
        <v>20859</v>
      </c>
      <c r="AC9" s="137">
        <f t="shared" si="16"/>
        <v>42763</v>
      </c>
      <c r="AD9" s="137">
        <f t="shared" si="17"/>
        <v>27627</v>
      </c>
      <c r="AE9" s="137">
        <f t="shared" si="18"/>
        <v>58647</v>
      </c>
      <c r="AF9" s="137">
        <f t="shared" si="19"/>
        <v>27716</v>
      </c>
      <c r="AG9" s="137">
        <f t="shared" si="20"/>
        <v>70761</v>
      </c>
      <c r="AH9" s="137">
        <f t="shared" si="21"/>
        <v>40439</v>
      </c>
      <c r="AI9" s="137">
        <f t="shared" si="22"/>
        <v>32882</v>
      </c>
      <c r="AJ9" s="137">
        <f t="shared" si="23"/>
        <v>27386</v>
      </c>
      <c r="AK9" s="139">
        <f t="shared" si="24"/>
        <v>44097</v>
      </c>
      <c r="AL9" s="137">
        <f t="shared" si="25"/>
        <v>41156</v>
      </c>
      <c r="AM9" s="137">
        <f t="shared" si="26"/>
        <v>82506</v>
      </c>
      <c r="AN9" s="137">
        <f t="shared" si="27"/>
        <v>96550</v>
      </c>
      <c r="AO9" s="137">
        <f t="shared" si="28"/>
        <v>52852</v>
      </c>
      <c r="AP9" s="137">
        <f t="shared" si="29"/>
        <v>23945</v>
      </c>
      <c r="AQ9" s="137">
        <f t="shared" si="30"/>
        <v>59927</v>
      </c>
      <c r="AR9" s="137">
        <f t="shared" si="31"/>
        <v>37105</v>
      </c>
      <c r="AS9" s="138">
        <f t="shared" si="32"/>
        <v>83193</v>
      </c>
      <c r="AT9" s="137">
        <v>4782</v>
      </c>
      <c r="AU9" s="137">
        <v>25858</v>
      </c>
      <c r="AV9" s="137">
        <v>28660</v>
      </c>
      <c r="AW9" s="137">
        <v>32300</v>
      </c>
      <c r="AX9" s="137">
        <v>38079</v>
      </c>
      <c r="AY9" s="137">
        <v>36332</v>
      </c>
      <c r="AZ9" s="137">
        <v>4752</v>
      </c>
      <c r="BA9" s="137">
        <v>61168</v>
      </c>
      <c r="BB9" s="137">
        <v>44522</v>
      </c>
      <c r="BC9" s="137">
        <v>82270</v>
      </c>
      <c r="BD9" s="137">
        <v>75457</v>
      </c>
      <c r="BE9" s="137">
        <v>27228</v>
      </c>
      <c r="BF9" s="139">
        <v>71430</v>
      </c>
      <c r="BG9" s="137">
        <v>3142</v>
      </c>
      <c r="BH9" s="137">
        <v>3966</v>
      </c>
      <c r="BI9" s="137">
        <v>48786</v>
      </c>
      <c r="BJ9" s="137">
        <v>22834</v>
      </c>
      <c r="BK9" s="137">
        <v>2875</v>
      </c>
      <c r="BL9" s="137">
        <v>3466</v>
      </c>
      <c r="BM9" s="137">
        <v>51845</v>
      </c>
      <c r="BN9" s="137">
        <v>44973</v>
      </c>
      <c r="BO9" s="137">
        <v>1672</v>
      </c>
      <c r="BP9" s="137">
        <v>20859</v>
      </c>
      <c r="BQ9" s="137">
        <v>25470</v>
      </c>
      <c r="BR9" s="139">
        <v>23114</v>
      </c>
      <c r="BS9" s="137">
        <v>3671</v>
      </c>
      <c r="BT9" s="137">
        <v>54976</v>
      </c>
      <c r="BU9" s="137">
        <v>27627</v>
      </c>
      <c r="BV9" s="137">
        <v>70761</v>
      </c>
      <c r="BW9" s="137">
        <v>32882</v>
      </c>
      <c r="BX9" s="137">
        <v>42763</v>
      </c>
      <c r="BY9" s="137">
        <v>27386</v>
      </c>
      <c r="BZ9" s="137">
        <v>40439</v>
      </c>
      <c r="CA9" s="137">
        <v>27716</v>
      </c>
      <c r="CB9" s="139">
        <v>44097</v>
      </c>
      <c r="CC9" s="137">
        <v>52852</v>
      </c>
      <c r="CD9" s="137">
        <v>23945</v>
      </c>
      <c r="CE9" s="137">
        <v>41156</v>
      </c>
      <c r="CF9" s="137">
        <v>5302</v>
      </c>
      <c r="CG9" s="141">
        <v>77891</v>
      </c>
      <c r="CH9" s="137">
        <v>82506</v>
      </c>
      <c r="CI9" s="137">
        <v>37105</v>
      </c>
      <c r="CJ9" s="137">
        <v>96550</v>
      </c>
      <c r="CK9" s="138">
        <v>59927</v>
      </c>
      <c r="CL9" s="140">
        <v>1635605</v>
      </c>
      <c r="CM9" s="49"/>
    </row>
    <row r="10" spans="1:91">
      <c r="A10" s="80">
        <f>ROWS($A$3:A8)</f>
        <v>6</v>
      </c>
      <c r="B10" s="92" t="s">
        <v>202</v>
      </c>
      <c r="C10" s="203"/>
      <c r="D10" s="259" t="s">
        <v>1</v>
      </c>
      <c r="E10" s="435"/>
      <c r="F10" s="116">
        <v>334795</v>
      </c>
      <c r="G10" s="137">
        <v>309951</v>
      </c>
      <c r="H10" s="137">
        <v>432156</v>
      </c>
      <c r="I10" s="138">
        <v>291374</v>
      </c>
      <c r="J10" s="137"/>
      <c r="K10" s="116">
        <f t="shared" si="0"/>
        <v>59123</v>
      </c>
      <c r="L10" s="137">
        <f t="shared" si="1"/>
        <v>33663</v>
      </c>
      <c r="M10" s="137">
        <f t="shared" si="2"/>
        <v>38605</v>
      </c>
      <c r="N10" s="137">
        <f t="shared" si="3"/>
        <v>20645</v>
      </c>
      <c r="O10" s="137">
        <f t="shared" si="4"/>
        <v>26973</v>
      </c>
      <c r="P10" s="137">
        <f t="shared" si="5"/>
        <v>29538</v>
      </c>
      <c r="Q10" s="137">
        <f>'2010'!AU10</f>
        <v>21392</v>
      </c>
      <c r="R10" s="137">
        <f t="shared" si="33"/>
        <v>17465</v>
      </c>
      <c r="S10" s="137">
        <f t="shared" si="6"/>
        <v>18683</v>
      </c>
      <c r="T10" s="137">
        <f t="shared" si="7"/>
        <v>21781</v>
      </c>
      <c r="U10" s="139">
        <f t="shared" si="8"/>
        <v>46926</v>
      </c>
      <c r="V10" s="137">
        <f t="shared" si="9"/>
        <v>46159</v>
      </c>
      <c r="W10" s="137">
        <f t="shared" si="10"/>
        <v>54621</v>
      </c>
      <c r="X10" s="137">
        <f t="shared" si="11"/>
        <v>41290</v>
      </c>
      <c r="Y10" s="137">
        <f t="shared" si="12"/>
        <v>44169</v>
      </c>
      <c r="Z10" s="137">
        <f t="shared" si="13"/>
        <v>47415</v>
      </c>
      <c r="AA10" s="137">
        <f t="shared" si="14"/>
        <v>27010</v>
      </c>
      <c r="AB10" s="139">
        <f t="shared" si="15"/>
        <v>49287</v>
      </c>
      <c r="AC10" s="137">
        <f t="shared" si="16"/>
        <v>46916</v>
      </c>
      <c r="AD10" s="137">
        <f t="shared" si="17"/>
        <v>31159</v>
      </c>
      <c r="AE10" s="137">
        <f t="shared" si="18"/>
        <v>71997</v>
      </c>
      <c r="AF10" s="137">
        <f t="shared" si="19"/>
        <v>41624</v>
      </c>
      <c r="AG10" s="137">
        <f t="shared" si="20"/>
        <v>87484</v>
      </c>
      <c r="AH10" s="137">
        <f t="shared" si="21"/>
        <v>27327</v>
      </c>
      <c r="AI10" s="137">
        <f t="shared" si="22"/>
        <v>33095</v>
      </c>
      <c r="AJ10" s="137">
        <f t="shared" si="23"/>
        <v>36727</v>
      </c>
      <c r="AK10" s="139">
        <f t="shared" si="24"/>
        <v>55826</v>
      </c>
      <c r="AL10" s="137">
        <f t="shared" si="25"/>
        <v>37310</v>
      </c>
      <c r="AM10" s="137">
        <f t="shared" si="26"/>
        <v>40116</v>
      </c>
      <c r="AN10" s="137">
        <f t="shared" si="27"/>
        <v>46892</v>
      </c>
      <c r="AO10" s="137">
        <f t="shared" si="28"/>
        <v>41289</v>
      </c>
      <c r="AP10" s="137">
        <f t="shared" si="29"/>
        <v>17987</v>
      </c>
      <c r="AQ10" s="137">
        <f t="shared" si="30"/>
        <v>46644</v>
      </c>
      <c r="AR10" s="137">
        <f t="shared" si="31"/>
        <v>18634</v>
      </c>
      <c r="AS10" s="138">
        <f t="shared" si="32"/>
        <v>42503</v>
      </c>
      <c r="AT10" s="141">
        <v>4967</v>
      </c>
      <c r="AU10" s="137">
        <v>21392</v>
      </c>
      <c r="AV10" s="137">
        <v>18683</v>
      </c>
      <c r="AW10" s="137">
        <v>20645</v>
      </c>
      <c r="AX10" s="137">
        <v>12498</v>
      </c>
      <c r="AY10" s="137">
        <v>33663</v>
      </c>
      <c r="AZ10" s="137">
        <v>1420</v>
      </c>
      <c r="BA10" s="137">
        <v>28118</v>
      </c>
      <c r="BB10" s="137">
        <v>21781</v>
      </c>
      <c r="BC10" s="137">
        <v>46926</v>
      </c>
      <c r="BD10" s="137">
        <v>38605</v>
      </c>
      <c r="BE10" s="137">
        <v>26973</v>
      </c>
      <c r="BF10" s="139">
        <v>59123</v>
      </c>
      <c r="BG10" s="137">
        <v>8620</v>
      </c>
      <c r="BH10" s="137">
        <v>4520</v>
      </c>
      <c r="BI10" s="137">
        <v>36770</v>
      </c>
      <c r="BJ10" s="137">
        <v>37539</v>
      </c>
      <c r="BK10" s="137">
        <v>4429</v>
      </c>
      <c r="BL10" s="137">
        <v>1812</v>
      </c>
      <c r="BM10" s="137">
        <v>47415</v>
      </c>
      <c r="BN10" s="137">
        <v>37928</v>
      </c>
      <c r="BO10" s="137">
        <v>5027</v>
      </c>
      <c r="BP10" s="137">
        <v>49287</v>
      </c>
      <c r="BQ10" s="137">
        <v>21983</v>
      </c>
      <c r="BR10" s="139">
        <v>54621</v>
      </c>
      <c r="BS10" s="137">
        <v>6501</v>
      </c>
      <c r="BT10" s="137">
        <v>65496</v>
      </c>
      <c r="BU10" s="137">
        <v>31159</v>
      </c>
      <c r="BV10" s="137">
        <v>87484</v>
      </c>
      <c r="BW10" s="137">
        <v>33095</v>
      </c>
      <c r="BX10" s="137">
        <v>46916</v>
      </c>
      <c r="BY10" s="137">
        <v>36727</v>
      </c>
      <c r="BZ10" s="137">
        <v>27327</v>
      </c>
      <c r="CA10" s="137">
        <v>41624</v>
      </c>
      <c r="CB10" s="139">
        <v>55826</v>
      </c>
      <c r="CC10" s="137">
        <v>41289</v>
      </c>
      <c r="CD10" s="137">
        <v>17987</v>
      </c>
      <c r="CE10" s="137">
        <v>37310</v>
      </c>
      <c r="CF10" s="137">
        <v>2275</v>
      </c>
      <c r="CG10" s="141">
        <v>40228</v>
      </c>
      <c r="CH10" s="137">
        <v>40116</v>
      </c>
      <c r="CI10" s="137">
        <v>18634</v>
      </c>
      <c r="CJ10" s="137">
        <v>46892</v>
      </c>
      <c r="CK10" s="138">
        <v>46644</v>
      </c>
      <c r="CL10" s="140">
        <v>1368800</v>
      </c>
      <c r="CM10" s="49"/>
    </row>
    <row r="11" spans="1:91">
      <c r="A11" s="80">
        <f>ROWS($A$3:A9)</f>
        <v>7</v>
      </c>
      <c r="B11" s="92" t="s">
        <v>2</v>
      </c>
      <c r="C11" s="203"/>
      <c r="D11" s="259" t="s">
        <v>1</v>
      </c>
      <c r="E11" s="435"/>
      <c r="F11" s="116">
        <v>8904</v>
      </c>
      <c r="G11" s="137">
        <v>10099</v>
      </c>
      <c r="H11" s="137">
        <v>11395</v>
      </c>
      <c r="I11" s="138">
        <v>7932</v>
      </c>
      <c r="J11" s="137"/>
      <c r="K11" s="116">
        <f t="shared" si="0"/>
        <v>1122</v>
      </c>
      <c r="L11" s="137">
        <f t="shared" si="1"/>
        <v>523</v>
      </c>
      <c r="M11" s="137">
        <f t="shared" si="2"/>
        <v>1051</v>
      </c>
      <c r="N11" s="137">
        <f t="shared" si="3"/>
        <v>309</v>
      </c>
      <c r="O11" s="137">
        <f t="shared" si="4"/>
        <v>255</v>
      </c>
      <c r="P11" s="137">
        <f t="shared" si="5"/>
        <v>1445</v>
      </c>
      <c r="Q11" s="137">
        <f>'2010'!AU11</f>
        <v>250</v>
      </c>
      <c r="R11" s="137">
        <f t="shared" si="33"/>
        <v>1175</v>
      </c>
      <c r="S11" s="137">
        <f t="shared" si="6"/>
        <v>615</v>
      </c>
      <c r="T11" s="137">
        <f t="shared" si="7"/>
        <v>812</v>
      </c>
      <c r="U11" s="139">
        <f t="shared" si="8"/>
        <v>1347</v>
      </c>
      <c r="V11" s="137">
        <f t="shared" si="9"/>
        <v>2311</v>
      </c>
      <c r="W11" s="137">
        <f t="shared" si="10"/>
        <v>508</v>
      </c>
      <c r="X11" s="137">
        <f t="shared" si="11"/>
        <v>3117</v>
      </c>
      <c r="Y11" s="137">
        <f t="shared" si="12"/>
        <v>2691</v>
      </c>
      <c r="Z11" s="137">
        <f t="shared" si="13"/>
        <v>753</v>
      </c>
      <c r="AA11" s="137">
        <f t="shared" si="14"/>
        <v>401</v>
      </c>
      <c r="AB11" s="139">
        <f t="shared" si="15"/>
        <v>319</v>
      </c>
      <c r="AC11" s="137">
        <f t="shared" si="16"/>
        <v>658</v>
      </c>
      <c r="AD11" s="137">
        <f t="shared" si="17"/>
        <v>928</v>
      </c>
      <c r="AE11" s="137">
        <f t="shared" si="18"/>
        <v>2227</v>
      </c>
      <c r="AF11" s="137">
        <f t="shared" si="19"/>
        <v>919</v>
      </c>
      <c r="AG11" s="137">
        <f t="shared" si="20"/>
        <v>3471</v>
      </c>
      <c r="AH11" s="137">
        <f t="shared" si="21"/>
        <v>972</v>
      </c>
      <c r="AI11" s="137">
        <f t="shared" si="22"/>
        <v>453</v>
      </c>
      <c r="AJ11" s="137">
        <f t="shared" si="23"/>
        <v>349</v>
      </c>
      <c r="AK11" s="139">
        <f t="shared" si="24"/>
        <v>1417</v>
      </c>
      <c r="AL11" s="137">
        <f t="shared" si="25"/>
        <v>365</v>
      </c>
      <c r="AM11" s="137">
        <f t="shared" si="26"/>
        <v>1517</v>
      </c>
      <c r="AN11" s="137">
        <f t="shared" si="27"/>
        <v>2182</v>
      </c>
      <c r="AO11" s="137">
        <f t="shared" si="28"/>
        <v>268</v>
      </c>
      <c r="AP11" s="137">
        <f t="shared" si="29"/>
        <v>476</v>
      </c>
      <c r="AQ11" s="137">
        <f t="shared" si="30"/>
        <v>1138</v>
      </c>
      <c r="AR11" s="137">
        <f t="shared" si="31"/>
        <v>709</v>
      </c>
      <c r="AS11" s="138">
        <f t="shared" si="32"/>
        <v>1278</v>
      </c>
      <c r="AT11" s="141">
        <v>270</v>
      </c>
      <c r="AU11" s="137">
        <v>250</v>
      </c>
      <c r="AV11" s="137">
        <v>615</v>
      </c>
      <c r="AW11" s="137">
        <v>309</v>
      </c>
      <c r="AX11" s="137">
        <v>905</v>
      </c>
      <c r="AY11" s="137">
        <v>523</v>
      </c>
      <c r="AZ11" s="137">
        <v>217</v>
      </c>
      <c r="BA11" s="137">
        <v>1228</v>
      </c>
      <c r="BB11" s="137">
        <v>812</v>
      </c>
      <c r="BC11" s="137">
        <v>1347</v>
      </c>
      <c r="BD11" s="137">
        <v>1051</v>
      </c>
      <c r="BE11" s="137">
        <v>255</v>
      </c>
      <c r="BF11" s="139">
        <v>1122</v>
      </c>
      <c r="BG11" s="137">
        <v>82</v>
      </c>
      <c r="BH11" s="137">
        <v>707</v>
      </c>
      <c r="BI11" s="137">
        <v>2410</v>
      </c>
      <c r="BJ11" s="137">
        <v>2229</v>
      </c>
      <c r="BK11" s="137">
        <v>252</v>
      </c>
      <c r="BL11" s="137">
        <v>761</v>
      </c>
      <c r="BM11" s="137">
        <v>753</v>
      </c>
      <c r="BN11" s="137">
        <v>1678</v>
      </c>
      <c r="BO11" s="137">
        <v>73</v>
      </c>
      <c r="BP11" s="137">
        <v>319</v>
      </c>
      <c r="BQ11" s="137">
        <v>328</v>
      </c>
      <c r="BR11" s="139">
        <v>508</v>
      </c>
      <c r="BS11" s="137">
        <v>207</v>
      </c>
      <c r="BT11" s="137">
        <v>2020</v>
      </c>
      <c r="BU11" s="137">
        <v>928</v>
      </c>
      <c r="BV11" s="137">
        <v>3471</v>
      </c>
      <c r="BW11" s="137">
        <v>453</v>
      </c>
      <c r="BX11" s="137">
        <v>658</v>
      </c>
      <c r="BY11" s="137">
        <v>349</v>
      </c>
      <c r="BZ11" s="137">
        <v>972</v>
      </c>
      <c r="CA11" s="137">
        <v>919</v>
      </c>
      <c r="CB11" s="139">
        <v>1417</v>
      </c>
      <c r="CC11" s="137">
        <v>268</v>
      </c>
      <c r="CD11" s="137">
        <v>476</v>
      </c>
      <c r="CE11" s="137">
        <v>365</v>
      </c>
      <c r="CF11" s="137">
        <v>156</v>
      </c>
      <c r="CG11" s="141">
        <v>1122</v>
      </c>
      <c r="CH11" s="137">
        <v>1517</v>
      </c>
      <c r="CI11" s="137">
        <v>709</v>
      </c>
      <c r="CJ11" s="137">
        <v>2182</v>
      </c>
      <c r="CK11" s="138">
        <v>1138</v>
      </c>
      <c r="CL11" s="140">
        <v>38568</v>
      </c>
      <c r="CM11" s="49"/>
    </row>
    <row r="12" spans="1:91">
      <c r="A12" s="80">
        <f>ROWS($A$3:A10)</f>
        <v>8</v>
      </c>
      <c r="B12" s="92" t="s">
        <v>203</v>
      </c>
      <c r="C12" s="203"/>
      <c r="D12" s="259" t="s">
        <v>1</v>
      </c>
      <c r="E12" s="435"/>
      <c r="F12" s="116">
        <v>7197</v>
      </c>
      <c r="G12" s="137">
        <v>6076</v>
      </c>
      <c r="H12" s="137">
        <v>6800</v>
      </c>
      <c r="I12" s="138">
        <v>6709</v>
      </c>
      <c r="J12" s="137"/>
      <c r="K12" s="116">
        <f t="shared" si="0"/>
        <v>516</v>
      </c>
      <c r="L12" s="137">
        <f t="shared" si="1"/>
        <v>409</v>
      </c>
      <c r="M12" s="137">
        <f t="shared" si="2"/>
        <v>1277</v>
      </c>
      <c r="N12" s="137">
        <f t="shared" si="3"/>
        <v>474</v>
      </c>
      <c r="O12" s="137">
        <f t="shared" si="4"/>
        <v>431</v>
      </c>
      <c r="P12" s="137">
        <f t="shared" si="5"/>
        <v>698</v>
      </c>
      <c r="Q12" s="137">
        <f>'2010'!AU12</f>
        <v>564</v>
      </c>
      <c r="R12" s="137">
        <f t="shared" si="33"/>
        <v>756</v>
      </c>
      <c r="S12" s="137">
        <f t="shared" si="6"/>
        <v>475</v>
      </c>
      <c r="T12" s="137">
        <f t="shared" si="7"/>
        <v>633</v>
      </c>
      <c r="U12" s="139">
        <f t="shared" si="8"/>
        <v>962</v>
      </c>
      <c r="V12" s="137">
        <f t="shared" si="9"/>
        <v>1093</v>
      </c>
      <c r="W12" s="137">
        <f t="shared" si="10"/>
        <v>596</v>
      </c>
      <c r="X12" s="137">
        <f t="shared" si="11"/>
        <v>1451</v>
      </c>
      <c r="Y12" s="137">
        <f t="shared" si="12"/>
        <v>1202</v>
      </c>
      <c r="Z12" s="137">
        <f t="shared" si="13"/>
        <v>703</v>
      </c>
      <c r="AA12" s="137">
        <f t="shared" si="14"/>
        <v>515</v>
      </c>
      <c r="AB12" s="139">
        <f t="shared" si="15"/>
        <v>516</v>
      </c>
      <c r="AC12" s="137">
        <f t="shared" si="16"/>
        <v>506</v>
      </c>
      <c r="AD12" s="137">
        <f t="shared" si="17"/>
        <v>915</v>
      </c>
      <c r="AE12" s="137">
        <f t="shared" si="18"/>
        <v>1200</v>
      </c>
      <c r="AF12" s="137">
        <f t="shared" si="19"/>
        <v>283</v>
      </c>
      <c r="AG12" s="137">
        <f t="shared" si="20"/>
        <v>1819</v>
      </c>
      <c r="AH12" s="137">
        <f t="shared" si="21"/>
        <v>546</v>
      </c>
      <c r="AI12" s="137">
        <f t="shared" si="22"/>
        <v>686</v>
      </c>
      <c r="AJ12" s="137">
        <f t="shared" si="23"/>
        <v>504</v>
      </c>
      <c r="AK12" s="139">
        <f t="shared" si="24"/>
        <v>341</v>
      </c>
      <c r="AL12" s="137">
        <f t="shared" si="25"/>
        <v>784</v>
      </c>
      <c r="AM12" s="137">
        <f t="shared" si="26"/>
        <v>978</v>
      </c>
      <c r="AN12" s="137">
        <f t="shared" si="27"/>
        <v>753</v>
      </c>
      <c r="AO12" s="137">
        <f t="shared" si="28"/>
        <v>820</v>
      </c>
      <c r="AP12" s="137">
        <f t="shared" si="29"/>
        <v>363</v>
      </c>
      <c r="AQ12" s="137">
        <f t="shared" si="30"/>
        <v>1053</v>
      </c>
      <c r="AR12" s="137">
        <f t="shared" si="31"/>
        <v>367</v>
      </c>
      <c r="AS12" s="138">
        <f t="shared" si="32"/>
        <v>1591</v>
      </c>
      <c r="AT12" s="141">
        <v>59</v>
      </c>
      <c r="AU12" s="137">
        <v>564</v>
      </c>
      <c r="AV12" s="137">
        <v>475</v>
      </c>
      <c r="AW12" s="137">
        <v>474</v>
      </c>
      <c r="AX12" s="137">
        <v>697</v>
      </c>
      <c r="AY12" s="137">
        <v>409</v>
      </c>
      <c r="AZ12" s="137">
        <v>61</v>
      </c>
      <c r="BA12" s="137">
        <v>637</v>
      </c>
      <c r="BB12" s="137">
        <v>633</v>
      </c>
      <c r="BC12" s="137">
        <v>962</v>
      </c>
      <c r="BD12" s="137">
        <v>1277</v>
      </c>
      <c r="BE12" s="137">
        <v>431</v>
      </c>
      <c r="BF12" s="139">
        <v>516</v>
      </c>
      <c r="BG12" s="137">
        <v>141</v>
      </c>
      <c r="BH12" s="137">
        <v>120</v>
      </c>
      <c r="BI12" s="137">
        <v>1331</v>
      </c>
      <c r="BJ12" s="137">
        <v>952</v>
      </c>
      <c r="BK12" s="137">
        <v>54</v>
      </c>
      <c r="BL12" s="137">
        <v>40</v>
      </c>
      <c r="BM12" s="137">
        <v>703</v>
      </c>
      <c r="BN12" s="137">
        <v>1108</v>
      </c>
      <c r="BO12" s="137">
        <v>23</v>
      </c>
      <c r="BP12" s="137">
        <v>516</v>
      </c>
      <c r="BQ12" s="137">
        <v>492</v>
      </c>
      <c r="BR12" s="139">
        <v>596</v>
      </c>
      <c r="BS12" s="137">
        <v>65</v>
      </c>
      <c r="BT12" s="137">
        <v>1135</v>
      </c>
      <c r="BU12" s="137">
        <v>915</v>
      </c>
      <c r="BV12" s="137">
        <v>1819</v>
      </c>
      <c r="BW12" s="137">
        <v>686</v>
      </c>
      <c r="BX12" s="137">
        <v>506</v>
      </c>
      <c r="BY12" s="137">
        <v>504</v>
      </c>
      <c r="BZ12" s="137">
        <v>546</v>
      </c>
      <c r="CA12" s="137">
        <v>283</v>
      </c>
      <c r="CB12" s="139">
        <v>341</v>
      </c>
      <c r="CC12" s="137">
        <v>820</v>
      </c>
      <c r="CD12" s="137">
        <v>363</v>
      </c>
      <c r="CE12" s="137">
        <v>784</v>
      </c>
      <c r="CF12" s="137">
        <v>365</v>
      </c>
      <c r="CG12" s="141">
        <v>1226</v>
      </c>
      <c r="CH12" s="137">
        <v>978</v>
      </c>
      <c r="CI12" s="137">
        <v>367</v>
      </c>
      <c r="CJ12" s="137">
        <v>753</v>
      </c>
      <c r="CK12" s="138">
        <v>1053</v>
      </c>
      <c r="CL12" s="140">
        <v>26794</v>
      </c>
      <c r="CM12" s="49"/>
    </row>
    <row r="13" spans="1:91">
      <c r="A13" s="80">
        <f>ROWS($A$3:A11)</f>
        <v>9</v>
      </c>
      <c r="B13" s="92" t="s">
        <v>65</v>
      </c>
      <c r="C13" s="202">
        <v>2010</v>
      </c>
      <c r="D13" s="259" t="s">
        <v>11</v>
      </c>
      <c r="E13" s="437">
        <v>40739</v>
      </c>
      <c r="F13" s="116">
        <f>SUM(AT13:BF13)</f>
        <v>4002571</v>
      </c>
      <c r="G13" s="137">
        <f>SUM(BG13:BR13)</f>
        <v>2744226</v>
      </c>
      <c r="H13" s="137">
        <f>SUM(BS13:CB13)</f>
        <v>2199125</v>
      </c>
      <c r="I13" s="138">
        <f>SUM(CC13:CK13)</f>
        <v>1807958</v>
      </c>
      <c r="J13" s="141"/>
      <c r="K13" s="116">
        <f t="shared" si="0"/>
        <v>310733</v>
      </c>
      <c r="L13" s="137">
        <f t="shared" si="1"/>
        <v>415448</v>
      </c>
      <c r="M13" s="137">
        <f t="shared" si="2"/>
        <v>133351</v>
      </c>
      <c r="N13" s="137">
        <f t="shared" si="3"/>
        <v>252548</v>
      </c>
      <c r="O13" s="137">
        <f t="shared" si="4"/>
        <v>131116</v>
      </c>
      <c r="P13" s="137">
        <f t="shared" si="5"/>
        <v>451243</v>
      </c>
      <c r="Q13" s="137">
        <f>'2010'!AU13</f>
        <v>371396</v>
      </c>
      <c r="R13" s="137">
        <f t="shared" si="33"/>
        <v>1124573</v>
      </c>
      <c r="S13" s="137">
        <f t="shared" si="6"/>
        <v>514830</v>
      </c>
      <c r="T13" s="137">
        <f t="shared" si="7"/>
        <v>108913</v>
      </c>
      <c r="U13" s="139">
        <f t="shared" si="8"/>
        <v>188420</v>
      </c>
      <c r="V13" s="137">
        <f t="shared" si="9"/>
        <v>281234</v>
      </c>
      <c r="W13" s="137">
        <f t="shared" si="10"/>
        <v>119878</v>
      </c>
      <c r="X13" s="137">
        <f t="shared" si="11"/>
        <v>727032</v>
      </c>
      <c r="Y13" s="137">
        <f t="shared" si="12"/>
        <v>998111</v>
      </c>
      <c r="Z13" s="137">
        <f t="shared" si="13"/>
        <v>147006</v>
      </c>
      <c r="AA13" s="137">
        <f t="shared" si="14"/>
        <v>313694</v>
      </c>
      <c r="AB13" s="139">
        <f t="shared" si="15"/>
        <v>157271</v>
      </c>
      <c r="AC13" s="137">
        <f t="shared" si="16"/>
        <v>206535</v>
      </c>
      <c r="AD13" s="137">
        <f t="shared" si="17"/>
        <v>158342</v>
      </c>
      <c r="AE13" s="137">
        <f t="shared" si="18"/>
        <v>475457</v>
      </c>
      <c r="AF13" s="137">
        <f t="shared" si="19"/>
        <v>222650</v>
      </c>
      <c r="AG13" s="137">
        <f t="shared" si="20"/>
        <v>417513</v>
      </c>
      <c r="AH13" s="137">
        <f t="shared" si="21"/>
        <v>278983</v>
      </c>
      <c r="AI13" s="137">
        <f t="shared" si="22"/>
        <v>139316</v>
      </c>
      <c r="AJ13" s="137">
        <f t="shared" si="23"/>
        <v>134189</v>
      </c>
      <c r="AK13" s="139">
        <f t="shared" si="24"/>
        <v>166140</v>
      </c>
      <c r="AL13" s="137">
        <f t="shared" si="25"/>
        <v>188393</v>
      </c>
      <c r="AM13" s="137">
        <f t="shared" si="26"/>
        <v>189312</v>
      </c>
      <c r="AN13" s="137">
        <f t="shared" si="27"/>
        <v>276965</v>
      </c>
      <c r="AO13" s="137">
        <f t="shared" si="28"/>
        <v>280931</v>
      </c>
      <c r="AP13" s="137">
        <f t="shared" si="29"/>
        <v>221304</v>
      </c>
      <c r="AQ13" s="137">
        <f t="shared" si="30"/>
        <v>130215</v>
      </c>
      <c r="AR13" s="137">
        <f t="shared" si="31"/>
        <v>208367</v>
      </c>
      <c r="AS13" s="138">
        <f t="shared" si="32"/>
        <v>312471</v>
      </c>
      <c r="AT13" s="141">
        <v>606588</v>
      </c>
      <c r="AU13" s="141">
        <v>371396</v>
      </c>
      <c r="AV13" s="141">
        <v>514830</v>
      </c>
      <c r="AW13" s="141">
        <v>252548</v>
      </c>
      <c r="AX13" s="141">
        <v>517985</v>
      </c>
      <c r="AY13" s="137">
        <v>415448</v>
      </c>
      <c r="AZ13" s="137">
        <v>122879</v>
      </c>
      <c r="BA13" s="137">
        <v>328364</v>
      </c>
      <c r="BB13" s="137">
        <v>108913</v>
      </c>
      <c r="BC13" s="137">
        <v>188420</v>
      </c>
      <c r="BD13" s="137">
        <v>133351</v>
      </c>
      <c r="BE13" s="137">
        <v>131116</v>
      </c>
      <c r="BF13" s="139">
        <v>310733</v>
      </c>
      <c r="BG13" s="137">
        <v>54445</v>
      </c>
      <c r="BH13" s="137">
        <v>294761</v>
      </c>
      <c r="BI13" s="137">
        <v>432271</v>
      </c>
      <c r="BJ13" s="137">
        <v>226789</v>
      </c>
      <c r="BK13" s="137">
        <v>147312</v>
      </c>
      <c r="BL13" s="137">
        <v>313174</v>
      </c>
      <c r="BM13" s="137">
        <v>147006</v>
      </c>
      <c r="BN13" s="137">
        <v>537625</v>
      </c>
      <c r="BO13" s="137">
        <v>119781</v>
      </c>
      <c r="BP13" s="137">
        <v>157271</v>
      </c>
      <c r="BQ13" s="137">
        <v>193913</v>
      </c>
      <c r="BR13" s="139">
        <v>119878</v>
      </c>
      <c r="BS13" s="137">
        <v>224191</v>
      </c>
      <c r="BT13" s="137">
        <v>251266</v>
      </c>
      <c r="BU13" s="137">
        <v>158342</v>
      </c>
      <c r="BV13" s="137">
        <v>417513</v>
      </c>
      <c r="BW13" s="137">
        <v>139316</v>
      </c>
      <c r="BX13" s="137">
        <v>206535</v>
      </c>
      <c r="BY13" s="137">
        <v>134189</v>
      </c>
      <c r="BZ13" s="137">
        <v>278983</v>
      </c>
      <c r="CA13" s="137">
        <v>222650</v>
      </c>
      <c r="CB13" s="139">
        <v>166140</v>
      </c>
      <c r="CC13" s="137">
        <v>280931</v>
      </c>
      <c r="CD13" s="137">
        <v>221304</v>
      </c>
      <c r="CE13" s="137">
        <v>188393</v>
      </c>
      <c r="CF13" s="137">
        <v>122801</v>
      </c>
      <c r="CG13" s="137">
        <v>189670</v>
      </c>
      <c r="CH13" s="137">
        <v>189312</v>
      </c>
      <c r="CI13" s="137">
        <v>208367</v>
      </c>
      <c r="CJ13" s="137">
        <v>276965</v>
      </c>
      <c r="CK13" s="138">
        <v>130215</v>
      </c>
      <c r="CL13" s="140">
        <v>10753880</v>
      </c>
      <c r="CM13" s="49"/>
    </row>
    <row r="14" spans="1:91">
      <c r="A14" s="80">
        <f>ROWS($A$3:A12)</f>
        <v>10</v>
      </c>
      <c r="B14" s="54" t="s">
        <v>61</v>
      </c>
      <c r="C14" s="252"/>
      <c r="D14" s="259" t="s">
        <v>12</v>
      </c>
      <c r="E14" s="435"/>
      <c r="F14" s="142">
        <f>F13/F7*100</f>
        <v>379.11391685689119</v>
      </c>
      <c r="G14" s="143">
        <f>G13/G7*100</f>
        <v>396.61718031877069</v>
      </c>
      <c r="H14" s="143">
        <f>H13/H7*100</f>
        <v>235.27401070708711</v>
      </c>
      <c r="I14" s="144">
        <f>I13/I7*100</f>
        <v>202.73883200432402</v>
      </c>
      <c r="J14" s="141"/>
      <c r="K14" s="145">
        <f t="shared" si="0"/>
        <v>205.56834570449465</v>
      </c>
      <c r="L14" s="146">
        <f t="shared" si="1"/>
        <v>484.12613326496842</v>
      </c>
      <c r="M14" s="146">
        <f t="shared" si="2"/>
        <v>102.2308936607355</v>
      </c>
      <c r="N14" s="146">
        <f t="shared" si="3"/>
        <v>393.15036505440787</v>
      </c>
      <c r="O14" s="146">
        <f t="shared" si="4"/>
        <v>209.0764128077561</v>
      </c>
      <c r="P14" s="143">
        <f>P13/P7*100</f>
        <v>376.09538176878004</v>
      </c>
      <c r="Q14" s="146">
        <f>'2010'!AU14</f>
        <v>601.11030185320067</v>
      </c>
      <c r="R14" s="143">
        <f>R13/R7*100</f>
        <v>1257.6724783877787</v>
      </c>
      <c r="S14" s="146">
        <f t="shared" si="6"/>
        <v>802.56594126083428</v>
      </c>
      <c r="T14" s="146">
        <f t="shared" si="7"/>
        <v>140.21448066326795</v>
      </c>
      <c r="U14" s="147">
        <f t="shared" si="8"/>
        <v>126.96679941509828</v>
      </c>
      <c r="V14" s="143">
        <f>V13/V7*100</f>
        <v>319.96222808774007</v>
      </c>
      <c r="W14" s="146">
        <f t="shared" si="10"/>
        <v>137.6831901502274</v>
      </c>
      <c r="X14" s="143">
        <f>X13/X7*100</f>
        <v>577.71562067924287</v>
      </c>
      <c r="Y14" s="143">
        <f>Y13/Y7*100</f>
        <v>758.73128088179396</v>
      </c>
      <c r="Z14" s="146">
        <f t="shared" si="13"/>
        <v>130.52349326987959</v>
      </c>
      <c r="AA14" s="143">
        <f>AA13/AA7*100</f>
        <v>467.02894235350163</v>
      </c>
      <c r="AB14" s="147">
        <f t="shared" si="15"/>
        <v>197.20254291482237</v>
      </c>
      <c r="AC14" s="146">
        <f t="shared" si="16"/>
        <v>201.44449754698761</v>
      </c>
      <c r="AD14" s="146">
        <f t="shared" si="17"/>
        <v>232.8969818203212</v>
      </c>
      <c r="AE14" s="143">
        <f>AE13/AE7*100</f>
        <v>310.47414440475649</v>
      </c>
      <c r="AF14" s="146">
        <f t="shared" si="19"/>
        <v>275.97704426292495</v>
      </c>
      <c r="AG14" s="146">
        <f t="shared" si="20"/>
        <v>225.57905827052434</v>
      </c>
      <c r="AH14" s="146">
        <f t="shared" si="21"/>
        <v>341.0633511821805</v>
      </c>
      <c r="AI14" s="146">
        <f t="shared" si="22"/>
        <v>181.06390444874779</v>
      </c>
      <c r="AJ14" s="146">
        <f t="shared" si="23"/>
        <v>182.73166746101995</v>
      </c>
      <c r="AK14" s="147">
        <f t="shared" si="24"/>
        <v>146.87577354220446</v>
      </c>
      <c r="AL14" s="146">
        <f t="shared" si="25"/>
        <v>205.2837466765462</v>
      </c>
      <c r="AM14" s="146">
        <f t="shared" si="26"/>
        <v>134.28763965242064</v>
      </c>
      <c r="AN14" s="146">
        <f t="shared" si="27"/>
        <v>169.72662593529964</v>
      </c>
      <c r="AO14" s="146">
        <f t="shared" si="28"/>
        <v>256.78311579101313</v>
      </c>
      <c r="AP14" s="146">
        <f t="shared" si="29"/>
        <v>426.25678955275629</v>
      </c>
      <c r="AQ14" s="146">
        <f t="shared" si="30"/>
        <v>108.11966521638048</v>
      </c>
      <c r="AR14" s="146">
        <f t="shared" si="31"/>
        <v>313.43281336963554</v>
      </c>
      <c r="AS14" s="144">
        <f t="shared" ref="AS14:CL14" si="34">AS13/AS7*100</f>
        <v>211.6997852318074</v>
      </c>
      <c r="AT14" s="143">
        <f t="shared" si="34"/>
        <v>2925.4304316373282</v>
      </c>
      <c r="AU14" s="143">
        <f t="shared" si="34"/>
        <v>601.11030185320067</v>
      </c>
      <c r="AV14" s="143">
        <f t="shared" si="34"/>
        <v>802.56594126083428</v>
      </c>
      <c r="AW14" s="143">
        <f t="shared" si="34"/>
        <v>393.15036505440787</v>
      </c>
      <c r="AX14" s="143">
        <f t="shared" si="34"/>
        <v>754.17867854750875</v>
      </c>
      <c r="AY14" s="143">
        <f t="shared" si="34"/>
        <v>484.12613326496842</v>
      </c>
      <c r="AZ14" s="143">
        <f t="shared" si="34"/>
        <v>1230.2663195835003</v>
      </c>
      <c r="BA14" s="143">
        <f t="shared" si="34"/>
        <v>298.53172474612018</v>
      </c>
      <c r="BB14" s="143">
        <f t="shared" si="34"/>
        <v>140.21448066326795</v>
      </c>
      <c r="BC14" s="143">
        <f t="shared" si="34"/>
        <v>126.96679941509828</v>
      </c>
      <c r="BD14" s="143">
        <f t="shared" si="34"/>
        <v>102.2308936607355</v>
      </c>
      <c r="BE14" s="143">
        <f t="shared" si="34"/>
        <v>209.0764128077561</v>
      </c>
      <c r="BF14" s="148">
        <f t="shared" si="34"/>
        <v>205.56834570449465</v>
      </c>
      <c r="BG14" s="143">
        <f t="shared" si="34"/>
        <v>388.31039155552384</v>
      </c>
      <c r="BH14" s="143">
        <f t="shared" si="34"/>
        <v>1699.302432837542</v>
      </c>
      <c r="BI14" s="143">
        <f t="shared" si="34"/>
        <v>398.40645161290325</v>
      </c>
      <c r="BJ14" s="143">
        <f t="shared" si="34"/>
        <v>306.99018612521149</v>
      </c>
      <c r="BK14" s="143">
        <f t="shared" si="34"/>
        <v>1353.5973536708627</v>
      </c>
      <c r="BL14" s="143">
        <f t="shared" si="34"/>
        <v>2160.416666666667</v>
      </c>
      <c r="BM14" s="143">
        <f t="shared" si="34"/>
        <v>130.52349326987959</v>
      </c>
      <c r="BN14" s="143">
        <f t="shared" si="34"/>
        <v>506.37650582550793</v>
      </c>
      <c r="BO14" s="143">
        <f t="shared" si="34"/>
        <v>1222.2551020408164</v>
      </c>
      <c r="BP14" s="143">
        <f t="shared" si="34"/>
        <v>197.20254291482237</v>
      </c>
      <c r="BQ14" s="143">
        <f t="shared" si="34"/>
        <v>338.01596708966667</v>
      </c>
      <c r="BR14" s="148">
        <f t="shared" si="34"/>
        <v>137.6831901502274</v>
      </c>
      <c r="BS14" s="143">
        <f t="shared" si="34"/>
        <v>1464.7262511433426</v>
      </c>
      <c r="BT14" s="143">
        <f t="shared" si="34"/>
        <v>182.29741788976514</v>
      </c>
      <c r="BU14" s="143">
        <f t="shared" si="34"/>
        <v>232.8969818203212</v>
      </c>
      <c r="BV14" s="143">
        <f t="shared" si="34"/>
        <v>225.57905827052434</v>
      </c>
      <c r="BW14" s="143">
        <f t="shared" si="34"/>
        <v>181.06390444874779</v>
      </c>
      <c r="BX14" s="143">
        <f t="shared" si="34"/>
        <v>201.44449754698761</v>
      </c>
      <c r="BY14" s="143">
        <f t="shared" si="34"/>
        <v>182.73166746101995</v>
      </c>
      <c r="BZ14" s="143">
        <f t="shared" si="34"/>
        <v>341.0633511821805</v>
      </c>
      <c r="CA14" s="143">
        <f t="shared" si="34"/>
        <v>275.97704426292495</v>
      </c>
      <c r="CB14" s="148">
        <f t="shared" si="34"/>
        <v>146.87577354220446</v>
      </c>
      <c r="CC14" s="143">
        <f t="shared" si="34"/>
        <v>256.78311579101313</v>
      </c>
      <c r="CD14" s="143">
        <f t="shared" si="34"/>
        <v>426.25678955275629</v>
      </c>
      <c r="CE14" s="143">
        <f t="shared" si="34"/>
        <v>205.2837466765462</v>
      </c>
      <c r="CF14" s="143">
        <f t="shared" si="34"/>
        <v>1034.63644788946</v>
      </c>
      <c r="CG14" s="143">
        <f t="shared" si="34"/>
        <v>139.73860254030001</v>
      </c>
      <c r="CH14" s="143">
        <f t="shared" si="34"/>
        <v>134.28763965242064</v>
      </c>
      <c r="CI14" s="143">
        <f t="shared" si="34"/>
        <v>313.43281336963554</v>
      </c>
      <c r="CJ14" s="143">
        <f t="shared" si="34"/>
        <v>169.72662593529964</v>
      </c>
      <c r="CK14" s="144">
        <f t="shared" si="34"/>
        <v>108.11966521638048</v>
      </c>
      <c r="CL14" s="149">
        <f t="shared" si="34"/>
        <v>300.79537965980705</v>
      </c>
    </row>
    <row r="15" spans="1:91">
      <c r="A15" s="80">
        <f>ROWS($A$3:A13)</f>
        <v>11</v>
      </c>
      <c r="B15" s="59" t="s">
        <v>269</v>
      </c>
      <c r="C15" s="252"/>
      <c r="D15" s="259"/>
      <c r="E15" s="435"/>
      <c r="F15" s="302"/>
      <c r="G15" s="141"/>
      <c r="H15" s="141"/>
      <c r="I15" s="298"/>
      <c r="J15" s="141"/>
      <c r="K15" s="145"/>
      <c r="L15" s="146"/>
      <c r="M15" s="146"/>
      <c r="N15" s="146"/>
      <c r="O15" s="146"/>
      <c r="P15" s="143"/>
      <c r="Q15" s="146"/>
      <c r="R15" s="143"/>
      <c r="S15" s="146"/>
      <c r="T15" s="146"/>
      <c r="U15" s="147"/>
      <c r="V15" s="143"/>
      <c r="W15" s="146"/>
      <c r="X15" s="143"/>
      <c r="Y15" s="143"/>
      <c r="Z15" s="146"/>
      <c r="AA15" s="143"/>
      <c r="AB15" s="147"/>
      <c r="AC15" s="146"/>
      <c r="AD15" s="146"/>
      <c r="AE15" s="143"/>
      <c r="AF15" s="146"/>
      <c r="AG15" s="146"/>
      <c r="AH15" s="146"/>
      <c r="AI15" s="146"/>
      <c r="AJ15" s="146"/>
      <c r="AK15" s="147"/>
      <c r="AL15" s="146"/>
      <c r="AM15" s="146"/>
      <c r="AN15" s="146"/>
      <c r="AO15" s="146"/>
      <c r="AP15" s="146"/>
      <c r="AQ15" s="146"/>
      <c r="AR15" s="146"/>
      <c r="AS15" s="144"/>
      <c r="AT15" s="143"/>
      <c r="AU15" s="143"/>
      <c r="AV15" s="143"/>
      <c r="AW15" s="143"/>
      <c r="AX15" s="143"/>
      <c r="AY15" s="143"/>
      <c r="AZ15" s="143"/>
      <c r="BA15" s="143"/>
      <c r="BB15" s="143"/>
      <c r="BC15" s="143"/>
      <c r="BD15" s="143"/>
      <c r="BE15" s="143"/>
      <c r="BF15" s="148"/>
      <c r="BG15" s="143"/>
      <c r="BH15" s="143"/>
      <c r="BI15" s="143"/>
      <c r="BJ15" s="143"/>
      <c r="BK15" s="143"/>
      <c r="BL15" s="143"/>
      <c r="BM15" s="143"/>
      <c r="BN15" s="143"/>
      <c r="BO15" s="143"/>
      <c r="BP15" s="143"/>
      <c r="BQ15" s="143"/>
      <c r="BR15" s="148"/>
      <c r="BS15" s="143"/>
      <c r="BT15" s="143"/>
      <c r="BU15" s="143"/>
      <c r="BV15" s="143"/>
      <c r="BW15" s="143"/>
      <c r="BX15" s="143"/>
      <c r="BY15" s="143"/>
      <c r="BZ15" s="143"/>
      <c r="CA15" s="143"/>
      <c r="CB15" s="148"/>
      <c r="CC15" s="143"/>
      <c r="CD15" s="143"/>
      <c r="CE15" s="143"/>
      <c r="CF15" s="143"/>
      <c r="CG15" s="143"/>
      <c r="CH15" s="143"/>
      <c r="CI15" s="143"/>
      <c r="CJ15" s="143"/>
      <c r="CK15" s="144"/>
      <c r="CL15" s="149"/>
    </row>
    <row r="16" spans="1:91">
      <c r="A16" s="80">
        <f>ROWS($A$3:A14)</f>
        <v>12</v>
      </c>
      <c r="B16" s="92" t="s">
        <v>200</v>
      </c>
      <c r="C16" s="202">
        <v>2010</v>
      </c>
      <c r="D16" s="259" t="s">
        <v>11</v>
      </c>
      <c r="E16" s="471">
        <v>42207</v>
      </c>
      <c r="F16" s="116">
        <v>2179600</v>
      </c>
      <c r="G16" s="137">
        <v>1458700</v>
      </c>
      <c r="H16" s="137">
        <v>1121500</v>
      </c>
      <c r="I16" s="138">
        <v>950200</v>
      </c>
      <c r="J16" s="141"/>
      <c r="K16" s="116">
        <f t="shared" si="0"/>
        <v>153600</v>
      </c>
      <c r="L16" s="137">
        <f t="shared" si="1"/>
        <v>187000</v>
      </c>
      <c r="M16" s="137">
        <f t="shared" si="2"/>
        <v>70800</v>
      </c>
      <c r="N16" s="137">
        <f t="shared" si="3"/>
        <v>112200</v>
      </c>
      <c r="O16" s="137">
        <f t="shared" si="4"/>
        <v>64500</v>
      </c>
      <c r="P16" s="137">
        <f>AZ16+BA16</f>
        <v>252300</v>
      </c>
      <c r="Q16" s="137">
        <f>'2010'!AU16</f>
        <v>215000</v>
      </c>
      <c r="R16" s="137">
        <f t="shared" si="33"/>
        <v>710000</v>
      </c>
      <c r="S16" s="137">
        <f t="shared" si="6"/>
        <v>249500</v>
      </c>
      <c r="T16" s="137">
        <f t="shared" si="7"/>
        <v>63400</v>
      </c>
      <c r="U16" s="139">
        <f t="shared" si="8"/>
        <v>101400</v>
      </c>
      <c r="V16" s="137">
        <f>BG16+BJ16</f>
        <v>148400</v>
      </c>
      <c r="W16" s="137">
        <f t="shared" si="10"/>
        <v>61100</v>
      </c>
      <c r="X16" s="137">
        <f>BH16+BI16</f>
        <v>419500</v>
      </c>
      <c r="Y16" s="137">
        <f>BK16+BL16+BN16</f>
        <v>554900</v>
      </c>
      <c r="Z16" s="137">
        <f t="shared" si="13"/>
        <v>65700</v>
      </c>
      <c r="AA16" s="137">
        <f>BO16+BQ16</f>
        <v>146600</v>
      </c>
      <c r="AB16" s="139">
        <f t="shared" si="15"/>
        <v>62500</v>
      </c>
      <c r="AC16" s="137">
        <f t="shared" si="16"/>
        <v>112800</v>
      </c>
      <c r="AD16" s="137">
        <f t="shared" si="17"/>
        <v>66200</v>
      </c>
      <c r="AE16" s="137">
        <f>BS16+BT16</f>
        <v>261900</v>
      </c>
      <c r="AF16" s="137">
        <f t="shared" si="19"/>
        <v>100000</v>
      </c>
      <c r="AG16" s="137">
        <f t="shared" si="20"/>
        <v>226900</v>
      </c>
      <c r="AH16" s="137">
        <f t="shared" si="21"/>
        <v>131800</v>
      </c>
      <c r="AI16" s="137">
        <f t="shared" si="22"/>
        <v>71100</v>
      </c>
      <c r="AJ16" s="137">
        <f t="shared" si="23"/>
        <v>76800</v>
      </c>
      <c r="AK16" s="139">
        <f t="shared" si="24"/>
        <v>74100</v>
      </c>
      <c r="AL16" s="137">
        <f t="shared" si="25"/>
        <v>89000</v>
      </c>
      <c r="AM16" s="137">
        <f t="shared" si="26"/>
        <v>101600</v>
      </c>
      <c r="AN16" s="137">
        <f t="shared" si="27"/>
        <v>148400</v>
      </c>
      <c r="AO16" s="137">
        <f t="shared" si="28"/>
        <v>140300</v>
      </c>
      <c r="AP16" s="137">
        <f t="shared" si="29"/>
        <v>100200</v>
      </c>
      <c r="AQ16" s="137">
        <f t="shared" si="30"/>
        <v>67200</v>
      </c>
      <c r="AR16" s="137">
        <f t="shared" si="31"/>
        <v>112100</v>
      </c>
      <c r="AS16" s="138">
        <f>CF16+CG16</f>
        <v>191600</v>
      </c>
      <c r="AT16" s="141">
        <v>471800</v>
      </c>
      <c r="AU16" s="141">
        <v>215000</v>
      </c>
      <c r="AV16" s="141">
        <v>249500</v>
      </c>
      <c r="AW16" s="141">
        <v>112200</v>
      </c>
      <c r="AX16" s="141">
        <v>238200</v>
      </c>
      <c r="AY16" s="137">
        <v>187000</v>
      </c>
      <c r="AZ16" s="137">
        <v>100100</v>
      </c>
      <c r="BA16" s="137">
        <v>152200</v>
      </c>
      <c r="BB16" s="137">
        <v>63400</v>
      </c>
      <c r="BC16" s="137">
        <v>101400</v>
      </c>
      <c r="BD16" s="137">
        <v>70800</v>
      </c>
      <c r="BE16" s="137">
        <v>64500</v>
      </c>
      <c r="BF16" s="139">
        <v>153600</v>
      </c>
      <c r="BG16" s="137">
        <v>40000</v>
      </c>
      <c r="BH16" s="137">
        <v>225500</v>
      </c>
      <c r="BI16" s="137">
        <v>194000</v>
      </c>
      <c r="BJ16" s="137">
        <v>108400</v>
      </c>
      <c r="BK16" s="137">
        <v>111200</v>
      </c>
      <c r="BL16" s="137">
        <v>226500</v>
      </c>
      <c r="BM16" s="137">
        <v>65700</v>
      </c>
      <c r="BN16" s="137">
        <v>217200</v>
      </c>
      <c r="BO16" s="137">
        <v>71800</v>
      </c>
      <c r="BP16" s="137">
        <v>62500</v>
      </c>
      <c r="BQ16" s="137">
        <v>74800</v>
      </c>
      <c r="BR16" s="139">
        <v>61100</v>
      </c>
      <c r="BS16" s="137">
        <v>155600</v>
      </c>
      <c r="BT16" s="137">
        <v>106300</v>
      </c>
      <c r="BU16" s="137">
        <v>66200</v>
      </c>
      <c r="BV16" s="137">
        <v>226900</v>
      </c>
      <c r="BW16" s="137">
        <v>71100</v>
      </c>
      <c r="BX16" s="137">
        <v>112800</v>
      </c>
      <c r="BY16" s="137">
        <v>76800</v>
      </c>
      <c r="BZ16" s="137">
        <v>131800</v>
      </c>
      <c r="CA16" s="137">
        <v>100000</v>
      </c>
      <c r="CB16" s="139">
        <v>74100</v>
      </c>
      <c r="CC16" s="137">
        <v>140300</v>
      </c>
      <c r="CD16" s="137">
        <v>100200</v>
      </c>
      <c r="CE16" s="137">
        <v>89000</v>
      </c>
      <c r="CF16" s="137">
        <v>117300</v>
      </c>
      <c r="CG16" s="137">
        <v>74300</v>
      </c>
      <c r="CH16" s="137">
        <v>101600</v>
      </c>
      <c r="CI16" s="137">
        <v>112100</v>
      </c>
      <c r="CJ16" s="137">
        <v>148400</v>
      </c>
      <c r="CK16" s="138">
        <v>67200</v>
      </c>
      <c r="CL16" s="140">
        <v>5710100</v>
      </c>
    </row>
    <row r="17" spans="1:90" ht="14.25">
      <c r="A17" s="80">
        <f>ROWS($A$3:A15)</f>
        <v>13</v>
      </c>
      <c r="B17" s="54" t="s">
        <v>243</v>
      </c>
      <c r="C17" s="202">
        <v>2010</v>
      </c>
      <c r="D17" s="259" t="s">
        <v>3</v>
      </c>
      <c r="E17" s="437">
        <v>40815</v>
      </c>
      <c r="F17" s="167">
        <f>(AT16*AT17+AU16*AU17+AV16*AV17+AW16*AW17+AX16*AX17+AY16*AY17+AZ16*AZ17+BA16*BA17+BB16*BB17+BC16*BC17+BD16*BD17+BE16*BE17+BF16*BF17)/F16</f>
        <v>5.1822398605248665</v>
      </c>
      <c r="G17" s="168">
        <f>(BG16*BG17+BH16*BH17+BI16*BI17+BJ16*BJ17+BK16*BK17+BL16*BL17+BM16*BM17+BN16*BN17+BO16*BO17+BP16*BP17+BQ16*BQ17+BR16*BR17)/G16</f>
        <v>5.5709056008774933</v>
      </c>
      <c r="H17" s="168">
        <f>(BS16*BS17+BT16*BT17+BU16*BU17+BV16*BV17+BW16*BW17+BX16*BX17+BY16*BY17+BZ16*BZ17+CA16*CA17+CB16*CB17)/H16</f>
        <v>4.7913062862238078</v>
      </c>
      <c r="I17" s="169">
        <f>(CC16*CC17+CD16*CD17+CE16*CE17+CF16*CF17+CG16*CG17+CH16*CH17+CI16*CI17+CJ16*CJ17+CK16*CK17)/I16</f>
        <v>4.3957587876236586</v>
      </c>
      <c r="J17" s="173"/>
      <c r="K17" s="170">
        <f t="shared" si="0"/>
        <v>5</v>
      </c>
      <c r="L17" s="171">
        <f t="shared" si="1"/>
        <v>4.7</v>
      </c>
      <c r="M17" s="171">
        <f t="shared" si="2"/>
        <v>3.9</v>
      </c>
      <c r="N17" s="171">
        <f t="shared" si="3"/>
        <v>5.7</v>
      </c>
      <c r="O17" s="171">
        <f t="shared" si="4"/>
        <v>5.6</v>
      </c>
      <c r="P17" s="168">
        <f>ROUND((AZ16*AZ17/100+BA16*BA17/100)/P16%,1)</f>
        <v>5.8</v>
      </c>
      <c r="Q17" s="171">
        <f>'2010'!AU17</f>
        <v>4.4000000000000004</v>
      </c>
      <c r="R17" s="168">
        <f>ROUND((AT16*AT17/100+AX16*AX17/100)/R16%,1)</f>
        <v>5.8</v>
      </c>
      <c r="S17" s="171">
        <f t="shared" si="6"/>
        <v>4.7</v>
      </c>
      <c r="T17" s="171">
        <f t="shared" si="7"/>
        <v>3.9</v>
      </c>
      <c r="U17" s="172">
        <f t="shared" si="8"/>
        <v>4</v>
      </c>
      <c r="V17" s="168">
        <f>ROUND((BG16*BG17/100+BJ16*BJ17/100)/V16%,1)</f>
        <v>5</v>
      </c>
      <c r="W17" s="171">
        <f t="shared" si="10"/>
        <v>4.4000000000000004</v>
      </c>
      <c r="X17" s="168">
        <f>ROUND((BH16*BH17/100+BI16*BI17/100)/X16%,1)</f>
        <v>5.3</v>
      </c>
      <c r="Y17" s="168">
        <f>ROUND((BK16*BK17/100+BL16*BL17/100+BN16*BN17/100)/Y16%,1)</f>
        <v>6</v>
      </c>
      <c r="Z17" s="171">
        <f t="shared" si="13"/>
        <v>4.9000000000000004</v>
      </c>
      <c r="AA17" s="168">
        <f>ROUND((BO16*BO17/100+BQ16*BQ17/100)/AA16%,1)</f>
        <v>6.4</v>
      </c>
      <c r="AB17" s="172">
        <f t="shared" si="15"/>
        <v>4.5</v>
      </c>
      <c r="AC17" s="171">
        <f t="shared" si="16"/>
        <v>5</v>
      </c>
      <c r="AD17" s="171">
        <f t="shared" si="17"/>
        <v>3.6</v>
      </c>
      <c r="AE17" s="168">
        <f>ROUND((BS16*BS17/100+BT16*BT17/100)/AE16%,1)</f>
        <v>5.4</v>
      </c>
      <c r="AF17" s="171">
        <f t="shared" si="19"/>
        <v>4.5999999999999996</v>
      </c>
      <c r="AG17" s="171">
        <f t="shared" si="20"/>
        <v>4.5</v>
      </c>
      <c r="AH17" s="171">
        <f t="shared" si="21"/>
        <v>5.3</v>
      </c>
      <c r="AI17" s="171">
        <f t="shared" si="22"/>
        <v>4.3</v>
      </c>
      <c r="AJ17" s="171">
        <f t="shared" si="23"/>
        <v>4.7</v>
      </c>
      <c r="AK17" s="172">
        <f t="shared" si="24"/>
        <v>4.0999999999999996</v>
      </c>
      <c r="AL17" s="171">
        <f t="shared" si="25"/>
        <v>5.4</v>
      </c>
      <c r="AM17" s="171">
        <f t="shared" si="26"/>
        <v>3.4</v>
      </c>
      <c r="AN17" s="171">
        <f t="shared" si="27"/>
        <v>3.7</v>
      </c>
      <c r="AO17" s="171">
        <f t="shared" si="28"/>
        <v>4.8</v>
      </c>
      <c r="AP17" s="171">
        <f t="shared" si="29"/>
        <v>4.5999999999999996</v>
      </c>
      <c r="AQ17" s="171">
        <f t="shared" si="30"/>
        <v>4.9000000000000004</v>
      </c>
      <c r="AR17" s="171">
        <f t="shared" si="31"/>
        <v>3.9</v>
      </c>
      <c r="AS17" s="169">
        <f>ROUND((CF16*CF17/100+CG16*CG17/100)/AS16%,1)</f>
        <v>4.7</v>
      </c>
      <c r="AT17" s="173">
        <v>6.4</v>
      </c>
      <c r="AU17" s="171">
        <v>4.4000000000000004</v>
      </c>
      <c r="AV17" s="171">
        <v>4.7</v>
      </c>
      <c r="AW17" s="171">
        <v>5.7</v>
      </c>
      <c r="AX17" s="171">
        <v>4.7</v>
      </c>
      <c r="AY17" s="171">
        <v>4.7</v>
      </c>
      <c r="AZ17" s="171">
        <v>7.6</v>
      </c>
      <c r="BA17" s="171">
        <v>4.5999999999999996</v>
      </c>
      <c r="BB17" s="171">
        <v>3.9</v>
      </c>
      <c r="BC17" s="171">
        <v>4</v>
      </c>
      <c r="BD17" s="171">
        <v>3.9</v>
      </c>
      <c r="BE17" s="171">
        <v>5.6</v>
      </c>
      <c r="BF17" s="172">
        <v>5</v>
      </c>
      <c r="BG17" s="171">
        <v>6.8</v>
      </c>
      <c r="BH17" s="171">
        <v>6.3</v>
      </c>
      <c r="BI17" s="171">
        <v>4.0999999999999996</v>
      </c>
      <c r="BJ17" s="171">
        <v>4.3</v>
      </c>
      <c r="BK17" s="171">
        <v>6.3</v>
      </c>
      <c r="BL17" s="171">
        <v>7.5</v>
      </c>
      <c r="BM17" s="171">
        <v>4.9000000000000004</v>
      </c>
      <c r="BN17" s="171">
        <v>4.4000000000000004</v>
      </c>
      <c r="BO17" s="171">
        <v>9.1</v>
      </c>
      <c r="BP17" s="171">
        <v>4.5</v>
      </c>
      <c r="BQ17" s="171">
        <v>3.9</v>
      </c>
      <c r="BR17" s="172">
        <v>4.4000000000000004</v>
      </c>
      <c r="BS17" s="171">
        <v>6.4</v>
      </c>
      <c r="BT17" s="171">
        <v>4</v>
      </c>
      <c r="BU17" s="171">
        <v>3.6</v>
      </c>
      <c r="BV17" s="171">
        <v>4.5</v>
      </c>
      <c r="BW17" s="171">
        <v>4.3</v>
      </c>
      <c r="BX17" s="171">
        <v>5</v>
      </c>
      <c r="BY17" s="171">
        <v>4.7</v>
      </c>
      <c r="BZ17" s="171">
        <v>5.3</v>
      </c>
      <c r="CA17" s="171">
        <v>4.5999999999999996</v>
      </c>
      <c r="CB17" s="172">
        <v>4.0999999999999996</v>
      </c>
      <c r="CC17" s="171">
        <v>4.8</v>
      </c>
      <c r="CD17" s="171">
        <v>4.5999999999999996</v>
      </c>
      <c r="CE17" s="171">
        <v>5.4</v>
      </c>
      <c r="CF17" s="171">
        <v>5.4</v>
      </c>
      <c r="CG17" s="173">
        <v>3.6</v>
      </c>
      <c r="CH17" s="171">
        <v>3.4</v>
      </c>
      <c r="CI17" s="171">
        <v>3.9</v>
      </c>
      <c r="CJ17" s="171">
        <v>3.7</v>
      </c>
      <c r="CK17" s="174">
        <v>4.9000000000000004</v>
      </c>
      <c r="CL17" s="319">
        <v>4.9000000000000004</v>
      </c>
    </row>
    <row r="18" spans="1:90">
      <c r="A18" s="80">
        <f>ROWS($A$3:A16)</f>
        <v>14</v>
      </c>
      <c r="B18" s="238" t="s">
        <v>270</v>
      </c>
      <c r="C18" s="202">
        <v>2010</v>
      </c>
      <c r="D18" s="259" t="s">
        <v>11</v>
      </c>
      <c r="E18" s="437">
        <v>40897</v>
      </c>
      <c r="F18" s="302">
        <v>65993</v>
      </c>
      <c r="G18" s="141">
        <v>23507</v>
      </c>
      <c r="H18" s="141">
        <v>61838</v>
      </c>
      <c r="I18" s="298">
        <v>38779</v>
      </c>
      <c r="J18" s="173"/>
      <c r="K18" s="116">
        <f>BF18</f>
        <v>4934</v>
      </c>
      <c r="L18" s="137">
        <f>AY18</f>
        <v>7021</v>
      </c>
      <c r="M18" s="137">
        <f>BD18</f>
        <v>5124</v>
      </c>
      <c r="N18" s="137">
        <f>AW18</f>
        <v>2210</v>
      </c>
      <c r="O18" s="137">
        <f>BE18</f>
        <v>1489</v>
      </c>
      <c r="P18" s="143">
        <f>AZ18+BA18</f>
        <v>17120</v>
      </c>
      <c r="Q18" s="137">
        <f>'2010'!AU18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c r="A19" s="80">
        <f>ROWS($A$3:A17)</f>
        <v>15</v>
      </c>
      <c r="B19" s="238" t="s">
        <v>268</v>
      </c>
      <c r="C19" s="393">
        <v>2009</v>
      </c>
      <c r="D19" s="259" t="s">
        <v>11</v>
      </c>
      <c r="E19" s="471">
        <v>41488</v>
      </c>
      <c r="F19" s="302">
        <v>1514267</v>
      </c>
      <c r="G19" s="141">
        <v>994048</v>
      </c>
      <c r="H19" s="141">
        <v>727040</v>
      </c>
      <c r="I19" s="298">
        <v>619203</v>
      </c>
      <c r="J19" s="141"/>
      <c r="K19" s="116">
        <f>BF19</f>
        <v>103233</v>
      </c>
      <c r="L19" s="137">
        <f>AY19</f>
        <v>122897</v>
      </c>
      <c r="M19" s="137">
        <f>BD19</f>
        <v>46286</v>
      </c>
      <c r="N19" s="137">
        <f>AW19</f>
        <v>76259</v>
      </c>
      <c r="O19" s="137">
        <f>BE19</f>
        <v>45615</v>
      </c>
      <c r="P19" s="143">
        <f>AZ19+BA19</f>
        <v>166094</v>
      </c>
      <c r="Q19" s="137">
        <f>'2010'!AU19</f>
        <v>151112</v>
      </c>
      <c r="R19" s="143">
        <f>AT19+AX19</f>
        <v>511988</v>
      </c>
      <c r="S19" s="137">
        <f>AV19</f>
        <v>180021</v>
      </c>
      <c r="T19" s="137">
        <f>BB19</f>
        <v>44877</v>
      </c>
      <c r="U19" s="139">
        <f>BC19</f>
        <v>65885</v>
      </c>
      <c r="V19" s="143">
        <f>BG19+BJ19</f>
        <v>106382</v>
      </c>
      <c r="W19" s="137">
        <f>BR19</f>
        <v>40795</v>
      </c>
      <c r="X19" s="143">
        <f>BH19+BI19</f>
        <v>282769</v>
      </c>
      <c r="Y19" s="143">
        <f>BK19+BL19+BN19</f>
        <v>385286</v>
      </c>
      <c r="Z19" s="137">
        <f>BM19</f>
        <v>39787</v>
      </c>
      <c r="AA19" s="143">
        <f>BO19+BQ19</f>
        <v>99417</v>
      </c>
      <c r="AB19" s="139">
        <f>BP19</f>
        <v>39612</v>
      </c>
      <c r="AC19" s="137">
        <f>BX19</f>
        <v>74121</v>
      </c>
      <c r="AD19" s="137">
        <f>BU19</f>
        <v>41701</v>
      </c>
      <c r="AE19" s="143">
        <f>BS19+BT19</f>
        <v>166505</v>
      </c>
      <c r="AF19" s="137">
        <f>CA19</f>
        <v>66617</v>
      </c>
      <c r="AG19" s="137">
        <f>BV19</f>
        <v>149121</v>
      </c>
      <c r="AH19" s="137">
        <f>BZ19</f>
        <v>83620</v>
      </c>
      <c r="AI19" s="137">
        <f>BW19</f>
        <v>47403</v>
      </c>
      <c r="AJ19" s="137">
        <f>BY19</f>
        <v>52563</v>
      </c>
      <c r="AK19" s="139">
        <f>CB19</f>
        <v>45389</v>
      </c>
      <c r="AL19" s="137">
        <f>CE19</f>
        <v>59483</v>
      </c>
      <c r="AM19" s="137">
        <f>CH19</f>
        <v>67196</v>
      </c>
      <c r="AN19" s="137">
        <f>CJ19</f>
        <v>93071</v>
      </c>
      <c r="AO19" s="137">
        <f>CC19</f>
        <v>94908</v>
      </c>
      <c r="AP19" s="137">
        <f>CD19</f>
        <v>63502</v>
      </c>
      <c r="AQ19" s="137">
        <f>CK19</f>
        <v>40409</v>
      </c>
      <c r="AR19" s="137">
        <f>CI19</f>
        <v>75073</v>
      </c>
      <c r="AS19" s="144">
        <f>CF19+CG19</f>
        <v>125561</v>
      </c>
      <c r="AT19" s="141">
        <v>346908</v>
      </c>
      <c r="AU19" s="137">
        <v>151112</v>
      </c>
      <c r="AV19" s="137">
        <v>180021</v>
      </c>
      <c r="AW19" s="137">
        <v>76259</v>
      </c>
      <c r="AX19" s="137">
        <v>165080</v>
      </c>
      <c r="AY19" s="137">
        <v>122897</v>
      </c>
      <c r="AZ19" s="137">
        <v>59273</v>
      </c>
      <c r="BA19" s="137">
        <v>106821</v>
      </c>
      <c r="BB19" s="137">
        <v>44877</v>
      </c>
      <c r="BC19" s="137">
        <v>65885</v>
      </c>
      <c r="BD19" s="137">
        <v>46286</v>
      </c>
      <c r="BE19" s="137">
        <v>45615</v>
      </c>
      <c r="BF19" s="139">
        <v>103233</v>
      </c>
      <c r="BG19" s="137">
        <v>29182</v>
      </c>
      <c r="BH19" s="137">
        <v>154726</v>
      </c>
      <c r="BI19" s="137">
        <v>128043</v>
      </c>
      <c r="BJ19" s="137">
        <v>77200</v>
      </c>
      <c r="BK19" s="137">
        <v>77641</v>
      </c>
      <c r="BL19" s="137">
        <v>163576</v>
      </c>
      <c r="BM19" s="137">
        <v>39787</v>
      </c>
      <c r="BN19" s="137">
        <v>144069</v>
      </c>
      <c r="BO19" s="137">
        <v>48546</v>
      </c>
      <c r="BP19" s="137">
        <v>39612</v>
      </c>
      <c r="BQ19" s="137">
        <v>50871</v>
      </c>
      <c r="BR19" s="139">
        <v>40795</v>
      </c>
      <c r="BS19" s="137">
        <v>101167</v>
      </c>
      <c r="BT19" s="137">
        <v>65338</v>
      </c>
      <c r="BU19" s="137">
        <v>41701</v>
      </c>
      <c r="BV19" s="137">
        <v>149121</v>
      </c>
      <c r="BW19" s="137">
        <v>47403</v>
      </c>
      <c r="BX19" s="137">
        <v>74121</v>
      </c>
      <c r="BY19" s="137">
        <v>52563</v>
      </c>
      <c r="BZ19" s="137">
        <v>83620</v>
      </c>
      <c r="CA19" s="137">
        <v>66617</v>
      </c>
      <c r="CB19" s="139">
        <v>45389</v>
      </c>
      <c r="CC19" s="137">
        <v>94908</v>
      </c>
      <c r="CD19" s="137">
        <v>63502</v>
      </c>
      <c r="CE19" s="137">
        <v>59483</v>
      </c>
      <c r="CF19" s="137">
        <v>79048</v>
      </c>
      <c r="CG19" s="141">
        <v>46513</v>
      </c>
      <c r="CH19" s="137">
        <v>67196</v>
      </c>
      <c r="CI19" s="137">
        <v>75073</v>
      </c>
      <c r="CJ19" s="137">
        <v>93071</v>
      </c>
      <c r="CK19" s="138">
        <v>40409</v>
      </c>
      <c r="CL19" s="320">
        <v>3854558</v>
      </c>
    </row>
    <row r="20" spans="1:90">
      <c r="A20" s="80">
        <f>ROWS($A$3:A18)</f>
        <v>16</v>
      </c>
      <c r="B20" s="92" t="s">
        <v>64</v>
      </c>
      <c r="C20" s="393">
        <v>2009</v>
      </c>
      <c r="D20" s="259" t="s">
        <v>285</v>
      </c>
      <c r="E20" s="437">
        <v>40875</v>
      </c>
      <c r="F20" s="116">
        <v>119642</v>
      </c>
      <c r="G20" s="137">
        <v>80956</v>
      </c>
      <c r="H20" s="137">
        <v>55254</v>
      </c>
      <c r="I20" s="138">
        <v>4887</v>
      </c>
      <c r="J20" s="141"/>
      <c r="K20" s="116">
        <f t="shared" si="0"/>
        <v>8179</v>
      </c>
      <c r="L20" s="137">
        <f t="shared" si="1"/>
        <v>9547</v>
      </c>
      <c r="M20" s="137">
        <f t="shared" si="2"/>
        <v>3577</v>
      </c>
      <c r="N20" s="137">
        <f t="shared" si="3"/>
        <v>5577</v>
      </c>
      <c r="O20" s="137">
        <f t="shared" si="4"/>
        <v>3216</v>
      </c>
      <c r="P20" s="137">
        <f>AZ20+BA20</f>
        <v>13239</v>
      </c>
      <c r="Q20" s="137">
        <f>'2010'!AU20</f>
        <v>12089</v>
      </c>
      <c r="R20" s="137">
        <f>AT20+AX20</f>
        <v>42289</v>
      </c>
      <c r="S20" s="137">
        <f t="shared" si="6"/>
        <v>13579</v>
      </c>
      <c r="T20" s="137">
        <f t="shared" si="7"/>
        <v>2946</v>
      </c>
      <c r="U20" s="139">
        <f t="shared" si="8"/>
        <v>5403</v>
      </c>
      <c r="V20" s="137">
        <f>BG20+BJ20</f>
        <v>8070</v>
      </c>
      <c r="W20" s="137">
        <f t="shared" si="10"/>
        <v>3135</v>
      </c>
      <c r="X20" s="137">
        <f>BH20+BI20</f>
        <v>24028</v>
      </c>
      <c r="Y20" s="137">
        <f>BK20+BL20+BN20</f>
        <v>32102</v>
      </c>
      <c r="Z20" s="137">
        <f t="shared" si="13"/>
        <v>3205</v>
      </c>
      <c r="AA20" s="137">
        <f>BO20+BQ20</f>
        <v>7385</v>
      </c>
      <c r="AB20" s="139">
        <f t="shared" si="15"/>
        <v>3033</v>
      </c>
      <c r="AC20" s="137">
        <f t="shared" si="16"/>
        <v>5443</v>
      </c>
      <c r="AD20" s="137">
        <f t="shared" si="17"/>
        <v>3083</v>
      </c>
      <c r="AE20" s="137">
        <f>BS20+BT20</f>
        <v>12149</v>
      </c>
      <c r="AF20" s="137">
        <f t="shared" si="19"/>
        <v>5178</v>
      </c>
      <c r="AG20" s="137">
        <f t="shared" si="20"/>
        <v>11313</v>
      </c>
      <c r="AH20" s="137">
        <f t="shared" si="21"/>
        <v>6945</v>
      </c>
      <c r="AI20" s="137">
        <f t="shared" si="22"/>
        <v>3629</v>
      </c>
      <c r="AJ20" s="137">
        <f t="shared" si="23"/>
        <v>3776</v>
      </c>
      <c r="AK20" s="139">
        <f t="shared" si="24"/>
        <v>3737</v>
      </c>
      <c r="AL20" s="137">
        <f t="shared" si="25"/>
        <v>4535</v>
      </c>
      <c r="AM20" s="137">
        <f t="shared" si="26"/>
        <v>5632</v>
      </c>
      <c r="AN20" s="137">
        <f t="shared" si="27"/>
        <v>7338</v>
      </c>
      <c r="AO20" s="137">
        <f t="shared" si="28"/>
        <v>7234</v>
      </c>
      <c r="AP20" s="137">
        <f t="shared" si="29"/>
        <v>4869</v>
      </c>
      <c r="AQ20" s="137">
        <f t="shared" si="30"/>
        <v>3217</v>
      </c>
      <c r="AR20" s="137">
        <f t="shared" si="31"/>
        <v>6025</v>
      </c>
      <c r="AS20" s="138">
        <f>CF20+CG20</f>
        <v>10020</v>
      </c>
      <c r="AT20" s="141">
        <v>28691</v>
      </c>
      <c r="AU20" s="137">
        <v>12089</v>
      </c>
      <c r="AV20" s="137">
        <v>13579</v>
      </c>
      <c r="AW20" s="137">
        <v>5577</v>
      </c>
      <c r="AX20" s="137">
        <v>13598</v>
      </c>
      <c r="AY20" s="137">
        <v>9547</v>
      </c>
      <c r="AZ20" s="137">
        <v>4550</v>
      </c>
      <c r="BA20" s="137">
        <v>8689</v>
      </c>
      <c r="BB20" s="137">
        <v>2946</v>
      </c>
      <c r="BC20" s="137">
        <v>5403</v>
      </c>
      <c r="BD20" s="137">
        <v>3577</v>
      </c>
      <c r="BE20" s="137">
        <v>3216</v>
      </c>
      <c r="BF20" s="139">
        <v>8179</v>
      </c>
      <c r="BG20" s="137">
        <v>2069</v>
      </c>
      <c r="BH20" s="137">
        <v>13216</v>
      </c>
      <c r="BI20" s="137">
        <v>10812</v>
      </c>
      <c r="BJ20" s="137">
        <v>6001</v>
      </c>
      <c r="BK20" s="137">
        <v>5713</v>
      </c>
      <c r="BL20" s="137">
        <v>13995</v>
      </c>
      <c r="BM20" s="137">
        <v>3205</v>
      </c>
      <c r="BN20" s="137">
        <v>12394</v>
      </c>
      <c r="BO20" s="137">
        <v>3650</v>
      </c>
      <c r="BP20" s="137">
        <v>3033</v>
      </c>
      <c r="BQ20" s="137">
        <v>3735</v>
      </c>
      <c r="BR20" s="139">
        <v>3135</v>
      </c>
      <c r="BS20" s="137">
        <v>7353</v>
      </c>
      <c r="BT20" s="137">
        <v>4796</v>
      </c>
      <c r="BU20" s="137">
        <v>3083</v>
      </c>
      <c r="BV20" s="137">
        <v>11313</v>
      </c>
      <c r="BW20" s="137">
        <v>3629</v>
      </c>
      <c r="BX20" s="137">
        <v>5443</v>
      </c>
      <c r="BY20" s="137">
        <v>3776</v>
      </c>
      <c r="BZ20" s="137">
        <v>6945</v>
      </c>
      <c r="CA20" s="137">
        <v>5178</v>
      </c>
      <c r="CB20" s="139">
        <v>3737</v>
      </c>
      <c r="CC20" s="137">
        <v>7234</v>
      </c>
      <c r="CD20" s="137">
        <v>4869</v>
      </c>
      <c r="CE20" s="137">
        <v>4535</v>
      </c>
      <c r="CF20" s="137">
        <v>5829</v>
      </c>
      <c r="CG20" s="141">
        <v>4191</v>
      </c>
      <c r="CH20" s="137">
        <v>5632</v>
      </c>
      <c r="CI20" s="137">
        <v>6025</v>
      </c>
      <c r="CJ20" s="137">
        <v>7338</v>
      </c>
      <c r="CK20" s="138">
        <v>3217</v>
      </c>
      <c r="CL20" s="140">
        <v>304723</v>
      </c>
    </row>
    <row r="21" spans="1:90">
      <c r="A21" s="80">
        <f>ROWS($A$3:A19)</f>
        <v>17</v>
      </c>
      <c r="B21" s="53" t="s">
        <v>62</v>
      </c>
      <c r="C21" s="261"/>
      <c r="D21" s="260" t="s">
        <v>3</v>
      </c>
      <c r="E21" s="435"/>
      <c r="F21" s="167">
        <f>F118/F20%</f>
        <v>0.59009377977633271</v>
      </c>
      <c r="G21" s="168">
        <f>G118/G20%</f>
        <v>0.44962695785364892</v>
      </c>
      <c r="H21" s="168">
        <f>H118/H20%</f>
        <v>0.91758062764686721</v>
      </c>
      <c r="I21" s="169">
        <f>I118/I20%</f>
        <v>8.6556169429097611</v>
      </c>
      <c r="J21" s="173"/>
      <c r="K21" s="167">
        <f t="shared" ref="K21:AP21" si="35">K118/K20%</f>
        <v>0.90475608265069074</v>
      </c>
      <c r="L21" s="168">
        <f t="shared" si="35"/>
        <v>0.74368911700010476</v>
      </c>
      <c r="M21" s="168">
        <f t="shared" si="35"/>
        <v>1.4816885658372938</v>
      </c>
      <c r="N21" s="168">
        <f t="shared" si="35"/>
        <v>0.55585440200824809</v>
      </c>
      <c r="O21" s="168">
        <f t="shared" si="35"/>
        <v>0.90174129353233845</v>
      </c>
      <c r="P21" s="168">
        <f t="shared" si="35"/>
        <v>0.71757685625802559</v>
      </c>
      <c r="Q21" s="168">
        <f t="shared" si="35"/>
        <v>0</v>
      </c>
      <c r="R21" s="168">
        <f t="shared" si="35"/>
        <v>0.29322045922107404</v>
      </c>
      <c r="S21" s="168">
        <f t="shared" si="35"/>
        <v>0.39030856469548569</v>
      </c>
      <c r="T21" s="168">
        <f t="shared" si="35"/>
        <v>1.9008825526137134</v>
      </c>
      <c r="U21" s="176">
        <f t="shared" si="35"/>
        <v>1.5546918378678511</v>
      </c>
      <c r="V21" s="168">
        <f t="shared" si="35"/>
        <v>0.70631970260223043</v>
      </c>
      <c r="W21" s="168">
        <f t="shared" si="35"/>
        <v>0.82934609250398716</v>
      </c>
      <c r="X21" s="168">
        <f t="shared" si="35"/>
        <v>0.28716497419677045</v>
      </c>
      <c r="Y21" s="168">
        <f t="shared" si="35"/>
        <v>0.31462214192262167</v>
      </c>
      <c r="Z21" s="168">
        <f t="shared" si="35"/>
        <v>1.2792511700468019</v>
      </c>
      <c r="AA21" s="168">
        <f t="shared" si="35"/>
        <v>0.50101557210561953</v>
      </c>
      <c r="AB21" s="176">
        <f t="shared" si="35"/>
        <v>1.0880316518298714</v>
      </c>
      <c r="AC21" s="168">
        <f t="shared" si="35"/>
        <v>0.66139996325555761</v>
      </c>
      <c r="AD21" s="168">
        <f t="shared" si="35"/>
        <v>1.3947453778786896</v>
      </c>
      <c r="AE21" s="168">
        <f t="shared" si="35"/>
        <v>0.88073092435591416</v>
      </c>
      <c r="AF21" s="168">
        <f t="shared" si="35"/>
        <v>0.84974893781382776</v>
      </c>
      <c r="AG21" s="168">
        <f t="shared" si="35"/>
        <v>1.0960841509767525</v>
      </c>
      <c r="AH21" s="168">
        <f t="shared" si="35"/>
        <v>1.0655147588192944</v>
      </c>
      <c r="AI21" s="168">
        <f t="shared" si="35"/>
        <v>0.82667401488013226</v>
      </c>
      <c r="AJ21" s="168">
        <f t="shared" si="35"/>
        <v>0.50317796610169496</v>
      </c>
      <c r="AK21" s="176">
        <f t="shared" si="35"/>
        <v>0.8295424137008296</v>
      </c>
      <c r="AL21" s="168">
        <f t="shared" si="35"/>
        <v>0.70562293274531418</v>
      </c>
      <c r="AM21" s="168">
        <f t="shared" si="35"/>
        <v>1.171875</v>
      </c>
      <c r="AN21" s="168">
        <f t="shared" si="35"/>
        <v>1.2401199236849278</v>
      </c>
      <c r="AO21" s="168">
        <f t="shared" si="35"/>
        <v>0.63588609344760849</v>
      </c>
      <c r="AP21" s="168">
        <f t="shared" si="35"/>
        <v>0.39022386527007602</v>
      </c>
      <c r="AQ21" s="168">
        <f t="shared" ref="AQ21:BV21" si="36">AQ118/AQ20%</f>
        <v>1.39881877525645</v>
      </c>
      <c r="AR21" s="168">
        <f t="shared" si="36"/>
        <v>1.0622406639004149</v>
      </c>
      <c r="AS21" s="169">
        <f t="shared" si="36"/>
        <v>0.59880239520958078</v>
      </c>
      <c r="AT21" s="168">
        <f t="shared" si="36"/>
        <v>0.15335819594994946</v>
      </c>
      <c r="AU21" s="168">
        <f t="shared" si="36"/>
        <v>0.29779138059392835</v>
      </c>
      <c r="AV21" s="168">
        <f t="shared" si="36"/>
        <v>0.39030856469548569</v>
      </c>
      <c r="AW21" s="168">
        <f t="shared" si="36"/>
        <v>0.55585440200824809</v>
      </c>
      <c r="AX21" s="168">
        <f t="shared" si="36"/>
        <v>0.58832181203118106</v>
      </c>
      <c r="AY21" s="168">
        <f t="shared" si="36"/>
        <v>0.74368911700010476</v>
      </c>
      <c r="AZ21" s="168">
        <f t="shared" si="36"/>
        <v>0.30769230769230771</v>
      </c>
      <c r="BA21" s="168">
        <f t="shared" si="36"/>
        <v>0.93221314305443659</v>
      </c>
      <c r="BB21" s="168">
        <f t="shared" si="36"/>
        <v>1.9008825526137134</v>
      </c>
      <c r="BC21" s="168">
        <f t="shared" si="36"/>
        <v>1.5546918378678511</v>
      </c>
      <c r="BD21" s="168">
        <f t="shared" si="36"/>
        <v>1.4816885658372938</v>
      </c>
      <c r="BE21" s="168">
        <f t="shared" si="36"/>
        <v>0.90174129353233845</v>
      </c>
      <c r="BF21" s="176">
        <f t="shared" si="36"/>
        <v>0.90475608265069074</v>
      </c>
      <c r="BG21" s="168">
        <f t="shared" si="36"/>
        <v>0.77332044465925565</v>
      </c>
      <c r="BH21" s="168">
        <f t="shared" si="36"/>
        <v>0.10593220338983052</v>
      </c>
      <c r="BI21" s="168">
        <f t="shared" si="36"/>
        <v>0.50869404365519788</v>
      </c>
      <c r="BJ21" s="168">
        <f t="shared" si="36"/>
        <v>0.68321946342276285</v>
      </c>
      <c r="BK21" s="168">
        <f t="shared" si="36"/>
        <v>0.26255907579205318</v>
      </c>
      <c r="BL21" s="168">
        <f t="shared" si="36"/>
        <v>0.12147195426938193</v>
      </c>
      <c r="BM21" s="168">
        <f t="shared" si="36"/>
        <v>1.2792511700468019</v>
      </c>
      <c r="BN21" s="168">
        <f t="shared" si="36"/>
        <v>0.55672099402936903</v>
      </c>
      <c r="BO21" s="168">
        <f t="shared" si="36"/>
        <v>0.35616438356164382</v>
      </c>
      <c r="BP21" s="168">
        <f t="shared" si="36"/>
        <v>1.0880316518298714</v>
      </c>
      <c r="BQ21" s="168">
        <f t="shared" si="36"/>
        <v>0.64257028112449799</v>
      </c>
      <c r="BR21" s="176">
        <f t="shared" si="36"/>
        <v>0.82934609250398716</v>
      </c>
      <c r="BS21" s="168">
        <f t="shared" si="36"/>
        <v>0.21759825921392628</v>
      </c>
      <c r="BT21" s="168">
        <f t="shared" si="36"/>
        <v>1.8974145120934112</v>
      </c>
      <c r="BU21" s="168">
        <f t="shared" si="36"/>
        <v>1.3947453778786896</v>
      </c>
      <c r="BV21" s="168">
        <f t="shared" si="36"/>
        <v>1.0960841509767525</v>
      </c>
      <c r="BW21" s="168">
        <f t="shared" ref="BW21:CL21" si="37">BW118/BW20%</f>
        <v>0.82667401488013226</v>
      </c>
      <c r="BX21" s="168">
        <f t="shared" si="37"/>
        <v>0.66139996325555761</v>
      </c>
      <c r="BY21" s="168">
        <f t="shared" si="37"/>
        <v>0.50317796610169496</v>
      </c>
      <c r="BZ21" s="168">
        <f t="shared" si="37"/>
        <v>1.0655147588192944</v>
      </c>
      <c r="CA21" s="168">
        <f t="shared" si="37"/>
        <v>0.84974893781382776</v>
      </c>
      <c r="CB21" s="176">
        <f t="shared" si="37"/>
        <v>0.8295424137008296</v>
      </c>
      <c r="CC21" s="168">
        <f t="shared" si="37"/>
        <v>0.63588609344760849</v>
      </c>
      <c r="CD21" s="168">
        <f t="shared" si="37"/>
        <v>0.39022386527007602</v>
      </c>
      <c r="CE21" s="168">
        <f t="shared" si="37"/>
        <v>0.70562293274531418</v>
      </c>
      <c r="CF21" s="168">
        <f t="shared" si="37"/>
        <v>0.17155601303825699</v>
      </c>
      <c r="CG21" s="168">
        <f t="shared" si="37"/>
        <v>1.1930326890956813</v>
      </c>
      <c r="CH21" s="168">
        <f t="shared" si="37"/>
        <v>1.171875</v>
      </c>
      <c r="CI21" s="168">
        <f t="shared" si="37"/>
        <v>1.0622406639004149</v>
      </c>
      <c r="CJ21" s="168">
        <f t="shared" si="37"/>
        <v>1.2401199236849278</v>
      </c>
      <c r="CK21" s="169">
        <f t="shared" si="37"/>
        <v>1.39881877525645</v>
      </c>
      <c r="CL21" s="177">
        <f t="shared" si="37"/>
        <v>0.65666195200231026</v>
      </c>
    </row>
    <row r="22" spans="1:90">
      <c r="A22" s="80">
        <f>ROWS($A$3:A20)</f>
        <v>18</v>
      </c>
      <c r="B22" s="59" t="s">
        <v>66</v>
      </c>
      <c r="C22" s="201"/>
      <c r="D22" s="260"/>
      <c r="E22" s="435"/>
      <c r="F22" s="116"/>
      <c r="G22" s="137"/>
      <c r="H22" s="137"/>
      <c r="I22" s="138"/>
      <c r="J22" s="141"/>
      <c r="K22" s="116"/>
      <c r="L22" s="137"/>
      <c r="M22" s="137"/>
      <c r="N22" s="137"/>
      <c r="O22" s="137"/>
      <c r="P22" s="137"/>
      <c r="Q22" s="137">
        <f>'2010'!AU22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C23" s="204">
        <v>2010</v>
      </c>
      <c r="D23" s="260" t="s">
        <v>13</v>
      </c>
      <c r="E23" s="437">
        <v>40679</v>
      </c>
      <c r="F23" s="116">
        <v>14397</v>
      </c>
      <c r="G23" s="137">
        <v>4930</v>
      </c>
      <c r="H23" s="137">
        <v>13611</v>
      </c>
      <c r="I23" s="138">
        <v>11574</v>
      </c>
      <c r="J23" s="141"/>
      <c r="K23" s="116">
        <f>BF23</f>
        <v>1827</v>
      </c>
      <c r="L23" s="137">
        <f>AY23</f>
        <v>1288</v>
      </c>
      <c r="M23" s="137">
        <f>BD23</f>
        <v>1552</v>
      </c>
      <c r="N23" s="137">
        <f>AW23</f>
        <v>782</v>
      </c>
      <c r="O23" s="137">
        <f>BE23</f>
        <v>581</v>
      </c>
      <c r="P23" s="137">
        <f>AZ23+BA23</f>
        <v>2309</v>
      </c>
      <c r="Q23" s="137">
        <f>'2010'!AU23</f>
        <v>604</v>
      </c>
      <c r="R23" s="137">
        <f>AT23+AX23</f>
        <v>1535</v>
      </c>
      <c r="S23" s="137">
        <f>AV23</f>
        <v>659</v>
      </c>
      <c r="T23" s="137">
        <f>BB23</f>
        <v>1229</v>
      </c>
      <c r="U23" s="139">
        <f>BC23</f>
        <v>2031</v>
      </c>
      <c r="V23" s="137">
        <f>BG23+BJ23</f>
        <v>661</v>
      </c>
      <c r="W23" s="137">
        <f>BR23</f>
        <v>517</v>
      </c>
      <c r="X23" s="137">
        <f>BH23+BI23</f>
        <v>828</v>
      </c>
      <c r="Y23" s="137">
        <f>BK23+BL23+BN23</f>
        <v>1125</v>
      </c>
      <c r="Z23" s="137">
        <f>BM23</f>
        <v>878</v>
      </c>
      <c r="AA23" s="137">
        <f>BO23+BQ23</f>
        <v>457</v>
      </c>
      <c r="AB23" s="139">
        <f>BP23</f>
        <v>464</v>
      </c>
      <c r="AC23" s="137">
        <f>BX23</f>
        <v>1037</v>
      </c>
      <c r="AD23" s="137">
        <f>BU23</f>
        <v>1422</v>
      </c>
      <c r="AE23" s="137">
        <f>BS23+BT23</f>
        <v>3099</v>
      </c>
      <c r="AF23" s="137">
        <f>CA23</f>
        <v>1074</v>
      </c>
      <c r="AG23" s="137">
        <f>BV23</f>
        <v>3572</v>
      </c>
      <c r="AH23" s="137">
        <f>BZ23</f>
        <v>900</v>
      </c>
      <c r="AI23" s="137">
        <f>BW23</f>
        <v>800</v>
      </c>
      <c r="AJ23" s="137">
        <f>BY23</f>
        <v>465</v>
      </c>
      <c r="AK23" s="139">
        <f>CB23</f>
        <v>1242</v>
      </c>
      <c r="AL23" s="137">
        <f>CE23</f>
        <v>755</v>
      </c>
      <c r="AM23" s="137">
        <f>CH23</f>
        <v>1848</v>
      </c>
      <c r="AN23" s="137">
        <f>CJ23</f>
        <v>2560</v>
      </c>
      <c r="AO23" s="137">
        <f>CC23</f>
        <v>1058</v>
      </c>
      <c r="AP23" s="137">
        <f>CD23</f>
        <v>419</v>
      </c>
      <c r="AQ23" s="137">
        <f>CK23</f>
        <v>1248</v>
      </c>
      <c r="AR23" s="137">
        <f>CI23</f>
        <v>1677</v>
      </c>
      <c r="AS23" s="138">
        <f>CF23+CG23</f>
        <v>2009</v>
      </c>
      <c r="AT23" s="141">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c r="A24" s="80">
        <f>ROWS($A$3:A22)</f>
        <v>20</v>
      </c>
      <c r="B24" s="52" t="s">
        <v>249</v>
      </c>
      <c r="C24" s="201"/>
      <c r="D24" s="260" t="s">
        <v>13</v>
      </c>
      <c r="E24" s="437">
        <v>40679</v>
      </c>
      <c r="F24" s="116">
        <v>2777</v>
      </c>
      <c r="G24" s="137">
        <v>850</v>
      </c>
      <c r="H24" s="137">
        <v>3557</v>
      </c>
      <c r="I24" s="138">
        <v>913</v>
      </c>
      <c r="J24" s="141"/>
      <c r="K24" s="116">
        <f t="shared" ref="K24:K33" si="38">BF24</f>
        <v>84</v>
      </c>
      <c r="L24" s="137">
        <f t="shared" ref="L24:L33" si="39">AY24</f>
        <v>428</v>
      </c>
      <c r="M24" s="137">
        <f t="shared" ref="M24:M33" si="40">BD24</f>
        <v>173</v>
      </c>
      <c r="N24" s="137">
        <f t="shared" ref="N24:N33" si="41">AW24</f>
        <v>84</v>
      </c>
      <c r="O24" s="137">
        <f t="shared" ref="O24:O33" si="42">BE24</f>
        <v>22</v>
      </c>
      <c r="P24" s="137">
        <f t="shared" ref="P24:P29" si="43">AZ24+BA24</f>
        <v>881</v>
      </c>
      <c r="Q24" s="137">
        <f>'2010'!AU24</f>
        <v>52</v>
      </c>
      <c r="R24" s="137">
        <f t="shared" ref="R24:R29" si="44">AT24+AX24</f>
        <v>598</v>
      </c>
      <c r="S24" s="137">
        <f t="shared" ref="S24:S33" si="45">AV24</f>
        <v>131</v>
      </c>
      <c r="T24" s="137">
        <f t="shared" ref="T24:T33" si="46">BB24</f>
        <v>261</v>
      </c>
      <c r="U24" s="139">
        <f t="shared" ref="U24:U33" si="47">BC24</f>
        <v>63</v>
      </c>
      <c r="V24" s="137">
        <f t="shared" ref="V24:V29" si="48">BG24+BJ24</f>
        <v>304</v>
      </c>
      <c r="W24" s="137">
        <f t="shared" ref="W24:W33" si="49">BR24</f>
        <v>24</v>
      </c>
      <c r="X24" s="137">
        <f t="shared" ref="X24:X29" si="50">BH24+BI24</f>
        <v>160</v>
      </c>
      <c r="Y24" s="137">
        <f t="shared" ref="Y24:Y29" si="51">BK24+BL24+BN24</f>
        <v>225</v>
      </c>
      <c r="Z24" s="137">
        <f t="shared" ref="Z24:Z33" si="52">BM24</f>
        <v>34</v>
      </c>
      <c r="AA24" s="137">
        <f t="shared" ref="AA24:AA29" si="53">BO24+BQ24</f>
        <v>78</v>
      </c>
      <c r="AB24" s="139">
        <f t="shared" ref="AB24:AB33" si="54">BP24</f>
        <v>25</v>
      </c>
      <c r="AC24" s="137">
        <f t="shared" ref="AC24:AC33" si="55">BX24</f>
        <v>16</v>
      </c>
      <c r="AD24" s="137">
        <f t="shared" ref="AD24:AD33" si="56">BU24</f>
        <v>514</v>
      </c>
      <c r="AE24" s="137">
        <f t="shared" ref="AE24:AE29" si="57">BS24+BT24</f>
        <v>1264</v>
      </c>
      <c r="AF24" s="137">
        <f t="shared" ref="AF24:AF33" si="58">CA24</f>
        <v>215</v>
      </c>
      <c r="AG24" s="137">
        <f t="shared" ref="AG24:AG33" si="59">BV24</f>
        <v>1291</v>
      </c>
      <c r="AH24" s="137">
        <f t="shared" ref="AH24:AH33" si="60">BZ24</f>
        <v>174</v>
      </c>
      <c r="AI24" s="137">
        <f t="shared" ref="AI24:AI33" si="61">BW24</f>
        <v>21</v>
      </c>
      <c r="AJ24" s="137">
        <f t="shared" ref="AJ24:AJ33" si="62">BY24</f>
        <v>11</v>
      </c>
      <c r="AK24" s="139">
        <f t="shared" ref="AK24:AK33" si="63">CB24</f>
        <v>51</v>
      </c>
      <c r="AL24" s="137">
        <f t="shared" ref="AL24:AL33" si="64">CE24</f>
        <v>23</v>
      </c>
      <c r="AM24" s="137">
        <f t="shared" ref="AM24:AM33" si="65">CH24</f>
        <v>56</v>
      </c>
      <c r="AN24" s="137">
        <f t="shared" ref="AN24:AN33" si="66">CJ24</f>
        <v>152</v>
      </c>
      <c r="AO24" s="137">
        <f t="shared" ref="AO24:AO33" si="67">CC24</f>
        <v>53</v>
      </c>
      <c r="AP24" s="137">
        <f t="shared" ref="AP24:AP33" si="68">CD24</f>
        <v>41</v>
      </c>
      <c r="AQ24" s="137">
        <f t="shared" ref="AQ24:AQ33" si="69">CK24</f>
        <v>40</v>
      </c>
      <c r="AR24" s="137">
        <f t="shared" ref="AR24:AR33" si="70">CI24</f>
        <v>467</v>
      </c>
      <c r="AS24" s="138">
        <f t="shared" ref="AS24:AS29" si="71">CF24+CG24</f>
        <v>81</v>
      </c>
      <c r="AT24" s="141">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c r="A25" s="80">
        <f>ROWS($A$3:A23)</f>
        <v>21</v>
      </c>
      <c r="B25" s="52" t="s">
        <v>250</v>
      </c>
      <c r="C25" s="201"/>
      <c r="D25" s="260" t="s">
        <v>13</v>
      </c>
      <c r="E25" s="437">
        <v>40679</v>
      </c>
      <c r="F25" s="116">
        <v>2154</v>
      </c>
      <c r="G25" s="137">
        <v>818</v>
      </c>
      <c r="H25" s="137">
        <v>2929</v>
      </c>
      <c r="I25" s="138">
        <v>1792</v>
      </c>
      <c r="J25" s="141"/>
      <c r="K25" s="116">
        <f t="shared" si="38"/>
        <v>347</v>
      </c>
      <c r="L25" s="137">
        <f t="shared" si="39"/>
        <v>246</v>
      </c>
      <c r="M25" s="137">
        <f t="shared" si="40"/>
        <v>183</v>
      </c>
      <c r="N25" s="137">
        <f t="shared" si="41"/>
        <v>115</v>
      </c>
      <c r="O25" s="137">
        <f t="shared" si="42"/>
        <v>78</v>
      </c>
      <c r="P25" s="137">
        <f t="shared" si="43"/>
        <v>334</v>
      </c>
      <c r="Q25" s="137">
        <f>'2010'!AU25</f>
        <v>101</v>
      </c>
      <c r="R25" s="137">
        <f t="shared" si="44"/>
        <v>157</v>
      </c>
      <c r="S25" s="137">
        <f t="shared" si="45"/>
        <v>117</v>
      </c>
      <c r="T25" s="137">
        <f t="shared" si="46"/>
        <v>176</v>
      </c>
      <c r="U25" s="139">
        <f t="shared" si="47"/>
        <v>300</v>
      </c>
      <c r="V25" s="137">
        <f t="shared" si="48"/>
        <v>105</v>
      </c>
      <c r="W25" s="137">
        <f t="shared" si="49"/>
        <v>135</v>
      </c>
      <c r="X25" s="137">
        <f t="shared" si="50"/>
        <v>121</v>
      </c>
      <c r="Y25" s="137">
        <f t="shared" si="51"/>
        <v>133</v>
      </c>
      <c r="Z25" s="137">
        <f t="shared" si="52"/>
        <v>128</v>
      </c>
      <c r="AA25" s="137">
        <f t="shared" si="53"/>
        <v>64</v>
      </c>
      <c r="AB25" s="139">
        <f t="shared" si="54"/>
        <v>132</v>
      </c>
      <c r="AC25" s="137">
        <f t="shared" si="55"/>
        <v>215</v>
      </c>
      <c r="AD25" s="137">
        <f t="shared" si="56"/>
        <v>289</v>
      </c>
      <c r="AE25" s="137">
        <f t="shared" si="57"/>
        <v>516</v>
      </c>
      <c r="AF25" s="137">
        <f t="shared" si="58"/>
        <v>229</v>
      </c>
      <c r="AG25" s="137">
        <f t="shared" si="59"/>
        <v>928</v>
      </c>
      <c r="AH25" s="137">
        <f t="shared" si="60"/>
        <v>120</v>
      </c>
      <c r="AI25" s="137">
        <f t="shared" si="61"/>
        <v>198</v>
      </c>
      <c r="AJ25" s="137">
        <f t="shared" si="62"/>
        <v>86</v>
      </c>
      <c r="AK25" s="139">
        <f t="shared" si="63"/>
        <v>348</v>
      </c>
      <c r="AL25" s="137">
        <f t="shared" si="64"/>
        <v>173</v>
      </c>
      <c r="AM25" s="137">
        <f t="shared" si="65"/>
        <v>239</v>
      </c>
      <c r="AN25" s="137">
        <f t="shared" si="66"/>
        <v>311</v>
      </c>
      <c r="AO25" s="137">
        <f t="shared" si="67"/>
        <v>211</v>
      </c>
      <c r="AP25" s="137">
        <f t="shared" si="68"/>
        <v>71</v>
      </c>
      <c r="AQ25" s="137">
        <f t="shared" si="69"/>
        <v>218</v>
      </c>
      <c r="AR25" s="137">
        <f t="shared" si="70"/>
        <v>318</v>
      </c>
      <c r="AS25" s="138">
        <f t="shared" si="71"/>
        <v>251</v>
      </c>
      <c r="AT25" s="141">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c r="A26" s="80">
        <f>ROWS($A$3:A24)</f>
        <v>22</v>
      </c>
      <c r="B26" s="52" t="s">
        <v>251</v>
      </c>
      <c r="C26" s="201"/>
      <c r="D26" s="260" t="s">
        <v>13</v>
      </c>
      <c r="E26" s="437">
        <v>40679</v>
      </c>
      <c r="F26" s="116">
        <v>2758</v>
      </c>
      <c r="G26" s="137">
        <v>898</v>
      </c>
      <c r="H26" s="137">
        <v>2870</v>
      </c>
      <c r="I26" s="138">
        <v>2733</v>
      </c>
      <c r="J26" s="141"/>
      <c r="K26" s="116">
        <f t="shared" si="38"/>
        <v>495</v>
      </c>
      <c r="L26" s="137">
        <f t="shared" si="39"/>
        <v>245</v>
      </c>
      <c r="M26" s="137">
        <f t="shared" si="40"/>
        <v>303</v>
      </c>
      <c r="N26" s="137">
        <f t="shared" si="41"/>
        <v>160</v>
      </c>
      <c r="O26" s="137">
        <f t="shared" si="42"/>
        <v>123</v>
      </c>
      <c r="P26" s="137">
        <f t="shared" si="43"/>
        <v>309</v>
      </c>
      <c r="Q26" s="137">
        <f>'2010'!AU26</f>
        <v>140</v>
      </c>
      <c r="R26" s="137">
        <f t="shared" si="44"/>
        <v>197</v>
      </c>
      <c r="S26" s="137">
        <f t="shared" si="45"/>
        <v>123</v>
      </c>
      <c r="T26" s="137">
        <f t="shared" si="46"/>
        <v>213</v>
      </c>
      <c r="U26" s="139">
        <f t="shared" si="47"/>
        <v>450</v>
      </c>
      <c r="V26" s="137">
        <f t="shared" si="48"/>
        <v>104</v>
      </c>
      <c r="W26" s="137">
        <f t="shared" si="49"/>
        <v>114</v>
      </c>
      <c r="X26" s="137">
        <f t="shared" si="50"/>
        <v>122</v>
      </c>
      <c r="Y26" s="137">
        <f t="shared" si="51"/>
        <v>175</v>
      </c>
      <c r="Z26" s="137">
        <f t="shared" si="52"/>
        <v>191</v>
      </c>
      <c r="AA26" s="137">
        <f t="shared" si="53"/>
        <v>85</v>
      </c>
      <c r="AB26" s="139">
        <f t="shared" si="54"/>
        <v>107</v>
      </c>
      <c r="AC26" s="137">
        <f t="shared" si="55"/>
        <v>228</v>
      </c>
      <c r="AD26" s="137">
        <f t="shared" si="56"/>
        <v>318</v>
      </c>
      <c r="AE26" s="137">
        <f t="shared" si="57"/>
        <v>534</v>
      </c>
      <c r="AF26" s="137">
        <f t="shared" si="58"/>
        <v>259</v>
      </c>
      <c r="AG26" s="137">
        <f t="shared" si="59"/>
        <v>707</v>
      </c>
      <c r="AH26" s="137">
        <f t="shared" si="60"/>
        <v>177</v>
      </c>
      <c r="AI26" s="137">
        <f t="shared" si="61"/>
        <v>207</v>
      </c>
      <c r="AJ26" s="137">
        <f t="shared" si="62"/>
        <v>113</v>
      </c>
      <c r="AK26" s="139">
        <f t="shared" si="63"/>
        <v>327</v>
      </c>
      <c r="AL26" s="137">
        <f t="shared" si="64"/>
        <v>183</v>
      </c>
      <c r="AM26" s="137">
        <f t="shared" si="65"/>
        <v>386</v>
      </c>
      <c r="AN26" s="137">
        <f t="shared" si="66"/>
        <v>617</v>
      </c>
      <c r="AO26" s="137">
        <f t="shared" si="67"/>
        <v>272</v>
      </c>
      <c r="AP26" s="137">
        <f t="shared" si="68"/>
        <v>91</v>
      </c>
      <c r="AQ26" s="137">
        <f t="shared" si="69"/>
        <v>306</v>
      </c>
      <c r="AR26" s="137">
        <f t="shared" si="70"/>
        <v>387</v>
      </c>
      <c r="AS26" s="138">
        <f t="shared" si="71"/>
        <v>491</v>
      </c>
      <c r="AT26" s="141">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c r="A27" s="80">
        <f>ROWS($A$3:A25)</f>
        <v>23</v>
      </c>
      <c r="B27" s="52" t="s">
        <v>252</v>
      </c>
      <c r="C27" s="201"/>
      <c r="D27" s="260" t="s">
        <v>13</v>
      </c>
      <c r="E27" s="437">
        <v>40679</v>
      </c>
      <c r="F27" s="116">
        <v>3588</v>
      </c>
      <c r="G27" s="137">
        <v>1000</v>
      </c>
      <c r="H27" s="137">
        <v>2416</v>
      </c>
      <c r="I27" s="138">
        <v>3349</v>
      </c>
      <c r="J27" s="141"/>
      <c r="K27" s="116">
        <f t="shared" si="38"/>
        <v>462</v>
      </c>
      <c r="L27" s="137">
        <f t="shared" si="39"/>
        <v>235</v>
      </c>
      <c r="M27" s="137">
        <f t="shared" si="40"/>
        <v>465</v>
      </c>
      <c r="N27" s="137">
        <f t="shared" si="41"/>
        <v>216</v>
      </c>
      <c r="O27" s="137">
        <f t="shared" si="42"/>
        <v>159</v>
      </c>
      <c r="P27" s="137">
        <f t="shared" si="43"/>
        <v>418</v>
      </c>
      <c r="Q27" s="137">
        <f>'2010'!AU27</f>
        <v>153</v>
      </c>
      <c r="R27" s="137">
        <f t="shared" si="44"/>
        <v>371</v>
      </c>
      <c r="S27" s="137">
        <f t="shared" si="45"/>
        <v>155</v>
      </c>
      <c r="T27" s="137">
        <f t="shared" si="46"/>
        <v>298</v>
      </c>
      <c r="U27" s="139">
        <f t="shared" si="47"/>
        <v>656</v>
      </c>
      <c r="V27" s="137">
        <f t="shared" si="48"/>
        <v>58</v>
      </c>
      <c r="W27" s="137">
        <f t="shared" si="49"/>
        <v>129</v>
      </c>
      <c r="X27" s="137">
        <f t="shared" si="50"/>
        <v>147</v>
      </c>
      <c r="Y27" s="137">
        <f t="shared" si="51"/>
        <v>286</v>
      </c>
      <c r="Z27" s="137">
        <f t="shared" si="52"/>
        <v>210</v>
      </c>
      <c r="AA27" s="137">
        <f t="shared" si="53"/>
        <v>84</v>
      </c>
      <c r="AB27" s="139">
        <f t="shared" si="54"/>
        <v>86</v>
      </c>
      <c r="AC27" s="137">
        <f t="shared" si="55"/>
        <v>326</v>
      </c>
      <c r="AD27" s="137">
        <f t="shared" si="56"/>
        <v>210</v>
      </c>
      <c r="AE27" s="137">
        <f t="shared" si="57"/>
        <v>543</v>
      </c>
      <c r="AF27" s="137">
        <f t="shared" si="58"/>
        <v>255</v>
      </c>
      <c r="AG27" s="137">
        <f t="shared" si="59"/>
        <v>382</v>
      </c>
      <c r="AH27" s="137">
        <f t="shared" si="60"/>
        <v>190</v>
      </c>
      <c r="AI27" s="137">
        <f t="shared" si="61"/>
        <v>156</v>
      </c>
      <c r="AJ27" s="137">
        <f t="shared" si="62"/>
        <v>88</v>
      </c>
      <c r="AK27" s="139">
        <f t="shared" si="63"/>
        <v>266</v>
      </c>
      <c r="AL27" s="137">
        <f t="shared" si="64"/>
        <v>171</v>
      </c>
      <c r="AM27" s="137">
        <f t="shared" si="65"/>
        <v>605</v>
      </c>
      <c r="AN27" s="137">
        <f t="shared" si="66"/>
        <v>934</v>
      </c>
      <c r="AO27" s="137">
        <f t="shared" si="67"/>
        <v>256</v>
      </c>
      <c r="AP27" s="137">
        <f t="shared" si="68"/>
        <v>104</v>
      </c>
      <c r="AQ27" s="137">
        <f t="shared" si="69"/>
        <v>322</v>
      </c>
      <c r="AR27" s="137">
        <f t="shared" si="70"/>
        <v>351</v>
      </c>
      <c r="AS27" s="138">
        <f t="shared" si="71"/>
        <v>606</v>
      </c>
      <c r="AT27" s="141">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c r="A28" s="80">
        <f>ROWS($A$3:A26)</f>
        <v>24</v>
      </c>
      <c r="B28" s="52" t="s">
        <v>4</v>
      </c>
      <c r="C28" s="201"/>
      <c r="D28" s="260" t="s">
        <v>13</v>
      </c>
      <c r="E28" s="437">
        <v>40679</v>
      </c>
      <c r="F28" s="116">
        <v>2265</v>
      </c>
      <c r="G28" s="137">
        <v>809</v>
      </c>
      <c r="H28" s="137">
        <v>1258</v>
      </c>
      <c r="I28" s="138">
        <v>1995</v>
      </c>
      <c r="J28" s="141"/>
      <c r="K28" s="116">
        <f t="shared" si="38"/>
        <v>306</v>
      </c>
      <c r="L28" s="137">
        <f t="shared" si="39"/>
        <v>100</v>
      </c>
      <c r="M28" s="137">
        <f t="shared" si="40"/>
        <v>255</v>
      </c>
      <c r="N28" s="137">
        <f t="shared" si="41"/>
        <v>161</v>
      </c>
      <c r="O28" s="137">
        <f t="shared" si="42"/>
        <v>144</v>
      </c>
      <c r="P28" s="137">
        <f t="shared" si="43"/>
        <v>252</v>
      </c>
      <c r="Q28" s="137">
        <f>'2010'!AU28</f>
        <v>110</v>
      </c>
      <c r="R28" s="137">
        <f t="shared" si="44"/>
        <v>179</v>
      </c>
      <c r="S28" s="137">
        <f t="shared" si="45"/>
        <v>103</v>
      </c>
      <c r="T28" s="137">
        <f t="shared" si="46"/>
        <v>198</v>
      </c>
      <c r="U28" s="139">
        <f t="shared" si="47"/>
        <v>457</v>
      </c>
      <c r="V28" s="137">
        <f t="shared" si="48"/>
        <v>45</v>
      </c>
      <c r="W28" s="137">
        <f t="shared" si="49"/>
        <v>72</v>
      </c>
      <c r="X28" s="137">
        <f t="shared" si="50"/>
        <v>137</v>
      </c>
      <c r="Y28" s="137">
        <f t="shared" si="51"/>
        <v>218</v>
      </c>
      <c r="Z28" s="137">
        <f t="shared" si="52"/>
        <v>176</v>
      </c>
      <c r="AA28" s="137">
        <f t="shared" si="53"/>
        <v>88</v>
      </c>
      <c r="AB28" s="139">
        <f t="shared" si="54"/>
        <v>73</v>
      </c>
      <c r="AC28" s="137">
        <f t="shared" si="55"/>
        <v>177</v>
      </c>
      <c r="AD28" s="137">
        <f t="shared" si="56"/>
        <v>65</v>
      </c>
      <c r="AE28" s="137">
        <f t="shared" si="57"/>
        <v>191</v>
      </c>
      <c r="AF28" s="137">
        <f t="shared" si="58"/>
        <v>97</v>
      </c>
      <c r="AG28" s="137">
        <f t="shared" si="59"/>
        <v>181</v>
      </c>
      <c r="AH28" s="137">
        <f t="shared" si="60"/>
        <v>153</v>
      </c>
      <c r="AI28" s="137">
        <f t="shared" si="61"/>
        <v>140</v>
      </c>
      <c r="AJ28" s="137">
        <f t="shared" si="62"/>
        <v>80</v>
      </c>
      <c r="AK28" s="139">
        <f t="shared" si="63"/>
        <v>174</v>
      </c>
      <c r="AL28" s="137">
        <f t="shared" si="64"/>
        <v>100</v>
      </c>
      <c r="AM28" s="137">
        <f t="shared" si="65"/>
        <v>425</v>
      </c>
      <c r="AN28" s="137">
        <f t="shared" si="66"/>
        <v>483</v>
      </c>
      <c r="AO28" s="137">
        <f t="shared" si="67"/>
        <v>163</v>
      </c>
      <c r="AP28" s="137">
        <f t="shared" si="68"/>
        <v>50</v>
      </c>
      <c r="AQ28" s="137">
        <f t="shared" si="69"/>
        <v>210</v>
      </c>
      <c r="AR28" s="137">
        <f t="shared" si="70"/>
        <v>125</v>
      </c>
      <c r="AS28" s="138">
        <f t="shared" si="71"/>
        <v>439</v>
      </c>
      <c r="AT28" s="141">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c r="A29" s="80">
        <f>ROWS($A$3:A27)</f>
        <v>25</v>
      </c>
      <c r="B29" s="52" t="s">
        <v>5</v>
      </c>
      <c r="C29" s="201"/>
      <c r="D29" s="260" t="s">
        <v>13</v>
      </c>
      <c r="E29" s="437">
        <v>40679</v>
      </c>
      <c r="F29" s="116">
        <v>855</v>
      </c>
      <c r="G29" s="137">
        <v>555</v>
      </c>
      <c r="H29" s="137">
        <v>581</v>
      </c>
      <c r="I29" s="138">
        <v>792</v>
      </c>
      <c r="J29" s="141"/>
      <c r="K29" s="116">
        <f t="shared" si="38"/>
        <v>133</v>
      </c>
      <c r="L29" s="137">
        <f t="shared" si="39"/>
        <v>34</v>
      </c>
      <c r="M29" s="137">
        <f t="shared" si="40"/>
        <v>173</v>
      </c>
      <c r="N29" s="137">
        <f t="shared" si="41"/>
        <v>46</v>
      </c>
      <c r="O29" s="137">
        <f t="shared" si="42"/>
        <v>55</v>
      </c>
      <c r="P29" s="137">
        <f t="shared" si="43"/>
        <v>115</v>
      </c>
      <c r="Q29" s="137">
        <f>'2010'!AU29</f>
        <v>48</v>
      </c>
      <c r="R29" s="137">
        <f t="shared" si="44"/>
        <v>33</v>
      </c>
      <c r="S29" s="137">
        <f t="shared" si="45"/>
        <v>30</v>
      </c>
      <c r="T29" s="137">
        <f t="shared" si="46"/>
        <v>83</v>
      </c>
      <c r="U29" s="139">
        <f t="shared" si="47"/>
        <v>105</v>
      </c>
      <c r="V29" s="137">
        <f t="shared" si="48"/>
        <v>45</v>
      </c>
      <c r="W29" s="137">
        <f t="shared" si="49"/>
        <v>43</v>
      </c>
      <c r="X29" s="137">
        <f t="shared" si="50"/>
        <v>141</v>
      </c>
      <c r="Y29" s="137">
        <f t="shared" si="51"/>
        <v>88</v>
      </c>
      <c r="Z29" s="137">
        <f t="shared" si="52"/>
        <v>139</v>
      </c>
      <c r="AA29" s="137">
        <f t="shared" si="53"/>
        <v>58</v>
      </c>
      <c r="AB29" s="139">
        <f t="shared" si="54"/>
        <v>41</v>
      </c>
      <c r="AC29" s="137">
        <f t="shared" si="55"/>
        <v>75</v>
      </c>
      <c r="AD29" s="137">
        <f t="shared" si="56"/>
        <v>26</v>
      </c>
      <c r="AE29" s="137">
        <f t="shared" si="57"/>
        <v>51</v>
      </c>
      <c r="AF29" s="137">
        <f t="shared" si="58"/>
        <v>19</v>
      </c>
      <c r="AG29" s="137">
        <f t="shared" si="59"/>
        <v>83</v>
      </c>
      <c r="AH29" s="137">
        <f t="shared" si="60"/>
        <v>86</v>
      </c>
      <c r="AI29" s="137">
        <f t="shared" si="61"/>
        <v>78</v>
      </c>
      <c r="AJ29" s="137">
        <f t="shared" si="62"/>
        <v>87</v>
      </c>
      <c r="AK29" s="139">
        <f t="shared" si="63"/>
        <v>76</v>
      </c>
      <c r="AL29" s="137">
        <f t="shared" si="64"/>
        <v>105</v>
      </c>
      <c r="AM29" s="137">
        <f t="shared" si="65"/>
        <v>137</v>
      </c>
      <c r="AN29" s="137">
        <f t="shared" si="66"/>
        <v>63</v>
      </c>
      <c r="AO29" s="137">
        <f t="shared" si="67"/>
        <v>103</v>
      </c>
      <c r="AP29" s="137">
        <f t="shared" si="68"/>
        <v>62</v>
      </c>
      <c r="AQ29" s="137">
        <f t="shared" si="69"/>
        <v>152</v>
      </c>
      <c r="AR29" s="137">
        <f t="shared" si="70"/>
        <v>29</v>
      </c>
      <c r="AS29" s="138">
        <f t="shared" si="71"/>
        <v>141</v>
      </c>
      <c r="AT29" s="141">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c r="A30" s="80">
        <f>ROWS($A$3:A28)</f>
        <v>26</v>
      </c>
      <c r="B30" s="53" t="s">
        <v>256</v>
      </c>
      <c r="C30" s="261"/>
      <c r="D30" s="260" t="s">
        <v>1</v>
      </c>
      <c r="E30" s="435"/>
      <c r="F30" s="167">
        <f>F35/F23</f>
        <v>32.264638466347158</v>
      </c>
      <c r="G30" s="168">
        <f>G35/G23</f>
        <v>40.845436105476672</v>
      </c>
      <c r="H30" s="168">
        <f>H35/H23</f>
        <v>23.383219454852693</v>
      </c>
      <c r="I30" s="169">
        <f>I35/I23</f>
        <v>36.79255227233454</v>
      </c>
      <c r="J30" s="173"/>
      <c r="K30" s="178">
        <f t="shared" si="38"/>
        <v>35.38806787082649</v>
      </c>
      <c r="L30" s="179">
        <f t="shared" si="39"/>
        <v>19.795031055900623</v>
      </c>
      <c r="M30" s="179">
        <f t="shared" si="40"/>
        <v>43.84407216494845</v>
      </c>
      <c r="N30" s="179">
        <f t="shared" si="41"/>
        <v>35.966751918158565</v>
      </c>
      <c r="O30" s="179">
        <f t="shared" si="42"/>
        <v>45.077452667814114</v>
      </c>
      <c r="P30" s="168">
        <f>P35/P23</f>
        <v>25.152446946730187</v>
      </c>
      <c r="Q30" s="179">
        <f>'2010'!AU30</f>
        <v>36.519867549668874</v>
      </c>
      <c r="R30" s="168">
        <f>R35/R23</f>
        <v>22.584364820846904</v>
      </c>
      <c r="S30" s="179">
        <f t="shared" si="45"/>
        <v>29.792109256449166</v>
      </c>
      <c r="T30" s="179">
        <f t="shared" si="46"/>
        <v>33.543531326281531</v>
      </c>
      <c r="U30" s="180">
        <f t="shared" si="47"/>
        <v>37.588872476612508</v>
      </c>
      <c r="V30" s="168">
        <f>V35/V23</f>
        <v>24.246596066565811</v>
      </c>
      <c r="W30" s="179">
        <f t="shared" si="49"/>
        <v>36.584139264990327</v>
      </c>
      <c r="X30" s="168">
        <f>X35/X23</f>
        <v>48.205314009661834</v>
      </c>
      <c r="Y30" s="168">
        <f>Y35/Y23</f>
        <v>38.028444444444446</v>
      </c>
      <c r="Z30" s="179">
        <f t="shared" si="52"/>
        <v>52.759681093394079</v>
      </c>
      <c r="AA30" s="168">
        <f>AA35/AA23</f>
        <v>44.10503282275711</v>
      </c>
      <c r="AB30" s="180">
        <f t="shared" si="54"/>
        <v>37.181034482758619</v>
      </c>
      <c r="AC30" s="179">
        <f t="shared" si="55"/>
        <v>37.443587270973964</v>
      </c>
      <c r="AD30" s="179">
        <f t="shared" si="56"/>
        <v>15.685654008438819</v>
      </c>
      <c r="AE30" s="168">
        <f>AE35/AE23</f>
        <v>16.826072926750566</v>
      </c>
      <c r="AF30" s="179">
        <f t="shared" si="58"/>
        <v>21.553072625698324</v>
      </c>
      <c r="AG30" s="179">
        <f t="shared" si="59"/>
        <v>15.537513997760358</v>
      </c>
      <c r="AH30" s="179">
        <f t="shared" si="60"/>
        <v>37.394444444444446</v>
      </c>
      <c r="AI30" s="179">
        <f t="shared" si="61"/>
        <v>37.616250000000001</v>
      </c>
      <c r="AJ30" s="179">
        <f t="shared" si="62"/>
        <v>52.1505376344086</v>
      </c>
      <c r="AK30" s="180">
        <f t="shared" si="63"/>
        <v>30.872785829307567</v>
      </c>
      <c r="AL30" s="179">
        <f t="shared" si="64"/>
        <v>44.921854304635758</v>
      </c>
      <c r="AM30" s="179">
        <f t="shared" si="65"/>
        <v>41.305194805194802</v>
      </c>
      <c r="AN30" s="179">
        <f t="shared" si="66"/>
        <v>33.678125000000001</v>
      </c>
      <c r="AO30" s="179">
        <f t="shared" si="67"/>
        <v>40.339319470699429</v>
      </c>
      <c r="AP30" s="179">
        <f t="shared" si="68"/>
        <v>47.954653937947491</v>
      </c>
      <c r="AQ30" s="179">
        <f t="shared" si="69"/>
        <v>43.668269230769234</v>
      </c>
      <c r="AR30" s="179">
        <f t="shared" si="70"/>
        <v>19.904591532498511</v>
      </c>
      <c r="AS30" s="169">
        <f t="shared" ref="AS30:CL30" si="72">AS35/AS23</f>
        <v>39.184171229467395</v>
      </c>
      <c r="AT30" s="168">
        <f t="shared" si="72"/>
        <v>12.631313131313131</v>
      </c>
      <c r="AU30" s="168">
        <f t="shared" si="72"/>
        <v>36.519867549668874</v>
      </c>
      <c r="AV30" s="168">
        <f t="shared" si="72"/>
        <v>29.792109256449166</v>
      </c>
      <c r="AW30" s="168">
        <f t="shared" si="72"/>
        <v>35.966751918158565</v>
      </c>
      <c r="AX30" s="168">
        <f t="shared" si="72"/>
        <v>24.05833956619297</v>
      </c>
      <c r="AY30" s="168">
        <f t="shared" si="72"/>
        <v>19.795031055900623</v>
      </c>
      <c r="AZ30" s="168">
        <f t="shared" si="72"/>
        <v>22.846994535519126</v>
      </c>
      <c r="BA30" s="168">
        <f t="shared" si="72"/>
        <v>25.350893697083727</v>
      </c>
      <c r="BB30" s="168">
        <f t="shared" si="72"/>
        <v>33.543531326281531</v>
      </c>
      <c r="BC30" s="168">
        <f t="shared" si="72"/>
        <v>37.588872476612508</v>
      </c>
      <c r="BD30" s="168">
        <f t="shared" si="72"/>
        <v>43.84407216494845</v>
      </c>
      <c r="BE30" s="168">
        <f t="shared" si="72"/>
        <v>45.077452667814114</v>
      </c>
      <c r="BF30" s="176">
        <f t="shared" si="72"/>
        <v>35.38806787082649</v>
      </c>
      <c r="BG30" s="168">
        <f t="shared" si="72"/>
        <v>13.307017543859649</v>
      </c>
      <c r="BH30" s="168">
        <f t="shared" si="72"/>
        <v>38.738461538461536</v>
      </c>
      <c r="BI30" s="168">
        <f t="shared" si="72"/>
        <v>49.011795543905635</v>
      </c>
      <c r="BJ30" s="168">
        <f t="shared" si="72"/>
        <v>26.526508226691043</v>
      </c>
      <c r="BK30" s="168">
        <f t="shared" si="72"/>
        <v>20.573033707865168</v>
      </c>
      <c r="BL30" s="168">
        <f t="shared" si="72"/>
        <v>41.362318840579711</v>
      </c>
      <c r="BM30" s="168">
        <f t="shared" si="72"/>
        <v>52.759681093394079</v>
      </c>
      <c r="BN30" s="168">
        <f t="shared" si="72"/>
        <v>39.397104446742503</v>
      </c>
      <c r="BO30" s="168">
        <f t="shared" si="72"/>
        <v>42.458333333333336</v>
      </c>
      <c r="BP30" s="168">
        <f t="shared" si="72"/>
        <v>37.181034482758619</v>
      </c>
      <c r="BQ30" s="168">
        <f t="shared" si="72"/>
        <v>44.196304849884527</v>
      </c>
      <c r="BR30" s="176">
        <f t="shared" si="72"/>
        <v>36.584139264990327</v>
      </c>
      <c r="BS30" s="168">
        <f t="shared" si="72"/>
        <v>16.102803738317757</v>
      </c>
      <c r="BT30" s="168">
        <f t="shared" si="72"/>
        <v>16.879722703639516</v>
      </c>
      <c r="BU30" s="168">
        <f t="shared" si="72"/>
        <v>15.685654008438819</v>
      </c>
      <c r="BV30" s="168">
        <f t="shared" si="72"/>
        <v>15.537513997760358</v>
      </c>
      <c r="BW30" s="168">
        <f t="shared" si="72"/>
        <v>37.616250000000001</v>
      </c>
      <c r="BX30" s="168">
        <f t="shared" si="72"/>
        <v>37.443587270973964</v>
      </c>
      <c r="BY30" s="168">
        <f t="shared" si="72"/>
        <v>52.1505376344086</v>
      </c>
      <c r="BZ30" s="168">
        <f t="shared" si="72"/>
        <v>37.394444444444446</v>
      </c>
      <c r="CA30" s="168">
        <f t="shared" si="72"/>
        <v>21.553072625698324</v>
      </c>
      <c r="CB30" s="176">
        <f t="shared" si="72"/>
        <v>30.872785829307567</v>
      </c>
      <c r="CC30" s="168">
        <f t="shared" si="72"/>
        <v>40.339319470699429</v>
      </c>
      <c r="CD30" s="168">
        <f t="shared" si="72"/>
        <v>47.954653937947491</v>
      </c>
      <c r="CE30" s="168">
        <f t="shared" si="72"/>
        <v>44.921854304635758</v>
      </c>
      <c r="CF30" s="168">
        <f t="shared" si="72"/>
        <v>39.779661016949156</v>
      </c>
      <c r="CG30" s="168">
        <f t="shared" si="72"/>
        <v>39.147012162876784</v>
      </c>
      <c r="CH30" s="168">
        <f t="shared" si="72"/>
        <v>41.305194805194802</v>
      </c>
      <c r="CI30" s="168">
        <f t="shared" si="72"/>
        <v>19.904591532498511</v>
      </c>
      <c r="CJ30" s="168">
        <f t="shared" si="72"/>
        <v>33.678125000000001</v>
      </c>
      <c r="CK30" s="169">
        <f t="shared" si="72"/>
        <v>43.668269230769234</v>
      </c>
      <c r="CL30" s="177">
        <f t="shared" si="72"/>
        <v>31.67658159597412</v>
      </c>
    </row>
    <row r="31" spans="1:90">
      <c r="A31" s="80">
        <f>ROWS($A$3:A29)</f>
        <v>27</v>
      </c>
      <c r="B31" s="53" t="str">
        <f>"Entwicklung Betriebe ab 5 ha LF von 2001 / "&amp;C23</f>
        <v>Entwicklung Betriebe ab 5 ha LF von 2001 / 2010</v>
      </c>
      <c r="C31" s="261"/>
      <c r="D31" s="260" t="s">
        <v>3</v>
      </c>
      <c r="E31" s="435"/>
      <c r="F31" s="142">
        <f>(F23-F24)/('2001'!F23-'2001'!F24)%-100</f>
        <v>-21.145494028230189</v>
      </c>
      <c r="G31" s="143">
        <f>(G23-G24)/('2001'!G23-'2001'!G24)%-100</f>
        <v>-19.779787652379085</v>
      </c>
      <c r="H31" s="143">
        <f>(H23-H24)/('2001'!H23-'2001'!H24)%-100</f>
        <v>-18.794927711816499</v>
      </c>
      <c r="I31" s="144">
        <f>(I23-I24)/('2001'!I23-'2001'!I24)%-100</f>
        <v>-22.273257509477986</v>
      </c>
      <c r="J31" s="141"/>
      <c r="K31" s="116">
        <f t="shared" si="38"/>
        <v>-23.485513608428448</v>
      </c>
      <c r="L31" s="137">
        <f t="shared" si="39"/>
        <v>-17.068466730954668</v>
      </c>
      <c r="M31" s="137">
        <f t="shared" si="40"/>
        <v>-25.499729875742844</v>
      </c>
      <c r="N31" s="137">
        <f t="shared" si="41"/>
        <v>-18.266978922716618</v>
      </c>
      <c r="O31" s="137">
        <f t="shared" si="42"/>
        <v>-16.442451420029897</v>
      </c>
      <c r="P31" s="143">
        <f>100-(P23%/((AZ23%)/(100-AZ31)+(BA23%)/(100-BA31)))</f>
        <v>-18.548595714788078</v>
      </c>
      <c r="Q31" s="146">
        <f>'2010'!AU31</f>
        <v>-23.54570637119113</v>
      </c>
      <c r="R31" s="143">
        <f>100-(R23%/((AT23%)/(100-AT31)+(AX23%)/(100-AX31)))</f>
        <v>-14.41252553892528</v>
      </c>
      <c r="S31" s="146">
        <f t="shared" si="45"/>
        <v>-19.878603945371779</v>
      </c>
      <c r="T31" s="146">
        <f t="shared" si="46"/>
        <v>-25.193199381761971</v>
      </c>
      <c r="U31" s="147">
        <f t="shared" si="47"/>
        <v>-21.78060413354531</v>
      </c>
      <c r="V31" s="143">
        <f>100-(V23%/((BG23%)/(100-BG31)+(BJ23%)/(100-BJ31)))</f>
        <v>-10.70248002776637</v>
      </c>
      <c r="W31" s="146">
        <f t="shared" si="49"/>
        <v>-21.993670886075947</v>
      </c>
      <c r="X31" s="143">
        <f>100-(X23%/((BH23%)/(100-BH31)+(BI23%)/(100-BI31)))</f>
        <v>-16.486772896849217</v>
      </c>
      <c r="Y31" s="143">
        <f>100-(Y23%/((BK23%)/(100-BK31)+(BL23%)/(100-BL31)+(BN23%)/(100-BN31)))</f>
        <v>-19.588690181733554</v>
      </c>
      <c r="Z31" s="146">
        <f t="shared" si="52"/>
        <v>-23.272727272727266</v>
      </c>
      <c r="AA31" s="143">
        <f>100-(AA23%/((BO23%)/(100-BO31)+(BQ23%)/(100-BQ31)))</f>
        <v>-17.259985971940282</v>
      </c>
      <c r="AB31" s="147">
        <f t="shared" si="54"/>
        <v>-23.519163763066203</v>
      </c>
      <c r="AC31" s="146">
        <f t="shared" si="55"/>
        <v>-19.984326018808773</v>
      </c>
      <c r="AD31" s="146">
        <f t="shared" si="56"/>
        <v>-14.015151515151516</v>
      </c>
      <c r="AE31" s="143">
        <f>100-(AE23%/((BS23%)/(100-BS31)+(BT23%)/(100-BT31)))</f>
        <v>-15.770382419758363</v>
      </c>
      <c r="AF31" s="146">
        <f t="shared" si="58"/>
        <v>-19.944082013047534</v>
      </c>
      <c r="AG31" s="146">
        <f t="shared" si="59"/>
        <v>-16.385630498533729</v>
      </c>
      <c r="AH31" s="146">
        <f t="shared" si="60"/>
        <v>-21.001088139281819</v>
      </c>
      <c r="AI31" s="146">
        <f t="shared" si="61"/>
        <v>-21.233569261880689</v>
      </c>
      <c r="AJ31" s="146">
        <f t="shared" si="62"/>
        <v>-24.333333333333329</v>
      </c>
      <c r="AK31" s="147">
        <f t="shared" si="63"/>
        <v>-23.653846153846146</v>
      </c>
      <c r="AL31" s="146">
        <f t="shared" si="64"/>
        <v>-20.950323974082067</v>
      </c>
      <c r="AM31" s="146">
        <f t="shared" si="65"/>
        <v>-22.357019064124771</v>
      </c>
      <c r="AN31" s="146">
        <f t="shared" si="66"/>
        <v>-20.78947368421052</v>
      </c>
      <c r="AO31" s="146">
        <f t="shared" si="67"/>
        <v>-22.453703703703709</v>
      </c>
      <c r="AP31" s="146">
        <f t="shared" si="68"/>
        <v>-23.943661971830977</v>
      </c>
      <c r="AQ31" s="146">
        <f t="shared" si="69"/>
        <v>-25.56993222427603</v>
      </c>
      <c r="AR31" s="146">
        <f t="shared" si="70"/>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c r="A32" s="80">
        <f>ROWS($A$3:A30)</f>
        <v>28</v>
      </c>
      <c r="B32" s="53" t="s">
        <v>170</v>
      </c>
      <c r="C32" s="261"/>
      <c r="D32" s="260" t="s">
        <v>3</v>
      </c>
      <c r="E32" s="437">
        <v>40865</v>
      </c>
      <c r="F32" s="116">
        <v>37</v>
      </c>
      <c r="G32" s="137">
        <v>31</v>
      </c>
      <c r="H32" s="137">
        <v>28</v>
      </c>
      <c r="I32" s="138">
        <v>42</v>
      </c>
      <c r="J32" s="141"/>
      <c r="K32" s="116">
        <f t="shared" si="38"/>
        <v>30.8</v>
      </c>
      <c r="L32" s="137">
        <f t="shared" si="39"/>
        <v>33.799999999999997</v>
      </c>
      <c r="M32" s="137">
        <f t="shared" si="40"/>
        <v>31.4</v>
      </c>
      <c r="N32" s="137">
        <f t="shared" si="41"/>
        <v>35.700000000000003</v>
      </c>
      <c r="O32" s="137">
        <f t="shared" si="42"/>
        <v>35.799999999999997</v>
      </c>
      <c r="P32" s="143">
        <f>(AZ23*AZ32+BA23*BA32)/P23</f>
        <v>37.715634473798175</v>
      </c>
      <c r="Q32" s="146">
        <f>'2010'!AU32</f>
        <v>29.3</v>
      </c>
      <c r="R32" s="143">
        <f>(AT23*AT32+AX23*AX32)/R23</f>
        <v>36.652234527687298</v>
      </c>
      <c r="S32" s="146">
        <f t="shared" si="45"/>
        <v>29</v>
      </c>
      <c r="T32" s="146">
        <f t="shared" si="46"/>
        <v>34.799999999999997</v>
      </c>
      <c r="U32" s="147">
        <f t="shared" si="47"/>
        <v>39.51</v>
      </c>
      <c r="V32" s="143">
        <f>(BG23*BG32+BJ23*BJ32)/V23</f>
        <v>20.537518910741301</v>
      </c>
      <c r="W32" s="146">
        <f t="shared" si="49"/>
        <v>21.3</v>
      </c>
      <c r="X32" s="143">
        <f>(BH23*BH32+BI23*BI32)/X23</f>
        <v>32.860386473429948</v>
      </c>
      <c r="Y32" s="143">
        <f>(BK23*BK32+BL23*BL32+BN23*BN32)/Y23</f>
        <v>39.174666666666667</v>
      </c>
      <c r="Z32" s="146">
        <f t="shared" si="52"/>
        <v>29.8</v>
      </c>
      <c r="AA32" s="143">
        <f>(BO23*BO32+BQ23*BQ32)/AA23</f>
        <v>33.229540481400434</v>
      </c>
      <c r="AB32" s="147">
        <f t="shared" si="54"/>
        <v>26.7</v>
      </c>
      <c r="AC32" s="146">
        <f t="shared" si="55"/>
        <v>33.1</v>
      </c>
      <c r="AD32" s="146">
        <f t="shared" si="56"/>
        <v>25.2</v>
      </c>
      <c r="AE32" s="143">
        <f>(BS23*BS32+BT23*BT32)/AE23</f>
        <v>30.101206840916426</v>
      </c>
      <c r="AF32" s="146">
        <f t="shared" si="58"/>
        <v>23.6</v>
      </c>
      <c r="AG32" s="146">
        <f t="shared" si="59"/>
        <v>28.6</v>
      </c>
      <c r="AH32" s="146">
        <f t="shared" si="60"/>
        <v>40.6</v>
      </c>
      <c r="AI32" s="146">
        <f t="shared" si="61"/>
        <v>25.51</v>
      </c>
      <c r="AJ32" s="146">
        <f t="shared" si="62"/>
        <v>25.4</v>
      </c>
      <c r="AK32" s="147">
        <f t="shared" si="63"/>
        <v>24.51</v>
      </c>
      <c r="AL32" s="146">
        <f t="shared" si="64"/>
        <v>22.3</v>
      </c>
      <c r="AM32" s="146">
        <f t="shared" si="65"/>
        <v>47.3</v>
      </c>
      <c r="AN32" s="146">
        <f t="shared" si="66"/>
        <v>59.3</v>
      </c>
      <c r="AO32" s="146">
        <f t="shared" si="67"/>
        <v>24.1</v>
      </c>
      <c r="AP32" s="146">
        <f t="shared" si="68"/>
        <v>22.7</v>
      </c>
      <c r="AQ32" s="146">
        <f t="shared" si="69"/>
        <v>29.2</v>
      </c>
      <c r="AR32" s="146">
        <f t="shared" si="70"/>
        <v>44.51</v>
      </c>
      <c r="AS32" s="144">
        <f>(CF23*CF32+CG23*CG32)/AS23</f>
        <v>38.228471876555503</v>
      </c>
      <c r="AT32" s="146">
        <v>50.51</v>
      </c>
      <c r="AU32" s="137">
        <v>29.3</v>
      </c>
      <c r="AV32" s="137">
        <v>29</v>
      </c>
      <c r="AW32" s="137">
        <v>35.700000000000003</v>
      </c>
      <c r="AX32" s="137">
        <v>34.6</v>
      </c>
      <c r="AY32" s="137">
        <v>33.799999999999997</v>
      </c>
      <c r="AZ32" s="137">
        <v>53</v>
      </c>
      <c r="BA32" s="137">
        <v>36.4</v>
      </c>
      <c r="BB32" s="137">
        <v>34.799999999999997</v>
      </c>
      <c r="BC32" s="137">
        <v>39.51</v>
      </c>
      <c r="BD32" s="137">
        <v>31.4</v>
      </c>
      <c r="BE32" s="137">
        <v>35.799999999999997</v>
      </c>
      <c r="BF32" s="139">
        <v>30.8</v>
      </c>
      <c r="BG32" s="137">
        <v>14</v>
      </c>
      <c r="BH32" s="137">
        <v>27.7</v>
      </c>
      <c r="BI32" s="137">
        <v>33.299999999999997</v>
      </c>
      <c r="BJ32" s="137">
        <v>21.9</v>
      </c>
      <c r="BK32" s="137">
        <v>42.7</v>
      </c>
      <c r="BL32" s="137">
        <v>60.9</v>
      </c>
      <c r="BM32" s="137">
        <v>29.8</v>
      </c>
      <c r="BN32" s="137">
        <v>37.299999999999997</v>
      </c>
      <c r="BO32" s="137">
        <v>50</v>
      </c>
      <c r="BP32" s="137">
        <v>26.7</v>
      </c>
      <c r="BQ32" s="137">
        <v>32.299999999999997</v>
      </c>
      <c r="BR32" s="139">
        <v>21.3</v>
      </c>
      <c r="BS32" s="137">
        <v>35.51</v>
      </c>
      <c r="BT32" s="137">
        <v>29.7</v>
      </c>
      <c r="BU32" s="137">
        <v>25.2</v>
      </c>
      <c r="BV32" s="137">
        <v>28.6</v>
      </c>
      <c r="BW32" s="137">
        <v>25.51</v>
      </c>
      <c r="BX32" s="137">
        <v>33.1</v>
      </c>
      <c r="BY32" s="137">
        <v>25.4</v>
      </c>
      <c r="BZ32" s="137">
        <v>40.6</v>
      </c>
      <c r="CA32" s="137">
        <v>23.6</v>
      </c>
      <c r="CB32" s="139">
        <v>24.51</v>
      </c>
      <c r="CC32" s="137">
        <v>24.1</v>
      </c>
      <c r="CD32" s="137">
        <v>22.7</v>
      </c>
      <c r="CE32" s="137">
        <v>22.3</v>
      </c>
      <c r="CF32" s="137">
        <v>48.3</v>
      </c>
      <c r="CG32" s="137">
        <v>37.6</v>
      </c>
      <c r="CH32" s="137">
        <v>47.3</v>
      </c>
      <c r="CI32" s="137">
        <v>44.51</v>
      </c>
      <c r="CJ32" s="137">
        <v>59.3</v>
      </c>
      <c r="CK32" s="138">
        <v>29.2</v>
      </c>
      <c r="CL32" s="140">
        <v>34.1</v>
      </c>
    </row>
    <row r="33" spans="1:90">
      <c r="A33" s="80">
        <f>ROWS($A$3:A31)</f>
        <v>29</v>
      </c>
      <c r="B33" s="53" t="s">
        <v>68</v>
      </c>
      <c r="C33" s="261"/>
      <c r="D33" s="260" t="s">
        <v>3</v>
      </c>
      <c r="E33" s="435"/>
      <c r="F33" s="142">
        <f>100-F32</f>
        <v>63</v>
      </c>
      <c r="G33" s="143">
        <f>100-G32</f>
        <v>69</v>
      </c>
      <c r="H33" s="143">
        <f>100-H32</f>
        <v>72</v>
      </c>
      <c r="I33" s="144">
        <f>100-I32</f>
        <v>58</v>
      </c>
      <c r="J33" s="141"/>
      <c r="K33" s="145">
        <f t="shared" si="38"/>
        <v>69.2</v>
      </c>
      <c r="L33" s="146">
        <f t="shared" si="39"/>
        <v>66.2</v>
      </c>
      <c r="M33" s="146">
        <f t="shared" si="40"/>
        <v>68.599999999999994</v>
      </c>
      <c r="N33" s="146">
        <f t="shared" si="41"/>
        <v>64.3</v>
      </c>
      <c r="O33" s="146">
        <f t="shared" si="42"/>
        <v>64.2</v>
      </c>
      <c r="P33" s="143">
        <f>100-P32</f>
        <v>62.284365526201825</v>
      </c>
      <c r="Q33" s="146">
        <f>'2010'!AU33</f>
        <v>70.7</v>
      </c>
      <c r="R33" s="143">
        <f>100-R32</f>
        <v>63.347765472312702</v>
      </c>
      <c r="S33" s="146">
        <f t="shared" si="45"/>
        <v>71</v>
      </c>
      <c r="T33" s="146">
        <f t="shared" si="46"/>
        <v>65.2</v>
      </c>
      <c r="U33" s="147">
        <f t="shared" si="47"/>
        <v>60.49</v>
      </c>
      <c r="V33" s="143">
        <f>100-V32</f>
        <v>79.462481089258702</v>
      </c>
      <c r="W33" s="146">
        <f t="shared" si="49"/>
        <v>78.7</v>
      </c>
      <c r="X33" s="143">
        <f>100-X32</f>
        <v>67.139613526570059</v>
      </c>
      <c r="Y33" s="143">
        <f>100-Y32</f>
        <v>60.825333333333333</v>
      </c>
      <c r="Z33" s="146">
        <f t="shared" si="52"/>
        <v>70.2</v>
      </c>
      <c r="AA33" s="143">
        <f>100-AA32</f>
        <v>66.770459518599566</v>
      </c>
      <c r="AB33" s="147">
        <f t="shared" si="54"/>
        <v>73.3</v>
      </c>
      <c r="AC33" s="146">
        <f t="shared" si="55"/>
        <v>66.900000000000006</v>
      </c>
      <c r="AD33" s="146">
        <f t="shared" si="56"/>
        <v>74.8</v>
      </c>
      <c r="AE33" s="143">
        <f>100-AE32</f>
        <v>69.898793159083567</v>
      </c>
      <c r="AF33" s="146">
        <f t="shared" si="58"/>
        <v>76.400000000000006</v>
      </c>
      <c r="AG33" s="146">
        <f t="shared" si="59"/>
        <v>71.400000000000006</v>
      </c>
      <c r="AH33" s="146">
        <f t="shared" si="60"/>
        <v>59.4</v>
      </c>
      <c r="AI33" s="146">
        <f t="shared" si="61"/>
        <v>74.489999999999995</v>
      </c>
      <c r="AJ33" s="146">
        <f t="shared" si="62"/>
        <v>74.599999999999994</v>
      </c>
      <c r="AK33" s="147">
        <f t="shared" si="63"/>
        <v>75.489999999999995</v>
      </c>
      <c r="AL33" s="146">
        <f t="shared" si="64"/>
        <v>77.7</v>
      </c>
      <c r="AM33" s="146">
        <f t="shared" si="65"/>
        <v>52.7</v>
      </c>
      <c r="AN33" s="146">
        <f t="shared" si="66"/>
        <v>40.700000000000003</v>
      </c>
      <c r="AO33" s="146">
        <f t="shared" si="67"/>
        <v>75.900000000000006</v>
      </c>
      <c r="AP33" s="146">
        <f t="shared" si="68"/>
        <v>77.3</v>
      </c>
      <c r="AQ33" s="146">
        <f t="shared" si="69"/>
        <v>70.8</v>
      </c>
      <c r="AR33" s="146">
        <f t="shared" si="70"/>
        <v>55.49</v>
      </c>
      <c r="AS33" s="144">
        <f t="shared" ref="AS33:CL33" si="73">100-AS32</f>
        <v>61.771528123444497</v>
      </c>
      <c r="AT33" s="143">
        <f t="shared" si="73"/>
        <v>49.49</v>
      </c>
      <c r="AU33" s="143">
        <f t="shared" si="73"/>
        <v>70.7</v>
      </c>
      <c r="AV33" s="143">
        <f t="shared" si="73"/>
        <v>71</v>
      </c>
      <c r="AW33" s="143">
        <f t="shared" si="73"/>
        <v>64.3</v>
      </c>
      <c r="AX33" s="143">
        <f t="shared" si="73"/>
        <v>65.400000000000006</v>
      </c>
      <c r="AY33" s="143">
        <f t="shared" si="73"/>
        <v>66.2</v>
      </c>
      <c r="AZ33" s="143">
        <f t="shared" si="73"/>
        <v>47</v>
      </c>
      <c r="BA33" s="143">
        <f t="shared" si="73"/>
        <v>63.6</v>
      </c>
      <c r="BB33" s="143">
        <f t="shared" si="73"/>
        <v>65.2</v>
      </c>
      <c r="BC33" s="143">
        <f t="shared" si="73"/>
        <v>60.49</v>
      </c>
      <c r="BD33" s="143">
        <f t="shared" si="73"/>
        <v>68.599999999999994</v>
      </c>
      <c r="BE33" s="143">
        <f t="shared" si="73"/>
        <v>64.2</v>
      </c>
      <c r="BF33" s="148">
        <f t="shared" si="73"/>
        <v>69.2</v>
      </c>
      <c r="BG33" s="143">
        <f t="shared" si="73"/>
        <v>86</v>
      </c>
      <c r="BH33" s="143">
        <f t="shared" si="73"/>
        <v>72.3</v>
      </c>
      <c r="BI33" s="143">
        <f t="shared" si="73"/>
        <v>66.7</v>
      </c>
      <c r="BJ33" s="143">
        <f t="shared" si="73"/>
        <v>78.099999999999994</v>
      </c>
      <c r="BK33" s="143">
        <f t="shared" si="73"/>
        <v>57.3</v>
      </c>
      <c r="BL33" s="143">
        <f t="shared" si="73"/>
        <v>39.1</v>
      </c>
      <c r="BM33" s="143">
        <f t="shared" si="73"/>
        <v>70.2</v>
      </c>
      <c r="BN33" s="143">
        <f t="shared" si="73"/>
        <v>62.7</v>
      </c>
      <c r="BO33" s="143">
        <f t="shared" si="73"/>
        <v>50</v>
      </c>
      <c r="BP33" s="143">
        <f t="shared" si="73"/>
        <v>73.3</v>
      </c>
      <c r="BQ33" s="143">
        <f t="shared" si="73"/>
        <v>67.7</v>
      </c>
      <c r="BR33" s="148">
        <f t="shared" si="73"/>
        <v>78.7</v>
      </c>
      <c r="BS33" s="143">
        <f t="shared" si="73"/>
        <v>64.490000000000009</v>
      </c>
      <c r="BT33" s="143">
        <f t="shared" si="73"/>
        <v>70.3</v>
      </c>
      <c r="BU33" s="143">
        <f t="shared" si="73"/>
        <v>74.8</v>
      </c>
      <c r="BV33" s="143">
        <f t="shared" si="73"/>
        <v>71.400000000000006</v>
      </c>
      <c r="BW33" s="143">
        <f t="shared" si="73"/>
        <v>74.489999999999995</v>
      </c>
      <c r="BX33" s="143">
        <f t="shared" si="73"/>
        <v>66.900000000000006</v>
      </c>
      <c r="BY33" s="143">
        <f t="shared" si="73"/>
        <v>74.599999999999994</v>
      </c>
      <c r="BZ33" s="143">
        <f t="shared" si="73"/>
        <v>59.4</v>
      </c>
      <c r="CA33" s="143">
        <f t="shared" si="73"/>
        <v>76.400000000000006</v>
      </c>
      <c r="CB33" s="148">
        <f t="shared" si="73"/>
        <v>75.489999999999995</v>
      </c>
      <c r="CC33" s="143">
        <f t="shared" si="73"/>
        <v>75.900000000000006</v>
      </c>
      <c r="CD33" s="143">
        <f t="shared" si="73"/>
        <v>77.3</v>
      </c>
      <c r="CE33" s="143">
        <f t="shared" si="73"/>
        <v>77.7</v>
      </c>
      <c r="CF33" s="143">
        <f t="shared" si="73"/>
        <v>51.7</v>
      </c>
      <c r="CG33" s="143">
        <f t="shared" si="73"/>
        <v>62.4</v>
      </c>
      <c r="CH33" s="143">
        <f t="shared" si="73"/>
        <v>52.7</v>
      </c>
      <c r="CI33" s="143">
        <f t="shared" si="73"/>
        <v>55.49</v>
      </c>
      <c r="CJ33" s="143">
        <f t="shared" si="73"/>
        <v>40.700000000000003</v>
      </c>
      <c r="CK33" s="144">
        <f t="shared" si="73"/>
        <v>70.8</v>
      </c>
      <c r="CL33" s="149">
        <f t="shared" si="73"/>
        <v>65.900000000000006</v>
      </c>
    </row>
    <row r="34" spans="1:90">
      <c r="A34" s="80">
        <f>ROWS($A$3:A32)</f>
        <v>30</v>
      </c>
      <c r="B34" s="59" t="s">
        <v>69</v>
      </c>
      <c r="C34" s="201"/>
      <c r="D34" s="260"/>
      <c r="E34" s="435"/>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92" t="s">
        <v>71</v>
      </c>
      <c r="C35" s="202">
        <v>2010</v>
      </c>
      <c r="D35" s="259" t="s">
        <v>1</v>
      </c>
      <c r="E35" s="437">
        <v>40865</v>
      </c>
      <c r="F35" s="116">
        <v>464514</v>
      </c>
      <c r="G35" s="137">
        <v>201368</v>
      </c>
      <c r="H35" s="137">
        <v>318269</v>
      </c>
      <c r="I35" s="138">
        <v>425837</v>
      </c>
      <c r="J35" s="141"/>
      <c r="K35" s="116">
        <f>BF35</f>
        <v>64654</v>
      </c>
      <c r="L35" s="137">
        <f>AY35</f>
        <v>25496</v>
      </c>
      <c r="M35" s="137">
        <f>BD35</f>
        <v>68046</v>
      </c>
      <c r="N35" s="137">
        <f>AW35</f>
        <v>28126</v>
      </c>
      <c r="O35" s="137">
        <f>BE35</f>
        <v>26190</v>
      </c>
      <c r="P35" s="137">
        <f>AZ35+BA35</f>
        <v>58077</v>
      </c>
      <c r="Q35" s="137">
        <f>'2010'!AU35</f>
        <v>22058</v>
      </c>
      <c r="R35" s="137">
        <f t="shared" ref="R35:R41" si="74">AT35+AX35</f>
        <v>34667</v>
      </c>
      <c r="S35" s="137">
        <f>AV35</f>
        <v>19633</v>
      </c>
      <c r="T35" s="137">
        <f t="shared" ref="T35:U39" si="75">BB35</f>
        <v>41225</v>
      </c>
      <c r="U35" s="139">
        <f t="shared" si="75"/>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6">CC35</f>
        <v>42679</v>
      </c>
      <c r="AP35" s="137">
        <f t="shared" si="76"/>
        <v>20093</v>
      </c>
      <c r="AQ35" s="137">
        <f>CK35</f>
        <v>54498</v>
      </c>
      <c r="AR35" s="137">
        <f>CI35</f>
        <v>33380</v>
      </c>
      <c r="AS35" s="138">
        <f>CF35+CG35</f>
        <v>78721</v>
      </c>
      <c r="AT35" s="141">
        <v>2501</v>
      </c>
      <c r="AU35" s="141">
        <v>22058</v>
      </c>
      <c r="AV35" s="141">
        <v>19633</v>
      </c>
      <c r="AW35" s="141">
        <v>28126</v>
      </c>
      <c r="AX35" s="141">
        <v>32166</v>
      </c>
      <c r="AY35" s="141">
        <v>25496</v>
      </c>
      <c r="AZ35" s="141">
        <v>4181</v>
      </c>
      <c r="BA35" s="141">
        <v>53896</v>
      </c>
      <c r="BB35" s="141">
        <v>41225</v>
      </c>
      <c r="BC35" s="141">
        <v>76343</v>
      </c>
      <c r="BD35" s="141">
        <v>68046</v>
      </c>
      <c r="BE35" s="141">
        <v>26190</v>
      </c>
      <c r="BF35" s="297">
        <v>64654</v>
      </c>
      <c r="BG35" s="141">
        <v>1517</v>
      </c>
      <c r="BH35" s="141">
        <v>2518</v>
      </c>
      <c r="BI35" s="141">
        <v>37396</v>
      </c>
      <c r="BJ35" s="141">
        <v>14510</v>
      </c>
      <c r="BK35" s="141">
        <v>1831</v>
      </c>
      <c r="BL35" s="141">
        <v>2854</v>
      </c>
      <c r="BM35" s="141">
        <v>46323</v>
      </c>
      <c r="BN35" s="141">
        <v>38097</v>
      </c>
      <c r="BO35" s="141">
        <v>1019</v>
      </c>
      <c r="BP35" s="141">
        <v>17252</v>
      </c>
      <c r="BQ35" s="141">
        <v>19137</v>
      </c>
      <c r="BR35" s="297">
        <v>18914</v>
      </c>
      <c r="BS35" s="141">
        <v>3446</v>
      </c>
      <c r="BT35" s="141">
        <v>48698</v>
      </c>
      <c r="BU35" s="141">
        <v>22305</v>
      </c>
      <c r="BV35" s="141">
        <v>55500</v>
      </c>
      <c r="BW35" s="141">
        <v>30093</v>
      </c>
      <c r="BX35" s="141">
        <v>38829</v>
      </c>
      <c r="BY35" s="141">
        <v>24250</v>
      </c>
      <c r="BZ35" s="141">
        <v>33655</v>
      </c>
      <c r="CA35" s="141">
        <v>23148</v>
      </c>
      <c r="CB35" s="297">
        <v>38344</v>
      </c>
      <c r="CC35" s="141">
        <v>42679</v>
      </c>
      <c r="CD35" s="141">
        <v>20093</v>
      </c>
      <c r="CE35" s="141">
        <v>33916</v>
      </c>
      <c r="CF35" s="141">
        <v>4694</v>
      </c>
      <c r="CG35" s="141">
        <v>74027</v>
      </c>
      <c r="CH35" s="141">
        <v>76332</v>
      </c>
      <c r="CI35" s="141">
        <v>33380</v>
      </c>
      <c r="CJ35" s="141">
        <v>86216</v>
      </c>
      <c r="CK35" s="298">
        <v>54498</v>
      </c>
      <c r="CL35" s="258">
        <v>1409988</v>
      </c>
    </row>
    <row r="36" spans="1:90">
      <c r="A36" s="80">
        <f>ROWS($A$3:A34)</f>
        <v>32</v>
      </c>
      <c r="B36" s="92" t="s">
        <v>72</v>
      </c>
      <c r="C36" s="203"/>
      <c r="D36" s="259" t="s">
        <v>1</v>
      </c>
      <c r="E36" s="437">
        <v>40865</v>
      </c>
      <c r="F36" s="116">
        <v>311698</v>
      </c>
      <c r="G36" s="137">
        <v>141235</v>
      </c>
      <c r="H36" s="137">
        <v>142389</v>
      </c>
      <c r="I36" s="138">
        <v>233949</v>
      </c>
      <c r="J36" s="141"/>
      <c r="K36" s="116">
        <f>BF36</f>
        <v>34721</v>
      </c>
      <c r="L36" s="137">
        <f>AY36</f>
        <v>11730</v>
      </c>
      <c r="M36" s="137">
        <f>BD36</f>
        <v>59094</v>
      </c>
      <c r="N36" s="137">
        <f>AW36</f>
        <v>12509</v>
      </c>
      <c r="O36" s="137">
        <f>BE36</f>
        <v>16900</v>
      </c>
      <c r="P36" s="137">
        <f>AZ36+BA36</f>
        <v>44169</v>
      </c>
      <c r="Q36" s="137">
        <f>'2010'!AU36</f>
        <v>15243</v>
      </c>
      <c r="R36" s="137">
        <f t="shared" si="74"/>
        <v>25995</v>
      </c>
      <c r="S36" s="137">
        <f>AV36</f>
        <v>10169</v>
      </c>
      <c r="T36" s="137">
        <f t="shared" si="75"/>
        <v>30557</v>
      </c>
      <c r="U36" s="139">
        <f t="shared" si="75"/>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6"/>
        <v>20144</v>
      </c>
      <c r="AP36" s="137">
        <f t="shared" si="76"/>
        <v>13604</v>
      </c>
      <c r="AQ36" s="137">
        <f>CK36</f>
        <v>35032</v>
      </c>
      <c r="AR36" s="137">
        <f>CI36</f>
        <v>13924</v>
      </c>
      <c r="AS36" s="138">
        <f>CF36+CG36</f>
        <v>59389</v>
      </c>
      <c r="AT36" s="141">
        <v>1505</v>
      </c>
      <c r="AU36" s="141">
        <v>15243</v>
      </c>
      <c r="AV36" s="141">
        <v>10169</v>
      </c>
      <c r="AW36" s="141">
        <v>12509</v>
      </c>
      <c r="AX36" s="141">
        <v>24490</v>
      </c>
      <c r="AY36" s="141">
        <v>11730</v>
      </c>
      <c r="AZ36" s="141">
        <v>3228</v>
      </c>
      <c r="BA36" s="141">
        <v>40941</v>
      </c>
      <c r="BB36" s="141">
        <v>30557</v>
      </c>
      <c r="BC36" s="141">
        <v>50614</v>
      </c>
      <c r="BD36" s="141">
        <v>59094</v>
      </c>
      <c r="BE36" s="141">
        <v>16900</v>
      </c>
      <c r="BF36" s="297">
        <v>34721</v>
      </c>
      <c r="BG36" s="141">
        <v>574</v>
      </c>
      <c r="BH36" s="141">
        <v>1983</v>
      </c>
      <c r="BI36" s="141">
        <v>29516</v>
      </c>
      <c r="BJ36" s="141">
        <v>9747</v>
      </c>
      <c r="BK36" s="141">
        <v>1534</v>
      </c>
      <c r="BL36" s="141">
        <v>2446</v>
      </c>
      <c r="BM36" s="141">
        <v>35036</v>
      </c>
      <c r="BN36" s="141">
        <v>30039</v>
      </c>
      <c r="BO36" s="141">
        <v>530</v>
      </c>
      <c r="BP36" s="141">
        <v>8451</v>
      </c>
      <c r="BQ36" s="141">
        <v>11890</v>
      </c>
      <c r="BR36" s="297">
        <v>9490</v>
      </c>
      <c r="BS36" s="141">
        <v>1619</v>
      </c>
      <c r="BT36" s="141">
        <v>19255</v>
      </c>
      <c r="BU36" s="141">
        <v>10287</v>
      </c>
      <c r="BV36" s="141">
        <v>27684</v>
      </c>
      <c r="BW36" s="141">
        <v>16868</v>
      </c>
      <c r="BX36" s="141">
        <v>15862</v>
      </c>
      <c r="BY36" s="141">
        <v>9020</v>
      </c>
      <c r="BZ36" s="141">
        <v>19192</v>
      </c>
      <c r="CA36" s="141">
        <v>7269</v>
      </c>
      <c r="CB36" s="297">
        <v>15333</v>
      </c>
      <c r="CC36" s="141">
        <v>20144</v>
      </c>
      <c r="CD36" s="141">
        <v>13604</v>
      </c>
      <c r="CE36" s="141">
        <v>13101</v>
      </c>
      <c r="CF36" s="141">
        <v>4046</v>
      </c>
      <c r="CG36" s="141">
        <v>55343</v>
      </c>
      <c r="CH36" s="141">
        <v>51921</v>
      </c>
      <c r="CI36" s="141">
        <v>13924</v>
      </c>
      <c r="CJ36" s="141">
        <v>26833</v>
      </c>
      <c r="CK36" s="298">
        <v>35032</v>
      </c>
      <c r="CL36" s="258">
        <v>829272</v>
      </c>
    </row>
    <row r="37" spans="1:90">
      <c r="A37" s="80">
        <f>ROWS($A$3:A35)</f>
        <v>33</v>
      </c>
      <c r="B37" s="92" t="s">
        <v>6</v>
      </c>
      <c r="C37" s="203"/>
      <c r="D37" s="259" t="s">
        <v>1</v>
      </c>
      <c r="E37" s="437">
        <v>40865</v>
      </c>
      <c r="F37" s="116">
        <v>137597</v>
      </c>
      <c r="G37" s="137">
        <v>55922</v>
      </c>
      <c r="H37" s="137">
        <v>156404</v>
      </c>
      <c r="I37" s="138">
        <v>181770</v>
      </c>
      <c r="J37" s="141"/>
      <c r="K37" s="116">
        <f>BF37</f>
        <v>29497</v>
      </c>
      <c r="L37" s="137">
        <f>AY37</f>
        <v>12099</v>
      </c>
      <c r="M37" s="137">
        <f>BD37</f>
        <v>8022</v>
      </c>
      <c r="N37" s="137">
        <f>AW37</f>
        <v>15467</v>
      </c>
      <c r="O37" s="137">
        <f>BE37</f>
        <v>9260</v>
      </c>
      <c r="P37" s="137">
        <f>AZ37+BA37</f>
        <v>6934</v>
      </c>
      <c r="Q37" s="137">
        <f>'2010'!AU37</f>
        <v>6681</v>
      </c>
      <c r="R37" s="137">
        <f t="shared" si="74"/>
        <v>5997</v>
      </c>
      <c r="S37" s="137">
        <f>AV37</f>
        <v>9094</v>
      </c>
      <c r="T37" s="137">
        <f t="shared" si="75"/>
        <v>9049</v>
      </c>
      <c r="U37" s="139">
        <f t="shared" si="75"/>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6"/>
        <v>22343</v>
      </c>
      <c r="AP37" s="137">
        <f t="shared" si="76"/>
        <v>6418</v>
      </c>
      <c r="AQ37" s="137">
        <f>CK37</f>
        <v>19369</v>
      </c>
      <c r="AR37" s="137">
        <f>CI37</f>
        <v>11723</v>
      </c>
      <c r="AS37" s="138">
        <f>CF37+CG37</f>
        <v>19170</v>
      </c>
      <c r="AT37" s="141">
        <v>535</v>
      </c>
      <c r="AU37" s="141">
        <v>6681</v>
      </c>
      <c r="AV37" s="141">
        <v>9094</v>
      </c>
      <c r="AW37" s="141">
        <v>15467</v>
      </c>
      <c r="AX37" s="141">
        <v>5462</v>
      </c>
      <c r="AY37" s="141">
        <v>12099</v>
      </c>
      <c r="AZ37" s="141">
        <v>211</v>
      </c>
      <c r="BA37" s="141">
        <v>6723</v>
      </c>
      <c r="BB37" s="141">
        <v>9049</v>
      </c>
      <c r="BC37" s="141">
        <v>25496</v>
      </c>
      <c r="BD37" s="141">
        <v>8022</v>
      </c>
      <c r="BE37" s="141">
        <v>9260</v>
      </c>
      <c r="BF37" s="297">
        <v>29497</v>
      </c>
      <c r="BG37" s="141">
        <v>682</v>
      </c>
      <c r="BH37" s="141">
        <v>453</v>
      </c>
      <c r="BI37" s="141">
        <v>6930</v>
      </c>
      <c r="BJ37" s="141">
        <v>4004</v>
      </c>
      <c r="BK37" s="141">
        <v>220</v>
      </c>
      <c r="BL37" s="141">
        <v>400</v>
      </c>
      <c r="BM37" s="141">
        <v>10649</v>
      </c>
      <c r="BN37" s="141">
        <v>6932</v>
      </c>
      <c r="BO37" s="141">
        <v>489</v>
      </c>
      <c r="BP37" s="141">
        <v>8752</v>
      </c>
      <c r="BQ37" s="141">
        <v>7002</v>
      </c>
      <c r="BR37" s="297">
        <v>9409</v>
      </c>
      <c r="BS37" s="141">
        <v>1036</v>
      </c>
      <c r="BT37" s="141">
        <v>23403</v>
      </c>
      <c r="BU37" s="141">
        <v>9545</v>
      </c>
      <c r="BV37" s="141">
        <v>20564</v>
      </c>
      <c r="BW37" s="141">
        <v>13189</v>
      </c>
      <c r="BX37" s="141">
        <v>22942</v>
      </c>
      <c r="BY37" s="141">
        <v>15208</v>
      </c>
      <c r="BZ37" s="141">
        <v>13349</v>
      </c>
      <c r="CA37" s="141">
        <v>14435</v>
      </c>
      <c r="CB37" s="297">
        <v>22734</v>
      </c>
      <c r="CC37" s="141">
        <v>22343</v>
      </c>
      <c r="CD37" s="141">
        <v>6418</v>
      </c>
      <c r="CE37" s="141">
        <v>20667</v>
      </c>
      <c r="CF37" s="141">
        <v>628</v>
      </c>
      <c r="CG37" s="141">
        <v>18542</v>
      </c>
      <c r="CH37" s="141">
        <v>24245</v>
      </c>
      <c r="CI37" s="141">
        <v>11723</v>
      </c>
      <c r="CJ37" s="141">
        <v>57833</v>
      </c>
      <c r="CK37" s="298">
        <v>19369</v>
      </c>
      <c r="CL37" s="258">
        <v>531692</v>
      </c>
    </row>
    <row r="38" spans="1:90">
      <c r="A38" s="80">
        <f>ROWS($A$3:A36)</f>
        <v>34</v>
      </c>
      <c r="B38" s="92" t="s">
        <v>244</v>
      </c>
      <c r="C38" s="203"/>
      <c r="D38" s="259" t="s">
        <v>1</v>
      </c>
      <c r="E38" s="437">
        <v>40865</v>
      </c>
      <c r="F38" s="116">
        <v>3429</v>
      </c>
      <c r="G38" s="137">
        <v>1255</v>
      </c>
      <c r="H38" s="137">
        <v>7541</v>
      </c>
      <c r="I38" s="138">
        <v>8842</v>
      </c>
      <c r="J38" s="141"/>
      <c r="K38" s="116">
        <f>BF38</f>
        <v>10</v>
      </c>
      <c r="L38" s="137">
        <f>AY38</f>
        <v>505</v>
      </c>
      <c r="M38" s="137">
        <f>BD38</f>
        <v>77</v>
      </c>
      <c r="N38" s="137">
        <f>AW38</f>
        <v>100</v>
      </c>
      <c r="O38" s="137">
        <f>BE38</f>
        <v>2</v>
      </c>
      <c r="P38" s="137">
        <f>AZ38+BA38</f>
        <v>1038</v>
      </c>
      <c r="Q38" s="137">
        <f>'2010'!AU38</f>
        <v>83</v>
      </c>
      <c r="R38" s="137">
        <f t="shared" si="74"/>
        <v>530</v>
      </c>
      <c r="S38" s="137">
        <f>AV38</f>
        <v>163</v>
      </c>
      <c r="T38" s="137">
        <f t="shared" si="75"/>
        <v>761</v>
      </c>
      <c r="U38" s="139">
        <f t="shared" si="75"/>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6"/>
        <v>101</v>
      </c>
      <c r="AP38" s="137">
        <f t="shared" si="76"/>
        <v>52</v>
      </c>
      <c r="AQ38" s="137">
        <f>CK38</f>
        <v>29</v>
      </c>
      <c r="AR38" s="137">
        <f>CI38</f>
        <v>7179</v>
      </c>
      <c r="AS38" s="138">
        <f>CF38+CG38</f>
        <v>67</v>
      </c>
      <c r="AT38" s="141">
        <v>76</v>
      </c>
      <c r="AU38" s="141">
        <v>83</v>
      </c>
      <c r="AV38" s="141">
        <v>163</v>
      </c>
      <c r="AW38" s="141">
        <v>100</v>
      </c>
      <c r="AX38" s="141">
        <v>454</v>
      </c>
      <c r="AY38" s="141">
        <v>505</v>
      </c>
      <c r="AZ38" s="141">
        <v>59</v>
      </c>
      <c r="BA38" s="141">
        <v>979</v>
      </c>
      <c r="BB38" s="141">
        <v>761</v>
      </c>
      <c r="BC38" s="141">
        <v>159</v>
      </c>
      <c r="BD38" s="141">
        <v>77</v>
      </c>
      <c r="BE38" s="141">
        <v>2</v>
      </c>
      <c r="BF38" s="297">
        <v>10</v>
      </c>
      <c r="BG38" s="141">
        <v>40</v>
      </c>
      <c r="BH38" s="141">
        <v>54</v>
      </c>
      <c r="BI38" s="141">
        <v>177</v>
      </c>
      <c r="BJ38" s="141">
        <v>408</v>
      </c>
      <c r="BK38" s="141" t="s">
        <v>233</v>
      </c>
      <c r="BL38" s="141" t="s">
        <v>233</v>
      </c>
      <c r="BM38" s="141">
        <v>133</v>
      </c>
      <c r="BN38" s="141">
        <v>380</v>
      </c>
      <c r="BO38" s="141" t="s">
        <v>233</v>
      </c>
      <c r="BP38" s="141" t="s">
        <v>233</v>
      </c>
      <c r="BQ38" s="141">
        <v>31</v>
      </c>
      <c r="BR38" s="297">
        <v>2</v>
      </c>
      <c r="BS38" s="141">
        <v>76</v>
      </c>
      <c r="BT38" s="141">
        <v>813</v>
      </c>
      <c r="BU38" s="141">
        <v>629</v>
      </c>
      <c r="BV38" s="141">
        <v>4231</v>
      </c>
      <c r="BW38" s="141" t="s">
        <v>233</v>
      </c>
      <c r="BX38" s="141" t="s">
        <v>233</v>
      </c>
      <c r="BY38" s="141" t="s">
        <v>233</v>
      </c>
      <c r="BZ38" s="141">
        <v>971</v>
      </c>
      <c r="CA38" s="141">
        <v>646</v>
      </c>
      <c r="CB38" s="297">
        <v>155</v>
      </c>
      <c r="CC38" s="141">
        <v>101</v>
      </c>
      <c r="CD38" s="141">
        <v>52</v>
      </c>
      <c r="CE38" s="141">
        <v>10</v>
      </c>
      <c r="CF38" s="141">
        <v>7</v>
      </c>
      <c r="CG38" s="141">
        <v>60</v>
      </c>
      <c r="CH38" s="141">
        <v>40</v>
      </c>
      <c r="CI38" s="141">
        <v>7179</v>
      </c>
      <c r="CJ38" s="141">
        <v>1365</v>
      </c>
      <c r="CK38" s="298">
        <v>29</v>
      </c>
      <c r="CL38" s="258">
        <v>21067</v>
      </c>
    </row>
    <row r="39" spans="1:90">
      <c r="A39" s="80">
        <f>ROWS($A$3:A37)</f>
        <v>35</v>
      </c>
      <c r="B39" s="92" t="s">
        <v>245</v>
      </c>
      <c r="C39" s="203"/>
      <c r="D39" s="259" t="s">
        <v>1</v>
      </c>
      <c r="E39" s="437">
        <v>40865</v>
      </c>
      <c r="F39" s="116">
        <v>10197</v>
      </c>
      <c r="G39" s="137">
        <v>2082</v>
      </c>
      <c r="H39" s="137">
        <v>10885</v>
      </c>
      <c r="I39" s="138">
        <v>519</v>
      </c>
      <c r="J39" s="141"/>
      <c r="K39" s="116" t="str">
        <f>BF39</f>
        <v>-</v>
      </c>
      <c r="L39" s="137">
        <f>AY39</f>
        <v>1046</v>
      </c>
      <c r="M39" s="137">
        <f>BD39</f>
        <v>714</v>
      </c>
      <c r="N39" s="137" t="str">
        <f>AW39</f>
        <v>*</v>
      </c>
      <c r="O39" s="137" t="str">
        <f>BE39</f>
        <v>-</v>
      </c>
      <c r="P39" s="137">
        <f>AZ39+BA39</f>
        <v>5606</v>
      </c>
      <c r="Q39" s="137" t="str">
        <f>'2010'!AU39</f>
        <v>*</v>
      </c>
      <c r="R39" s="137">
        <f t="shared" si="74"/>
        <v>1963</v>
      </c>
      <c r="S39" s="137">
        <f>AV39</f>
        <v>115</v>
      </c>
      <c r="T39" s="137">
        <f t="shared" si="75"/>
        <v>751</v>
      </c>
      <c r="U39" s="139" t="str">
        <f t="shared" si="75"/>
        <v>*</v>
      </c>
      <c r="V39" s="137">
        <f>BG39+BJ39</f>
        <v>506</v>
      </c>
      <c r="W39" s="137" t="str">
        <f>BR39</f>
        <v>*</v>
      </c>
      <c r="X39" s="137">
        <f>BI39</f>
        <v>714</v>
      </c>
      <c r="Y39" s="137">
        <f>BK39+BL39+BN39</f>
        <v>661</v>
      </c>
      <c r="Z39" s="137" t="str">
        <f>BM39</f>
        <v>*</v>
      </c>
      <c r="AA39" s="137">
        <f>BO39+BQ39</f>
        <v>188</v>
      </c>
      <c r="AB39" s="139">
        <f>BP39</f>
        <v>0</v>
      </c>
      <c r="AC39" s="137" t="str">
        <f>BX39</f>
        <v>–</v>
      </c>
      <c r="AD39" s="137">
        <f>BU39</f>
        <v>1705</v>
      </c>
      <c r="AE39" s="137">
        <f>BS39+BT39</f>
        <v>5845</v>
      </c>
      <c r="AF39" s="137">
        <f>CA39</f>
        <v>739</v>
      </c>
      <c r="AG39" s="137">
        <f>BV39</f>
        <v>2479</v>
      </c>
      <c r="AH39" s="137" t="str">
        <f>BZ39</f>
        <v>*</v>
      </c>
      <c r="AI39" s="137" t="str">
        <f>BW39</f>
        <v>–</v>
      </c>
      <c r="AJ39" s="137" t="str">
        <f>BY39</f>
        <v>*</v>
      </c>
      <c r="AK39" s="139">
        <f>CB39</f>
        <v>56</v>
      </c>
      <c r="AL39" s="137" t="str">
        <f>CE39</f>
        <v>*</v>
      </c>
      <c r="AM39" s="137" t="str">
        <f>CH39</f>
        <v>*</v>
      </c>
      <c r="AN39" s="137" t="str">
        <f>CJ39</f>
        <v>*</v>
      </c>
      <c r="AO39" s="137">
        <f t="shared" si="76"/>
        <v>16</v>
      </c>
      <c r="AP39" s="137">
        <f t="shared" si="76"/>
        <v>9</v>
      </c>
      <c r="AQ39" s="137" t="str">
        <f>CK39</f>
        <v>*</v>
      </c>
      <c r="AR39" s="137">
        <f>CI39</f>
        <v>492</v>
      </c>
      <c r="AS39" s="138" t="str">
        <f>CG39</f>
        <v>*</v>
      </c>
      <c r="AT39" s="141">
        <v>354</v>
      </c>
      <c r="AU39" s="141" t="s">
        <v>233</v>
      </c>
      <c r="AV39" s="141">
        <v>115</v>
      </c>
      <c r="AW39" s="141" t="s">
        <v>233</v>
      </c>
      <c r="AX39" s="141">
        <v>1609</v>
      </c>
      <c r="AY39" s="141">
        <v>1046</v>
      </c>
      <c r="AZ39" s="141">
        <v>634</v>
      </c>
      <c r="BA39" s="141">
        <v>4972</v>
      </c>
      <c r="BB39" s="141">
        <v>751</v>
      </c>
      <c r="BC39" s="141" t="s">
        <v>233</v>
      </c>
      <c r="BD39" s="141">
        <v>714</v>
      </c>
      <c r="BE39" s="141" t="s">
        <v>58</v>
      </c>
      <c r="BF39" s="297" t="s">
        <v>58</v>
      </c>
      <c r="BG39" s="141">
        <v>187</v>
      </c>
      <c r="BH39" s="141" t="s">
        <v>233</v>
      </c>
      <c r="BI39" s="141">
        <v>714</v>
      </c>
      <c r="BJ39" s="141">
        <v>319</v>
      </c>
      <c r="BK39" s="141">
        <v>50</v>
      </c>
      <c r="BL39" s="141">
        <v>0</v>
      </c>
      <c r="BM39" s="141" t="s">
        <v>233</v>
      </c>
      <c r="BN39" s="141">
        <v>611</v>
      </c>
      <c r="BO39" s="141">
        <v>0</v>
      </c>
      <c r="BP39" s="141">
        <v>0</v>
      </c>
      <c r="BQ39" s="141">
        <v>188</v>
      </c>
      <c r="BR39" s="297" t="s">
        <v>233</v>
      </c>
      <c r="BS39" s="141">
        <v>703</v>
      </c>
      <c r="BT39" s="141">
        <v>5142</v>
      </c>
      <c r="BU39" s="141">
        <v>1705</v>
      </c>
      <c r="BV39" s="141">
        <v>2479</v>
      </c>
      <c r="BW39" s="141" t="s">
        <v>41</v>
      </c>
      <c r="BX39" s="141" t="s">
        <v>41</v>
      </c>
      <c r="BY39" s="141" t="s">
        <v>233</v>
      </c>
      <c r="BZ39" s="141" t="s">
        <v>233</v>
      </c>
      <c r="CA39" s="141">
        <v>739</v>
      </c>
      <c r="CB39" s="297">
        <v>56</v>
      </c>
      <c r="CC39" s="141">
        <v>16</v>
      </c>
      <c r="CD39" s="141">
        <v>9</v>
      </c>
      <c r="CE39" s="141" t="s">
        <v>233</v>
      </c>
      <c r="CF39" s="141">
        <v>0</v>
      </c>
      <c r="CG39" s="141" t="s">
        <v>233</v>
      </c>
      <c r="CH39" s="141" t="s">
        <v>233</v>
      </c>
      <c r="CI39" s="141">
        <v>492</v>
      </c>
      <c r="CJ39" s="141" t="s">
        <v>233</v>
      </c>
      <c r="CK39" s="298" t="s">
        <v>233</v>
      </c>
      <c r="CL39" s="258">
        <v>23682</v>
      </c>
    </row>
    <row r="40" spans="1:90">
      <c r="A40" s="80">
        <f>ROWS($A$3:A38)</f>
        <v>36</v>
      </c>
      <c r="B40" s="59" t="s">
        <v>98</v>
      </c>
      <c r="C40" s="203"/>
      <c r="D40" s="259"/>
      <c r="E40" s="435"/>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202">
        <v>2010</v>
      </c>
      <c r="D41" s="259" t="s">
        <v>7</v>
      </c>
      <c r="E41" s="437">
        <v>40865</v>
      </c>
      <c r="F41" s="302">
        <v>309599</v>
      </c>
      <c r="G41" s="141">
        <v>82603</v>
      </c>
      <c r="H41" s="141">
        <v>225100</v>
      </c>
      <c r="I41" s="298">
        <v>410167</v>
      </c>
      <c r="J41" s="141"/>
      <c r="K41" s="116">
        <f t="shared" ref="K41:K54" si="77">BF41</f>
        <v>75840</v>
      </c>
      <c r="L41" s="137">
        <f t="shared" ref="L41:L54" si="78">AY41</f>
        <v>21980</v>
      </c>
      <c r="M41" s="137">
        <f t="shared" ref="M41:M54" si="79">BD41</f>
        <v>20991</v>
      </c>
      <c r="N41" s="137">
        <f t="shared" ref="N41:N54" si="80">AW41</f>
        <v>30926</v>
      </c>
      <c r="O41" s="137">
        <f t="shared" ref="O41:O54" si="81">BE41</f>
        <v>23114</v>
      </c>
      <c r="P41" s="137">
        <f>AZ41+BA41</f>
        <v>13378</v>
      </c>
      <c r="Q41" s="137">
        <f>'2010'!AU41</f>
        <v>9070</v>
      </c>
      <c r="R41" s="137">
        <f t="shared" si="74"/>
        <v>14377</v>
      </c>
      <c r="S41" s="137">
        <f t="shared" ref="S41:S54" si="82">AV41</f>
        <v>9743</v>
      </c>
      <c r="T41" s="137">
        <f t="shared" ref="T41:T54" si="83">BB41</f>
        <v>23112</v>
      </c>
      <c r="U41" s="139">
        <f t="shared" ref="U41:U54" si="84">BC41</f>
        <v>67068</v>
      </c>
      <c r="V41" s="137">
        <f>BG41+BJ41</f>
        <v>3131</v>
      </c>
      <c r="W41" s="137">
        <f t="shared" ref="W41:W54" si="85">BR41</f>
        <v>12777</v>
      </c>
      <c r="X41" s="137">
        <f>BH41+BI41</f>
        <v>5805</v>
      </c>
      <c r="Y41" s="137">
        <f>BK41+BL41+BN41</f>
        <v>12912</v>
      </c>
      <c r="Z41" s="137">
        <f t="shared" ref="Z41:Z54" si="86">BM41</f>
        <v>24446</v>
      </c>
      <c r="AA41" s="137">
        <f>BO41+BQ41</f>
        <v>10923</v>
      </c>
      <c r="AB41" s="139">
        <f t="shared" ref="AB41:AB54" si="87">BP41</f>
        <v>12609</v>
      </c>
      <c r="AC41" s="137">
        <f t="shared" ref="AC41:AC54" si="88">BX41</f>
        <v>33019</v>
      </c>
      <c r="AD41" s="137">
        <f t="shared" ref="AD41:AD54" si="89">BU41</f>
        <v>15809</v>
      </c>
      <c r="AE41" s="137">
        <f>BS41+BT41</f>
        <v>30258</v>
      </c>
      <c r="AF41" s="137">
        <f t="shared" ref="AF41:AF54" si="90">CA41</f>
        <v>16061</v>
      </c>
      <c r="AG41" s="137">
        <f t="shared" ref="AG41:AG54" si="91">BV41</f>
        <v>32049</v>
      </c>
      <c r="AH41" s="137">
        <f t="shared" ref="AH41:AH54" si="92">BZ41</f>
        <v>26100</v>
      </c>
      <c r="AI41" s="137">
        <f t="shared" ref="AI41:AI54" si="93">BW41</f>
        <v>19452</v>
      </c>
      <c r="AJ41" s="137">
        <f t="shared" ref="AJ41:AJ54" si="94">BY41</f>
        <v>16486</v>
      </c>
      <c r="AK41" s="139">
        <f t="shared" ref="AK41:AK54" si="95">CB41</f>
        <v>35866</v>
      </c>
      <c r="AL41" s="137">
        <f t="shared" ref="AL41:AL54" si="96">CE41</f>
        <v>14577</v>
      </c>
      <c r="AM41" s="137">
        <f t="shared" ref="AM41:AM54" si="97">CH41</f>
        <v>92959</v>
      </c>
      <c r="AN41" s="137">
        <f t="shared" ref="AN41:AN54" si="98">CJ41</f>
        <v>149029</v>
      </c>
      <c r="AO41" s="137">
        <f t="shared" ref="AO41:AO54" si="99">CC41</f>
        <v>29466</v>
      </c>
      <c r="AP41" s="137">
        <f t="shared" ref="AP41:AP54" si="100">CD41</f>
        <v>6342</v>
      </c>
      <c r="AQ41" s="137">
        <f t="shared" ref="AQ41:AQ54" si="101">CK41</f>
        <v>38128</v>
      </c>
      <c r="AR41" s="137">
        <f t="shared" ref="AR41:AR54" si="102">CI41</f>
        <v>25288</v>
      </c>
      <c r="AS41" s="138">
        <f>CF41+CG41</f>
        <v>54378</v>
      </c>
      <c r="AT41" s="281">
        <v>945</v>
      </c>
      <c r="AU41" s="281">
        <v>9070</v>
      </c>
      <c r="AV41" s="281">
        <v>9743</v>
      </c>
      <c r="AW41" s="281">
        <v>30926</v>
      </c>
      <c r="AX41" s="281">
        <v>13432</v>
      </c>
      <c r="AY41" s="281">
        <v>21980</v>
      </c>
      <c r="AZ41" s="281">
        <v>127</v>
      </c>
      <c r="BA41" s="281">
        <v>13251</v>
      </c>
      <c r="BB41" s="281">
        <v>23112</v>
      </c>
      <c r="BC41" s="281">
        <v>67068</v>
      </c>
      <c r="BD41" s="281">
        <v>20991</v>
      </c>
      <c r="BE41" s="281">
        <v>23114</v>
      </c>
      <c r="BF41" s="299">
        <v>75840</v>
      </c>
      <c r="BG41" s="281">
        <v>225</v>
      </c>
      <c r="BH41" s="281">
        <v>336</v>
      </c>
      <c r="BI41" s="281">
        <v>5469</v>
      </c>
      <c r="BJ41" s="281">
        <v>2906</v>
      </c>
      <c r="BK41" s="281">
        <v>504</v>
      </c>
      <c r="BL41" s="281">
        <v>100</v>
      </c>
      <c r="BM41" s="281">
        <v>24446</v>
      </c>
      <c r="BN41" s="281">
        <v>12308</v>
      </c>
      <c r="BO41" s="281">
        <v>240</v>
      </c>
      <c r="BP41" s="281">
        <v>12609</v>
      </c>
      <c r="BQ41" s="281">
        <v>10683</v>
      </c>
      <c r="BR41" s="299">
        <v>12777</v>
      </c>
      <c r="BS41" s="281">
        <v>664</v>
      </c>
      <c r="BT41" s="281">
        <v>29594</v>
      </c>
      <c r="BU41" s="281">
        <v>15809</v>
      </c>
      <c r="BV41" s="281">
        <v>32049</v>
      </c>
      <c r="BW41" s="281">
        <v>19452</v>
      </c>
      <c r="BX41" s="281">
        <v>33019</v>
      </c>
      <c r="BY41" s="281">
        <v>16486</v>
      </c>
      <c r="BZ41" s="281">
        <v>26100</v>
      </c>
      <c r="CA41" s="281">
        <v>16061</v>
      </c>
      <c r="CB41" s="299">
        <v>35866</v>
      </c>
      <c r="CC41" s="281">
        <v>29466</v>
      </c>
      <c r="CD41" s="281">
        <v>6342</v>
      </c>
      <c r="CE41" s="281">
        <v>14577</v>
      </c>
      <c r="CF41" s="281">
        <v>2061</v>
      </c>
      <c r="CG41" s="281">
        <v>52317</v>
      </c>
      <c r="CH41" s="281">
        <v>92959</v>
      </c>
      <c r="CI41" s="281">
        <v>25288</v>
      </c>
      <c r="CJ41" s="281">
        <v>149029</v>
      </c>
      <c r="CK41" s="300">
        <v>38128</v>
      </c>
      <c r="CL41" s="301">
        <v>1027469</v>
      </c>
    </row>
    <row r="42" spans="1:90">
      <c r="A42" s="80">
        <f>ROWS($A$3:A40)</f>
        <v>38</v>
      </c>
      <c r="B42" s="92" t="s">
        <v>305</v>
      </c>
      <c r="C42" s="203"/>
      <c r="D42" s="259" t="s">
        <v>7</v>
      </c>
      <c r="E42" s="437">
        <v>40865</v>
      </c>
      <c r="F42" s="302">
        <v>118775</v>
      </c>
      <c r="G42" s="141">
        <v>31002</v>
      </c>
      <c r="H42" s="141">
        <v>91208</v>
      </c>
      <c r="I42" s="298">
        <v>175512</v>
      </c>
      <c r="J42" s="141"/>
      <c r="K42" s="116">
        <f t="shared" si="77"/>
        <v>29760</v>
      </c>
      <c r="L42" s="137">
        <f t="shared" si="78"/>
        <v>8564</v>
      </c>
      <c r="M42" s="137">
        <f t="shared" si="79"/>
        <v>7668</v>
      </c>
      <c r="N42" s="137">
        <f t="shared" si="80"/>
        <v>12339</v>
      </c>
      <c r="O42" s="137">
        <f t="shared" si="81"/>
        <v>8540</v>
      </c>
      <c r="P42" s="137">
        <f>BA42</f>
        <v>5043</v>
      </c>
      <c r="Q42" s="137">
        <f>'2010'!AU42</f>
        <v>3677</v>
      </c>
      <c r="R42" s="137">
        <f>AX42</f>
        <v>4785</v>
      </c>
      <c r="S42" s="137">
        <f t="shared" si="82"/>
        <v>3449</v>
      </c>
      <c r="T42" s="137">
        <f t="shared" si="83"/>
        <v>8839</v>
      </c>
      <c r="U42" s="139">
        <f t="shared" si="84"/>
        <v>25595</v>
      </c>
      <c r="V42" s="137">
        <f>BJ42</f>
        <v>1105</v>
      </c>
      <c r="W42" s="137">
        <f t="shared" si="85"/>
        <v>5127</v>
      </c>
      <c r="X42" s="137">
        <f>BI42</f>
        <v>1950</v>
      </c>
      <c r="Y42" s="137">
        <f>BN42</f>
        <v>4449</v>
      </c>
      <c r="Z42" s="137">
        <f t="shared" si="86"/>
        <v>9004</v>
      </c>
      <c r="AA42" s="137">
        <f>BQ42</f>
        <v>4072</v>
      </c>
      <c r="AB42" s="139">
        <f t="shared" si="87"/>
        <v>4805</v>
      </c>
      <c r="AC42" s="137">
        <f t="shared" si="88"/>
        <v>14672</v>
      </c>
      <c r="AD42" s="137">
        <f t="shared" si="89"/>
        <v>5874</v>
      </c>
      <c r="AE42" s="137">
        <f>BS42+BT42</f>
        <v>13699</v>
      </c>
      <c r="AF42" s="137">
        <f t="shared" si="90"/>
        <v>6445</v>
      </c>
      <c r="AG42" s="137">
        <f t="shared" si="91"/>
        <v>12349</v>
      </c>
      <c r="AH42" s="137">
        <f t="shared" si="92"/>
        <v>10432</v>
      </c>
      <c r="AI42" s="137">
        <f t="shared" si="93"/>
        <v>6902</v>
      </c>
      <c r="AJ42" s="137">
        <f t="shared" si="94"/>
        <v>6686</v>
      </c>
      <c r="AK42" s="139">
        <f t="shared" si="95"/>
        <v>14149</v>
      </c>
      <c r="AL42" s="137">
        <f t="shared" si="96"/>
        <v>5445</v>
      </c>
      <c r="AM42" s="137">
        <f t="shared" si="97"/>
        <v>37288</v>
      </c>
      <c r="AN42" s="137">
        <f t="shared" si="98"/>
        <v>73310</v>
      </c>
      <c r="AO42" s="137">
        <f t="shared" si="99"/>
        <v>9711</v>
      </c>
      <c r="AP42" s="137">
        <f t="shared" si="100"/>
        <v>2233</v>
      </c>
      <c r="AQ42" s="137">
        <f t="shared" si="101"/>
        <v>15118</v>
      </c>
      <c r="AR42" s="137">
        <f t="shared" si="102"/>
        <v>11396</v>
      </c>
      <c r="AS42" s="138">
        <f>CF42+CG42</f>
        <v>21011</v>
      </c>
      <c r="AT42" s="281">
        <v>461</v>
      </c>
      <c r="AU42" s="281">
        <v>3677</v>
      </c>
      <c r="AV42" s="281">
        <v>3449</v>
      </c>
      <c r="AW42" s="281">
        <v>12339</v>
      </c>
      <c r="AX42" s="281">
        <v>4785</v>
      </c>
      <c r="AY42" s="281">
        <v>8564</v>
      </c>
      <c r="AZ42" s="281">
        <v>55</v>
      </c>
      <c r="BA42" s="281">
        <v>5043</v>
      </c>
      <c r="BB42" s="281">
        <v>8839</v>
      </c>
      <c r="BC42" s="281">
        <v>25595</v>
      </c>
      <c r="BD42" s="281">
        <v>7668</v>
      </c>
      <c r="BE42" s="281">
        <v>8540</v>
      </c>
      <c r="BF42" s="299">
        <v>29760</v>
      </c>
      <c r="BG42" s="281">
        <v>72</v>
      </c>
      <c r="BH42" s="281">
        <v>65</v>
      </c>
      <c r="BI42" s="281">
        <v>1950</v>
      </c>
      <c r="BJ42" s="281">
        <v>1105</v>
      </c>
      <c r="BK42" s="281">
        <v>243</v>
      </c>
      <c r="BL42" s="281">
        <v>33</v>
      </c>
      <c r="BM42" s="281">
        <v>9004</v>
      </c>
      <c r="BN42" s="281">
        <v>4449</v>
      </c>
      <c r="BO42" s="281">
        <v>77</v>
      </c>
      <c r="BP42" s="281">
        <v>4805</v>
      </c>
      <c r="BQ42" s="281">
        <v>4072</v>
      </c>
      <c r="BR42" s="299">
        <v>5127</v>
      </c>
      <c r="BS42" s="281">
        <v>244</v>
      </c>
      <c r="BT42" s="281">
        <v>13455</v>
      </c>
      <c r="BU42" s="281">
        <v>5874</v>
      </c>
      <c r="BV42" s="281">
        <v>12349</v>
      </c>
      <c r="BW42" s="281">
        <v>6902</v>
      </c>
      <c r="BX42" s="281">
        <v>14672</v>
      </c>
      <c r="BY42" s="281">
        <v>6686</v>
      </c>
      <c r="BZ42" s="281">
        <v>10432</v>
      </c>
      <c r="CA42" s="281">
        <v>6445</v>
      </c>
      <c r="CB42" s="299">
        <v>14149</v>
      </c>
      <c r="CC42" s="281">
        <v>9711</v>
      </c>
      <c r="CD42" s="281">
        <v>2233</v>
      </c>
      <c r="CE42" s="281">
        <v>5445</v>
      </c>
      <c r="CF42" s="281">
        <v>857</v>
      </c>
      <c r="CG42" s="281">
        <v>20154</v>
      </c>
      <c r="CH42" s="281">
        <v>37288</v>
      </c>
      <c r="CI42" s="281">
        <v>11396</v>
      </c>
      <c r="CJ42" s="281">
        <v>73310</v>
      </c>
      <c r="CK42" s="300">
        <v>15118</v>
      </c>
      <c r="CL42" s="301">
        <v>416497</v>
      </c>
    </row>
    <row r="43" spans="1:90">
      <c r="A43" s="80">
        <f>ROWS($A$3:A41)</f>
        <v>39</v>
      </c>
      <c r="B43" s="92" t="s">
        <v>14</v>
      </c>
      <c r="C43" s="203"/>
      <c r="D43" s="259" t="s">
        <v>7</v>
      </c>
      <c r="E43" s="437">
        <v>40865</v>
      </c>
      <c r="F43" s="302">
        <v>101650</v>
      </c>
      <c r="G43" s="141">
        <v>22877</v>
      </c>
      <c r="H43" s="141">
        <v>68005</v>
      </c>
      <c r="I43" s="298">
        <v>161183</v>
      </c>
      <c r="J43" s="141"/>
      <c r="K43" s="116">
        <f>BF43</f>
        <v>25104</v>
      </c>
      <c r="L43" s="137">
        <f>AY43</f>
        <v>6718</v>
      </c>
      <c r="M43" s="137">
        <f>BD43</f>
        <v>6932</v>
      </c>
      <c r="N43" s="137">
        <f>AW43</f>
        <v>10603</v>
      </c>
      <c r="O43" s="137">
        <f>BE43</f>
        <v>7912</v>
      </c>
      <c r="P43" s="137">
        <f>BA43</f>
        <v>4378</v>
      </c>
      <c r="Q43" s="137">
        <f>'2010'!AU43</f>
        <v>3178</v>
      </c>
      <c r="R43" s="137">
        <f>AX43</f>
        <v>4344</v>
      </c>
      <c r="S43" s="137">
        <f>AV43</f>
        <v>2502</v>
      </c>
      <c r="T43" s="137">
        <f>BB43</f>
        <v>7569</v>
      </c>
      <c r="U43" s="139">
        <f>BC43</f>
        <v>21941</v>
      </c>
      <c r="V43" s="137">
        <f>BJ43</f>
        <v>380</v>
      </c>
      <c r="W43" s="137">
        <f>BR43</f>
        <v>3774</v>
      </c>
      <c r="X43" s="137">
        <f>BI43</f>
        <v>1202</v>
      </c>
      <c r="Y43" s="137">
        <f>BN43</f>
        <v>3371</v>
      </c>
      <c r="Z43" s="137">
        <f>BM43</f>
        <v>7534</v>
      </c>
      <c r="AA43" s="137">
        <f>BQ43</f>
        <v>2881</v>
      </c>
      <c r="AB43" s="139">
        <f>BP43</f>
        <v>3499</v>
      </c>
      <c r="AC43" s="137">
        <f>BX43</f>
        <v>12455</v>
      </c>
      <c r="AD43" s="137">
        <f>BU43</f>
        <v>3583</v>
      </c>
      <c r="AE43" s="137">
        <f>BS43+BT43</f>
        <v>10349</v>
      </c>
      <c r="AF43" s="137">
        <f>CA43</f>
        <v>3769</v>
      </c>
      <c r="AG43" s="137">
        <f>BV43</f>
        <v>8168</v>
      </c>
      <c r="AH43" s="137">
        <f>BZ43</f>
        <v>8828</v>
      </c>
      <c r="AI43" s="137">
        <f>BW43</f>
        <v>5097</v>
      </c>
      <c r="AJ43" s="137">
        <f>BY43</f>
        <v>5405</v>
      </c>
      <c r="AK43" s="139">
        <f>CB43</f>
        <v>10351</v>
      </c>
      <c r="AL43" s="137">
        <f>CE43</f>
        <v>3430</v>
      </c>
      <c r="AM43" s="137">
        <f>CH43</f>
        <v>35289</v>
      </c>
      <c r="AN43" s="137">
        <f>CJ43</f>
        <v>69996</v>
      </c>
      <c r="AO43" s="137">
        <f>CC43</f>
        <v>8194</v>
      </c>
      <c r="AP43" s="137">
        <f>CD43</f>
        <v>1601</v>
      </c>
      <c r="AQ43" s="137">
        <f>CK43</f>
        <v>12854</v>
      </c>
      <c r="AR43" s="137">
        <f>CI43</f>
        <v>10539</v>
      </c>
      <c r="AS43" s="138">
        <f>CF43+CG43</f>
        <v>19280</v>
      </c>
      <c r="AT43" s="281" t="s">
        <v>233</v>
      </c>
      <c r="AU43" s="281">
        <v>3178</v>
      </c>
      <c r="AV43" s="281">
        <v>2502</v>
      </c>
      <c r="AW43" s="281">
        <v>10603</v>
      </c>
      <c r="AX43" s="281">
        <v>4344</v>
      </c>
      <c r="AY43" s="281">
        <v>6718</v>
      </c>
      <c r="AZ43" s="281" t="s">
        <v>233</v>
      </c>
      <c r="BA43" s="281">
        <v>4378</v>
      </c>
      <c r="BB43" s="281">
        <v>7569</v>
      </c>
      <c r="BC43" s="281">
        <v>21941</v>
      </c>
      <c r="BD43" s="281">
        <v>6932</v>
      </c>
      <c r="BE43" s="281">
        <v>7912</v>
      </c>
      <c r="BF43" s="299">
        <v>25104</v>
      </c>
      <c r="BG43" s="281">
        <v>0</v>
      </c>
      <c r="BH43" s="281" t="s">
        <v>233</v>
      </c>
      <c r="BI43" s="281">
        <v>1202</v>
      </c>
      <c r="BJ43" s="281">
        <v>380</v>
      </c>
      <c r="BK43" s="281" t="s">
        <v>233</v>
      </c>
      <c r="BL43" s="281" t="s">
        <v>233</v>
      </c>
      <c r="BM43" s="281">
        <v>7534</v>
      </c>
      <c r="BN43" s="281">
        <v>3371</v>
      </c>
      <c r="BO43" s="281" t="s">
        <v>233</v>
      </c>
      <c r="BP43" s="281">
        <v>3499</v>
      </c>
      <c r="BQ43" s="281">
        <v>2881</v>
      </c>
      <c r="BR43" s="299">
        <v>3774</v>
      </c>
      <c r="BS43" s="281">
        <v>93</v>
      </c>
      <c r="BT43" s="281">
        <v>10256</v>
      </c>
      <c r="BU43" s="281">
        <v>3583</v>
      </c>
      <c r="BV43" s="281">
        <v>8168</v>
      </c>
      <c r="BW43" s="281">
        <v>5097</v>
      </c>
      <c r="BX43" s="281">
        <v>12455</v>
      </c>
      <c r="BY43" s="281">
        <v>5405</v>
      </c>
      <c r="BZ43" s="281">
        <v>8828</v>
      </c>
      <c r="CA43" s="281">
        <v>3769</v>
      </c>
      <c r="CB43" s="299">
        <v>10351</v>
      </c>
      <c r="CC43" s="281">
        <v>8194</v>
      </c>
      <c r="CD43" s="281">
        <v>1601</v>
      </c>
      <c r="CE43" s="281">
        <v>3430</v>
      </c>
      <c r="CF43" s="281">
        <v>827</v>
      </c>
      <c r="CG43" s="281">
        <v>18453</v>
      </c>
      <c r="CH43" s="281">
        <v>35289</v>
      </c>
      <c r="CI43" s="281">
        <v>10539</v>
      </c>
      <c r="CJ43" s="281">
        <v>69996</v>
      </c>
      <c r="CK43" s="300">
        <v>12854</v>
      </c>
      <c r="CL43" s="301">
        <v>353715</v>
      </c>
    </row>
    <row r="44" spans="1:90">
      <c r="A44" s="80">
        <f>ROWS($A$3:A42)</f>
        <v>40</v>
      </c>
      <c r="B44" s="54" t="s">
        <v>20</v>
      </c>
      <c r="C44" s="252"/>
      <c r="D44" s="259" t="s">
        <v>241</v>
      </c>
      <c r="E44" s="437">
        <v>40865</v>
      </c>
      <c r="F44" s="302">
        <v>32</v>
      </c>
      <c r="G44" s="141">
        <v>34</v>
      </c>
      <c r="H44" s="141">
        <v>25</v>
      </c>
      <c r="I44" s="298">
        <v>38</v>
      </c>
      <c r="J44" s="141"/>
      <c r="K44" s="116">
        <f t="shared" si="77"/>
        <v>34</v>
      </c>
      <c r="L44" s="137">
        <f t="shared" si="78"/>
        <v>28</v>
      </c>
      <c r="M44" s="137">
        <f t="shared" si="79"/>
        <v>27</v>
      </c>
      <c r="N44" s="137">
        <f t="shared" si="80"/>
        <v>34</v>
      </c>
      <c r="O44" s="137">
        <f t="shared" si="81"/>
        <v>38</v>
      </c>
      <c r="P44" s="143">
        <f>(BA42*BA44)/P42</f>
        <v>35</v>
      </c>
      <c r="Q44" s="137">
        <f>'2010'!AU44</f>
        <v>36</v>
      </c>
      <c r="R44" s="143">
        <f>(AX42*AX44)/R42</f>
        <v>31</v>
      </c>
      <c r="S44" s="137">
        <f t="shared" si="82"/>
        <v>26</v>
      </c>
      <c r="T44" s="137">
        <f t="shared" si="83"/>
        <v>33</v>
      </c>
      <c r="U44" s="139">
        <f t="shared" si="84"/>
        <v>32</v>
      </c>
      <c r="V44" s="143">
        <f>(BJ42*BJ44)/V42</f>
        <v>20</v>
      </c>
      <c r="W44" s="137">
        <f t="shared" si="85"/>
        <v>29</v>
      </c>
      <c r="X44" s="143">
        <f>(BI42*BI44)/X42</f>
        <v>39</v>
      </c>
      <c r="Y44" s="143">
        <f>(BN42*BN44)/Y42</f>
        <v>37</v>
      </c>
      <c r="Z44" s="137">
        <f t="shared" si="86"/>
        <v>35</v>
      </c>
      <c r="AA44" s="143">
        <f>(BQ42*BQ44)/AA42</f>
        <v>44</v>
      </c>
      <c r="AB44" s="139">
        <f t="shared" si="87"/>
        <v>28</v>
      </c>
      <c r="AC44" s="137">
        <f t="shared" si="88"/>
        <v>27</v>
      </c>
      <c r="AD44" s="137">
        <f t="shared" si="89"/>
        <v>20</v>
      </c>
      <c r="AE44" s="143">
        <f>(BS42*BS44+BT42*BT44)/AE42</f>
        <v>22.928753923644063</v>
      </c>
      <c r="AF44" s="137">
        <f t="shared" si="90"/>
        <v>21</v>
      </c>
      <c r="AG44" s="137">
        <f t="shared" si="91"/>
        <v>17</v>
      </c>
      <c r="AH44" s="137">
        <f t="shared" si="92"/>
        <v>38</v>
      </c>
      <c r="AI44" s="137">
        <f t="shared" si="93"/>
        <v>23</v>
      </c>
      <c r="AJ44" s="137">
        <f t="shared" si="94"/>
        <v>39</v>
      </c>
      <c r="AK44" s="139">
        <f t="shared" si="95"/>
        <v>28</v>
      </c>
      <c r="AL44" s="137">
        <f t="shared" si="96"/>
        <v>42</v>
      </c>
      <c r="AM44" s="137">
        <f t="shared" si="97"/>
        <v>40</v>
      </c>
      <c r="AN44" s="137">
        <f t="shared" si="98"/>
        <v>42</v>
      </c>
      <c r="AO44" s="137">
        <f t="shared" si="99"/>
        <v>33</v>
      </c>
      <c r="AP44" s="137">
        <f t="shared" si="100"/>
        <v>40</v>
      </c>
      <c r="AQ44" s="137">
        <f t="shared" si="101"/>
        <v>34</v>
      </c>
      <c r="AR44" s="137">
        <f t="shared" si="102"/>
        <v>31</v>
      </c>
      <c r="AS44" s="144">
        <f>(CF42*CF44+CG42*CG44)/AS42</f>
        <v>32.285517110085195</v>
      </c>
      <c r="AT44" s="281" t="s">
        <v>233</v>
      </c>
      <c r="AU44" s="281">
        <v>36</v>
      </c>
      <c r="AV44" s="281">
        <v>26</v>
      </c>
      <c r="AW44" s="281">
        <v>34</v>
      </c>
      <c r="AX44" s="281">
        <v>31</v>
      </c>
      <c r="AY44" s="281">
        <v>28</v>
      </c>
      <c r="AZ44" s="281" t="s">
        <v>233</v>
      </c>
      <c r="BA44" s="281">
        <v>35</v>
      </c>
      <c r="BB44" s="281">
        <v>33</v>
      </c>
      <c r="BC44" s="281">
        <v>32</v>
      </c>
      <c r="BD44" s="281">
        <v>27</v>
      </c>
      <c r="BE44" s="281">
        <v>38</v>
      </c>
      <c r="BF44" s="299">
        <v>34</v>
      </c>
      <c r="BG44" s="281">
        <v>0</v>
      </c>
      <c r="BH44" s="281" t="s">
        <v>233</v>
      </c>
      <c r="BI44" s="281">
        <v>39</v>
      </c>
      <c r="BJ44" s="281">
        <v>20</v>
      </c>
      <c r="BK44" s="281" t="s">
        <v>233</v>
      </c>
      <c r="BL44" s="281" t="s">
        <v>233</v>
      </c>
      <c r="BM44" s="281">
        <v>35</v>
      </c>
      <c r="BN44" s="281">
        <v>37</v>
      </c>
      <c r="BO44" s="281" t="s">
        <v>233</v>
      </c>
      <c r="BP44" s="281">
        <v>28</v>
      </c>
      <c r="BQ44" s="281">
        <v>44</v>
      </c>
      <c r="BR44" s="299">
        <v>29</v>
      </c>
      <c r="BS44" s="281">
        <v>19</v>
      </c>
      <c r="BT44" s="281">
        <v>23</v>
      </c>
      <c r="BU44" s="281">
        <v>20</v>
      </c>
      <c r="BV44" s="281">
        <v>17</v>
      </c>
      <c r="BW44" s="281">
        <v>23</v>
      </c>
      <c r="BX44" s="281">
        <v>27</v>
      </c>
      <c r="BY44" s="281">
        <v>39</v>
      </c>
      <c r="BZ44" s="281">
        <v>38</v>
      </c>
      <c r="CA44" s="281">
        <v>21</v>
      </c>
      <c r="CB44" s="299">
        <v>28</v>
      </c>
      <c r="CC44" s="281">
        <v>33</v>
      </c>
      <c r="CD44" s="281">
        <v>40</v>
      </c>
      <c r="CE44" s="281">
        <v>42</v>
      </c>
      <c r="CF44" s="281">
        <v>39</v>
      </c>
      <c r="CG44" s="281">
        <v>32</v>
      </c>
      <c r="CH44" s="281">
        <v>40</v>
      </c>
      <c r="CI44" s="281">
        <v>31</v>
      </c>
      <c r="CJ44" s="281">
        <v>42</v>
      </c>
      <c r="CK44" s="300">
        <v>34</v>
      </c>
      <c r="CL44" s="301">
        <v>33</v>
      </c>
    </row>
    <row r="45" spans="1:90">
      <c r="A45" s="80">
        <f>ROWS($A$3:A43)</f>
        <v>41</v>
      </c>
      <c r="B45" s="92" t="s">
        <v>74</v>
      </c>
      <c r="C45" s="202">
        <v>2010</v>
      </c>
      <c r="D45" s="259" t="s">
        <v>7</v>
      </c>
      <c r="E45" s="437">
        <v>40865</v>
      </c>
      <c r="F45" s="302">
        <v>1148077</v>
      </c>
      <c r="G45" s="141">
        <v>109564</v>
      </c>
      <c r="H45" s="141">
        <v>151726</v>
      </c>
      <c r="I45" s="298">
        <v>723432</v>
      </c>
      <c r="J45" s="141"/>
      <c r="K45" s="116">
        <f t="shared" si="77"/>
        <v>143135</v>
      </c>
      <c r="L45" s="137">
        <f t="shared" si="78"/>
        <v>16426</v>
      </c>
      <c r="M45" s="137">
        <f t="shared" si="79"/>
        <v>150540</v>
      </c>
      <c r="N45" s="137">
        <f t="shared" si="80"/>
        <v>25725</v>
      </c>
      <c r="O45" s="137">
        <f t="shared" si="81"/>
        <v>49736</v>
      </c>
      <c r="P45" s="808">
        <f>IF(ISERROR(AZ45+BA45),BA45,AZ45+BA45)</f>
        <v>35071</v>
      </c>
      <c r="Q45" s="137">
        <f>'2010'!AU45</f>
        <v>21372</v>
      </c>
      <c r="R45" s="808">
        <f>IF(ISERROR(AT45+AX45),AX45,AT45+AX45)</f>
        <v>42652</v>
      </c>
      <c r="S45" s="137">
        <f t="shared" si="82"/>
        <v>7266</v>
      </c>
      <c r="T45" s="137">
        <f t="shared" si="83"/>
        <v>180470</v>
      </c>
      <c r="U45" s="139">
        <f t="shared" si="84"/>
        <v>475187</v>
      </c>
      <c r="V45" s="808">
        <f>IF(ISERROR(BG45+BJ45),BJ45,(BG45+BJ45))</f>
        <v>7039</v>
      </c>
      <c r="W45" s="137">
        <f t="shared" si="85"/>
        <v>14067</v>
      </c>
      <c r="X45" s="808">
        <f>IF(ISERROR(BH45+BI45),BI45,(BH45+BI45))</f>
        <v>7841</v>
      </c>
      <c r="Y45" s="808">
        <f>IF(ISERROR(BK45+BL45+BN45),BK45+BN45,(BK45+BL45+BN45))</f>
        <v>28028</v>
      </c>
      <c r="Z45" s="137">
        <f t="shared" si="86"/>
        <v>37706</v>
      </c>
      <c r="AA45" s="808">
        <f>IF(ISERROR(BO45+BQ45),BQ45,(BO45+BQ45))</f>
        <v>7823</v>
      </c>
      <c r="AB45" s="139">
        <f t="shared" si="87"/>
        <v>6980</v>
      </c>
      <c r="AC45" s="137">
        <f t="shared" si="88"/>
        <v>22148</v>
      </c>
      <c r="AD45" s="137">
        <f t="shared" si="89"/>
        <v>5024</v>
      </c>
      <c r="AE45" s="808">
        <f>BS45+BT45</f>
        <v>8955</v>
      </c>
      <c r="AF45" s="137">
        <f t="shared" si="90"/>
        <v>3562</v>
      </c>
      <c r="AG45" s="137">
        <f t="shared" si="91"/>
        <v>30888</v>
      </c>
      <c r="AH45" s="137">
        <f t="shared" si="92"/>
        <v>18417</v>
      </c>
      <c r="AI45" s="137">
        <f t="shared" si="93"/>
        <v>38725</v>
      </c>
      <c r="AJ45" s="137">
        <f t="shared" si="94"/>
        <v>10936</v>
      </c>
      <c r="AK45" s="139">
        <f t="shared" si="95"/>
        <v>13071</v>
      </c>
      <c r="AL45" s="137">
        <f t="shared" si="96"/>
        <v>9721</v>
      </c>
      <c r="AM45" s="137">
        <f t="shared" si="97"/>
        <v>173896</v>
      </c>
      <c r="AN45" s="137">
        <f t="shared" si="98"/>
        <v>56880</v>
      </c>
      <c r="AO45" s="137">
        <f t="shared" si="99"/>
        <v>30040</v>
      </c>
      <c r="AP45" s="137">
        <f t="shared" si="100"/>
        <v>17102</v>
      </c>
      <c r="AQ45" s="137">
        <f t="shared" si="101"/>
        <v>107463</v>
      </c>
      <c r="AR45" s="137">
        <f t="shared" si="102"/>
        <v>20295</v>
      </c>
      <c r="AS45" s="138">
        <f>CF45+CG45</f>
        <v>308035</v>
      </c>
      <c r="AT45" s="281" t="s">
        <v>233</v>
      </c>
      <c r="AU45" s="281">
        <v>21372</v>
      </c>
      <c r="AV45" s="281">
        <v>7266</v>
      </c>
      <c r="AW45" s="281">
        <v>25725</v>
      </c>
      <c r="AX45" s="281">
        <v>42652</v>
      </c>
      <c r="AY45" s="281">
        <v>16426</v>
      </c>
      <c r="AZ45" s="281" t="s">
        <v>233</v>
      </c>
      <c r="BA45" s="281">
        <v>35071</v>
      </c>
      <c r="BB45" s="281">
        <v>180470</v>
      </c>
      <c r="BC45" s="281">
        <v>475187</v>
      </c>
      <c r="BD45" s="281">
        <v>150540</v>
      </c>
      <c r="BE45" s="281">
        <v>49736</v>
      </c>
      <c r="BF45" s="299">
        <v>143135</v>
      </c>
      <c r="BG45" s="281" t="s">
        <v>233</v>
      </c>
      <c r="BH45" s="281">
        <v>1211</v>
      </c>
      <c r="BI45" s="281">
        <v>6630</v>
      </c>
      <c r="BJ45" s="281">
        <v>7039</v>
      </c>
      <c r="BK45" s="281">
        <v>765</v>
      </c>
      <c r="BL45" s="281" t="s">
        <v>233</v>
      </c>
      <c r="BM45" s="281">
        <v>37706</v>
      </c>
      <c r="BN45" s="281">
        <v>27263</v>
      </c>
      <c r="BO45" s="281">
        <v>95</v>
      </c>
      <c r="BP45" s="281">
        <v>6980</v>
      </c>
      <c r="BQ45" s="281">
        <v>7728</v>
      </c>
      <c r="BR45" s="299">
        <v>14067</v>
      </c>
      <c r="BS45" s="281">
        <v>400</v>
      </c>
      <c r="BT45" s="281">
        <v>8555</v>
      </c>
      <c r="BU45" s="281">
        <v>5024</v>
      </c>
      <c r="BV45" s="281">
        <v>30888</v>
      </c>
      <c r="BW45" s="281">
        <v>38725</v>
      </c>
      <c r="BX45" s="281">
        <v>22148</v>
      </c>
      <c r="BY45" s="281">
        <v>10936</v>
      </c>
      <c r="BZ45" s="281">
        <v>18417</v>
      </c>
      <c r="CA45" s="281">
        <v>3562</v>
      </c>
      <c r="CB45" s="299">
        <v>13071</v>
      </c>
      <c r="CC45" s="281">
        <v>30040</v>
      </c>
      <c r="CD45" s="281">
        <v>17102</v>
      </c>
      <c r="CE45" s="281">
        <v>9721</v>
      </c>
      <c r="CF45" s="281">
        <v>19867</v>
      </c>
      <c r="CG45" s="281">
        <v>288168</v>
      </c>
      <c r="CH45" s="281">
        <v>173896</v>
      </c>
      <c r="CI45" s="281">
        <v>20295</v>
      </c>
      <c r="CJ45" s="281">
        <v>56880</v>
      </c>
      <c r="CK45" s="300">
        <v>107463</v>
      </c>
      <c r="CL45" s="301">
        <v>2132799</v>
      </c>
    </row>
    <row r="46" spans="1:90">
      <c r="A46" s="80">
        <f>ROWS($A$3:A44)</f>
        <v>42</v>
      </c>
      <c r="B46" s="92" t="s">
        <v>8</v>
      </c>
      <c r="C46" s="203"/>
      <c r="D46" s="259" t="s">
        <v>7</v>
      </c>
      <c r="E46" s="437">
        <v>40865</v>
      </c>
      <c r="F46" s="302">
        <v>138422</v>
      </c>
      <c r="G46" s="141">
        <v>8774</v>
      </c>
      <c r="H46" s="141">
        <v>13335</v>
      </c>
      <c r="I46" s="298">
        <v>71363</v>
      </c>
      <c r="J46" s="141"/>
      <c r="K46" s="116">
        <f t="shared" si="77"/>
        <v>19542</v>
      </c>
      <c r="L46" s="137" t="str">
        <f t="shared" si="78"/>
        <v>*</v>
      </c>
      <c r="M46" s="137">
        <f t="shared" si="79"/>
        <v>19664</v>
      </c>
      <c r="N46" s="137">
        <f t="shared" si="80"/>
        <v>1477</v>
      </c>
      <c r="O46" s="137">
        <f t="shared" si="81"/>
        <v>4383</v>
      </c>
      <c r="P46" s="808">
        <f>IF(ISERROR(AZ46+BA46),BA46,AZ46+BA46)</f>
        <v>3335</v>
      </c>
      <c r="Q46" s="137">
        <f>'2010'!AU46</f>
        <v>2233</v>
      </c>
      <c r="R46" s="808">
        <f>IF(ISERROR(AT46+AX46),AX46,AT46+AX46)</f>
        <v>2945</v>
      </c>
      <c r="S46" s="137" t="str">
        <f t="shared" si="82"/>
        <v>*</v>
      </c>
      <c r="T46" s="137">
        <f t="shared" si="83"/>
        <v>24236</v>
      </c>
      <c r="U46" s="139">
        <f t="shared" si="84"/>
        <v>58271</v>
      </c>
      <c r="V46" s="808">
        <f>IF(ISERROR(BG46+BJ46),BJ46,(BG46+BJ46))</f>
        <v>532</v>
      </c>
      <c r="W46" s="137">
        <f t="shared" si="85"/>
        <v>1444</v>
      </c>
      <c r="X46" s="808">
        <f>IF(ISERROR(BH46+BI46),BI46,(BH46+BI46))</f>
        <v>180</v>
      </c>
      <c r="Y46" s="808">
        <f>IF(ISERROR(BK46+BL46+BN46),BN46,(BK46+BL46+BN46))</f>
        <v>1863</v>
      </c>
      <c r="Z46" s="137">
        <f t="shared" si="86"/>
        <v>2878</v>
      </c>
      <c r="AA46" s="808" t="str">
        <f>IF(ISERROR(BO46+BQ46),BQ46,(BO46+BQ46))</f>
        <v>*</v>
      </c>
      <c r="AB46" s="139">
        <f t="shared" si="87"/>
        <v>466</v>
      </c>
      <c r="AC46" s="137">
        <f t="shared" si="88"/>
        <v>1634</v>
      </c>
      <c r="AD46" s="137">
        <f t="shared" si="89"/>
        <v>471</v>
      </c>
      <c r="AE46" s="808">
        <f>BS46+BT46</f>
        <v>692</v>
      </c>
      <c r="AF46" s="137">
        <f t="shared" si="90"/>
        <v>190</v>
      </c>
      <c r="AG46" s="137">
        <f t="shared" si="91"/>
        <v>3655</v>
      </c>
      <c r="AH46" s="137">
        <f t="shared" si="92"/>
        <v>1386</v>
      </c>
      <c r="AI46" s="137">
        <f t="shared" si="93"/>
        <v>2660</v>
      </c>
      <c r="AJ46" s="137">
        <f t="shared" si="94"/>
        <v>1032</v>
      </c>
      <c r="AK46" s="139">
        <f t="shared" si="95"/>
        <v>1615</v>
      </c>
      <c r="AL46" s="137">
        <f t="shared" si="96"/>
        <v>778</v>
      </c>
      <c r="AM46" s="137">
        <f t="shared" si="97"/>
        <v>17329</v>
      </c>
      <c r="AN46" s="137">
        <f t="shared" si="98"/>
        <v>6991</v>
      </c>
      <c r="AO46" s="137">
        <f t="shared" si="99"/>
        <v>3831</v>
      </c>
      <c r="AP46" s="137">
        <f t="shared" si="100"/>
        <v>941</v>
      </c>
      <c r="AQ46" s="137">
        <f t="shared" si="101"/>
        <v>10639</v>
      </c>
      <c r="AR46" s="137">
        <f t="shared" si="102"/>
        <v>1591</v>
      </c>
      <c r="AS46" s="138">
        <f>CF46+CG46</f>
        <v>29263</v>
      </c>
      <c r="AT46" s="281" t="s">
        <v>233</v>
      </c>
      <c r="AU46" s="281">
        <v>2233</v>
      </c>
      <c r="AV46" s="281" t="s">
        <v>233</v>
      </c>
      <c r="AW46" s="281">
        <v>1477</v>
      </c>
      <c r="AX46" s="281">
        <v>2945</v>
      </c>
      <c r="AY46" s="281" t="s">
        <v>233</v>
      </c>
      <c r="AZ46" s="281">
        <v>0</v>
      </c>
      <c r="BA46" s="281">
        <v>3335</v>
      </c>
      <c r="BB46" s="281">
        <v>24236</v>
      </c>
      <c r="BC46" s="281">
        <v>58271</v>
      </c>
      <c r="BD46" s="281">
        <v>19664</v>
      </c>
      <c r="BE46" s="281">
        <v>4383</v>
      </c>
      <c r="BF46" s="299">
        <v>19542</v>
      </c>
      <c r="BG46" s="281" t="s">
        <v>233</v>
      </c>
      <c r="BH46" s="281" t="s">
        <v>233</v>
      </c>
      <c r="BI46" s="281">
        <v>180</v>
      </c>
      <c r="BJ46" s="281">
        <v>532</v>
      </c>
      <c r="BK46" s="281" t="s">
        <v>233</v>
      </c>
      <c r="BL46" s="281">
        <v>0</v>
      </c>
      <c r="BM46" s="281">
        <v>2878</v>
      </c>
      <c r="BN46" s="281">
        <v>1863</v>
      </c>
      <c r="BO46" s="281" t="s">
        <v>233</v>
      </c>
      <c r="BP46" s="281">
        <v>466</v>
      </c>
      <c r="BQ46" s="281" t="s">
        <v>233</v>
      </c>
      <c r="BR46" s="299">
        <v>1444</v>
      </c>
      <c r="BS46" s="281">
        <v>83</v>
      </c>
      <c r="BT46" s="281">
        <v>609</v>
      </c>
      <c r="BU46" s="281">
        <v>471</v>
      </c>
      <c r="BV46" s="281">
        <v>3655</v>
      </c>
      <c r="BW46" s="281">
        <v>2660</v>
      </c>
      <c r="BX46" s="281">
        <v>1634</v>
      </c>
      <c r="BY46" s="281">
        <v>1032</v>
      </c>
      <c r="BZ46" s="281">
        <v>1386</v>
      </c>
      <c r="CA46" s="281">
        <v>190</v>
      </c>
      <c r="CB46" s="299">
        <v>1615</v>
      </c>
      <c r="CC46" s="281">
        <v>3831</v>
      </c>
      <c r="CD46" s="281">
        <v>941</v>
      </c>
      <c r="CE46" s="281">
        <v>778</v>
      </c>
      <c r="CF46" s="281">
        <v>1439</v>
      </c>
      <c r="CG46" s="281">
        <v>27824</v>
      </c>
      <c r="CH46" s="281">
        <v>17329</v>
      </c>
      <c r="CI46" s="281">
        <v>1591</v>
      </c>
      <c r="CJ46" s="281">
        <v>6991</v>
      </c>
      <c r="CK46" s="300">
        <v>10639</v>
      </c>
      <c r="CL46" s="301">
        <v>231894</v>
      </c>
    </row>
    <row r="47" spans="1:90">
      <c r="A47" s="80">
        <f>ROWS($A$3:A45)</f>
        <v>43</v>
      </c>
      <c r="B47" s="54" t="s">
        <v>264</v>
      </c>
      <c r="C47" s="252"/>
      <c r="D47" s="259" t="s">
        <v>241</v>
      </c>
      <c r="E47" s="437">
        <v>40865</v>
      </c>
      <c r="F47" s="302">
        <v>174</v>
      </c>
      <c r="G47" s="141">
        <v>101</v>
      </c>
      <c r="H47" s="141">
        <v>48</v>
      </c>
      <c r="I47" s="298">
        <v>169</v>
      </c>
      <c r="J47" s="141"/>
      <c r="K47" s="116">
        <f t="shared" si="77"/>
        <v>113</v>
      </c>
      <c r="L47" s="137">
        <f t="shared" si="78"/>
        <v>73</v>
      </c>
      <c r="M47" s="137">
        <f t="shared" si="79"/>
        <v>139</v>
      </c>
      <c r="N47" s="137">
        <f t="shared" si="80"/>
        <v>127</v>
      </c>
      <c r="O47" s="137">
        <f t="shared" si="81"/>
        <v>187</v>
      </c>
      <c r="P47" s="808">
        <f>IF(ISERROR((BA45*BA47+AZ45*AZ47)/P45),BA47,(BA45*BA47+AZ45*AZ47)/P45)</f>
        <v>177</v>
      </c>
      <c r="Q47" s="137">
        <f>'2010'!AU47</f>
        <v>144</v>
      </c>
      <c r="R47" s="808">
        <f>IF(ISERROR((AT47*AT45+AX45*AX47)/R45),AX47,(AT47*AT45+AX45*AX47)/R45)</f>
        <v>215</v>
      </c>
      <c r="S47" s="137">
        <f t="shared" si="82"/>
        <v>65</v>
      </c>
      <c r="T47" s="137">
        <f t="shared" si="83"/>
        <v>217</v>
      </c>
      <c r="U47" s="139">
        <f t="shared" si="84"/>
        <v>227</v>
      </c>
      <c r="V47" s="808">
        <f>IF(ISERROR((BG47*BG45+BJ45*BJ47)/V45),BJ47,(BG47*BG45+BJ45*BJ47)/V45)</f>
        <v>90</v>
      </c>
      <c r="W47" s="137">
        <f t="shared" si="85"/>
        <v>70</v>
      </c>
      <c r="X47" s="808">
        <f>IF(ISERROR((BH45*BH47+BI45*BI47)/X45),BI47,(BH45*BH47+BI45*BI47)/X45)</f>
        <v>92.235556689197807</v>
      </c>
      <c r="Y47" s="808">
        <f>(BK47*BK45+BN47*BN45)/Y45</f>
        <v>130.11670472384759</v>
      </c>
      <c r="Z47" s="137">
        <f t="shared" si="86"/>
        <v>147</v>
      </c>
      <c r="AA47" s="808">
        <f>IF(ISERROR((BO47*BO45+BQ47*BQ45)/AA45),BQ47,(BO47*BO45+BQ47*BQ45)/AA45)</f>
        <v>86</v>
      </c>
      <c r="AB47" s="139">
        <f t="shared" si="87"/>
        <v>45</v>
      </c>
      <c r="AC47" s="137">
        <f t="shared" si="88"/>
        <v>56</v>
      </c>
      <c r="AD47" s="137">
        <f t="shared" si="89"/>
        <v>23</v>
      </c>
      <c r="AE47" s="808">
        <f>(BS45*BS47+BT45*BT47)/AE45</f>
        <v>21.776661083193748</v>
      </c>
      <c r="AF47" s="137">
        <f t="shared" si="90"/>
        <v>28</v>
      </c>
      <c r="AG47" s="137">
        <f t="shared" si="91"/>
        <v>31</v>
      </c>
      <c r="AH47" s="137">
        <f t="shared" si="92"/>
        <v>101</v>
      </c>
      <c r="AI47" s="137">
        <f t="shared" si="93"/>
        <v>117</v>
      </c>
      <c r="AJ47" s="137">
        <f t="shared" si="94"/>
        <v>69</v>
      </c>
      <c r="AK47" s="139">
        <f t="shared" si="95"/>
        <v>34</v>
      </c>
      <c r="AL47" s="137">
        <f t="shared" si="96"/>
        <v>74</v>
      </c>
      <c r="AM47" s="137">
        <f t="shared" si="97"/>
        <v>198</v>
      </c>
      <c r="AN47" s="137">
        <f t="shared" si="98"/>
        <v>118</v>
      </c>
      <c r="AO47" s="137">
        <f t="shared" si="99"/>
        <v>69</v>
      </c>
      <c r="AP47" s="137">
        <f t="shared" si="100"/>
        <v>154</v>
      </c>
      <c r="AQ47" s="137">
        <f t="shared" si="101"/>
        <v>150</v>
      </c>
      <c r="AR47" s="137">
        <f t="shared" si="102"/>
        <v>113</v>
      </c>
      <c r="AS47" s="144">
        <f>(CF45*CF47+CG45*CG47)/AS45</f>
        <v>229.67313454639896</v>
      </c>
      <c r="AT47" s="281" t="s">
        <v>233</v>
      </c>
      <c r="AU47" s="281">
        <v>144</v>
      </c>
      <c r="AV47" s="281">
        <v>65</v>
      </c>
      <c r="AW47" s="281">
        <v>127</v>
      </c>
      <c r="AX47" s="281">
        <v>215</v>
      </c>
      <c r="AY47" s="281">
        <v>73</v>
      </c>
      <c r="AZ47" s="281" t="s">
        <v>233</v>
      </c>
      <c r="BA47" s="281">
        <v>177</v>
      </c>
      <c r="BB47" s="281">
        <v>217</v>
      </c>
      <c r="BC47" s="281">
        <v>227</v>
      </c>
      <c r="BD47" s="281">
        <v>139</v>
      </c>
      <c r="BE47" s="281">
        <v>187</v>
      </c>
      <c r="BF47" s="299">
        <v>113</v>
      </c>
      <c r="BG47" s="281" t="s">
        <v>233</v>
      </c>
      <c r="BH47" s="281">
        <v>99</v>
      </c>
      <c r="BI47" s="281">
        <v>91</v>
      </c>
      <c r="BJ47" s="281">
        <v>90</v>
      </c>
      <c r="BK47" s="281">
        <v>63</v>
      </c>
      <c r="BL47" s="281" t="s">
        <v>233</v>
      </c>
      <c r="BM47" s="281">
        <v>147</v>
      </c>
      <c r="BN47" s="281">
        <v>132</v>
      </c>
      <c r="BO47" s="281" t="s">
        <v>233</v>
      </c>
      <c r="BP47" s="281">
        <v>45</v>
      </c>
      <c r="BQ47" s="281">
        <v>86</v>
      </c>
      <c r="BR47" s="299">
        <v>70</v>
      </c>
      <c r="BS47" s="281">
        <v>17</v>
      </c>
      <c r="BT47" s="281">
        <v>22</v>
      </c>
      <c r="BU47" s="281">
        <v>23</v>
      </c>
      <c r="BV47" s="281">
        <v>31</v>
      </c>
      <c r="BW47" s="281">
        <v>117</v>
      </c>
      <c r="BX47" s="281">
        <v>56</v>
      </c>
      <c r="BY47" s="281">
        <v>69</v>
      </c>
      <c r="BZ47" s="281">
        <v>101</v>
      </c>
      <c r="CA47" s="281">
        <v>28</v>
      </c>
      <c r="CB47" s="299">
        <v>34</v>
      </c>
      <c r="CC47" s="281">
        <v>69</v>
      </c>
      <c r="CD47" s="281">
        <v>154</v>
      </c>
      <c r="CE47" s="281">
        <v>74</v>
      </c>
      <c r="CF47" s="281">
        <v>428</v>
      </c>
      <c r="CG47" s="281">
        <v>216</v>
      </c>
      <c r="CH47" s="281">
        <v>198</v>
      </c>
      <c r="CI47" s="281">
        <v>113</v>
      </c>
      <c r="CJ47" s="281">
        <v>118</v>
      </c>
      <c r="CK47" s="300">
        <v>150</v>
      </c>
      <c r="CL47" s="301">
        <v>136</v>
      </c>
    </row>
    <row r="48" spans="1:90">
      <c r="A48" s="80">
        <f>ROWS($A$3:A46)</f>
        <v>44</v>
      </c>
      <c r="B48" s="196" t="s">
        <v>239</v>
      </c>
      <c r="C48" s="202">
        <v>2010</v>
      </c>
      <c r="D48" s="259" t="s">
        <v>7</v>
      </c>
      <c r="E48" s="437">
        <v>40865</v>
      </c>
      <c r="F48" s="302">
        <v>18657</v>
      </c>
      <c r="G48" s="141">
        <v>11690</v>
      </c>
      <c r="H48" s="141">
        <v>13322</v>
      </c>
      <c r="I48" s="298">
        <v>16072</v>
      </c>
      <c r="J48" s="141"/>
      <c r="K48" s="116">
        <f t="shared" si="77"/>
        <v>3102</v>
      </c>
      <c r="L48" s="137">
        <f t="shared" si="78"/>
        <v>1882</v>
      </c>
      <c r="M48" s="137">
        <f t="shared" si="79"/>
        <v>817</v>
      </c>
      <c r="N48" s="137">
        <f t="shared" si="80"/>
        <v>1667</v>
      </c>
      <c r="O48" s="137">
        <f t="shared" si="81"/>
        <v>739</v>
      </c>
      <c r="P48" s="137">
        <f>AZ48+BA48</f>
        <v>1429</v>
      </c>
      <c r="Q48" s="137">
        <f>'2010'!AU48</f>
        <v>2195</v>
      </c>
      <c r="R48" s="137">
        <f>AT48+AX48</f>
        <v>2352</v>
      </c>
      <c r="S48" s="137">
        <f t="shared" si="82"/>
        <v>2310</v>
      </c>
      <c r="T48" s="137">
        <f t="shared" si="83"/>
        <v>715</v>
      </c>
      <c r="U48" s="139">
        <f t="shared" si="84"/>
        <v>1449</v>
      </c>
      <c r="V48" s="137">
        <f>BG48+BJ48</f>
        <v>823</v>
      </c>
      <c r="W48" s="137">
        <f t="shared" si="85"/>
        <v>919</v>
      </c>
      <c r="X48" s="137">
        <f>BH48+BI48</f>
        <v>2585</v>
      </c>
      <c r="Y48" s="137">
        <f>BK48+BL48+BN48</f>
        <v>2816</v>
      </c>
      <c r="Z48" s="137">
        <f t="shared" si="86"/>
        <v>1619</v>
      </c>
      <c r="AA48" s="137">
        <f>BO48+BQ48</f>
        <v>1517</v>
      </c>
      <c r="AB48" s="139">
        <f t="shared" si="87"/>
        <v>1411</v>
      </c>
      <c r="AC48" s="137">
        <f t="shared" si="88"/>
        <v>1145</v>
      </c>
      <c r="AD48" s="137">
        <f t="shared" si="89"/>
        <v>998</v>
      </c>
      <c r="AE48" s="137">
        <f>BS48+BT48</f>
        <v>2422</v>
      </c>
      <c r="AF48" s="137">
        <f t="shared" si="90"/>
        <v>1691</v>
      </c>
      <c r="AG48" s="137">
        <f t="shared" si="91"/>
        <v>1682</v>
      </c>
      <c r="AH48" s="137">
        <f t="shared" si="92"/>
        <v>1607</v>
      </c>
      <c r="AI48" s="137">
        <f t="shared" si="93"/>
        <v>906</v>
      </c>
      <c r="AJ48" s="137">
        <f t="shared" si="94"/>
        <v>688</v>
      </c>
      <c r="AK48" s="139">
        <f t="shared" si="95"/>
        <v>2183</v>
      </c>
      <c r="AL48" s="137">
        <f t="shared" si="96"/>
        <v>1639</v>
      </c>
      <c r="AM48" s="137">
        <f t="shared" si="97"/>
        <v>2054</v>
      </c>
      <c r="AN48" s="137">
        <f t="shared" si="98"/>
        <v>3481</v>
      </c>
      <c r="AO48" s="137">
        <f t="shared" si="99"/>
        <v>2729</v>
      </c>
      <c r="AP48" s="137">
        <f t="shared" si="100"/>
        <v>920</v>
      </c>
      <c r="AQ48" s="137">
        <f t="shared" si="101"/>
        <v>1506</v>
      </c>
      <c r="AR48" s="137">
        <f t="shared" si="102"/>
        <v>1586</v>
      </c>
      <c r="AS48" s="138">
        <f>CF48+CG48</f>
        <v>2157</v>
      </c>
      <c r="AT48" s="281">
        <v>176</v>
      </c>
      <c r="AU48" s="281">
        <v>2195</v>
      </c>
      <c r="AV48" s="281">
        <v>2310</v>
      </c>
      <c r="AW48" s="281">
        <v>1667</v>
      </c>
      <c r="AX48" s="281">
        <v>2176</v>
      </c>
      <c r="AY48" s="281">
        <v>1882</v>
      </c>
      <c r="AZ48" s="281">
        <v>55</v>
      </c>
      <c r="BA48" s="281">
        <v>1374</v>
      </c>
      <c r="BB48" s="281">
        <v>715</v>
      </c>
      <c r="BC48" s="281">
        <v>1449</v>
      </c>
      <c r="BD48" s="281">
        <v>817</v>
      </c>
      <c r="BE48" s="281">
        <v>739</v>
      </c>
      <c r="BF48" s="299">
        <v>3102</v>
      </c>
      <c r="BG48" s="281">
        <v>50</v>
      </c>
      <c r="BH48" s="281">
        <v>168</v>
      </c>
      <c r="BI48" s="281">
        <v>2417</v>
      </c>
      <c r="BJ48" s="281">
        <v>773</v>
      </c>
      <c r="BK48" s="281">
        <v>116</v>
      </c>
      <c r="BL48" s="281">
        <v>469</v>
      </c>
      <c r="BM48" s="281">
        <v>1619</v>
      </c>
      <c r="BN48" s="281">
        <v>2231</v>
      </c>
      <c r="BO48" s="281">
        <v>95</v>
      </c>
      <c r="BP48" s="281">
        <v>1411</v>
      </c>
      <c r="BQ48" s="281">
        <v>1422</v>
      </c>
      <c r="BR48" s="299">
        <v>919</v>
      </c>
      <c r="BS48" s="281">
        <v>249</v>
      </c>
      <c r="BT48" s="281">
        <v>2173</v>
      </c>
      <c r="BU48" s="281">
        <v>998</v>
      </c>
      <c r="BV48" s="281">
        <v>1682</v>
      </c>
      <c r="BW48" s="281">
        <v>906</v>
      </c>
      <c r="BX48" s="281">
        <v>1145</v>
      </c>
      <c r="BY48" s="281">
        <v>688</v>
      </c>
      <c r="BZ48" s="281">
        <v>1607</v>
      </c>
      <c r="CA48" s="281">
        <v>1691</v>
      </c>
      <c r="CB48" s="299">
        <v>2183</v>
      </c>
      <c r="CC48" s="281">
        <v>2729</v>
      </c>
      <c r="CD48" s="281">
        <v>920</v>
      </c>
      <c r="CE48" s="281">
        <v>1639</v>
      </c>
      <c r="CF48" s="281">
        <v>220</v>
      </c>
      <c r="CG48" s="281">
        <v>1937</v>
      </c>
      <c r="CH48" s="281">
        <v>2054</v>
      </c>
      <c r="CI48" s="281">
        <v>1586</v>
      </c>
      <c r="CJ48" s="281">
        <v>3481</v>
      </c>
      <c r="CK48" s="300">
        <v>1506</v>
      </c>
      <c r="CL48" s="301">
        <v>59741</v>
      </c>
    </row>
    <row r="49" spans="1:90">
      <c r="A49" s="80">
        <f>ROWS($A$3:A47)</f>
        <v>45</v>
      </c>
      <c r="B49" s="92" t="s">
        <v>75</v>
      </c>
      <c r="C49" s="202">
        <v>2010</v>
      </c>
      <c r="D49" s="259" t="s">
        <v>7</v>
      </c>
      <c r="E49" s="437">
        <v>40865</v>
      </c>
      <c r="F49" s="302">
        <v>90574</v>
      </c>
      <c r="G49" s="141">
        <v>37219</v>
      </c>
      <c r="H49" s="141">
        <v>48638</v>
      </c>
      <c r="I49" s="298">
        <v>72219</v>
      </c>
      <c r="J49" s="141"/>
      <c r="K49" s="116">
        <f t="shared" si="77"/>
        <v>11026</v>
      </c>
      <c r="L49" s="137">
        <f t="shared" si="78"/>
        <v>7998</v>
      </c>
      <c r="M49" s="137">
        <f t="shared" si="79"/>
        <v>3629</v>
      </c>
      <c r="N49" s="137">
        <f t="shared" si="80"/>
        <v>11011</v>
      </c>
      <c r="O49" s="137">
        <f t="shared" si="81"/>
        <v>9759</v>
      </c>
      <c r="P49" s="137">
        <f>AZ49+BA49</f>
        <v>8316</v>
      </c>
      <c r="Q49" s="137">
        <f>'2010'!AU49</f>
        <v>5002</v>
      </c>
      <c r="R49" s="137">
        <f>AT49+AX49</f>
        <v>3480</v>
      </c>
      <c r="S49" s="137">
        <f t="shared" si="82"/>
        <v>12878</v>
      </c>
      <c r="T49" s="137">
        <f t="shared" si="83"/>
        <v>6146</v>
      </c>
      <c r="U49" s="139">
        <f t="shared" si="84"/>
        <v>11329</v>
      </c>
      <c r="V49" s="137">
        <f>BG49+BJ49</f>
        <v>4079</v>
      </c>
      <c r="W49" s="137">
        <f t="shared" si="85"/>
        <v>8075</v>
      </c>
      <c r="X49" s="137">
        <f>BH49+BI49</f>
        <v>5162</v>
      </c>
      <c r="Y49" s="137">
        <f>BN49</f>
        <v>4778</v>
      </c>
      <c r="Z49" s="137">
        <f t="shared" si="86"/>
        <v>2872</v>
      </c>
      <c r="AA49" s="137">
        <f>BQ49</f>
        <v>1648</v>
      </c>
      <c r="AB49" s="139">
        <f t="shared" si="87"/>
        <v>9701</v>
      </c>
      <c r="AC49" s="137">
        <f t="shared" si="88"/>
        <v>3492</v>
      </c>
      <c r="AD49" s="137">
        <f t="shared" si="89"/>
        <v>2712</v>
      </c>
      <c r="AE49" s="137">
        <f>BS49+BT49</f>
        <v>9536</v>
      </c>
      <c r="AF49" s="137">
        <f t="shared" si="90"/>
        <v>4480</v>
      </c>
      <c r="AG49" s="137">
        <f t="shared" si="91"/>
        <v>5909</v>
      </c>
      <c r="AH49" s="137">
        <f t="shared" si="92"/>
        <v>4775</v>
      </c>
      <c r="AI49" s="137">
        <f t="shared" si="93"/>
        <v>7827</v>
      </c>
      <c r="AJ49" s="137">
        <f t="shared" si="94"/>
        <v>4733</v>
      </c>
      <c r="AK49" s="139">
        <f t="shared" si="95"/>
        <v>5174</v>
      </c>
      <c r="AL49" s="137">
        <f t="shared" si="96"/>
        <v>16486</v>
      </c>
      <c r="AM49" s="137">
        <f t="shared" si="97"/>
        <v>4167</v>
      </c>
      <c r="AN49" s="137">
        <f t="shared" si="98"/>
        <v>5606</v>
      </c>
      <c r="AO49" s="137">
        <f t="shared" si="99"/>
        <v>20120</v>
      </c>
      <c r="AP49" s="137" t="str">
        <f t="shared" si="100"/>
        <v>*</v>
      </c>
      <c r="AQ49" s="137">
        <f t="shared" si="101"/>
        <v>4076</v>
      </c>
      <c r="AR49" s="137">
        <f t="shared" si="102"/>
        <v>4623</v>
      </c>
      <c r="AS49" s="138">
        <f>CG49</f>
        <v>10366</v>
      </c>
      <c r="AT49" s="281">
        <v>387</v>
      </c>
      <c r="AU49" s="281">
        <v>5002</v>
      </c>
      <c r="AV49" s="281">
        <v>12878</v>
      </c>
      <c r="AW49" s="281">
        <v>11011</v>
      </c>
      <c r="AX49" s="281">
        <v>3093</v>
      </c>
      <c r="AY49" s="281">
        <v>7998</v>
      </c>
      <c r="AZ49" s="281">
        <v>0</v>
      </c>
      <c r="BA49" s="281">
        <v>8316</v>
      </c>
      <c r="BB49" s="281">
        <v>6146</v>
      </c>
      <c r="BC49" s="281">
        <v>11329</v>
      </c>
      <c r="BD49" s="281">
        <v>3629</v>
      </c>
      <c r="BE49" s="281">
        <v>9759</v>
      </c>
      <c r="BF49" s="299">
        <v>11026</v>
      </c>
      <c r="BG49" s="281">
        <v>1526</v>
      </c>
      <c r="BH49" s="281">
        <v>881</v>
      </c>
      <c r="BI49" s="281">
        <v>4281</v>
      </c>
      <c r="BJ49" s="281">
        <v>2553</v>
      </c>
      <c r="BK49" s="281" t="s">
        <v>233</v>
      </c>
      <c r="BL49" s="281" t="s">
        <v>233</v>
      </c>
      <c r="BM49" s="281">
        <v>2872</v>
      </c>
      <c r="BN49" s="281">
        <v>4778</v>
      </c>
      <c r="BO49" s="281" t="s">
        <v>233</v>
      </c>
      <c r="BP49" s="281">
        <v>9701</v>
      </c>
      <c r="BQ49" s="281">
        <v>1648</v>
      </c>
      <c r="BR49" s="299">
        <v>8075</v>
      </c>
      <c r="BS49" s="281">
        <v>3491</v>
      </c>
      <c r="BT49" s="281">
        <v>6045</v>
      </c>
      <c r="BU49" s="281">
        <v>2712</v>
      </c>
      <c r="BV49" s="281">
        <v>5909</v>
      </c>
      <c r="BW49" s="281">
        <v>7827</v>
      </c>
      <c r="BX49" s="281">
        <v>3492</v>
      </c>
      <c r="BY49" s="281">
        <v>4733</v>
      </c>
      <c r="BZ49" s="281">
        <v>4775</v>
      </c>
      <c r="CA49" s="281">
        <v>4480</v>
      </c>
      <c r="CB49" s="299">
        <v>5174</v>
      </c>
      <c r="CC49" s="281">
        <v>20120</v>
      </c>
      <c r="CD49" s="281" t="s">
        <v>233</v>
      </c>
      <c r="CE49" s="281">
        <v>16486</v>
      </c>
      <c r="CF49" s="281" t="s">
        <v>233</v>
      </c>
      <c r="CG49" s="281">
        <v>10366</v>
      </c>
      <c r="CH49" s="281">
        <v>4167</v>
      </c>
      <c r="CI49" s="281">
        <v>4623</v>
      </c>
      <c r="CJ49" s="281">
        <v>5606</v>
      </c>
      <c r="CK49" s="300">
        <v>4076</v>
      </c>
      <c r="CL49" s="301">
        <v>248650</v>
      </c>
    </row>
    <row r="50" spans="1:90">
      <c r="A50" s="80">
        <f>ROWS($A$3:A48)</f>
        <v>46</v>
      </c>
      <c r="B50" s="92" t="s">
        <v>76</v>
      </c>
      <c r="C50" s="202">
        <v>2010</v>
      </c>
      <c r="D50" s="259" t="s">
        <v>21</v>
      </c>
      <c r="E50" s="437">
        <v>40865</v>
      </c>
      <c r="F50" s="302">
        <v>79</v>
      </c>
      <c r="G50" s="141">
        <v>42</v>
      </c>
      <c r="H50" s="141">
        <v>62</v>
      </c>
      <c r="I50" s="298">
        <v>95</v>
      </c>
      <c r="J50" s="141"/>
      <c r="K50" s="116">
        <f t="shared" si="77"/>
        <v>112</v>
      </c>
      <c r="L50" s="137">
        <f t="shared" si="78"/>
        <v>79</v>
      </c>
      <c r="M50" s="137">
        <f t="shared" si="79"/>
        <v>45</v>
      </c>
      <c r="N50" s="137">
        <f t="shared" si="80"/>
        <v>100</v>
      </c>
      <c r="O50" s="137">
        <f t="shared" si="81"/>
        <v>91</v>
      </c>
      <c r="P50" s="143">
        <f>(AZ50*AZ35+BA50*BA35)/P35</f>
        <v>28.416206071250237</v>
      </c>
      <c r="Q50" s="137">
        <f>'2010'!AU50</f>
        <v>53</v>
      </c>
      <c r="R50" s="143">
        <f>(AT50*AT35+AX50*AX35)/R35</f>
        <v>51.062134017942135</v>
      </c>
      <c r="S50" s="137">
        <f t="shared" si="82"/>
        <v>57</v>
      </c>
      <c r="T50" s="137">
        <f t="shared" si="83"/>
        <v>90</v>
      </c>
      <c r="U50" s="139">
        <f t="shared" si="84"/>
        <v>130</v>
      </c>
      <c r="V50" s="143">
        <f>(BG50*BG35+BJ50*BJ35)/V35</f>
        <v>23.90534722655519</v>
      </c>
      <c r="W50" s="137">
        <f t="shared" si="85"/>
        <v>65</v>
      </c>
      <c r="X50" s="143">
        <f>(BH50*BH35+BI50*BI35)/X35</f>
        <v>20.126171268226688</v>
      </c>
      <c r="Y50" s="143">
        <f>(BK50*BK35+BL50*BL35+BN50*BN35)/Y35</f>
        <v>35.713617876677105</v>
      </c>
      <c r="Z50" s="137">
        <f t="shared" si="86"/>
        <v>51</v>
      </c>
      <c r="AA50" s="143">
        <f>(BO50*BO35+BQ50*BQ35)/AA35</f>
        <v>51.08999801547926</v>
      </c>
      <c r="AB50" s="139">
        <f t="shared" si="87"/>
        <v>68</v>
      </c>
      <c r="AC50" s="137">
        <f t="shared" si="88"/>
        <v>73</v>
      </c>
      <c r="AD50" s="137">
        <f t="shared" si="89"/>
        <v>57</v>
      </c>
      <c r="AE50" s="143">
        <f>(BS50*BS35+BT50*BT35)/AE35</f>
        <v>52.281758208039278</v>
      </c>
      <c r="AF50" s="137">
        <f t="shared" si="90"/>
        <v>61</v>
      </c>
      <c r="AG50" s="137">
        <f t="shared" si="91"/>
        <v>50</v>
      </c>
      <c r="AH50" s="137">
        <f t="shared" si="92"/>
        <v>68</v>
      </c>
      <c r="AI50" s="137">
        <f t="shared" si="93"/>
        <v>63</v>
      </c>
      <c r="AJ50" s="137">
        <f t="shared" si="94"/>
        <v>59</v>
      </c>
      <c r="AK50" s="139">
        <f t="shared" si="95"/>
        <v>78</v>
      </c>
      <c r="AL50" s="137">
        <f t="shared" si="96"/>
        <v>42</v>
      </c>
      <c r="AM50" s="137">
        <f t="shared" si="97"/>
        <v>117</v>
      </c>
      <c r="AN50" s="137">
        <f t="shared" si="98"/>
        <v>145</v>
      </c>
      <c r="AO50" s="137">
        <f t="shared" si="99"/>
        <v>66</v>
      </c>
      <c r="AP50" s="137">
        <f t="shared" si="100"/>
        <v>38</v>
      </c>
      <c r="AQ50" s="137">
        <f t="shared" si="101"/>
        <v>75</v>
      </c>
      <c r="AR50" s="137">
        <f t="shared" si="102"/>
        <v>70</v>
      </c>
      <c r="AS50" s="144">
        <f>(CF50*CF35+CG50*CG35)/AS35</f>
        <v>96.105575386491537</v>
      </c>
      <c r="AT50" s="281">
        <v>39</v>
      </c>
      <c r="AU50" s="281">
        <v>53</v>
      </c>
      <c r="AV50" s="281">
        <v>57</v>
      </c>
      <c r="AW50" s="281">
        <v>100</v>
      </c>
      <c r="AX50" s="281">
        <v>52</v>
      </c>
      <c r="AY50" s="281">
        <v>79</v>
      </c>
      <c r="AZ50" s="281">
        <v>8</v>
      </c>
      <c r="BA50" s="281">
        <v>30</v>
      </c>
      <c r="BB50" s="281">
        <v>90</v>
      </c>
      <c r="BC50" s="281">
        <v>130</v>
      </c>
      <c r="BD50" s="281">
        <v>45</v>
      </c>
      <c r="BE50" s="281">
        <v>91</v>
      </c>
      <c r="BF50" s="299">
        <v>112</v>
      </c>
      <c r="BG50" s="281">
        <v>23</v>
      </c>
      <c r="BH50" s="281">
        <v>22</v>
      </c>
      <c r="BI50" s="281">
        <v>20</v>
      </c>
      <c r="BJ50" s="281">
        <v>24</v>
      </c>
      <c r="BK50" s="281">
        <v>35</v>
      </c>
      <c r="BL50" s="281">
        <v>19</v>
      </c>
      <c r="BM50" s="281">
        <v>51</v>
      </c>
      <c r="BN50" s="281">
        <v>37</v>
      </c>
      <c r="BO50" s="281">
        <v>34</v>
      </c>
      <c r="BP50" s="281">
        <v>68</v>
      </c>
      <c r="BQ50" s="281">
        <v>52</v>
      </c>
      <c r="BR50" s="299">
        <v>65</v>
      </c>
      <c r="BS50" s="281">
        <v>28</v>
      </c>
      <c r="BT50" s="281">
        <v>54</v>
      </c>
      <c r="BU50" s="281">
        <v>57</v>
      </c>
      <c r="BV50" s="281">
        <v>50</v>
      </c>
      <c r="BW50" s="281">
        <v>63</v>
      </c>
      <c r="BX50" s="281">
        <v>73</v>
      </c>
      <c r="BY50" s="281">
        <v>59</v>
      </c>
      <c r="BZ50" s="281">
        <v>68</v>
      </c>
      <c r="CA50" s="281">
        <v>61</v>
      </c>
      <c r="CB50" s="299">
        <v>78</v>
      </c>
      <c r="CC50" s="281">
        <v>66</v>
      </c>
      <c r="CD50" s="281">
        <v>38</v>
      </c>
      <c r="CE50" s="281">
        <v>42</v>
      </c>
      <c r="CF50" s="281">
        <v>82</v>
      </c>
      <c r="CG50" s="281">
        <v>97</v>
      </c>
      <c r="CH50" s="281">
        <v>117</v>
      </c>
      <c r="CI50" s="281">
        <v>70</v>
      </c>
      <c r="CJ50" s="281">
        <v>145</v>
      </c>
      <c r="CK50" s="300">
        <v>75</v>
      </c>
      <c r="CL50" s="301">
        <v>75</v>
      </c>
    </row>
    <row r="51" spans="1:90">
      <c r="A51" s="80">
        <f>ROWS($A$3:A49)</f>
        <v>47</v>
      </c>
      <c r="B51" s="54" t="s">
        <v>92</v>
      </c>
      <c r="C51" s="202">
        <v>2010</v>
      </c>
      <c r="D51" s="259" t="s">
        <v>9</v>
      </c>
      <c r="E51" s="437">
        <v>40441</v>
      </c>
      <c r="F51" s="142">
        <f>IF(ISERROR(F95/F42)=TRUE,0,ROUND(F95/F42*1000,0))</f>
        <v>5197</v>
      </c>
      <c r="G51" s="143">
        <f>IF(ISERROR(G95/G42)=TRUE,0,ROUND(G95/G42*1000,0))</f>
        <v>4564</v>
      </c>
      <c r="H51" s="143">
        <f>IF(ISERROR(H95/H42)=TRUE,0,ROUND(H95/H42*1000,0))</f>
        <v>4061</v>
      </c>
      <c r="I51" s="144">
        <f>IF(ISERROR(I95/I42)=TRUE,0,ROUND(I95/I42*1000,0))</f>
        <v>5725</v>
      </c>
      <c r="J51" s="141"/>
      <c r="K51" s="145">
        <f t="shared" si="77"/>
        <v>5571</v>
      </c>
      <c r="L51" s="146">
        <f t="shared" si="78"/>
        <v>4904</v>
      </c>
      <c r="M51" s="146">
        <f t="shared" si="79"/>
        <v>5464</v>
      </c>
      <c r="N51" s="146">
        <f t="shared" si="80"/>
        <v>4668</v>
      </c>
      <c r="O51" s="146">
        <f t="shared" si="81"/>
        <v>5152</v>
      </c>
      <c r="P51" s="143">
        <f>IF(ISERROR(P95/P42)=TRUE,0,ROUND(P95/P42*1000,0))</f>
        <v>5433</v>
      </c>
      <c r="Q51" s="146">
        <f>'2010'!AU51</f>
        <v>4651</v>
      </c>
      <c r="R51" s="143">
        <f>IF(ISERROR(R95/R42)=TRUE,0,ROUND(R95/R42*1000,0))</f>
        <v>6019</v>
      </c>
      <c r="S51" s="146">
        <f t="shared" si="82"/>
        <v>3566</v>
      </c>
      <c r="T51" s="146">
        <f t="shared" si="83"/>
        <v>4887</v>
      </c>
      <c r="U51" s="147">
        <f t="shared" si="84"/>
        <v>5278</v>
      </c>
      <c r="V51" s="143">
        <f>IF(ISERROR(V95/V42)=TRUE,0,ROUND(V95/V42*1000,0))</f>
        <v>1719</v>
      </c>
      <c r="W51" s="146">
        <f t="shared" si="85"/>
        <v>4486</v>
      </c>
      <c r="X51" s="143">
        <f>IF(ISERROR(X95/X42)=TRUE,0,ROUND(X95/X42*1000,0))</f>
        <v>3282</v>
      </c>
      <c r="Y51" s="143">
        <f>IF(ISERROR(Y95/Y42)=TRUE,0,ROUND(Y95/Y42*1000,0))</f>
        <v>5102</v>
      </c>
      <c r="Z51" s="146">
        <f t="shared" si="86"/>
        <v>5320</v>
      </c>
      <c r="AA51" s="143">
        <f>IF(ISERROR(AA95/AA42)=TRUE,0,ROUND(AA95/AA42*1000,0))</f>
        <v>4568</v>
      </c>
      <c r="AB51" s="147">
        <f t="shared" si="87"/>
        <v>4370</v>
      </c>
      <c r="AC51" s="146">
        <f t="shared" si="88"/>
        <v>4423</v>
      </c>
      <c r="AD51" s="146">
        <f t="shared" si="89"/>
        <v>3115</v>
      </c>
      <c r="AE51" s="143">
        <f>IF(ISERROR(AE95/AE42)=TRUE,0,ROUND(AE95/AE42*1000,0))</f>
        <v>4110</v>
      </c>
      <c r="AF51" s="146">
        <f t="shared" si="90"/>
        <v>2777</v>
      </c>
      <c r="AG51" s="146">
        <f t="shared" si="91"/>
        <v>3142</v>
      </c>
      <c r="AH51" s="146">
        <f t="shared" si="92"/>
        <v>5406</v>
      </c>
      <c r="AI51" s="146">
        <f t="shared" si="93"/>
        <v>3897</v>
      </c>
      <c r="AJ51" s="146">
        <f t="shared" si="94"/>
        <v>4921</v>
      </c>
      <c r="AK51" s="147">
        <f t="shared" si="95"/>
        <v>4099</v>
      </c>
      <c r="AL51" s="146">
        <f t="shared" si="96"/>
        <v>3893</v>
      </c>
      <c r="AM51" s="146">
        <f t="shared" si="97"/>
        <v>5822</v>
      </c>
      <c r="AN51" s="146">
        <f t="shared" si="98"/>
        <v>6055</v>
      </c>
      <c r="AO51" s="146">
        <f t="shared" si="99"/>
        <v>5128</v>
      </c>
      <c r="AP51" s="146">
        <f t="shared" si="100"/>
        <v>4120</v>
      </c>
      <c r="AQ51" s="146">
        <f t="shared" si="101"/>
        <v>5159</v>
      </c>
      <c r="AR51" s="146">
        <f t="shared" si="102"/>
        <v>5441</v>
      </c>
      <c r="AS51" s="144">
        <f t="shared" ref="AS51:CL51" si="103">IF(ISERROR(AS95/AS42)=TRUE,0,ROUND(AS95/AS42*1000,0))</f>
        <v>5883</v>
      </c>
      <c r="AT51" s="146">
        <f t="shared" si="103"/>
        <v>4555</v>
      </c>
      <c r="AU51" s="143">
        <f t="shared" si="103"/>
        <v>4651</v>
      </c>
      <c r="AV51" s="143">
        <f t="shared" si="103"/>
        <v>3566</v>
      </c>
      <c r="AW51" s="143">
        <f t="shared" si="103"/>
        <v>4668</v>
      </c>
      <c r="AX51" s="143">
        <f t="shared" si="103"/>
        <v>6019</v>
      </c>
      <c r="AY51" s="143">
        <f t="shared" si="103"/>
        <v>4904</v>
      </c>
      <c r="AZ51" s="143">
        <f t="shared" si="103"/>
        <v>0</v>
      </c>
      <c r="BA51" s="143">
        <f t="shared" si="103"/>
        <v>5433</v>
      </c>
      <c r="BB51" s="143">
        <f t="shared" si="103"/>
        <v>4887</v>
      </c>
      <c r="BC51" s="143">
        <f t="shared" si="103"/>
        <v>5278</v>
      </c>
      <c r="BD51" s="143">
        <f t="shared" si="103"/>
        <v>5464</v>
      </c>
      <c r="BE51" s="143">
        <f t="shared" si="103"/>
        <v>5152</v>
      </c>
      <c r="BF51" s="148">
        <f t="shared" si="103"/>
        <v>5571</v>
      </c>
      <c r="BG51" s="143">
        <f t="shared" si="103"/>
        <v>0</v>
      </c>
      <c r="BH51" s="143">
        <f t="shared" si="103"/>
        <v>0</v>
      </c>
      <c r="BI51" s="143">
        <f t="shared" si="103"/>
        <v>3282</v>
      </c>
      <c r="BJ51" s="143">
        <f t="shared" si="103"/>
        <v>1719</v>
      </c>
      <c r="BK51" s="143">
        <f t="shared" si="103"/>
        <v>0</v>
      </c>
      <c r="BL51" s="143">
        <f t="shared" si="103"/>
        <v>0</v>
      </c>
      <c r="BM51" s="143">
        <f t="shared" si="103"/>
        <v>5320</v>
      </c>
      <c r="BN51" s="143">
        <f t="shared" si="103"/>
        <v>5102</v>
      </c>
      <c r="BO51" s="143">
        <f t="shared" si="103"/>
        <v>0</v>
      </c>
      <c r="BP51" s="143">
        <f t="shared" si="103"/>
        <v>4370</v>
      </c>
      <c r="BQ51" s="143">
        <f t="shared" si="103"/>
        <v>4568</v>
      </c>
      <c r="BR51" s="148">
        <f t="shared" si="103"/>
        <v>4486</v>
      </c>
      <c r="BS51" s="143">
        <f t="shared" si="103"/>
        <v>0</v>
      </c>
      <c r="BT51" s="143">
        <f t="shared" si="103"/>
        <v>4184</v>
      </c>
      <c r="BU51" s="143">
        <f t="shared" si="103"/>
        <v>3115</v>
      </c>
      <c r="BV51" s="143">
        <f t="shared" si="103"/>
        <v>3142</v>
      </c>
      <c r="BW51" s="143">
        <f t="shared" si="103"/>
        <v>3897</v>
      </c>
      <c r="BX51" s="143">
        <f t="shared" si="103"/>
        <v>4423</v>
      </c>
      <c r="BY51" s="143">
        <f t="shared" si="103"/>
        <v>4921</v>
      </c>
      <c r="BZ51" s="143">
        <f t="shared" si="103"/>
        <v>5406</v>
      </c>
      <c r="CA51" s="143">
        <f t="shared" si="103"/>
        <v>2777</v>
      </c>
      <c r="CB51" s="148">
        <f t="shared" si="103"/>
        <v>4099</v>
      </c>
      <c r="CC51" s="143">
        <f t="shared" si="103"/>
        <v>5128</v>
      </c>
      <c r="CD51" s="143">
        <f t="shared" si="103"/>
        <v>4120</v>
      </c>
      <c r="CE51" s="143">
        <f t="shared" si="103"/>
        <v>3893</v>
      </c>
      <c r="CF51" s="143">
        <f t="shared" si="103"/>
        <v>0</v>
      </c>
      <c r="CG51" s="143">
        <f t="shared" si="103"/>
        <v>6133</v>
      </c>
      <c r="CH51" s="143">
        <f t="shared" si="103"/>
        <v>5822</v>
      </c>
      <c r="CI51" s="143">
        <f t="shared" si="103"/>
        <v>5441</v>
      </c>
      <c r="CJ51" s="143">
        <f t="shared" si="103"/>
        <v>6055</v>
      </c>
      <c r="CK51" s="144">
        <f t="shared" si="103"/>
        <v>5159</v>
      </c>
      <c r="CL51" s="149">
        <f t="shared" si="103"/>
        <v>5359</v>
      </c>
    </row>
    <row r="52" spans="1:90">
      <c r="A52" s="80">
        <f>ROWS($A$3:A50)</f>
        <v>48</v>
      </c>
      <c r="B52" s="388" t="str">
        <f>'Stand der Daten'!B53</f>
        <v>Milcherzeugung</v>
      </c>
      <c r="C52" s="204">
        <v>2010</v>
      </c>
      <c r="D52" s="259" t="s">
        <v>358</v>
      </c>
      <c r="E52" s="437">
        <v>42919</v>
      </c>
      <c r="F52" s="389">
        <v>647.20000000000005</v>
      </c>
      <c r="G52" s="390">
        <v>149.69999999999999</v>
      </c>
      <c r="H52" s="390">
        <v>388.3</v>
      </c>
      <c r="I52" s="391">
        <v>1053.0999999999999</v>
      </c>
      <c r="J52" s="390"/>
      <c r="K52" s="389">
        <f t="shared" si="77"/>
        <v>173.8</v>
      </c>
      <c r="L52" s="390">
        <f t="shared" si="78"/>
        <v>44</v>
      </c>
      <c r="M52" s="390">
        <f t="shared" si="79"/>
        <v>43.9</v>
      </c>
      <c r="N52" s="390">
        <f t="shared" si="80"/>
        <v>60.3</v>
      </c>
      <c r="O52" s="390">
        <f t="shared" si="81"/>
        <v>46.1</v>
      </c>
      <c r="P52" s="390">
        <f>AZ52+BA52</f>
        <v>28.7</v>
      </c>
      <c r="Q52" s="390">
        <f>'2009'!AU52</f>
        <v>18.2</v>
      </c>
      <c r="R52" s="390">
        <f>AT52+AX52</f>
        <v>32.4</v>
      </c>
      <c r="S52" s="390">
        <f t="shared" si="82"/>
        <v>12.9</v>
      </c>
      <c r="T52" s="390">
        <f t="shared" si="83"/>
        <v>45.3</v>
      </c>
      <c r="U52" s="514">
        <f t="shared" si="84"/>
        <v>141.69999999999999</v>
      </c>
      <c r="V52" s="390">
        <f>BG52+BJ52</f>
        <v>2</v>
      </c>
      <c r="W52" s="390">
        <f t="shared" si="85"/>
        <v>24.1</v>
      </c>
      <c r="X52" s="390">
        <f>BH52+BI52</f>
        <v>6.7</v>
      </c>
      <c r="Y52" s="390">
        <f>BK52+BL52+BN52</f>
        <v>25</v>
      </c>
      <c r="Z52" s="390">
        <f t="shared" si="86"/>
        <v>50.3</v>
      </c>
      <c r="AA52" s="390">
        <f>BO52+BQ52</f>
        <v>39</v>
      </c>
      <c r="AB52" s="514">
        <f t="shared" si="87"/>
        <v>22.1</v>
      </c>
      <c r="AC52" s="390">
        <f t="shared" si="88"/>
        <v>68.099999999999994</v>
      </c>
      <c r="AD52" s="390">
        <f t="shared" si="89"/>
        <v>19.2</v>
      </c>
      <c r="AE52" s="390">
        <f>BS52+BT52</f>
        <v>59</v>
      </c>
      <c r="AF52" s="390">
        <f t="shared" si="90"/>
        <v>18.8</v>
      </c>
      <c r="AG52" s="390">
        <f t="shared" si="91"/>
        <v>40.700000000000003</v>
      </c>
      <c r="AH52" s="390">
        <f t="shared" si="92"/>
        <v>59.2</v>
      </c>
      <c r="AI52" s="390">
        <f t="shared" si="93"/>
        <v>28.2</v>
      </c>
      <c r="AJ52" s="390">
        <f t="shared" si="94"/>
        <v>34.5</v>
      </c>
      <c r="AK52" s="514">
        <f t="shared" si="95"/>
        <v>60.8</v>
      </c>
      <c r="AL52" s="390">
        <f t="shared" si="96"/>
        <v>22.2</v>
      </c>
      <c r="AM52" s="390">
        <f t="shared" si="97"/>
        <v>227.6</v>
      </c>
      <c r="AN52" s="390">
        <f t="shared" si="98"/>
        <v>465.3</v>
      </c>
      <c r="AO52" s="390">
        <f t="shared" si="99"/>
        <v>52.2</v>
      </c>
      <c r="AP52" s="390">
        <f t="shared" si="100"/>
        <v>9.6</v>
      </c>
      <c r="AQ52" s="390">
        <f t="shared" si="101"/>
        <v>81.8</v>
      </c>
      <c r="AR52" s="390">
        <f t="shared" si="102"/>
        <v>64.900000000000006</v>
      </c>
      <c r="AS52" s="391">
        <f>CF52+CG52</f>
        <v>129.5</v>
      </c>
      <c r="AT52" s="390">
        <v>2.2000000000000002</v>
      </c>
      <c r="AU52" s="390">
        <v>18</v>
      </c>
      <c r="AV52" s="390">
        <v>12.9</v>
      </c>
      <c r="AW52" s="390">
        <v>60.3</v>
      </c>
      <c r="AX52" s="390">
        <v>30.2</v>
      </c>
      <c r="AY52" s="390">
        <v>44</v>
      </c>
      <c r="AZ52" s="390">
        <v>0</v>
      </c>
      <c r="BA52" s="390">
        <v>28.7</v>
      </c>
      <c r="BB52" s="390">
        <v>45.3</v>
      </c>
      <c r="BC52" s="390">
        <v>141.69999999999999</v>
      </c>
      <c r="BD52" s="390">
        <v>43.9</v>
      </c>
      <c r="BE52" s="390">
        <v>46.1</v>
      </c>
      <c r="BF52" s="514">
        <v>173.8</v>
      </c>
      <c r="BG52" s="390">
        <v>0</v>
      </c>
      <c r="BH52" s="390">
        <f>BH96</f>
        <v>0</v>
      </c>
      <c r="BI52" s="390">
        <v>6.7</v>
      </c>
      <c r="BJ52" s="390">
        <v>2</v>
      </c>
      <c r="BK52" s="390">
        <v>0</v>
      </c>
      <c r="BL52" s="390">
        <v>0</v>
      </c>
      <c r="BM52" s="390">
        <v>50.3</v>
      </c>
      <c r="BN52" s="390">
        <v>25</v>
      </c>
      <c r="BO52" s="390">
        <v>19.5</v>
      </c>
      <c r="BP52" s="390">
        <v>22.1</v>
      </c>
      <c r="BQ52" s="390">
        <v>19.5</v>
      </c>
      <c r="BR52" s="514">
        <v>24.1</v>
      </c>
      <c r="BS52" s="390">
        <v>0</v>
      </c>
      <c r="BT52" s="390">
        <v>59</v>
      </c>
      <c r="BU52" s="390">
        <v>19.2</v>
      </c>
      <c r="BV52" s="390">
        <v>40.700000000000003</v>
      </c>
      <c r="BW52" s="390">
        <v>28.2</v>
      </c>
      <c r="BX52" s="390">
        <v>68.099999999999994</v>
      </c>
      <c r="BY52" s="390">
        <v>34.5</v>
      </c>
      <c r="BZ52" s="390">
        <v>59.2</v>
      </c>
      <c r="CA52" s="390">
        <v>18.8</v>
      </c>
      <c r="CB52" s="514">
        <v>60.8</v>
      </c>
      <c r="CC52" s="390">
        <v>52.2</v>
      </c>
      <c r="CD52" s="390">
        <v>9.6</v>
      </c>
      <c r="CE52" s="390">
        <v>22.2</v>
      </c>
      <c r="CF52" s="390">
        <v>0</v>
      </c>
      <c r="CG52" s="390">
        <v>129.5</v>
      </c>
      <c r="CH52" s="390">
        <v>227.6</v>
      </c>
      <c r="CI52" s="390">
        <v>64.900000000000006</v>
      </c>
      <c r="CJ52" s="390">
        <v>465.3</v>
      </c>
      <c r="CK52" s="391">
        <v>81.8</v>
      </c>
      <c r="CL52" s="515">
        <v>2231.5</v>
      </c>
    </row>
    <row r="53" spans="1:90">
      <c r="A53" s="80">
        <f>ROWS($A$3:A51)</f>
        <v>49</v>
      </c>
      <c r="B53" s="54" t="str">
        <f>"Änderung der Milcherzeugung "&amp;C51&amp;"/"&amp;C97</f>
        <v>Änderung der Milcherzeugung 2010/2001</v>
      </c>
      <c r="C53" s="252"/>
      <c r="D53" s="259" t="s">
        <v>3</v>
      </c>
      <c r="E53" s="483">
        <v>42919</v>
      </c>
      <c r="F53" s="167">
        <f>F52/'2001'!F52%-100</f>
        <v>-2.6466805556600121</v>
      </c>
      <c r="G53" s="168">
        <f>G52/'2001'!G52%-100</f>
        <v>-4.6186977935507798</v>
      </c>
      <c r="H53" s="168">
        <f>H52/'2001'!H52%-100</f>
        <v>-2.2212373558688512</v>
      </c>
      <c r="I53" s="169">
        <f>I52/'2001'!I52%-100</f>
        <v>-0.89953597532229423</v>
      </c>
      <c r="J53" s="173"/>
      <c r="K53" s="178">
        <f>K52/'2001'!K52%-100</f>
        <v>7.5961121773045335</v>
      </c>
      <c r="L53" s="179">
        <f>L52/'2001'!L52%-100</f>
        <v>-4.5842911046536869</v>
      </c>
      <c r="M53" s="179">
        <f>M52/'2001'!M52%-100</f>
        <v>-11.54900064474532</v>
      </c>
      <c r="N53" s="179">
        <f>N52/'2001'!N52%-100</f>
        <v>-2.9235623671839903</v>
      </c>
      <c r="O53" s="179">
        <f>O52/'2001'!O52%-100</f>
        <v>1.6807093387445491</v>
      </c>
      <c r="P53" s="168">
        <f>P52/'2001'!P52%-100</f>
        <v>-22.152602598529853</v>
      </c>
      <c r="Q53" s="179">
        <f>Q52/'2001'!Q52%-100</f>
        <v>0</v>
      </c>
      <c r="R53" s="168">
        <f>R52/'2001'!R52%-100</f>
        <v>-4.7842952862348653</v>
      </c>
      <c r="S53" s="179">
        <f>S52/'2001'!S52%-100</f>
        <v>-19.041044307769539</v>
      </c>
      <c r="T53" s="179">
        <f>T52/'2001'!T52%-100</f>
        <v>-6.4378214263585107</v>
      </c>
      <c r="U53" s="180">
        <f>U52/'2001'!U52%-100</f>
        <v>-2.3001185912463313</v>
      </c>
      <c r="V53" s="168">
        <f>V52/'2001'!V52%-100</f>
        <v>-33.576884755895051</v>
      </c>
      <c r="W53" s="179">
        <f>W52/'2001'!W52%-100</f>
        <v>3.2783372616241735</v>
      </c>
      <c r="X53" s="168">
        <f>X52/'2001'!X52%-100</f>
        <v>-28.495197438633923</v>
      </c>
      <c r="Y53" s="168">
        <f>Y52/'2001'!Y52%-100</f>
        <v>-8.2097224262006137</v>
      </c>
      <c r="Z53" s="179">
        <f>Z52/'2001'!Z52%-100</f>
        <v>-7.3186910377358458</v>
      </c>
      <c r="AA53" s="168">
        <f>AA52/'2001'!AA52%-100</f>
        <v>128.59152452962897</v>
      </c>
      <c r="AB53" s="180">
        <f>AB52/'2001'!AB52%-100</f>
        <v>-2.4885280621249564</v>
      </c>
      <c r="AC53" s="179">
        <f>AC52/'2001'!AC52%-100</f>
        <v>1.9705318639194758</v>
      </c>
      <c r="AD53" s="179">
        <f>AD52/'2001'!AD52%-100</f>
        <v>-9.5363739163211534</v>
      </c>
      <c r="AE53" s="168">
        <f>AE52/'2001'!AE52%-100</f>
        <v>-1.5008597806307336</v>
      </c>
      <c r="AF53" s="179">
        <f>AF52/'2001'!AF52%-100</f>
        <v>-14.452129595922813</v>
      </c>
      <c r="AG53" s="179">
        <f>AG52/'2001'!AG52%-100</f>
        <v>-16.717822795170846</v>
      </c>
      <c r="AH53" s="179">
        <f>AH52/'2001'!AH52%-100</f>
        <v>3.4657531852421641</v>
      </c>
      <c r="AI53" s="179">
        <f>AI52/'2001'!AI52%-100</f>
        <v>-12.050898203592808</v>
      </c>
      <c r="AJ53" s="179">
        <f>AJ52/'2001'!AJ52%-100</f>
        <v>12.789329148685766</v>
      </c>
      <c r="AK53" s="180">
        <f>AK52/'2001'!AK52%-100</f>
        <v>3.933400570949928</v>
      </c>
      <c r="AL53" s="179">
        <f>AL52/'2001'!AL52%-100</f>
        <v>10.50823833938972</v>
      </c>
      <c r="AM53" s="179">
        <f>AM52/'2001'!AM52%-100</f>
        <v>-1.6362269108762035</v>
      </c>
      <c r="AN53" s="179">
        <f>AN52/'2001'!AN52%-100</f>
        <v>1.2953085882224826</v>
      </c>
      <c r="AO53" s="179">
        <f>AO52/'2001'!AO52%-100</f>
        <v>-5.2321992665480508</v>
      </c>
      <c r="AP53" s="179">
        <f>AP52/'2001'!AP52%-100</f>
        <v>-4.8374306106264839</v>
      </c>
      <c r="AQ53" s="179">
        <f>AQ52/'2001'!AQ52%-100</f>
        <v>-3.6059391939665346</v>
      </c>
      <c r="AR53" s="179">
        <f>AR52/'2001'!AR52%-100</f>
        <v>-13.91887948643128</v>
      </c>
      <c r="AS53" s="169">
        <f>AS52/'2001'!AS52%-100</f>
        <v>2.4444268649632193</v>
      </c>
      <c r="AT53" s="179">
        <f>AT52/'2001'!AT52%-100</f>
        <v>-5.3763440860215042</v>
      </c>
      <c r="AU53" s="168">
        <f>AU52/'2001'!AU52%-100</f>
        <v>-9.0127887580245698</v>
      </c>
      <c r="AV53" s="168">
        <f>AV52/'2001'!AV52%-100</f>
        <v>-19.041044307769539</v>
      </c>
      <c r="AW53" s="168">
        <f>AW52/'2001'!AW52%-100</f>
        <v>-2.9235623671839903</v>
      </c>
      <c r="AX53" s="168">
        <f>AX52/'2001'!AX52%-100</f>
        <v>-4.7408762577673969</v>
      </c>
      <c r="AY53" s="168">
        <f>AY52/'2001'!AY52%-100</f>
        <v>-4.5842911046536869</v>
      </c>
      <c r="AZ53" s="521" t="s">
        <v>233</v>
      </c>
      <c r="BA53" s="168">
        <f>BA52/'2001'!BA52%-100</f>
        <v>-22.152602598529853</v>
      </c>
      <c r="BB53" s="168">
        <f>BB52/'2001'!BB52%-100</f>
        <v>-6.4378214263585107</v>
      </c>
      <c r="BC53" s="168">
        <f>BC52/'2001'!BC52%-100</f>
        <v>-2.3001185912463313</v>
      </c>
      <c r="BD53" s="168">
        <f>BD52/'2001'!BD52%-100</f>
        <v>-11.54900064474532</v>
      </c>
      <c r="BE53" s="168">
        <f>BE52/'2001'!BE52%-100</f>
        <v>1.6807093387445491</v>
      </c>
      <c r="BF53" s="176">
        <f>BF52/'2001'!BF52%-100</f>
        <v>7.5961121773045335</v>
      </c>
      <c r="BG53" s="521" t="s">
        <v>233</v>
      </c>
      <c r="BH53" s="521" t="s">
        <v>233</v>
      </c>
      <c r="BI53" s="168">
        <f>BI52/'2001'!BI52%-100</f>
        <v>-28.495197438633923</v>
      </c>
      <c r="BJ53" s="168">
        <f>BJ52/'2001'!BJ52%-100</f>
        <v>-33.576884755895051</v>
      </c>
      <c r="BK53" s="521" t="s">
        <v>233</v>
      </c>
      <c r="BL53" s="521" t="s">
        <v>233</v>
      </c>
      <c r="BM53" s="168">
        <f>BM52/'2001'!BM52%-100</f>
        <v>-7.3186910377358458</v>
      </c>
      <c r="BN53" s="168">
        <f>BN52/'2001'!BN52%-100</f>
        <v>-8.2097224262006137</v>
      </c>
      <c r="BO53" s="521" t="s">
        <v>233</v>
      </c>
      <c r="BP53" s="168">
        <f>BP52/'2001'!BP52%-100</f>
        <v>-2.4885280621249564</v>
      </c>
      <c r="BQ53" s="168">
        <f>BQ52/'2001'!BQ52%-100</f>
        <v>14.295762264814485</v>
      </c>
      <c r="BR53" s="176">
        <f>BR52/'2001'!BR52%-100</f>
        <v>3.2783372616241735</v>
      </c>
      <c r="BS53" s="521" t="s">
        <v>233</v>
      </c>
      <c r="BT53" s="168">
        <f>BT52/'2001'!BT52%-100</f>
        <v>-1.5008597806307336</v>
      </c>
      <c r="BU53" s="168">
        <f>BU52/'2001'!BU52%-100</f>
        <v>-9.5363739163211534</v>
      </c>
      <c r="BV53" s="168">
        <f>BV52/'2001'!BV52%-100</f>
        <v>-16.717822795170846</v>
      </c>
      <c r="BW53" s="168">
        <f>BW52/'2001'!BW52%-100</f>
        <v>-12.050898203592808</v>
      </c>
      <c r="BX53" s="168">
        <f>BX52/'2001'!BX52%-100</f>
        <v>1.9705318639194758</v>
      </c>
      <c r="BY53" s="168">
        <f>BY52/'2001'!BY52%-100</f>
        <v>12.789329148685766</v>
      </c>
      <c r="BZ53" s="168">
        <f>BZ52/'2001'!BZ52%-100</f>
        <v>3.4657531852421641</v>
      </c>
      <c r="CA53" s="168">
        <f>CA52/'2001'!CA52%-100</f>
        <v>-14.452129595922813</v>
      </c>
      <c r="CB53" s="176">
        <f>CB52/'2001'!CB52%-100</f>
        <v>3.933400570949928</v>
      </c>
      <c r="CC53" s="168">
        <f>CC52/'2001'!CC52%-100</f>
        <v>-5.2321992665480508</v>
      </c>
      <c r="CD53" s="168">
        <f>CD52/'2001'!CD52%-100</f>
        <v>-4.8374306106264839</v>
      </c>
      <c r="CE53" s="168">
        <f>CE52/'2001'!CE52%-100</f>
        <v>10.50823833938972</v>
      </c>
      <c r="CF53" s="521" t="s">
        <v>233</v>
      </c>
      <c r="CG53" s="168">
        <f>CG52/'2001'!CG52%-100</f>
        <v>2.4444268649632193</v>
      </c>
      <c r="CH53" s="168">
        <f>CH52/'2001'!CH52%-100</f>
        <v>-1.6362269108762035</v>
      </c>
      <c r="CI53" s="168">
        <f>CI52/'2001'!CI52%-100</f>
        <v>-13.91887948643128</v>
      </c>
      <c r="CJ53" s="168">
        <f>CJ52/'2001'!CJ52%-100</f>
        <v>1.2953085882224826</v>
      </c>
      <c r="CK53" s="169">
        <f>CK52/'2001'!CK52%-100</f>
        <v>-3.6059391939665346</v>
      </c>
      <c r="CL53" s="177">
        <f>CL52/'2001'!CL52%-100</f>
        <v>-2.1925695280873612</v>
      </c>
    </row>
    <row r="54" spans="1:90">
      <c r="A54" s="80">
        <f>ROWS($A$3:A52)</f>
        <v>50</v>
      </c>
      <c r="B54" s="93" t="str">
        <f>"Änderung der Milchkühe "&amp;C51&amp;"/"&amp;C97</f>
        <v>Änderung der Milchkühe 2010/2001</v>
      </c>
      <c r="C54" s="253"/>
      <c r="D54" s="262" t="s">
        <v>3</v>
      </c>
      <c r="E54" s="438">
        <v>40441</v>
      </c>
      <c r="F54" s="181">
        <f>IF(ISERROR(F42/F97)=FALSE,ROUND((F42-F97)/F97%,3)," -")</f>
        <v>-3.2280000000000002</v>
      </c>
      <c r="G54" s="182">
        <f>IF(ISERROR(G42/G97)=FALSE,ROUND((G42-G97)/G97%,3)," -")</f>
        <v>2.5230000000000001</v>
      </c>
      <c r="H54" s="182">
        <f>IF(ISERROR(H42/H97)=FALSE,ROUND((H42-H97)/H97%,3)," -")</f>
        <v>11.109</v>
      </c>
      <c r="I54" s="183">
        <f>IF(ISERROR(I42/I97)=FALSE,ROUND((I42-I97)/I97%,3)," -")</f>
        <v>-6.0579999999999998</v>
      </c>
      <c r="J54" s="279"/>
      <c r="K54" s="184">
        <f t="shared" si="77"/>
        <v>2.472</v>
      </c>
      <c r="L54" s="185">
        <f t="shared" si="78"/>
        <v>-1.234</v>
      </c>
      <c r="M54" s="185">
        <f t="shared" si="79"/>
        <v>-20.513999999999999</v>
      </c>
      <c r="N54" s="185">
        <f t="shared" si="80"/>
        <v>1.514</v>
      </c>
      <c r="O54" s="185">
        <f t="shared" si="81"/>
        <v>-3.85</v>
      </c>
      <c r="P54" s="182">
        <f>IF(ISERROR(P42/P97)=FALSE,ROUND((P42-P97)/P97%,3)," -")</f>
        <v>-25.289000000000001</v>
      </c>
      <c r="Q54" s="185">
        <f>'2010'!AU54</f>
        <v>2.2530000000000001</v>
      </c>
      <c r="R54" s="182">
        <f>IF(ISERROR(R42/R97)=FALSE,ROUND((R42-R97)/R97%,3)," -")</f>
        <v>-24.751999999999999</v>
      </c>
      <c r="S54" s="185">
        <f t="shared" si="82"/>
        <v>-4.1150000000000002</v>
      </c>
      <c r="T54" s="185">
        <f t="shared" si="83"/>
        <v>-2.31</v>
      </c>
      <c r="U54" s="186">
        <f t="shared" si="84"/>
        <v>2.339</v>
      </c>
      <c r="V54" s="182">
        <f>IF(ISERROR(V42/V97)=FALSE,ROUND((V42-V97)/V97%,3)," -")</f>
        <v>50.75</v>
      </c>
      <c r="W54" s="185">
        <f t="shared" si="85"/>
        <v>8.0730000000000004</v>
      </c>
      <c r="X54" s="182">
        <f>IF(ISERROR(X42/X97)=FALSE,ROUND((X42-X97)/X97%,3)," -")</f>
        <v>-7.2309999999999999</v>
      </c>
      <c r="Y54" s="182">
        <f>IF(ISERROR(Y42/Y97)=FALSE,ROUND((Y42-Y97)/Y97%,3)," -")</f>
        <v>-14.029</v>
      </c>
      <c r="Z54" s="185">
        <f t="shared" si="86"/>
        <v>-7.2990000000000004</v>
      </c>
      <c r="AA54" s="182">
        <f>IF(ISERROR(AA42/AA97)=FALSE,ROUND((AA42-AA97)/AA97%,3)," -")</f>
        <v>23.318999999999999</v>
      </c>
      <c r="AB54" s="186">
        <f t="shared" si="87"/>
        <v>7.4939999999999998</v>
      </c>
      <c r="AC54" s="185">
        <f t="shared" si="88"/>
        <v>6.9859999999999998</v>
      </c>
      <c r="AD54" s="185">
        <f t="shared" si="89"/>
        <v>28.337</v>
      </c>
      <c r="AE54" s="182">
        <f>IF(ISERROR(AE42/AE97)=FALSE,ROUND((AE42-AE97)/AE97%,3)," -")</f>
        <v>8.9380000000000006</v>
      </c>
      <c r="AF54" s="185">
        <f t="shared" si="90"/>
        <v>26.895</v>
      </c>
      <c r="AG54" s="185">
        <f t="shared" si="91"/>
        <v>8.5530000000000008</v>
      </c>
      <c r="AH54" s="185">
        <f t="shared" si="92"/>
        <v>1.4</v>
      </c>
      <c r="AI54" s="185">
        <f t="shared" si="93"/>
        <v>-0.91900000000000004</v>
      </c>
      <c r="AJ54" s="185">
        <f t="shared" si="94"/>
        <v>17.940000000000001</v>
      </c>
      <c r="AK54" s="186">
        <f t="shared" si="95"/>
        <v>19.440999999999999</v>
      </c>
      <c r="AL54" s="185">
        <f t="shared" si="96"/>
        <v>47.881999999999998</v>
      </c>
      <c r="AM54" s="185">
        <f t="shared" si="97"/>
        <v>-6.8890000000000002</v>
      </c>
      <c r="AN54" s="185">
        <f t="shared" si="98"/>
        <v>-5.8520000000000003</v>
      </c>
      <c r="AO54" s="185">
        <f t="shared" si="99"/>
        <v>-7.1870000000000003</v>
      </c>
      <c r="AP54" s="185">
        <f t="shared" si="100"/>
        <v>2.0569999999999999</v>
      </c>
      <c r="AQ54" s="185">
        <f t="shared" si="101"/>
        <v>-5.8070000000000004</v>
      </c>
      <c r="AR54" s="185">
        <f t="shared" si="102"/>
        <v>-13.914</v>
      </c>
      <c r="AS54" s="183">
        <f>IF(ISERROR(AS42/AS97)=FALSE,ROUND((AS42-AS97)/AS97%,3)," -")</f>
        <v>-9.8119999999999994</v>
      </c>
      <c r="AT54" s="185">
        <f>IF(ISERROR(AT42/AT97)=FALSE,ROUND((AT42-AT97)/AT97%,3)," -")</f>
        <v>-5.5330000000000004</v>
      </c>
      <c r="AU54" s="182">
        <f t="shared" ref="AU54:CL54" si="104">IF(ISERROR(AU42/AU97)=FALSE,ROUND((AU42-AU97)/AU97%,3)," -")</f>
        <v>2.2530000000000001</v>
      </c>
      <c r="AV54" s="182">
        <f t="shared" si="104"/>
        <v>-4.1150000000000002</v>
      </c>
      <c r="AW54" s="182">
        <f t="shared" si="104"/>
        <v>1.514</v>
      </c>
      <c r="AX54" s="182">
        <f t="shared" si="104"/>
        <v>-18.498000000000001</v>
      </c>
      <c r="AY54" s="182">
        <f t="shared" si="104"/>
        <v>-1.234</v>
      </c>
      <c r="AZ54" s="182">
        <f t="shared" si="104"/>
        <v>-79.322999999999993</v>
      </c>
      <c r="BA54" s="182">
        <f t="shared" si="104"/>
        <v>-22.224</v>
      </c>
      <c r="BB54" s="182">
        <f t="shared" si="104"/>
        <v>-2.31</v>
      </c>
      <c r="BC54" s="182">
        <f t="shared" si="104"/>
        <v>2.339</v>
      </c>
      <c r="BD54" s="182">
        <f t="shared" si="104"/>
        <v>-20.513999999999999</v>
      </c>
      <c r="BE54" s="182">
        <f t="shared" si="104"/>
        <v>-3.85</v>
      </c>
      <c r="BF54" s="187">
        <f t="shared" si="104"/>
        <v>2.472</v>
      </c>
      <c r="BG54" s="182" t="str">
        <f t="shared" si="104"/>
        <v xml:space="preserve"> -</v>
      </c>
      <c r="BH54" s="182">
        <f t="shared" si="104"/>
        <v>-42.478000000000002</v>
      </c>
      <c r="BI54" s="182">
        <f t="shared" si="104"/>
        <v>-1.9610000000000001</v>
      </c>
      <c r="BJ54" s="182">
        <f t="shared" si="104"/>
        <v>50.75</v>
      </c>
      <c r="BK54" s="182">
        <f t="shared" si="104"/>
        <v>-5.0780000000000003</v>
      </c>
      <c r="BL54" s="182">
        <f t="shared" si="104"/>
        <v>-15.385</v>
      </c>
      <c r="BM54" s="182">
        <f t="shared" si="104"/>
        <v>-7.2990000000000004</v>
      </c>
      <c r="BN54" s="182">
        <f t="shared" si="104"/>
        <v>-8.8320000000000007</v>
      </c>
      <c r="BO54" s="182">
        <f t="shared" si="104"/>
        <v>-31.858000000000001</v>
      </c>
      <c r="BP54" s="182">
        <f t="shared" si="104"/>
        <v>7.4939999999999998</v>
      </c>
      <c r="BQ54" s="182">
        <f t="shared" si="104"/>
        <v>27.689</v>
      </c>
      <c r="BR54" s="187">
        <f t="shared" si="104"/>
        <v>8.0730000000000004</v>
      </c>
      <c r="BS54" s="182" t="str">
        <f t="shared" si="104"/>
        <v xml:space="preserve"> -</v>
      </c>
      <c r="BT54" s="182">
        <f t="shared" si="104"/>
        <v>6.9980000000000002</v>
      </c>
      <c r="BU54" s="182">
        <f t="shared" si="104"/>
        <v>28.337</v>
      </c>
      <c r="BV54" s="182">
        <f t="shared" si="104"/>
        <v>8.5530000000000008</v>
      </c>
      <c r="BW54" s="182">
        <f t="shared" si="104"/>
        <v>-0.91900000000000004</v>
      </c>
      <c r="BX54" s="182">
        <f t="shared" si="104"/>
        <v>6.9859999999999998</v>
      </c>
      <c r="BY54" s="182">
        <f t="shared" si="104"/>
        <v>17.940000000000001</v>
      </c>
      <c r="BZ54" s="182">
        <f t="shared" si="104"/>
        <v>1.4</v>
      </c>
      <c r="CA54" s="182">
        <f t="shared" si="104"/>
        <v>26.895</v>
      </c>
      <c r="CB54" s="187">
        <f t="shared" si="104"/>
        <v>19.440999999999999</v>
      </c>
      <c r="CC54" s="182">
        <f t="shared" si="104"/>
        <v>-7.1870000000000003</v>
      </c>
      <c r="CD54" s="182">
        <f t="shared" si="104"/>
        <v>2.0569999999999999</v>
      </c>
      <c r="CE54" s="182">
        <f t="shared" si="104"/>
        <v>47.881999999999998</v>
      </c>
      <c r="CF54" s="182">
        <f t="shared" si="104"/>
        <v>-14.471</v>
      </c>
      <c r="CG54" s="182">
        <f t="shared" si="104"/>
        <v>-9.6029999999999998</v>
      </c>
      <c r="CH54" s="182">
        <f t="shared" si="104"/>
        <v>-6.8890000000000002</v>
      </c>
      <c r="CI54" s="182">
        <f t="shared" si="104"/>
        <v>-13.914</v>
      </c>
      <c r="CJ54" s="182">
        <f t="shared" si="104"/>
        <v>-5.8520000000000003</v>
      </c>
      <c r="CK54" s="183">
        <f t="shared" si="104"/>
        <v>-5.8070000000000004</v>
      </c>
      <c r="CL54" s="188">
        <f t="shared" si="104"/>
        <v>-1.28</v>
      </c>
    </row>
    <row r="55" spans="1:90" ht="14.25">
      <c r="A55" s="80">
        <f>ROWS($A$3:A53)</f>
        <v>51</v>
      </c>
      <c r="B55" s="59" t="s">
        <v>208</v>
      </c>
      <c r="C55" s="203"/>
      <c r="D55" s="259"/>
      <c r="E55" s="435"/>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2">
        <v>2010</v>
      </c>
      <c r="D56" s="259" t="s">
        <v>13</v>
      </c>
      <c r="E56" s="437">
        <v>40695</v>
      </c>
      <c r="F56" s="116">
        <v>272</v>
      </c>
      <c r="G56" s="137">
        <v>240</v>
      </c>
      <c r="H56" s="137">
        <v>280</v>
      </c>
      <c r="I56" s="138">
        <v>316</v>
      </c>
      <c r="J56" s="141"/>
      <c r="K56" s="116">
        <f t="shared" ref="K56:K63" si="105">BF56</f>
        <v>42</v>
      </c>
      <c r="L56" s="137">
        <f t="shared" ref="L56:L63" si="106">AY56</f>
        <v>26</v>
      </c>
      <c r="M56" s="137">
        <f t="shared" ref="M56:M63" si="107">BD56</f>
        <v>35</v>
      </c>
      <c r="N56" s="137">
        <f t="shared" ref="N56:N63" si="108">AW56</f>
        <v>19</v>
      </c>
      <c r="O56" s="137">
        <f t="shared" ref="O56:O63" si="109">BE56</f>
        <v>12</v>
      </c>
      <c r="P56" s="137">
        <f t="shared" ref="P56:P63" si="110">AZ56+BA56</f>
        <v>25</v>
      </c>
      <c r="Q56" s="137">
        <f>'2010'!AU56</f>
        <v>19</v>
      </c>
      <c r="R56" s="137">
        <f t="shared" ref="R56:R63" si="111">AT56+AX56</f>
        <v>27</v>
      </c>
      <c r="S56" s="137">
        <f t="shared" ref="S56:S63" si="112">AV56</f>
        <v>28</v>
      </c>
      <c r="T56" s="137">
        <f t="shared" ref="T56:U63" si="113">BB56</f>
        <v>21</v>
      </c>
      <c r="U56" s="139">
        <f t="shared" si="113"/>
        <v>18</v>
      </c>
      <c r="V56" s="137">
        <f t="shared" ref="V56:V63" si="114">BG56+BJ56</f>
        <v>32</v>
      </c>
      <c r="W56" s="137">
        <f t="shared" ref="W56:W63" si="115">BR56</f>
        <v>18</v>
      </c>
      <c r="X56" s="137">
        <f t="shared" ref="X56:X63" si="116">BH56+BI56</f>
        <v>48</v>
      </c>
      <c r="Y56" s="137">
        <f t="shared" ref="Y56:Y63" si="117">BK56+BL56+BN56</f>
        <v>61</v>
      </c>
      <c r="Z56" s="137">
        <f t="shared" ref="Z56:Z63" si="118">BM56</f>
        <v>26</v>
      </c>
      <c r="AA56" s="137">
        <f t="shared" ref="AA56:AA63" si="119">BO56+BQ56</f>
        <v>29</v>
      </c>
      <c r="AB56" s="139">
        <f t="shared" ref="AB56:AB63" si="120">BP56</f>
        <v>26</v>
      </c>
      <c r="AC56" s="137">
        <f t="shared" ref="AC56:AC63" si="121">BX56</f>
        <v>25</v>
      </c>
      <c r="AD56" s="137">
        <f t="shared" ref="AD56:AD63" si="122">BU56</f>
        <v>19</v>
      </c>
      <c r="AE56" s="137">
        <f t="shared" ref="AE56:AE63" si="123">BS56+BT56</f>
        <v>53</v>
      </c>
      <c r="AF56" s="137">
        <f t="shared" ref="AF56:AF63" si="124">CA56</f>
        <v>26</v>
      </c>
      <c r="AG56" s="137">
        <f t="shared" ref="AG56:AG63" si="125">BV56</f>
        <v>23</v>
      </c>
      <c r="AH56" s="137">
        <f t="shared" ref="AH56:AH63" si="126">BZ56</f>
        <v>64</v>
      </c>
      <c r="AI56" s="137">
        <f t="shared" ref="AI56:AI63" si="127">BW56</f>
        <v>10</v>
      </c>
      <c r="AJ56" s="137">
        <f t="shared" ref="AJ56:AJ63" si="128">BY56</f>
        <v>23</v>
      </c>
      <c r="AK56" s="139">
        <f t="shared" ref="AK56:AK63" si="129">CB56</f>
        <v>37</v>
      </c>
      <c r="AL56" s="137">
        <f t="shared" ref="AL56:AL63" si="130">CE56</f>
        <v>53</v>
      </c>
      <c r="AM56" s="137">
        <f t="shared" ref="AM56:AM63" si="131">CH56</f>
        <v>31</v>
      </c>
      <c r="AN56" s="137">
        <f t="shared" ref="AN56:AN63" si="132">CJ56</f>
        <v>76</v>
      </c>
      <c r="AO56" s="137">
        <f t="shared" ref="AO56:AP63" si="133">CC56</f>
        <v>42</v>
      </c>
      <c r="AP56" s="137">
        <f t="shared" si="133"/>
        <v>22</v>
      </c>
      <c r="AQ56" s="137">
        <f t="shared" ref="AQ56:AQ63" si="134">CK56</f>
        <v>25</v>
      </c>
      <c r="AR56" s="137">
        <f t="shared" ref="AR56:AR63" si="135">CI56</f>
        <v>33</v>
      </c>
      <c r="AS56" s="138">
        <f t="shared" ref="AS56:AS63" si="136">CF56+CG56</f>
        <v>34</v>
      </c>
      <c r="AT56" s="137">
        <v>7</v>
      </c>
      <c r="AU56" s="137">
        <v>19</v>
      </c>
      <c r="AV56" s="137">
        <v>28</v>
      </c>
      <c r="AW56" s="137">
        <v>19</v>
      </c>
      <c r="AX56" s="137">
        <v>20</v>
      </c>
      <c r="AY56" s="137">
        <v>26</v>
      </c>
      <c r="AZ56" s="137">
        <v>5</v>
      </c>
      <c r="BA56" s="137">
        <v>20</v>
      </c>
      <c r="BB56" s="137">
        <v>21</v>
      </c>
      <c r="BC56" s="137">
        <v>18</v>
      </c>
      <c r="BD56" s="137">
        <v>35</v>
      </c>
      <c r="BE56" s="137">
        <v>12</v>
      </c>
      <c r="BF56" s="139">
        <v>42</v>
      </c>
      <c r="BG56" s="137">
        <v>5</v>
      </c>
      <c r="BH56" s="137">
        <v>8</v>
      </c>
      <c r="BI56" s="137">
        <v>40</v>
      </c>
      <c r="BJ56" s="137">
        <v>27</v>
      </c>
      <c r="BK56" s="137">
        <v>5</v>
      </c>
      <c r="BL56" s="137">
        <v>9</v>
      </c>
      <c r="BM56" s="137">
        <v>26</v>
      </c>
      <c r="BN56" s="137">
        <v>47</v>
      </c>
      <c r="BO56" s="137">
        <v>3</v>
      </c>
      <c r="BP56" s="137">
        <v>26</v>
      </c>
      <c r="BQ56" s="137">
        <v>26</v>
      </c>
      <c r="BR56" s="139">
        <v>18</v>
      </c>
      <c r="BS56" s="137">
        <v>7</v>
      </c>
      <c r="BT56" s="137">
        <v>46</v>
      </c>
      <c r="BU56" s="137">
        <v>19</v>
      </c>
      <c r="BV56" s="137">
        <v>23</v>
      </c>
      <c r="BW56" s="137">
        <v>10</v>
      </c>
      <c r="BX56" s="137">
        <v>25</v>
      </c>
      <c r="BY56" s="137">
        <v>23</v>
      </c>
      <c r="BZ56" s="137">
        <v>64</v>
      </c>
      <c r="CA56" s="137">
        <v>26</v>
      </c>
      <c r="CB56" s="139">
        <v>37</v>
      </c>
      <c r="CC56" s="137">
        <v>42</v>
      </c>
      <c r="CD56" s="137">
        <v>22</v>
      </c>
      <c r="CE56" s="137">
        <v>53</v>
      </c>
      <c r="CF56" s="137">
        <v>1</v>
      </c>
      <c r="CG56" s="137">
        <v>33</v>
      </c>
      <c r="CH56" s="137">
        <v>31</v>
      </c>
      <c r="CI56" s="137">
        <v>33</v>
      </c>
      <c r="CJ56" s="137">
        <v>76</v>
      </c>
      <c r="CK56" s="138">
        <v>25</v>
      </c>
      <c r="CL56" s="140">
        <v>1108</v>
      </c>
    </row>
    <row r="57" spans="1:90">
      <c r="A57" s="80">
        <f>ROWS($A$3:A55)</f>
        <v>53</v>
      </c>
      <c r="B57" s="92"/>
      <c r="C57" s="203"/>
      <c r="D57" s="259" t="s">
        <v>1</v>
      </c>
      <c r="E57" s="435"/>
      <c r="F57" s="116">
        <v>14772</v>
      </c>
      <c r="G57" s="137">
        <v>19754</v>
      </c>
      <c r="H57" s="137">
        <v>31550</v>
      </c>
      <c r="I57" s="138">
        <v>19182</v>
      </c>
      <c r="J57" s="141"/>
      <c r="K57" s="116">
        <f t="shared" si="105"/>
        <v>2051.1999999999998</v>
      </c>
      <c r="L57" s="137">
        <f t="shared" si="106"/>
        <v>833.37</v>
      </c>
      <c r="M57" s="137">
        <f t="shared" si="107"/>
        <v>1029.49</v>
      </c>
      <c r="N57" s="137">
        <f t="shared" si="108"/>
        <v>2876.77</v>
      </c>
      <c r="O57" s="137">
        <f t="shared" si="109"/>
        <v>771.29</v>
      </c>
      <c r="P57" s="137">
        <f t="shared" si="110"/>
        <v>489.18999999999994</v>
      </c>
      <c r="Q57" s="137">
        <f>'2010'!AU57</f>
        <v>686.75</v>
      </c>
      <c r="R57" s="137">
        <f t="shared" si="111"/>
        <v>1898.23</v>
      </c>
      <c r="S57" s="137">
        <f t="shared" si="112"/>
        <v>2267.9499999999998</v>
      </c>
      <c r="T57" s="137">
        <f t="shared" si="113"/>
        <v>486.16</v>
      </c>
      <c r="U57" s="139">
        <f t="shared" si="113"/>
        <v>1383.29</v>
      </c>
      <c r="V57" s="137">
        <f t="shared" si="114"/>
        <v>4366.16</v>
      </c>
      <c r="W57" s="137">
        <f t="shared" si="115"/>
        <v>2903.2</v>
      </c>
      <c r="X57" s="137">
        <f t="shared" si="116"/>
        <v>3926.46</v>
      </c>
      <c r="Y57" s="137">
        <f t="shared" si="117"/>
        <v>3817.4900000000002</v>
      </c>
      <c r="Z57" s="137">
        <f t="shared" si="118"/>
        <v>925</v>
      </c>
      <c r="AA57" s="137">
        <f t="shared" si="119"/>
        <v>1561.28</v>
      </c>
      <c r="AB57" s="139">
        <f t="shared" si="120"/>
        <v>2254.73</v>
      </c>
      <c r="AC57" s="137">
        <f t="shared" si="121"/>
        <v>2051</v>
      </c>
      <c r="AD57" s="137">
        <f t="shared" si="122"/>
        <v>3873</v>
      </c>
      <c r="AE57" s="137">
        <f t="shared" si="123"/>
        <v>6238</v>
      </c>
      <c r="AF57" s="137">
        <f t="shared" si="124"/>
        <v>5977</v>
      </c>
      <c r="AG57" s="137">
        <f t="shared" si="125"/>
        <v>3505</v>
      </c>
      <c r="AH57" s="137">
        <f t="shared" si="126"/>
        <v>3668</v>
      </c>
      <c r="AI57" s="137">
        <f t="shared" si="127"/>
        <v>437</v>
      </c>
      <c r="AJ57" s="137">
        <f t="shared" si="128"/>
        <v>2150</v>
      </c>
      <c r="AK57" s="139">
        <f t="shared" si="129"/>
        <v>3651</v>
      </c>
      <c r="AL57" s="137">
        <f t="shared" si="130"/>
        <v>1560.55</v>
      </c>
      <c r="AM57" s="137">
        <f t="shared" si="131"/>
        <v>3573.62</v>
      </c>
      <c r="AN57" s="137">
        <f t="shared" si="132"/>
        <v>5868.79</v>
      </c>
      <c r="AO57" s="137">
        <f t="shared" si="133"/>
        <v>1975</v>
      </c>
      <c r="AP57" s="137">
        <f t="shared" si="133"/>
        <v>1187.6199999999999</v>
      </c>
      <c r="AQ57" s="137">
        <f t="shared" si="134"/>
        <v>2000.03</v>
      </c>
      <c r="AR57" s="137">
        <f t="shared" si="135"/>
        <v>1217.26</v>
      </c>
      <c r="AS57" s="138">
        <f t="shared" si="136"/>
        <v>1798.7800000000002</v>
      </c>
      <c r="AT57" s="137">
        <v>1353.19</v>
      </c>
      <c r="AU57" s="137">
        <v>686.75</v>
      </c>
      <c r="AV57" s="137">
        <v>2267.9499999999998</v>
      </c>
      <c r="AW57" s="137">
        <v>2876.77</v>
      </c>
      <c r="AX57" s="137">
        <v>545.04</v>
      </c>
      <c r="AY57" s="137">
        <v>833.37</v>
      </c>
      <c r="AZ57" s="137">
        <v>97.91</v>
      </c>
      <c r="BA57" s="137">
        <v>391.28</v>
      </c>
      <c r="BB57" s="137">
        <v>486.16</v>
      </c>
      <c r="BC57" s="137">
        <v>1383.29</v>
      </c>
      <c r="BD57" s="137">
        <v>1029.49</v>
      </c>
      <c r="BE57" s="137">
        <v>771.29</v>
      </c>
      <c r="BF57" s="139">
        <v>2051.1999999999998</v>
      </c>
      <c r="BG57" s="137">
        <v>439.87</v>
      </c>
      <c r="BH57" s="137">
        <v>721</v>
      </c>
      <c r="BI57" s="137">
        <v>3205.46</v>
      </c>
      <c r="BJ57" s="137">
        <v>3926.29</v>
      </c>
      <c r="BK57" s="137">
        <v>82.7</v>
      </c>
      <c r="BL57" s="137">
        <v>699.12</v>
      </c>
      <c r="BM57" s="137">
        <v>925</v>
      </c>
      <c r="BN57" s="137">
        <v>3035.67</v>
      </c>
      <c r="BO57" s="137">
        <v>194.28</v>
      </c>
      <c r="BP57" s="137">
        <v>2254.73</v>
      </c>
      <c r="BQ57" s="137">
        <v>1367</v>
      </c>
      <c r="BR57" s="139">
        <v>2903.2</v>
      </c>
      <c r="BS57" s="137">
        <v>683</v>
      </c>
      <c r="BT57" s="137">
        <v>5555</v>
      </c>
      <c r="BU57" s="137">
        <v>3873</v>
      </c>
      <c r="BV57" s="137">
        <v>3505</v>
      </c>
      <c r="BW57" s="137">
        <v>437</v>
      </c>
      <c r="BX57" s="137">
        <v>2051</v>
      </c>
      <c r="BY57" s="137">
        <v>2150</v>
      </c>
      <c r="BZ57" s="137">
        <v>3668</v>
      </c>
      <c r="CA57" s="137">
        <v>5977</v>
      </c>
      <c r="CB57" s="139">
        <v>3651</v>
      </c>
      <c r="CC57" s="137">
        <v>1975</v>
      </c>
      <c r="CD57" s="137">
        <v>1187.6199999999999</v>
      </c>
      <c r="CE57" s="137">
        <v>1560.55</v>
      </c>
      <c r="CF57" s="137">
        <v>39.4</v>
      </c>
      <c r="CG57" s="137">
        <v>1759.38</v>
      </c>
      <c r="CH57" s="137">
        <v>3573.62</v>
      </c>
      <c r="CI57" s="137">
        <v>1217.26</v>
      </c>
      <c r="CJ57" s="137">
        <v>5868.79</v>
      </c>
      <c r="CK57" s="138">
        <v>2000.03</v>
      </c>
      <c r="CL57" s="140">
        <v>85258</v>
      </c>
    </row>
    <row r="58" spans="1:90">
      <c r="A58" s="80">
        <f>ROWS($A$3:A56)</f>
        <v>54</v>
      </c>
      <c r="B58" s="92" t="s">
        <v>231</v>
      </c>
      <c r="C58" s="203">
        <v>2010</v>
      </c>
      <c r="D58" s="259" t="s">
        <v>13</v>
      </c>
      <c r="E58" s="437">
        <v>40704</v>
      </c>
      <c r="F58" s="116">
        <v>69</v>
      </c>
      <c r="G58" s="137">
        <v>71</v>
      </c>
      <c r="H58" s="137">
        <v>75</v>
      </c>
      <c r="I58" s="138">
        <v>85</v>
      </c>
      <c r="J58" s="141"/>
      <c r="K58" s="116">
        <f t="shared" si="105"/>
        <v>15</v>
      </c>
      <c r="L58" s="137">
        <f t="shared" si="106"/>
        <v>5</v>
      </c>
      <c r="M58" s="137">
        <f t="shared" si="107"/>
        <v>12</v>
      </c>
      <c r="N58" s="137">
        <f t="shared" si="108"/>
        <v>11</v>
      </c>
      <c r="O58" s="137">
        <f t="shared" si="109"/>
        <v>7</v>
      </c>
      <c r="P58" s="137">
        <f t="shared" si="110"/>
        <v>14</v>
      </c>
      <c r="Q58" s="137">
        <f>'2010'!AU58</f>
        <v>5</v>
      </c>
      <c r="R58" s="137">
        <f t="shared" si="111"/>
        <v>12</v>
      </c>
      <c r="S58" s="137">
        <f t="shared" si="112"/>
        <v>11</v>
      </c>
      <c r="T58" s="137">
        <f t="shared" si="113"/>
        <v>10</v>
      </c>
      <c r="U58" s="139">
        <f t="shared" si="113"/>
        <v>13</v>
      </c>
      <c r="V58" s="137">
        <f t="shared" si="114"/>
        <v>21</v>
      </c>
      <c r="W58" s="137">
        <f t="shared" si="115"/>
        <v>11</v>
      </c>
      <c r="X58" s="137">
        <f t="shared" si="116"/>
        <v>30</v>
      </c>
      <c r="Y58" s="137">
        <f t="shared" si="117"/>
        <v>25</v>
      </c>
      <c r="Z58" s="137">
        <f t="shared" si="118"/>
        <v>12</v>
      </c>
      <c r="AA58" s="137">
        <f t="shared" si="119"/>
        <v>13</v>
      </c>
      <c r="AB58" s="139">
        <f t="shared" si="120"/>
        <v>9</v>
      </c>
      <c r="AC58" s="137">
        <f t="shared" si="121"/>
        <v>10</v>
      </c>
      <c r="AD58" s="137">
        <f t="shared" si="122"/>
        <v>10</v>
      </c>
      <c r="AE58" s="137">
        <f t="shared" si="123"/>
        <v>23</v>
      </c>
      <c r="AF58" s="137">
        <f t="shared" si="124"/>
        <v>11</v>
      </c>
      <c r="AG58" s="137">
        <f t="shared" si="125"/>
        <v>15</v>
      </c>
      <c r="AH58" s="137">
        <f t="shared" si="126"/>
        <v>10</v>
      </c>
      <c r="AI58" s="137">
        <f t="shared" si="127"/>
        <v>9</v>
      </c>
      <c r="AJ58" s="137">
        <f t="shared" si="128"/>
        <v>10</v>
      </c>
      <c r="AK58" s="139">
        <f t="shared" si="129"/>
        <v>17</v>
      </c>
      <c r="AL58" s="137">
        <f t="shared" si="130"/>
        <v>20</v>
      </c>
      <c r="AM58" s="137">
        <f t="shared" si="131"/>
        <v>12</v>
      </c>
      <c r="AN58" s="137">
        <f t="shared" si="132"/>
        <v>22</v>
      </c>
      <c r="AO58" s="137">
        <f t="shared" si="133"/>
        <v>20</v>
      </c>
      <c r="AP58" s="137">
        <f t="shared" si="133"/>
        <v>8</v>
      </c>
      <c r="AQ58" s="137">
        <f t="shared" si="134"/>
        <v>14</v>
      </c>
      <c r="AR58" s="137">
        <f t="shared" si="135"/>
        <v>11</v>
      </c>
      <c r="AS58" s="138">
        <f t="shared" si="136"/>
        <v>19</v>
      </c>
      <c r="AT58" s="137">
        <v>4</v>
      </c>
      <c r="AU58" s="137">
        <v>5</v>
      </c>
      <c r="AV58" s="141">
        <v>11</v>
      </c>
      <c r="AW58" s="141">
        <v>11</v>
      </c>
      <c r="AX58" s="141">
        <v>8</v>
      </c>
      <c r="AY58" s="141">
        <v>5</v>
      </c>
      <c r="AZ58" s="141">
        <v>3</v>
      </c>
      <c r="BA58" s="141">
        <v>11</v>
      </c>
      <c r="BB58" s="141">
        <v>10</v>
      </c>
      <c r="BC58" s="141">
        <v>13</v>
      </c>
      <c r="BD58" s="141">
        <v>12</v>
      </c>
      <c r="BE58" s="141">
        <v>7</v>
      </c>
      <c r="BF58" s="139">
        <v>15</v>
      </c>
      <c r="BG58" s="141">
        <v>6</v>
      </c>
      <c r="BH58" s="141">
        <v>9</v>
      </c>
      <c r="BI58" s="141">
        <v>21</v>
      </c>
      <c r="BJ58" s="141">
        <v>15</v>
      </c>
      <c r="BK58" s="141">
        <v>4</v>
      </c>
      <c r="BL58" s="141">
        <v>3</v>
      </c>
      <c r="BM58" s="141">
        <v>12</v>
      </c>
      <c r="BN58" s="141">
        <v>18</v>
      </c>
      <c r="BO58" s="141">
        <v>3</v>
      </c>
      <c r="BP58" s="141">
        <v>9</v>
      </c>
      <c r="BQ58" s="141">
        <v>10</v>
      </c>
      <c r="BR58" s="139">
        <v>11</v>
      </c>
      <c r="BS58" s="141">
        <v>5</v>
      </c>
      <c r="BT58" s="141">
        <v>18</v>
      </c>
      <c r="BU58" s="141">
        <v>10</v>
      </c>
      <c r="BV58" s="141">
        <v>15</v>
      </c>
      <c r="BW58" s="141">
        <v>9</v>
      </c>
      <c r="BX58" s="141">
        <v>10</v>
      </c>
      <c r="BY58" s="141">
        <v>10</v>
      </c>
      <c r="BZ58" s="141">
        <v>10</v>
      </c>
      <c r="CA58" s="141">
        <v>11</v>
      </c>
      <c r="CB58" s="139">
        <v>17</v>
      </c>
      <c r="CC58" s="141">
        <v>20</v>
      </c>
      <c r="CD58" s="141">
        <v>8</v>
      </c>
      <c r="CE58" s="141">
        <v>20</v>
      </c>
      <c r="CF58" s="141">
        <v>3</v>
      </c>
      <c r="CG58" s="141">
        <v>16</v>
      </c>
      <c r="CH58" s="141">
        <v>12</v>
      </c>
      <c r="CI58" s="141">
        <v>11</v>
      </c>
      <c r="CJ58" s="141">
        <v>22</v>
      </c>
      <c r="CK58" s="138">
        <v>14</v>
      </c>
      <c r="CL58" s="140">
        <v>300</v>
      </c>
    </row>
    <row r="59" spans="1:90">
      <c r="A59" s="80">
        <f>ROWS($A$3:A57)</f>
        <v>55</v>
      </c>
      <c r="B59" s="92"/>
      <c r="C59" s="203"/>
      <c r="D59" s="259" t="s">
        <v>1</v>
      </c>
      <c r="E59" s="435"/>
      <c r="F59" s="116">
        <v>92286.89</v>
      </c>
      <c r="G59" s="137">
        <v>93812.68</v>
      </c>
      <c r="H59" s="137">
        <v>131397.09</v>
      </c>
      <c r="I59" s="138">
        <v>94058.93</v>
      </c>
      <c r="J59" s="141"/>
      <c r="K59" s="116">
        <f t="shared" si="105"/>
        <v>10514.0848616332</v>
      </c>
      <c r="L59" s="137">
        <f t="shared" si="106"/>
        <v>3118.9839788331001</v>
      </c>
      <c r="M59" s="137">
        <f t="shared" si="107"/>
        <v>8156.1568828520003</v>
      </c>
      <c r="N59" s="137">
        <f t="shared" si="108"/>
        <v>9447.90927398649</v>
      </c>
      <c r="O59" s="137">
        <f t="shared" si="109"/>
        <v>7232.5078828524001</v>
      </c>
      <c r="P59" s="137">
        <f t="shared" si="110"/>
        <v>11731.646883465999</v>
      </c>
      <c r="Q59" s="137">
        <f>'2010'!AU59</f>
        <v>6903.2617254364004</v>
      </c>
      <c r="R59" s="137">
        <f t="shared" si="111"/>
        <v>10448.371783771399</v>
      </c>
      <c r="S59" s="137">
        <f t="shared" si="112"/>
        <v>8991.7518148619001</v>
      </c>
      <c r="T59" s="137">
        <f t="shared" si="113"/>
        <v>8599.2624732380009</v>
      </c>
      <c r="U59" s="139">
        <f t="shared" si="113"/>
        <v>7142.9500235680998</v>
      </c>
      <c r="V59" s="137">
        <f t="shared" si="114"/>
        <v>13461.7490488004</v>
      </c>
      <c r="W59" s="137">
        <f t="shared" si="115"/>
        <v>3930.8866817062999</v>
      </c>
      <c r="X59" s="137">
        <f t="shared" si="116"/>
        <v>30112.655106490602</v>
      </c>
      <c r="Y59" s="137">
        <f t="shared" si="117"/>
        <v>19461.205763579703</v>
      </c>
      <c r="Z59" s="137">
        <f t="shared" si="118"/>
        <v>9694.1869237757001</v>
      </c>
      <c r="AA59" s="137">
        <f t="shared" si="119"/>
        <v>11746.1532117672</v>
      </c>
      <c r="AB59" s="139">
        <f t="shared" si="120"/>
        <v>5405.8429948985004</v>
      </c>
      <c r="AC59" s="137">
        <f t="shared" si="121"/>
        <v>8370.0470149258999</v>
      </c>
      <c r="AD59" s="137">
        <f t="shared" si="122"/>
        <v>10483.264491391999</v>
      </c>
      <c r="AE59" s="137">
        <f t="shared" si="123"/>
        <v>22710.122406597096</v>
      </c>
      <c r="AF59" s="137">
        <f t="shared" si="124"/>
        <v>15963.3913585147</v>
      </c>
      <c r="AG59" s="137">
        <f t="shared" si="125"/>
        <v>18197.2109896072</v>
      </c>
      <c r="AH59" s="137">
        <f t="shared" si="126"/>
        <v>14705.7313187543</v>
      </c>
      <c r="AI59" s="137">
        <f t="shared" si="127"/>
        <v>5990.7440859356002</v>
      </c>
      <c r="AJ59" s="137">
        <f t="shared" si="128"/>
        <v>12289.518744946199</v>
      </c>
      <c r="AK59" s="139">
        <f t="shared" si="129"/>
        <v>22687.055704322502</v>
      </c>
      <c r="AL59" s="137">
        <f t="shared" si="130"/>
        <v>12288.204825852299</v>
      </c>
      <c r="AM59" s="137">
        <f t="shared" si="131"/>
        <v>8184.5983018178003</v>
      </c>
      <c r="AN59" s="137">
        <f t="shared" si="132"/>
        <v>12894.7429296269</v>
      </c>
      <c r="AO59" s="137">
        <f t="shared" si="133"/>
        <v>22517.471888232802</v>
      </c>
      <c r="AP59" s="137">
        <f t="shared" si="133"/>
        <v>13063.2025363048</v>
      </c>
      <c r="AQ59" s="137">
        <f t="shared" si="134"/>
        <v>9769.8232242325994</v>
      </c>
      <c r="AR59" s="137">
        <f t="shared" si="135"/>
        <v>3900.7799452352001</v>
      </c>
      <c r="AS59" s="138">
        <f t="shared" si="136"/>
        <v>11440.1048846878</v>
      </c>
      <c r="AT59" s="137">
        <v>2318.4398999912</v>
      </c>
      <c r="AU59" s="137">
        <v>6903.2617254364004</v>
      </c>
      <c r="AV59" s="137">
        <v>8991.7518148619001</v>
      </c>
      <c r="AW59" s="137">
        <v>9447.90927398649</v>
      </c>
      <c r="AX59" s="137">
        <v>8129.9318837802002</v>
      </c>
      <c r="AY59" s="137">
        <v>3118.9839788331001</v>
      </c>
      <c r="AZ59" s="137">
        <v>1078.7210884946001</v>
      </c>
      <c r="BA59" s="137">
        <v>10652.925794971399</v>
      </c>
      <c r="BB59" s="137">
        <v>8599.2624732380009</v>
      </c>
      <c r="BC59" s="137">
        <v>7142.9500235680998</v>
      </c>
      <c r="BD59" s="137">
        <v>8156.1568828520003</v>
      </c>
      <c r="BE59" s="137">
        <v>7232.5078828524001</v>
      </c>
      <c r="BF59" s="139">
        <v>10514.0848616332</v>
      </c>
      <c r="BG59" s="137">
        <v>1427.2802447254001</v>
      </c>
      <c r="BH59" s="137">
        <v>4271.2493833193003</v>
      </c>
      <c r="BI59" s="137">
        <v>25841.405723171301</v>
      </c>
      <c r="BJ59" s="137">
        <v>12034.468804075001</v>
      </c>
      <c r="BK59" s="137">
        <v>2339.6957995201001</v>
      </c>
      <c r="BL59" s="137">
        <v>1635.3512122857001</v>
      </c>
      <c r="BM59" s="137">
        <v>9694.1869237757001</v>
      </c>
      <c r="BN59" s="137">
        <v>15486.158751773901</v>
      </c>
      <c r="BO59" s="137">
        <v>1436.2707530600001</v>
      </c>
      <c r="BP59" s="137">
        <v>5405.8429948985004</v>
      </c>
      <c r="BQ59" s="137">
        <v>10309.882458707199</v>
      </c>
      <c r="BR59" s="139">
        <v>3930.8866817062999</v>
      </c>
      <c r="BS59" s="137">
        <v>3158.094770275</v>
      </c>
      <c r="BT59" s="137">
        <v>19552.027636322098</v>
      </c>
      <c r="BU59" s="137">
        <v>10483.264491391999</v>
      </c>
      <c r="BV59" s="137">
        <v>18197.2109896072</v>
      </c>
      <c r="BW59" s="137">
        <v>5990.7440859356002</v>
      </c>
      <c r="BX59" s="137">
        <v>8370.0470149258999</v>
      </c>
      <c r="BY59" s="137">
        <v>12289.518744946199</v>
      </c>
      <c r="BZ59" s="137">
        <v>14705.7313187543</v>
      </c>
      <c r="CA59" s="137">
        <v>15963.3913585147</v>
      </c>
      <c r="CB59" s="139">
        <v>22687.055704322502</v>
      </c>
      <c r="CC59" s="137">
        <v>22517.471888232802</v>
      </c>
      <c r="CD59" s="137">
        <v>13063.2025363048</v>
      </c>
      <c r="CE59" s="137">
        <v>12288.204825852299</v>
      </c>
      <c r="CF59" s="137">
        <v>513.94041347070004</v>
      </c>
      <c r="CG59" s="137">
        <v>10926.1644712171</v>
      </c>
      <c r="CH59" s="137">
        <v>8184.5983018178003</v>
      </c>
      <c r="CI59" s="137">
        <v>3900.7799452352001</v>
      </c>
      <c r="CJ59" s="137">
        <v>12894.7429296269</v>
      </c>
      <c r="CK59" s="138">
        <v>9769.8232242325994</v>
      </c>
      <c r="CL59" s="140">
        <v>426223.94</v>
      </c>
    </row>
    <row r="60" spans="1:90">
      <c r="A60" s="80">
        <f>ROWS($A$3:A58)</f>
        <v>56</v>
      </c>
      <c r="B60" s="92" t="s">
        <v>232</v>
      </c>
      <c r="C60" s="203">
        <v>2010</v>
      </c>
      <c r="D60" s="259" t="s">
        <v>13</v>
      </c>
      <c r="E60" s="437">
        <v>40704</v>
      </c>
      <c r="F60" s="116">
        <v>21</v>
      </c>
      <c r="G60" s="141">
        <v>23</v>
      </c>
      <c r="H60" s="141">
        <v>34</v>
      </c>
      <c r="I60" s="138">
        <v>23</v>
      </c>
      <c r="J60" s="141"/>
      <c r="K60" s="116">
        <f t="shared" si="105"/>
        <v>6</v>
      </c>
      <c r="L60" s="137">
        <f t="shared" si="106"/>
        <v>2</v>
      </c>
      <c r="M60" s="137">
        <f t="shared" si="107"/>
        <v>2</v>
      </c>
      <c r="N60" s="137">
        <f t="shared" si="108"/>
        <v>3</v>
      </c>
      <c r="O60" s="137">
        <f t="shared" si="109"/>
        <v>3</v>
      </c>
      <c r="P60" s="137">
        <f t="shared" si="110"/>
        <v>3</v>
      </c>
      <c r="Q60" s="137">
        <f>'2010'!AU60</f>
        <v>1</v>
      </c>
      <c r="R60" s="137">
        <f t="shared" si="111"/>
        <v>5</v>
      </c>
      <c r="S60" s="137">
        <f t="shared" si="112"/>
        <v>4</v>
      </c>
      <c r="T60" s="137">
        <f t="shared" si="113"/>
        <v>2</v>
      </c>
      <c r="U60" s="139">
        <f t="shared" si="113"/>
        <v>3</v>
      </c>
      <c r="V60" s="137">
        <f t="shared" si="114"/>
        <v>6</v>
      </c>
      <c r="W60" s="137">
        <f t="shared" si="115"/>
        <v>1</v>
      </c>
      <c r="X60" s="137">
        <f t="shared" si="116"/>
        <v>10</v>
      </c>
      <c r="Y60" s="137">
        <f t="shared" si="117"/>
        <v>9</v>
      </c>
      <c r="Z60" s="137">
        <f t="shared" si="118"/>
        <v>3</v>
      </c>
      <c r="AA60" s="137">
        <f t="shared" si="119"/>
        <v>3</v>
      </c>
      <c r="AB60" s="139">
        <f t="shared" si="120"/>
        <v>2</v>
      </c>
      <c r="AC60" s="137">
        <f t="shared" si="121"/>
        <v>3</v>
      </c>
      <c r="AD60" s="137">
        <f t="shared" si="122"/>
        <v>7</v>
      </c>
      <c r="AE60" s="137">
        <f t="shared" si="123"/>
        <v>14</v>
      </c>
      <c r="AF60" s="137">
        <f t="shared" si="124"/>
        <v>3</v>
      </c>
      <c r="AG60" s="137">
        <f t="shared" si="125"/>
        <v>12</v>
      </c>
      <c r="AH60" s="137">
        <f t="shared" si="126"/>
        <v>6</v>
      </c>
      <c r="AI60" s="137">
        <f t="shared" si="127"/>
        <v>6</v>
      </c>
      <c r="AJ60" s="137">
        <f t="shared" si="128"/>
        <v>3</v>
      </c>
      <c r="AK60" s="139">
        <f t="shared" si="129"/>
        <v>2</v>
      </c>
      <c r="AL60" s="137">
        <f t="shared" si="130"/>
        <v>3</v>
      </c>
      <c r="AM60" s="137">
        <f t="shared" si="131"/>
        <v>3</v>
      </c>
      <c r="AN60" s="137">
        <f t="shared" si="132"/>
        <v>7</v>
      </c>
      <c r="AO60" s="137">
        <f t="shared" si="133"/>
        <v>3</v>
      </c>
      <c r="AP60" s="137">
        <f t="shared" si="133"/>
        <v>5</v>
      </c>
      <c r="AQ60" s="137">
        <f t="shared" si="134"/>
        <v>3</v>
      </c>
      <c r="AR60" s="137">
        <f t="shared" si="135"/>
        <v>3</v>
      </c>
      <c r="AS60" s="138">
        <f t="shared" si="136"/>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4</v>
      </c>
      <c r="BI60" s="141">
        <v>6</v>
      </c>
      <c r="BJ60" s="141">
        <v>5</v>
      </c>
      <c r="BK60" s="141">
        <v>1</v>
      </c>
      <c r="BL60" s="141">
        <v>1</v>
      </c>
      <c r="BM60" s="141">
        <v>3</v>
      </c>
      <c r="BN60" s="141">
        <v>7</v>
      </c>
      <c r="BO60" s="141"/>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c r="A61" s="80">
        <f>ROWS($A$3:A59)</f>
        <v>57</v>
      </c>
      <c r="B61" s="92"/>
      <c r="C61" s="203"/>
      <c r="D61" s="259" t="s">
        <v>1</v>
      </c>
      <c r="E61" s="435"/>
      <c r="F61" s="116">
        <v>69152.55</v>
      </c>
      <c r="G61" s="137">
        <v>41762.43</v>
      </c>
      <c r="H61" s="137">
        <v>181973.33</v>
      </c>
      <c r="I61" s="138">
        <v>83744</v>
      </c>
      <c r="J61" s="141"/>
      <c r="K61" s="116">
        <f t="shared" si="105"/>
        <v>3640.5994290985</v>
      </c>
      <c r="L61" s="137">
        <f t="shared" si="106"/>
        <v>2438.3136599405002</v>
      </c>
      <c r="M61" s="137">
        <f t="shared" si="107"/>
        <v>2670.3195366896002</v>
      </c>
      <c r="N61" s="137">
        <f t="shared" si="108"/>
        <v>18786.683837996901</v>
      </c>
      <c r="O61" s="137">
        <f t="shared" si="109"/>
        <v>7507.4710391156004</v>
      </c>
      <c r="P61" s="137">
        <f t="shared" si="110"/>
        <v>2511.9478698377002</v>
      </c>
      <c r="Q61" s="137">
        <f>'2010'!AU61</f>
        <v>5384.5298784226998</v>
      </c>
      <c r="R61" s="137">
        <f t="shared" si="111"/>
        <v>6609.3052492992001</v>
      </c>
      <c r="S61" s="137">
        <f t="shared" si="112"/>
        <v>17682.189973978398</v>
      </c>
      <c r="T61" s="137">
        <f t="shared" si="113"/>
        <v>713.74209477930003</v>
      </c>
      <c r="U61" s="139">
        <f t="shared" si="113"/>
        <v>1207.4505157019</v>
      </c>
      <c r="V61" s="137">
        <f t="shared" si="114"/>
        <v>9900.4399746990002</v>
      </c>
      <c r="W61" s="137">
        <f t="shared" si="115"/>
        <v>7573.4018909245997</v>
      </c>
      <c r="X61" s="137">
        <f t="shared" si="116"/>
        <v>12530.1999913738</v>
      </c>
      <c r="Y61" s="137">
        <f t="shared" si="117"/>
        <v>6488.9607463743996</v>
      </c>
      <c r="Z61" s="137">
        <f t="shared" si="118"/>
        <v>218.49048465249999</v>
      </c>
      <c r="AA61" s="137">
        <f t="shared" si="119"/>
        <v>2407.1023463197998</v>
      </c>
      <c r="AB61" s="139">
        <f t="shared" si="120"/>
        <v>2643.8364706858001</v>
      </c>
      <c r="AC61" s="137">
        <f t="shared" si="121"/>
        <v>50305.849584941498</v>
      </c>
      <c r="AD61" s="137">
        <f t="shared" si="122"/>
        <v>12559.8536271513</v>
      </c>
      <c r="AE61" s="137">
        <f t="shared" si="123"/>
        <v>29117.771517075402</v>
      </c>
      <c r="AF61" s="137">
        <f t="shared" si="124"/>
        <v>11381.724682945</v>
      </c>
      <c r="AG61" s="137">
        <f t="shared" si="125"/>
        <v>27564.806430484699</v>
      </c>
      <c r="AH61" s="137">
        <f t="shared" si="126"/>
        <v>9555.3166355496996</v>
      </c>
      <c r="AI61" s="137">
        <f t="shared" si="127"/>
        <v>3426.6761712292</v>
      </c>
      <c r="AJ61" s="137">
        <f t="shared" si="128"/>
        <v>20646.152337914998</v>
      </c>
      <c r="AK61" s="139">
        <f t="shared" si="129"/>
        <v>17415.176874928398</v>
      </c>
      <c r="AL61" s="137">
        <f t="shared" si="130"/>
        <v>19750.628003054801</v>
      </c>
      <c r="AM61" s="137">
        <f t="shared" si="131"/>
        <v>2982.4588136552002</v>
      </c>
      <c r="AN61" s="137">
        <f t="shared" si="132"/>
        <v>8762.4028419921997</v>
      </c>
      <c r="AO61" s="137">
        <f t="shared" si="133"/>
        <v>21921.1036261156</v>
      </c>
      <c r="AP61" s="137">
        <f t="shared" si="133"/>
        <v>13710.3889004105</v>
      </c>
      <c r="AQ61" s="137">
        <f t="shared" si="134"/>
        <v>8600.4111832252001</v>
      </c>
      <c r="AR61" s="137">
        <f t="shared" si="135"/>
        <v>882.97538220659999</v>
      </c>
      <c r="AS61" s="138">
        <f t="shared" si="136"/>
        <v>7133.6289120625006</v>
      </c>
      <c r="AT61" s="137">
        <v>3.0137999999999998</v>
      </c>
      <c r="AU61" s="137">
        <v>5384.5298784226998</v>
      </c>
      <c r="AV61" s="137">
        <v>17682.189973978398</v>
      </c>
      <c r="AW61" s="137">
        <v>18786.683837996901</v>
      </c>
      <c r="AX61" s="137">
        <v>6606.2914492992004</v>
      </c>
      <c r="AY61" s="137">
        <v>2438.3136599405002</v>
      </c>
      <c r="AZ61" s="137">
        <v>0</v>
      </c>
      <c r="BA61" s="137">
        <v>2511.9478698377002</v>
      </c>
      <c r="BB61" s="137">
        <v>713.74209477930003</v>
      </c>
      <c r="BC61" s="137">
        <v>1207.4505157019</v>
      </c>
      <c r="BD61" s="137">
        <v>2670.3195366896002</v>
      </c>
      <c r="BE61" s="137">
        <v>7507.4710391156004</v>
      </c>
      <c r="BF61" s="139">
        <v>3640.5994290985</v>
      </c>
      <c r="BG61" s="137">
        <v>365.5694995348</v>
      </c>
      <c r="BH61" s="137">
        <v>2893.5880259496998</v>
      </c>
      <c r="BI61" s="137">
        <v>9636.6119654240993</v>
      </c>
      <c r="BJ61" s="137">
        <v>9534.8704751641999</v>
      </c>
      <c r="BK61" s="137">
        <v>3.9557544061000001</v>
      </c>
      <c r="BL61" s="137">
        <v>418.254256134</v>
      </c>
      <c r="BM61" s="137">
        <v>218.49048465249999</v>
      </c>
      <c r="BN61" s="137">
        <v>6066.7507358343</v>
      </c>
      <c r="BO61" s="137"/>
      <c r="BP61" s="137">
        <v>2643.8364706858001</v>
      </c>
      <c r="BQ61" s="137">
        <v>2407.1023463197998</v>
      </c>
      <c r="BR61" s="139">
        <v>7573.4018909245997</v>
      </c>
      <c r="BS61" s="137">
        <v>2995.6705828342001</v>
      </c>
      <c r="BT61" s="137">
        <v>26122.1009342412</v>
      </c>
      <c r="BU61" s="137">
        <v>12559.8536271513</v>
      </c>
      <c r="BV61" s="137">
        <v>27564.806430484699</v>
      </c>
      <c r="BW61" s="137">
        <v>3426.6761712292</v>
      </c>
      <c r="BX61" s="137">
        <v>50305.849584941498</v>
      </c>
      <c r="BY61" s="137">
        <v>20646.152337914998</v>
      </c>
      <c r="BZ61" s="137">
        <v>9555.3166355496996</v>
      </c>
      <c r="CA61" s="137">
        <v>11381.724682945</v>
      </c>
      <c r="CB61" s="139">
        <v>17415.176874928398</v>
      </c>
      <c r="CC61" s="137">
        <v>21921.1036261156</v>
      </c>
      <c r="CD61" s="137">
        <v>13710.3889004105</v>
      </c>
      <c r="CE61" s="137">
        <v>19750.628003054801</v>
      </c>
      <c r="CF61" s="137">
        <v>132.02297042039999</v>
      </c>
      <c r="CG61" s="137">
        <v>7001.6059416421003</v>
      </c>
      <c r="CH61" s="137">
        <v>2982.4588136552002</v>
      </c>
      <c r="CI61" s="137">
        <v>882.97538220659999</v>
      </c>
      <c r="CJ61" s="137">
        <v>8762.4028419921997</v>
      </c>
      <c r="CK61" s="138">
        <v>8600.4111832252001</v>
      </c>
      <c r="CL61" s="140">
        <v>397044.05</v>
      </c>
    </row>
    <row r="62" spans="1:90">
      <c r="A62" s="80">
        <f>ROWS($A$3:A60)</f>
        <v>58</v>
      </c>
      <c r="B62" s="92" t="s">
        <v>56</v>
      </c>
      <c r="C62" s="202">
        <v>2010</v>
      </c>
      <c r="D62" s="259" t="s">
        <v>13</v>
      </c>
      <c r="E62" s="437">
        <v>40695</v>
      </c>
      <c r="F62" s="116">
        <v>787</v>
      </c>
      <c r="G62" s="137">
        <v>403</v>
      </c>
      <c r="H62" s="137">
        <v>1002</v>
      </c>
      <c r="I62" s="138">
        <v>385</v>
      </c>
      <c r="J62" s="141"/>
      <c r="K62" s="116">
        <f t="shared" si="105"/>
        <v>85</v>
      </c>
      <c r="L62" s="137">
        <f t="shared" si="106"/>
        <v>181</v>
      </c>
      <c r="M62" s="137">
        <f t="shared" si="107"/>
        <v>51</v>
      </c>
      <c r="N62" s="137">
        <f t="shared" si="108"/>
        <v>42</v>
      </c>
      <c r="O62" s="137">
        <f t="shared" si="109"/>
        <v>17</v>
      </c>
      <c r="P62" s="137">
        <f t="shared" si="110"/>
        <v>118</v>
      </c>
      <c r="Q62" s="137">
        <f>'2010'!AU62</f>
        <v>29</v>
      </c>
      <c r="R62" s="137">
        <f t="shared" si="111"/>
        <v>51</v>
      </c>
      <c r="S62" s="137">
        <f t="shared" si="112"/>
        <v>43</v>
      </c>
      <c r="T62" s="137">
        <f t="shared" si="113"/>
        <v>77</v>
      </c>
      <c r="U62" s="139">
        <f t="shared" si="113"/>
        <v>93</v>
      </c>
      <c r="V62" s="137">
        <f t="shared" si="114"/>
        <v>80</v>
      </c>
      <c r="W62" s="137">
        <f t="shared" si="115"/>
        <v>49</v>
      </c>
      <c r="X62" s="137">
        <f t="shared" si="116"/>
        <v>54</v>
      </c>
      <c r="Y62" s="137">
        <f t="shared" si="117"/>
        <v>67</v>
      </c>
      <c r="Z62" s="137">
        <f t="shared" si="118"/>
        <v>41</v>
      </c>
      <c r="AA62" s="137">
        <f t="shared" si="119"/>
        <v>50</v>
      </c>
      <c r="AB62" s="139">
        <f t="shared" si="120"/>
        <v>62</v>
      </c>
      <c r="AC62" s="137">
        <f t="shared" si="121"/>
        <v>123</v>
      </c>
      <c r="AD62" s="137">
        <f t="shared" si="122"/>
        <v>77</v>
      </c>
      <c r="AE62" s="137">
        <f t="shared" si="123"/>
        <v>131</v>
      </c>
      <c r="AF62" s="137">
        <f t="shared" si="124"/>
        <v>134</v>
      </c>
      <c r="AG62" s="137">
        <f t="shared" si="125"/>
        <v>139</v>
      </c>
      <c r="AH62" s="137">
        <f t="shared" si="126"/>
        <v>102</v>
      </c>
      <c r="AI62" s="137">
        <f t="shared" si="127"/>
        <v>43</v>
      </c>
      <c r="AJ62" s="137">
        <f t="shared" si="128"/>
        <v>65</v>
      </c>
      <c r="AK62" s="139">
        <f t="shared" si="129"/>
        <v>188</v>
      </c>
      <c r="AL62" s="137">
        <f t="shared" si="130"/>
        <v>41</v>
      </c>
      <c r="AM62" s="137">
        <f t="shared" si="131"/>
        <v>49</v>
      </c>
      <c r="AN62" s="137">
        <f t="shared" si="132"/>
        <v>82</v>
      </c>
      <c r="AO62" s="137">
        <f t="shared" si="133"/>
        <v>47</v>
      </c>
      <c r="AP62" s="137">
        <f t="shared" si="133"/>
        <v>13</v>
      </c>
      <c r="AQ62" s="137">
        <f t="shared" si="134"/>
        <v>66</v>
      </c>
      <c r="AR62" s="137">
        <f t="shared" si="135"/>
        <v>44</v>
      </c>
      <c r="AS62" s="138">
        <f t="shared" si="136"/>
        <v>43</v>
      </c>
      <c r="AT62" s="137">
        <v>4</v>
      </c>
      <c r="AU62" s="137">
        <v>29</v>
      </c>
      <c r="AV62" s="137">
        <v>43</v>
      </c>
      <c r="AW62" s="137">
        <v>42</v>
      </c>
      <c r="AX62" s="137">
        <v>47</v>
      </c>
      <c r="AY62" s="137">
        <v>181</v>
      </c>
      <c r="AZ62" s="137">
        <v>8</v>
      </c>
      <c r="BA62" s="137">
        <v>110</v>
      </c>
      <c r="BB62" s="137">
        <v>77</v>
      </c>
      <c r="BC62" s="137">
        <v>93</v>
      </c>
      <c r="BD62" s="137">
        <v>51</v>
      </c>
      <c r="BE62" s="137">
        <v>17</v>
      </c>
      <c r="BF62" s="139">
        <v>85</v>
      </c>
      <c r="BG62" s="137">
        <v>10</v>
      </c>
      <c r="BH62" s="137">
        <v>4</v>
      </c>
      <c r="BI62" s="137">
        <v>50</v>
      </c>
      <c r="BJ62" s="137">
        <v>70</v>
      </c>
      <c r="BK62" s="137">
        <v>9</v>
      </c>
      <c r="BL62" s="137">
        <v>3</v>
      </c>
      <c r="BM62" s="137">
        <v>41</v>
      </c>
      <c r="BN62" s="137">
        <v>55</v>
      </c>
      <c r="BO62" s="137">
        <v>7</v>
      </c>
      <c r="BP62" s="137">
        <v>62</v>
      </c>
      <c r="BQ62" s="137">
        <v>43</v>
      </c>
      <c r="BR62" s="139">
        <v>49</v>
      </c>
      <c r="BS62" s="137">
        <v>9</v>
      </c>
      <c r="BT62" s="137">
        <v>122</v>
      </c>
      <c r="BU62" s="137">
        <v>77</v>
      </c>
      <c r="BV62" s="137">
        <v>139</v>
      </c>
      <c r="BW62" s="137">
        <v>43</v>
      </c>
      <c r="BX62" s="137">
        <v>123</v>
      </c>
      <c r="BY62" s="137">
        <v>65</v>
      </c>
      <c r="BZ62" s="137">
        <v>102</v>
      </c>
      <c r="CA62" s="137">
        <v>134</v>
      </c>
      <c r="CB62" s="139">
        <v>188</v>
      </c>
      <c r="CC62" s="137">
        <v>47</v>
      </c>
      <c r="CD62" s="137">
        <v>13</v>
      </c>
      <c r="CE62" s="137">
        <v>41</v>
      </c>
      <c r="CF62" s="137">
        <v>3</v>
      </c>
      <c r="CG62" s="137">
        <v>40</v>
      </c>
      <c r="CH62" s="137">
        <v>49</v>
      </c>
      <c r="CI62" s="137">
        <v>44</v>
      </c>
      <c r="CJ62" s="137">
        <v>82</v>
      </c>
      <c r="CK62" s="138">
        <v>66</v>
      </c>
      <c r="CL62" s="140">
        <v>2577</v>
      </c>
    </row>
    <row r="63" spans="1:90">
      <c r="A63" s="80">
        <f>ROWS($A$3:A61)</f>
        <v>59</v>
      </c>
      <c r="B63" s="92"/>
      <c r="C63" s="203"/>
      <c r="D63" s="259" t="s">
        <v>1</v>
      </c>
      <c r="E63" s="435"/>
      <c r="F63" s="116">
        <v>281340</v>
      </c>
      <c r="G63" s="137">
        <v>198590</v>
      </c>
      <c r="H63" s="137">
        <v>152061</v>
      </c>
      <c r="I63" s="138">
        <v>300773</v>
      </c>
      <c r="J63" s="141"/>
      <c r="K63" s="116">
        <f t="shared" si="105"/>
        <v>39949</v>
      </c>
      <c r="L63" s="137">
        <f t="shared" si="106"/>
        <v>7799</v>
      </c>
      <c r="M63" s="137">
        <f t="shared" si="107"/>
        <v>51768</v>
      </c>
      <c r="N63" s="137">
        <f t="shared" si="108"/>
        <v>21225</v>
      </c>
      <c r="O63" s="137">
        <f t="shared" si="109"/>
        <v>59293</v>
      </c>
      <c r="P63" s="137">
        <f t="shared" si="110"/>
        <v>27440</v>
      </c>
      <c r="Q63" s="137">
        <f>'2010'!AU63</f>
        <v>26703</v>
      </c>
      <c r="R63" s="137">
        <f t="shared" si="111"/>
        <v>17224</v>
      </c>
      <c r="S63" s="137">
        <f t="shared" si="112"/>
        <v>9237</v>
      </c>
      <c r="T63" s="137">
        <f t="shared" si="113"/>
        <v>13258</v>
      </c>
      <c r="U63" s="139">
        <f t="shared" si="113"/>
        <v>7444</v>
      </c>
      <c r="V63" s="137">
        <f t="shared" si="114"/>
        <v>19319</v>
      </c>
      <c r="W63" s="137">
        <f t="shared" si="115"/>
        <v>16339</v>
      </c>
      <c r="X63" s="137">
        <f t="shared" si="116"/>
        <v>43301</v>
      </c>
      <c r="Y63" s="137">
        <f t="shared" si="117"/>
        <v>41183</v>
      </c>
      <c r="Z63" s="137">
        <f t="shared" si="118"/>
        <v>29380</v>
      </c>
      <c r="AA63" s="137">
        <f t="shared" si="119"/>
        <v>26209</v>
      </c>
      <c r="AB63" s="139">
        <f t="shared" si="120"/>
        <v>22860</v>
      </c>
      <c r="AC63" s="137">
        <f t="shared" si="121"/>
        <v>17562</v>
      </c>
      <c r="AD63" s="137">
        <f t="shared" si="122"/>
        <v>8039</v>
      </c>
      <c r="AE63" s="137">
        <f t="shared" si="123"/>
        <v>19005</v>
      </c>
      <c r="AF63" s="137">
        <f t="shared" si="124"/>
        <v>10140</v>
      </c>
      <c r="AG63" s="137">
        <f t="shared" si="125"/>
        <v>18925</v>
      </c>
      <c r="AH63" s="137">
        <f t="shared" si="126"/>
        <v>24693</v>
      </c>
      <c r="AI63" s="137">
        <f t="shared" si="127"/>
        <v>17872</v>
      </c>
      <c r="AJ63" s="137">
        <f t="shared" si="128"/>
        <v>14632</v>
      </c>
      <c r="AK63" s="139">
        <f t="shared" si="129"/>
        <v>21193</v>
      </c>
      <c r="AL63" s="137">
        <f t="shared" si="130"/>
        <v>30522</v>
      </c>
      <c r="AM63" s="137">
        <f t="shared" si="131"/>
        <v>26135</v>
      </c>
      <c r="AN63" s="137">
        <f t="shared" si="132"/>
        <v>20579</v>
      </c>
      <c r="AO63" s="137">
        <f t="shared" si="133"/>
        <v>65501</v>
      </c>
      <c r="AP63" s="137">
        <f t="shared" si="133"/>
        <v>12089</v>
      </c>
      <c r="AQ63" s="137">
        <f t="shared" si="134"/>
        <v>43410</v>
      </c>
      <c r="AR63" s="137">
        <f t="shared" si="135"/>
        <v>8478</v>
      </c>
      <c r="AS63" s="138">
        <f t="shared" si="136"/>
        <v>94058</v>
      </c>
      <c r="AT63" s="137">
        <v>1265</v>
      </c>
      <c r="AU63" s="137">
        <v>26703</v>
      </c>
      <c r="AV63" s="137">
        <v>9237</v>
      </c>
      <c r="AW63" s="137">
        <v>21225</v>
      </c>
      <c r="AX63" s="137">
        <v>15959</v>
      </c>
      <c r="AY63" s="137">
        <v>7799</v>
      </c>
      <c r="AZ63" s="137">
        <v>2749</v>
      </c>
      <c r="BA63" s="137">
        <v>24691</v>
      </c>
      <c r="BB63" s="137">
        <v>13258</v>
      </c>
      <c r="BC63" s="137">
        <v>7444</v>
      </c>
      <c r="BD63" s="137">
        <v>51768</v>
      </c>
      <c r="BE63" s="137">
        <v>59293</v>
      </c>
      <c r="BF63" s="139">
        <v>39949</v>
      </c>
      <c r="BG63" s="137">
        <v>3662</v>
      </c>
      <c r="BH63" s="137">
        <v>6757</v>
      </c>
      <c r="BI63" s="137">
        <v>36544</v>
      </c>
      <c r="BJ63" s="137">
        <v>15657</v>
      </c>
      <c r="BK63" s="137">
        <v>4245</v>
      </c>
      <c r="BL63" s="137">
        <v>2329</v>
      </c>
      <c r="BM63" s="137">
        <v>29380</v>
      </c>
      <c r="BN63" s="137">
        <v>34609</v>
      </c>
      <c r="BO63" s="137">
        <v>3968</v>
      </c>
      <c r="BP63" s="137">
        <v>22860</v>
      </c>
      <c r="BQ63" s="137">
        <v>22241</v>
      </c>
      <c r="BR63" s="139">
        <v>16339</v>
      </c>
      <c r="BS63" s="137">
        <v>1786</v>
      </c>
      <c r="BT63" s="137">
        <v>17219</v>
      </c>
      <c r="BU63" s="137">
        <v>8039</v>
      </c>
      <c r="BV63" s="137">
        <v>18925</v>
      </c>
      <c r="BW63" s="137">
        <v>17872</v>
      </c>
      <c r="BX63" s="137">
        <v>17562</v>
      </c>
      <c r="BY63" s="137">
        <v>14632</v>
      </c>
      <c r="BZ63" s="137">
        <v>24693</v>
      </c>
      <c r="CA63" s="137">
        <v>10140</v>
      </c>
      <c r="CB63" s="139">
        <v>21193</v>
      </c>
      <c r="CC63" s="137">
        <v>65501</v>
      </c>
      <c r="CD63" s="137">
        <v>12089</v>
      </c>
      <c r="CE63" s="137">
        <v>30522</v>
      </c>
      <c r="CF63" s="137">
        <v>827</v>
      </c>
      <c r="CG63" s="137">
        <v>93231</v>
      </c>
      <c r="CH63" s="137">
        <v>26135</v>
      </c>
      <c r="CI63" s="137">
        <v>8478</v>
      </c>
      <c r="CJ63" s="137">
        <v>20579</v>
      </c>
      <c r="CK63" s="138">
        <v>43410</v>
      </c>
      <c r="CL63" s="140">
        <v>932763</v>
      </c>
    </row>
    <row r="64" spans="1:90">
      <c r="A64" s="80">
        <f>ROWS($A$3:A62)</f>
        <v>60</v>
      </c>
      <c r="B64" s="59" t="s">
        <v>80</v>
      </c>
      <c r="C64" s="203"/>
      <c r="D64" s="259"/>
      <c r="E64" s="435"/>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f>1168+10492</f>
        <v>11660</v>
      </c>
      <c r="AW65" s="493">
        <f>4624+16926</f>
        <v>21550</v>
      </c>
      <c r="AX65" s="493">
        <v>184</v>
      </c>
      <c r="AY65" s="493">
        <v>17583</v>
      </c>
      <c r="AZ65" s="493">
        <v>0</v>
      </c>
      <c r="BA65" s="493">
        <v>4301</v>
      </c>
      <c r="BB65" s="493">
        <v>20868</v>
      </c>
      <c r="BC65" s="493">
        <v>72802</v>
      </c>
      <c r="BD65" s="493">
        <v>44936</v>
      </c>
      <c r="BE65" s="493">
        <v>13465</v>
      </c>
      <c r="BF65" s="510">
        <f>325+64388</f>
        <v>64713</v>
      </c>
      <c r="BG65" s="493">
        <v>0</v>
      </c>
      <c r="BH65" s="493">
        <v>0</v>
      </c>
      <c r="BI65" s="493">
        <v>1416</v>
      </c>
      <c r="BJ65" s="493">
        <v>1994</v>
      </c>
      <c r="BK65" s="493">
        <v>0</v>
      </c>
      <c r="BL65" s="493">
        <v>0</v>
      </c>
      <c r="BM65" s="493">
        <v>29776</v>
      </c>
      <c r="BN65" s="493">
        <v>2994</v>
      </c>
      <c r="BO65" s="493">
        <v>0</v>
      </c>
      <c r="BP65" s="493">
        <v>11776</v>
      </c>
      <c r="BQ65" s="493">
        <v>7224</v>
      </c>
      <c r="BR65" s="510">
        <f>1582+14783</f>
        <v>16365</v>
      </c>
      <c r="BS65" s="493">
        <v>0</v>
      </c>
      <c r="BT65" s="493">
        <f>20148+5700</f>
        <v>25848</v>
      </c>
      <c r="BU65" s="493">
        <f>1668+8614</f>
        <v>10282</v>
      </c>
      <c r="BV65" s="493">
        <f>2692+21113</f>
        <v>23805</v>
      </c>
      <c r="BW65" s="493">
        <f>2362+28923</f>
        <v>31285</v>
      </c>
      <c r="BX65" s="493">
        <f>13560+24494</f>
        <v>38054</v>
      </c>
      <c r="BY65" s="493">
        <f>8825+15815</f>
        <v>24640</v>
      </c>
      <c r="BZ65" s="493">
        <v>19530</v>
      </c>
      <c r="CA65" s="493">
        <f>9601+4568</f>
        <v>14169</v>
      </c>
      <c r="CB65" s="510">
        <f>13376+26805</f>
        <v>40181</v>
      </c>
      <c r="CC65" s="493">
        <f>1824+39164</f>
        <v>40988</v>
      </c>
      <c r="CD65" s="493">
        <v>10760</v>
      </c>
      <c r="CE65" s="493">
        <f>13639+20171</f>
        <v>33810</v>
      </c>
      <c r="CF65" s="493">
        <v>0</v>
      </c>
      <c r="CG65" s="493">
        <f>1526+32713</f>
        <v>34239</v>
      </c>
      <c r="CH65" s="493">
        <v>10710</v>
      </c>
      <c r="CI65" s="493">
        <f>415+7783</f>
        <v>8198</v>
      </c>
      <c r="CJ65" s="493">
        <f>1289+50919</f>
        <v>52208</v>
      </c>
      <c r="CK65" s="509">
        <f>2073+38498</f>
        <v>40571</v>
      </c>
      <c r="CL65" s="511">
        <f>101444+714003</f>
        <v>815447</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2010</v>
      </c>
      <c r="D67" s="260" t="s">
        <v>3</v>
      </c>
      <c r="E67" s="483">
        <v>42909</v>
      </c>
      <c r="F67" s="526">
        <f>IF(F65/F35%&gt;100,100,F65/F35%)</f>
        <v>61.112689822050569</v>
      </c>
      <c r="G67" s="523">
        <f t="shared" ref="G67:BR67" si="137">IF(G65/G35%&gt;100,100,G65/G35%)</f>
        <v>35.529478367963129</v>
      </c>
      <c r="H67" s="523">
        <f t="shared" si="137"/>
        <v>71.572789055798708</v>
      </c>
      <c r="I67" s="525">
        <f t="shared" si="137"/>
        <v>54.359766765217678</v>
      </c>
      <c r="J67" s="173"/>
      <c r="K67" s="170">
        <f t="shared" si="137"/>
        <v>100</v>
      </c>
      <c r="L67" s="171">
        <f t="shared" si="137"/>
        <v>68.963759021022909</v>
      </c>
      <c r="M67" s="171">
        <f t="shared" si="137"/>
        <v>66.03768039267554</v>
      </c>
      <c r="N67" s="171">
        <f t="shared" si="137"/>
        <v>76.619497973405387</v>
      </c>
      <c r="O67" s="171">
        <f t="shared" si="137"/>
        <v>51.412752959144719</v>
      </c>
      <c r="P67" s="171">
        <f t="shared" si="137"/>
        <v>12.537349835505964</v>
      </c>
      <c r="Q67" s="171">
        <f t="shared" si="137"/>
        <v>60.029989512716028</v>
      </c>
      <c r="R67" s="171">
        <f t="shared" si="137"/>
        <v>0.53076412726800704</v>
      </c>
      <c r="S67" s="171">
        <f t="shared" si="137"/>
        <v>59.389802882901236</v>
      </c>
      <c r="T67" s="171">
        <f t="shared" si="137"/>
        <v>50.619769557307457</v>
      </c>
      <c r="U67" s="172">
        <f t="shared" si="137"/>
        <v>95.361722751267308</v>
      </c>
      <c r="V67" s="171">
        <f t="shared" si="137"/>
        <v>12.441504960379358</v>
      </c>
      <c r="W67" s="171">
        <f t="shared" si="137"/>
        <v>86.523210320397595</v>
      </c>
      <c r="X67" s="171">
        <f t="shared" si="137"/>
        <v>3.5476273989076517</v>
      </c>
      <c r="Y67" s="171">
        <f t="shared" si="137"/>
        <v>6.9982703005937079</v>
      </c>
      <c r="Z67" s="171">
        <f t="shared" si="137"/>
        <v>64.279083824450055</v>
      </c>
      <c r="AA67" s="171">
        <f t="shared" si="137"/>
        <v>35.840444532645364</v>
      </c>
      <c r="AB67" s="172">
        <f t="shared" si="137"/>
        <v>68.258752608393223</v>
      </c>
      <c r="AC67" s="171">
        <f t="shared" si="137"/>
        <v>98.004069123593183</v>
      </c>
      <c r="AD67" s="171">
        <f t="shared" si="137"/>
        <v>46.097287603676307</v>
      </c>
      <c r="AE67" s="171">
        <f t="shared" si="137"/>
        <v>49.570420374347954</v>
      </c>
      <c r="AF67" s="171">
        <f t="shared" si="137"/>
        <v>61.210471747019184</v>
      </c>
      <c r="AG67" s="171">
        <f t="shared" si="137"/>
        <v>42.891891891891895</v>
      </c>
      <c r="AH67" s="171">
        <f t="shared" si="137"/>
        <v>58.030010399643437</v>
      </c>
      <c r="AI67" s="171">
        <f t="shared" si="137"/>
        <v>100</v>
      </c>
      <c r="AJ67" s="171">
        <f t="shared" si="137"/>
        <v>100</v>
      </c>
      <c r="AK67" s="172">
        <f t="shared" si="137"/>
        <v>100</v>
      </c>
      <c r="AL67" s="171">
        <f t="shared" si="137"/>
        <v>99.687463144238706</v>
      </c>
      <c r="AM67" s="171">
        <f t="shared" si="137"/>
        <v>14.030812765288475</v>
      </c>
      <c r="AN67" s="171">
        <f t="shared" si="137"/>
        <v>60.554885404101327</v>
      </c>
      <c r="AO67" s="171">
        <f t="shared" si="137"/>
        <v>96.037864054921613</v>
      </c>
      <c r="AP67" s="171">
        <f t="shared" si="137"/>
        <v>53.550987906236003</v>
      </c>
      <c r="AQ67" s="171">
        <f t="shared" si="137"/>
        <v>74.444933759037028</v>
      </c>
      <c r="AR67" s="171">
        <f t="shared" si="137"/>
        <v>24.559616536848413</v>
      </c>
      <c r="AS67" s="174">
        <f t="shared" si="137"/>
        <v>43.494112117478181</v>
      </c>
      <c r="AT67" s="523">
        <f t="shared" si="137"/>
        <v>0</v>
      </c>
      <c r="AU67" s="523">
        <f t="shared" si="137"/>
        <v>53.563333031099823</v>
      </c>
      <c r="AV67" s="523">
        <f t="shared" si="137"/>
        <v>59.389802882901236</v>
      </c>
      <c r="AW67" s="523">
        <f t="shared" si="137"/>
        <v>76.619497973405387</v>
      </c>
      <c r="AX67" s="523">
        <f t="shared" si="137"/>
        <v>0.57203258098613441</v>
      </c>
      <c r="AY67" s="523">
        <f t="shared" si="137"/>
        <v>68.963759021022909</v>
      </c>
      <c r="AZ67" s="523">
        <f t="shared" si="137"/>
        <v>0</v>
      </c>
      <c r="BA67" s="523">
        <f t="shared" si="137"/>
        <v>7.9801840581861354</v>
      </c>
      <c r="BB67" s="523">
        <f t="shared" si="137"/>
        <v>50.619769557307457</v>
      </c>
      <c r="BC67" s="523">
        <f t="shared" si="137"/>
        <v>95.361722751267308</v>
      </c>
      <c r="BD67" s="523">
        <f t="shared" si="137"/>
        <v>66.03768039267554</v>
      </c>
      <c r="BE67" s="523">
        <f t="shared" si="137"/>
        <v>51.412752959144719</v>
      </c>
      <c r="BF67" s="524">
        <f t="shared" si="137"/>
        <v>100</v>
      </c>
      <c r="BG67" s="523">
        <f t="shared" si="137"/>
        <v>0</v>
      </c>
      <c r="BH67" s="523">
        <f t="shared" si="137"/>
        <v>0</v>
      </c>
      <c r="BI67" s="523">
        <f t="shared" si="137"/>
        <v>3.7865012300780836</v>
      </c>
      <c r="BJ67" s="523">
        <f t="shared" si="137"/>
        <v>13.742246726395591</v>
      </c>
      <c r="BK67" s="523">
        <f t="shared" si="137"/>
        <v>0</v>
      </c>
      <c r="BL67" s="523">
        <f t="shared" si="137"/>
        <v>0</v>
      </c>
      <c r="BM67" s="523">
        <f t="shared" si="137"/>
        <v>64.279083824450055</v>
      </c>
      <c r="BN67" s="523">
        <f t="shared" si="137"/>
        <v>7.8588865264981491</v>
      </c>
      <c r="BO67" s="523">
        <f t="shared" si="137"/>
        <v>0</v>
      </c>
      <c r="BP67" s="523">
        <f t="shared" si="137"/>
        <v>68.258752608393223</v>
      </c>
      <c r="BQ67" s="523">
        <f t="shared" si="137"/>
        <v>37.748863458222289</v>
      </c>
      <c r="BR67" s="524">
        <f t="shared" si="137"/>
        <v>86.523210320397595</v>
      </c>
      <c r="BS67" s="523">
        <f t="shared" ref="BS67:CL67" si="138">IF(BS65/BS35%&gt;100,100,BS65/BS35%)</f>
        <v>0</v>
      </c>
      <c r="BT67" s="523">
        <f t="shared" si="138"/>
        <v>53.078155160376191</v>
      </c>
      <c r="BU67" s="523">
        <f t="shared" si="138"/>
        <v>46.097287603676307</v>
      </c>
      <c r="BV67" s="523">
        <f t="shared" si="138"/>
        <v>42.891891891891895</v>
      </c>
      <c r="BW67" s="523">
        <f t="shared" si="138"/>
        <v>100</v>
      </c>
      <c r="BX67" s="523">
        <f t="shared" si="138"/>
        <v>98.004069123593183</v>
      </c>
      <c r="BY67" s="523">
        <f t="shared" si="138"/>
        <v>100</v>
      </c>
      <c r="BZ67" s="523">
        <f t="shared" si="138"/>
        <v>58.030010399643437</v>
      </c>
      <c r="CA67" s="523">
        <f t="shared" si="138"/>
        <v>61.210471747019184</v>
      </c>
      <c r="CB67" s="524">
        <f t="shared" si="138"/>
        <v>100</v>
      </c>
      <c r="CC67" s="523">
        <f t="shared" si="138"/>
        <v>96.037864054921613</v>
      </c>
      <c r="CD67" s="523">
        <f t="shared" si="138"/>
        <v>53.550987906236003</v>
      </c>
      <c r="CE67" s="523">
        <f t="shared" si="138"/>
        <v>99.687463144238706</v>
      </c>
      <c r="CF67" s="523">
        <f t="shared" si="138"/>
        <v>0</v>
      </c>
      <c r="CG67" s="523">
        <f t="shared" si="138"/>
        <v>46.252043173436718</v>
      </c>
      <c r="CH67" s="523">
        <f t="shared" si="138"/>
        <v>14.030812765288475</v>
      </c>
      <c r="CI67" s="523">
        <f t="shared" si="138"/>
        <v>24.559616536848413</v>
      </c>
      <c r="CJ67" s="523">
        <f t="shared" si="138"/>
        <v>60.554885404101327</v>
      </c>
      <c r="CK67" s="525">
        <f t="shared" si="138"/>
        <v>74.444933759037028</v>
      </c>
      <c r="CL67" s="478">
        <f t="shared" si="138"/>
        <v>57.83361276833562</v>
      </c>
    </row>
    <row r="68" spans="1:90">
      <c r="A68" s="80">
        <f>ROWS($A$3:A66)</f>
        <v>64</v>
      </c>
      <c r="B68" s="59" t="s">
        <v>81</v>
      </c>
      <c r="C68" s="203"/>
      <c r="D68" s="259"/>
      <c r="E68" s="435"/>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265</v>
      </c>
      <c r="C69" s="202">
        <v>2010</v>
      </c>
      <c r="D69" s="259" t="s">
        <v>13</v>
      </c>
      <c r="E69" s="435"/>
      <c r="F69" s="116">
        <v>831</v>
      </c>
      <c r="G69" s="137">
        <v>232</v>
      </c>
      <c r="H69" s="137">
        <v>1049</v>
      </c>
      <c r="I69" s="138">
        <v>930</v>
      </c>
      <c r="J69" s="141"/>
      <c r="K69" s="116">
        <f>BF69</f>
        <v>92</v>
      </c>
      <c r="L69" s="137">
        <f>AY69</f>
        <v>142</v>
      </c>
      <c r="M69" s="137">
        <f>BD69</f>
        <v>101</v>
      </c>
      <c r="N69" s="137">
        <f>AW69</f>
        <v>45</v>
      </c>
      <c r="O69" s="137">
        <f>BE69</f>
        <v>46</v>
      </c>
      <c r="P69" s="137">
        <f>SUM(AZ69,BA69)</f>
        <v>69</v>
      </c>
      <c r="Q69" s="137">
        <f>'2010'!AU69</f>
        <v>29</v>
      </c>
      <c r="R69" s="137">
        <f>SUM(AT69+AX69)</f>
        <v>62</v>
      </c>
      <c r="S69" s="137">
        <f>AV69</f>
        <v>47</v>
      </c>
      <c r="T69" s="137">
        <f>BB69</f>
        <v>74</v>
      </c>
      <c r="U69" s="139">
        <f>BC69</f>
        <v>124</v>
      </c>
      <c r="V69" s="137">
        <f>SUM(BG69,BJ69)</f>
        <v>21</v>
      </c>
      <c r="W69" s="137">
        <f>BR69</f>
        <v>38</v>
      </c>
      <c r="X69" s="137">
        <f>SUM(BH69,BI69)</f>
        <v>38</v>
      </c>
      <c r="Y69" s="137">
        <f>SUM(BK69,BL69,BN69)</f>
        <v>33</v>
      </c>
      <c r="Z69" s="137">
        <f>BM69</f>
        <v>35</v>
      </c>
      <c r="AA69" s="137">
        <f>SUM(BO69,BQ69)</f>
        <v>35</v>
      </c>
      <c r="AB69" s="139">
        <f>BP69</f>
        <v>26</v>
      </c>
      <c r="AC69" s="137">
        <f>BX69</f>
        <v>101</v>
      </c>
      <c r="AD69" s="137">
        <f>BU69</f>
        <v>69</v>
      </c>
      <c r="AE69" s="137">
        <f>SUM(BS69+BT69)</f>
        <v>270</v>
      </c>
      <c r="AF69" s="137">
        <f>CA69</f>
        <v>102</v>
      </c>
      <c r="AG69" s="137">
        <f>BV69</f>
        <v>132</v>
      </c>
      <c r="AH69" s="137">
        <f>BZ69</f>
        <v>106</v>
      </c>
      <c r="AI69" s="137">
        <f>BW69</f>
        <v>50</v>
      </c>
      <c r="AJ69" s="137">
        <f>BY69</f>
        <v>40</v>
      </c>
      <c r="AK69" s="139">
        <f>CB69</f>
        <v>179</v>
      </c>
      <c r="AL69" s="137">
        <f>CE69</f>
        <v>66</v>
      </c>
      <c r="AM69" s="137">
        <f>CH69</f>
        <v>67</v>
      </c>
      <c r="AN69" s="137">
        <f>CJ69</f>
        <v>325</v>
      </c>
      <c r="AO69" s="137">
        <f>CC69</f>
        <v>86</v>
      </c>
      <c r="AP69" s="137">
        <f>CD69</f>
        <v>39</v>
      </c>
      <c r="AQ69" s="137">
        <f>CK69</f>
        <v>77</v>
      </c>
      <c r="AR69" s="137">
        <f>CI69</f>
        <v>194</v>
      </c>
      <c r="AS69" s="138">
        <f>SUM(CF69:CG69)</f>
        <v>76</v>
      </c>
      <c r="AT69" s="137">
        <v>8</v>
      </c>
      <c r="AU69" s="137">
        <v>29</v>
      </c>
      <c r="AV69" s="137">
        <v>47</v>
      </c>
      <c r="AW69" s="137">
        <v>45</v>
      </c>
      <c r="AX69" s="137">
        <v>54</v>
      </c>
      <c r="AY69" s="137">
        <v>142</v>
      </c>
      <c r="AZ69" s="137">
        <v>5</v>
      </c>
      <c r="BA69" s="137">
        <v>64</v>
      </c>
      <c r="BB69" s="137">
        <v>74</v>
      </c>
      <c r="BC69" s="137">
        <v>124</v>
      </c>
      <c r="BD69" s="137">
        <v>101</v>
      </c>
      <c r="BE69" s="137">
        <v>46</v>
      </c>
      <c r="BF69" s="139">
        <v>92</v>
      </c>
      <c r="BG69" s="137">
        <v>4</v>
      </c>
      <c r="BH69" s="137">
        <v>5</v>
      </c>
      <c r="BI69" s="137">
        <v>33</v>
      </c>
      <c r="BJ69" s="137">
        <v>17</v>
      </c>
      <c r="BK69" s="137" t="s">
        <v>233</v>
      </c>
      <c r="BL69" s="137" t="s">
        <v>267</v>
      </c>
      <c r="BM69" s="137">
        <v>35</v>
      </c>
      <c r="BN69" s="137">
        <v>33</v>
      </c>
      <c r="BO69" s="137" t="s">
        <v>233</v>
      </c>
      <c r="BP69" s="137">
        <v>26</v>
      </c>
      <c r="BQ69" s="137">
        <v>35</v>
      </c>
      <c r="BR69" s="139">
        <v>38</v>
      </c>
      <c r="BS69" s="137">
        <v>15</v>
      </c>
      <c r="BT69" s="137">
        <v>255</v>
      </c>
      <c r="BU69" s="137">
        <v>69</v>
      </c>
      <c r="BV69" s="137">
        <v>132</v>
      </c>
      <c r="BW69" s="137">
        <v>50</v>
      </c>
      <c r="BX69" s="137">
        <v>101</v>
      </c>
      <c r="BY69" s="137">
        <v>40</v>
      </c>
      <c r="BZ69" s="137">
        <v>106</v>
      </c>
      <c r="CA69" s="137">
        <v>102</v>
      </c>
      <c r="CB69" s="139">
        <v>179</v>
      </c>
      <c r="CC69" s="137">
        <v>86</v>
      </c>
      <c r="CD69" s="137">
        <v>39</v>
      </c>
      <c r="CE69" s="137">
        <v>66</v>
      </c>
      <c r="CF69" s="137" t="s">
        <v>267</v>
      </c>
      <c r="CG69" s="137">
        <v>76</v>
      </c>
      <c r="CH69" s="137">
        <v>67</v>
      </c>
      <c r="CI69" s="137">
        <v>194</v>
      </c>
      <c r="CJ69" s="137">
        <v>325</v>
      </c>
      <c r="CK69" s="138">
        <v>77</v>
      </c>
      <c r="CL69" s="140">
        <v>3042</v>
      </c>
    </row>
    <row r="70" spans="1:90">
      <c r="A70" s="80">
        <f>ROWS($A$3:A68)</f>
        <v>66</v>
      </c>
      <c r="B70" s="92" t="s">
        <v>70</v>
      </c>
      <c r="C70" s="252"/>
      <c r="D70" s="259" t="s">
        <v>1</v>
      </c>
      <c r="E70" s="435"/>
      <c r="F70" s="302">
        <v>25349</v>
      </c>
      <c r="G70" s="141">
        <v>9639</v>
      </c>
      <c r="H70" s="141">
        <v>32376</v>
      </c>
      <c r="I70" s="298">
        <v>31003</v>
      </c>
      <c r="J70" s="141"/>
      <c r="K70" s="116">
        <f>BF70</f>
        <v>3020</v>
      </c>
      <c r="L70" s="137">
        <f>AY70</f>
        <v>2688</v>
      </c>
      <c r="M70" s="137">
        <f>BD70</f>
        <v>3322</v>
      </c>
      <c r="N70" s="137">
        <f>AW70</f>
        <v>1586</v>
      </c>
      <c r="O70" s="137">
        <f>BE70</f>
        <v>2579</v>
      </c>
      <c r="P70" s="137">
        <f>SUM(AZ70,BA70)</f>
        <v>1713</v>
      </c>
      <c r="Q70" s="137">
        <f>'2010'!AU70</f>
        <v>1115</v>
      </c>
      <c r="R70" s="137">
        <f>SUM(AT70+AX70)</f>
        <v>1244</v>
      </c>
      <c r="S70" s="137">
        <f>AV70</f>
        <v>1401</v>
      </c>
      <c r="T70" s="137">
        <f>BB70</f>
        <v>2066</v>
      </c>
      <c r="U70" s="139">
        <f>BC70</f>
        <v>4615</v>
      </c>
      <c r="V70" s="137">
        <f>SUM(BG70,BJ70)</f>
        <v>440</v>
      </c>
      <c r="W70" s="137">
        <f>BR70</f>
        <v>1468</v>
      </c>
      <c r="X70" s="137">
        <f>SUM(BH70,BI70)</f>
        <v>1104</v>
      </c>
      <c r="Y70" s="137">
        <f>SUM(BK70,BL70,BN70)</f>
        <v>1208</v>
      </c>
      <c r="Z70" s="137">
        <f>BM70</f>
        <v>1904</v>
      </c>
      <c r="AA70" s="137">
        <f>SUM(BO70,BQ70)</f>
        <v>1973</v>
      </c>
      <c r="AB70" s="139">
        <f>BP70</f>
        <v>1086</v>
      </c>
      <c r="AC70" s="137">
        <f>BX70</f>
        <v>3397</v>
      </c>
      <c r="AD70" s="137">
        <f>BU70</f>
        <v>1320</v>
      </c>
      <c r="AE70" s="137">
        <f>SUM(BS70+BT70)</f>
        <v>7008</v>
      </c>
      <c r="AF70" s="137">
        <f>CA70</f>
        <v>3239</v>
      </c>
      <c r="AG70" s="137">
        <f>BV70</f>
        <v>3349</v>
      </c>
      <c r="AH70" s="137">
        <f>BZ70</f>
        <v>2996</v>
      </c>
      <c r="AI70" s="137">
        <f>BW70</f>
        <v>1620</v>
      </c>
      <c r="AJ70" s="137">
        <f>BY70</f>
        <v>2536</v>
      </c>
      <c r="AK70" s="139">
        <f>CB70</f>
        <v>6911</v>
      </c>
      <c r="AL70" s="137">
        <f>CE70</f>
        <v>3625</v>
      </c>
      <c r="AM70" s="137">
        <f>CH70</f>
        <v>3116</v>
      </c>
      <c r="AN70" s="137">
        <f>CJ70</f>
        <v>8895</v>
      </c>
      <c r="AO70" s="137">
        <f>CC70</f>
        <v>3425</v>
      </c>
      <c r="AP70" s="137">
        <f>CD70</f>
        <v>3086</v>
      </c>
      <c r="AQ70" s="137">
        <f>CK70</f>
        <v>3085</v>
      </c>
      <c r="AR70" s="137">
        <f>CI70</f>
        <v>3123</v>
      </c>
      <c r="AS70" s="138">
        <f>SUM(CF70:CG70)</f>
        <v>2648</v>
      </c>
      <c r="AT70" s="141">
        <v>190</v>
      </c>
      <c r="AU70" s="141">
        <v>1115</v>
      </c>
      <c r="AV70" s="141">
        <v>1401</v>
      </c>
      <c r="AW70" s="141">
        <v>1586</v>
      </c>
      <c r="AX70" s="141">
        <v>1054</v>
      </c>
      <c r="AY70" s="141">
        <v>2688</v>
      </c>
      <c r="AZ70" s="141">
        <v>99</v>
      </c>
      <c r="BA70" s="141">
        <v>1614</v>
      </c>
      <c r="BB70" s="141">
        <v>2066</v>
      </c>
      <c r="BC70" s="141">
        <v>4615</v>
      </c>
      <c r="BD70" s="141">
        <v>3322</v>
      </c>
      <c r="BE70" s="141">
        <v>2579</v>
      </c>
      <c r="BF70" s="297">
        <v>3020</v>
      </c>
      <c r="BG70" s="141">
        <v>213</v>
      </c>
      <c r="BH70" s="141" t="s">
        <v>233</v>
      </c>
      <c r="BI70" s="141">
        <v>1104</v>
      </c>
      <c r="BJ70" s="141">
        <v>227</v>
      </c>
      <c r="BK70" s="141" t="s">
        <v>233</v>
      </c>
      <c r="BL70" s="141" t="s">
        <v>267</v>
      </c>
      <c r="BM70" s="141">
        <v>1904</v>
      </c>
      <c r="BN70" s="141">
        <v>1208</v>
      </c>
      <c r="BO70" s="141" t="s">
        <v>233</v>
      </c>
      <c r="BP70" s="141">
        <v>1086</v>
      </c>
      <c r="BQ70" s="141">
        <v>1973</v>
      </c>
      <c r="BR70" s="297">
        <v>1468</v>
      </c>
      <c r="BS70" s="141">
        <v>244</v>
      </c>
      <c r="BT70" s="141">
        <v>6764</v>
      </c>
      <c r="BU70" s="141">
        <v>1320</v>
      </c>
      <c r="BV70" s="141">
        <v>3349</v>
      </c>
      <c r="BW70" s="141">
        <v>1620</v>
      </c>
      <c r="BX70" s="141">
        <v>3397</v>
      </c>
      <c r="BY70" s="141">
        <v>2536</v>
      </c>
      <c r="BZ70" s="141">
        <v>2996</v>
      </c>
      <c r="CA70" s="141">
        <v>3239</v>
      </c>
      <c r="CB70" s="297">
        <v>6911</v>
      </c>
      <c r="CC70" s="141">
        <v>3425</v>
      </c>
      <c r="CD70" s="141">
        <v>3086</v>
      </c>
      <c r="CE70" s="141">
        <v>3625</v>
      </c>
      <c r="CF70" s="137" t="s">
        <v>267</v>
      </c>
      <c r="CG70" s="141">
        <v>2648</v>
      </c>
      <c r="CH70" s="141">
        <v>3116</v>
      </c>
      <c r="CI70" s="141">
        <v>3123</v>
      </c>
      <c r="CJ70" s="141">
        <v>8895</v>
      </c>
      <c r="CK70" s="298">
        <v>3085</v>
      </c>
      <c r="CL70" s="258">
        <v>98367</v>
      </c>
    </row>
    <row r="71" spans="1:90">
      <c r="A71" s="80">
        <f>ROWS($A$3:A69)</f>
        <v>67</v>
      </c>
      <c r="B71" s="54" t="s">
        <v>266</v>
      </c>
      <c r="C71" s="252"/>
      <c r="D71" s="259" t="s">
        <v>1</v>
      </c>
      <c r="E71" s="435"/>
      <c r="F71" s="167">
        <f>IF(ISERROR(F70/F69)=FALSE,F70/F69," -")</f>
        <v>30.504211793020456</v>
      </c>
      <c r="G71" s="168">
        <f>IF(ISERROR(G70/G69)=FALSE,G70/G69," -")</f>
        <v>41.547413793103445</v>
      </c>
      <c r="H71" s="168">
        <f>IF(ISERROR(H70/H69)=FALSE,H70/H69," -")</f>
        <v>30.863679694947567</v>
      </c>
      <c r="I71" s="169">
        <f>IF(ISERROR(I70/I69)=FALSE,I70/I69," -")</f>
        <v>33.336559139784946</v>
      </c>
      <c r="J71" s="173"/>
      <c r="K71" s="167">
        <f t="shared" ref="K71:AP71" si="139">IF(ISERROR(K70/K69)=FALSE,K70/K69," -")</f>
        <v>32.826086956521742</v>
      </c>
      <c r="L71" s="168">
        <f t="shared" si="139"/>
        <v>18.929577464788732</v>
      </c>
      <c r="M71" s="168">
        <f t="shared" si="139"/>
        <v>32.89108910891089</v>
      </c>
      <c r="N71" s="168">
        <f t="shared" si="139"/>
        <v>35.244444444444447</v>
      </c>
      <c r="O71" s="168">
        <f t="shared" si="139"/>
        <v>56.065217391304351</v>
      </c>
      <c r="P71" s="168">
        <f t="shared" si="139"/>
        <v>24.826086956521738</v>
      </c>
      <c r="Q71" s="168">
        <f t="shared" si="139"/>
        <v>38.448275862068968</v>
      </c>
      <c r="R71" s="168">
        <f t="shared" si="139"/>
        <v>20.06451612903226</v>
      </c>
      <c r="S71" s="168">
        <f t="shared" si="139"/>
        <v>29.808510638297872</v>
      </c>
      <c r="T71" s="168">
        <f t="shared" si="139"/>
        <v>27.918918918918919</v>
      </c>
      <c r="U71" s="176">
        <f t="shared" si="139"/>
        <v>37.217741935483872</v>
      </c>
      <c r="V71" s="168">
        <f t="shared" si="139"/>
        <v>20.952380952380953</v>
      </c>
      <c r="W71" s="168">
        <f t="shared" si="139"/>
        <v>38.631578947368418</v>
      </c>
      <c r="X71" s="168">
        <f t="shared" si="139"/>
        <v>29.05263157894737</v>
      </c>
      <c r="Y71" s="168">
        <f t="shared" si="139"/>
        <v>36.606060606060609</v>
      </c>
      <c r="Z71" s="168">
        <f t="shared" si="139"/>
        <v>54.4</v>
      </c>
      <c r="AA71" s="168">
        <f t="shared" si="139"/>
        <v>56.371428571428574</v>
      </c>
      <c r="AB71" s="176">
        <f t="shared" si="139"/>
        <v>41.769230769230766</v>
      </c>
      <c r="AC71" s="168">
        <f t="shared" si="139"/>
        <v>33.633663366336634</v>
      </c>
      <c r="AD71" s="168">
        <f t="shared" si="139"/>
        <v>19.130434782608695</v>
      </c>
      <c r="AE71" s="168">
        <f t="shared" si="139"/>
        <v>25.955555555555556</v>
      </c>
      <c r="AF71" s="168">
        <f t="shared" si="139"/>
        <v>31.754901960784313</v>
      </c>
      <c r="AG71" s="168">
        <f t="shared" si="139"/>
        <v>25.371212121212121</v>
      </c>
      <c r="AH71" s="168">
        <f t="shared" si="139"/>
        <v>28.264150943396228</v>
      </c>
      <c r="AI71" s="168">
        <f t="shared" si="139"/>
        <v>32.4</v>
      </c>
      <c r="AJ71" s="168">
        <f t="shared" si="139"/>
        <v>63.4</v>
      </c>
      <c r="AK71" s="176">
        <f t="shared" si="139"/>
        <v>38.608938547486034</v>
      </c>
      <c r="AL71" s="168">
        <f t="shared" si="139"/>
        <v>54.924242424242422</v>
      </c>
      <c r="AM71" s="168">
        <f t="shared" si="139"/>
        <v>46.507462686567166</v>
      </c>
      <c r="AN71" s="168">
        <f t="shared" si="139"/>
        <v>27.369230769230768</v>
      </c>
      <c r="AO71" s="168">
        <f t="shared" si="139"/>
        <v>39.825581395348834</v>
      </c>
      <c r="AP71" s="168">
        <f t="shared" si="139"/>
        <v>79.128205128205124</v>
      </c>
      <c r="AQ71" s="168">
        <f t="shared" ref="AQ71:BV71" si="140">IF(ISERROR(AQ70/AQ69)=FALSE,AQ70/AQ69," -")</f>
        <v>40.064935064935064</v>
      </c>
      <c r="AR71" s="168">
        <f t="shared" si="140"/>
        <v>16.097938144329898</v>
      </c>
      <c r="AS71" s="169">
        <f t="shared" si="140"/>
        <v>34.842105263157897</v>
      </c>
      <c r="AT71" s="168">
        <f t="shared" si="140"/>
        <v>23.75</v>
      </c>
      <c r="AU71" s="168">
        <f t="shared" si="140"/>
        <v>38.448275862068968</v>
      </c>
      <c r="AV71" s="168">
        <f t="shared" si="140"/>
        <v>29.808510638297872</v>
      </c>
      <c r="AW71" s="168">
        <f t="shared" si="140"/>
        <v>35.244444444444447</v>
      </c>
      <c r="AX71" s="168">
        <f t="shared" si="140"/>
        <v>19.518518518518519</v>
      </c>
      <c r="AY71" s="168">
        <f t="shared" si="140"/>
        <v>18.929577464788732</v>
      </c>
      <c r="AZ71" s="168">
        <f t="shared" si="140"/>
        <v>19.8</v>
      </c>
      <c r="BA71" s="168">
        <f t="shared" si="140"/>
        <v>25.21875</v>
      </c>
      <c r="BB71" s="168">
        <f t="shared" si="140"/>
        <v>27.918918918918919</v>
      </c>
      <c r="BC71" s="168">
        <f t="shared" si="140"/>
        <v>37.217741935483872</v>
      </c>
      <c r="BD71" s="168">
        <f t="shared" si="140"/>
        <v>32.89108910891089</v>
      </c>
      <c r="BE71" s="168">
        <f t="shared" si="140"/>
        <v>56.065217391304351</v>
      </c>
      <c r="BF71" s="176">
        <f t="shared" si="140"/>
        <v>32.826086956521742</v>
      </c>
      <c r="BG71" s="168">
        <f t="shared" si="140"/>
        <v>53.25</v>
      </c>
      <c r="BH71" s="168" t="str">
        <f t="shared" si="140"/>
        <v xml:space="preserve"> -</v>
      </c>
      <c r="BI71" s="168">
        <f t="shared" si="140"/>
        <v>33.454545454545453</v>
      </c>
      <c r="BJ71" s="168">
        <f t="shared" si="140"/>
        <v>13.352941176470589</v>
      </c>
      <c r="BK71" s="168" t="str">
        <f t="shared" si="140"/>
        <v xml:space="preserve"> -</v>
      </c>
      <c r="BL71" s="168" t="str">
        <f t="shared" si="140"/>
        <v xml:space="preserve"> -</v>
      </c>
      <c r="BM71" s="168">
        <f t="shared" si="140"/>
        <v>54.4</v>
      </c>
      <c r="BN71" s="168">
        <f t="shared" si="140"/>
        <v>36.606060606060609</v>
      </c>
      <c r="BO71" s="168" t="str">
        <f t="shared" si="140"/>
        <v xml:space="preserve"> -</v>
      </c>
      <c r="BP71" s="168">
        <f t="shared" si="140"/>
        <v>41.769230769230766</v>
      </c>
      <c r="BQ71" s="168">
        <f t="shared" si="140"/>
        <v>56.371428571428574</v>
      </c>
      <c r="BR71" s="176">
        <f t="shared" si="140"/>
        <v>38.631578947368418</v>
      </c>
      <c r="BS71" s="168">
        <f t="shared" si="140"/>
        <v>16.266666666666666</v>
      </c>
      <c r="BT71" s="168">
        <f t="shared" si="140"/>
        <v>26.525490196078433</v>
      </c>
      <c r="BU71" s="168">
        <f t="shared" si="140"/>
        <v>19.130434782608695</v>
      </c>
      <c r="BV71" s="168">
        <f t="shared" si="140"/>
        <v>25.371212121212121</v>
      </c>
      <c r="BW71" s="168">
        <f t="shared" ref="BW71:CK71" si="141">IF(ISERROR(BW70/BW69)=FALSE,BW70/BW69," -")</f>
        <v>32.4</v>
      </c>
      <c r="BX71" s="168">
        <f t="shared" si="141"/>
        <v>33.633663366336634</v>
      </c>
      <c r="BY71" s="168">
        <f t="shared" si="141"/>
        <v>63.4</v>
      </c>
      <c r="BZ71" s="168">
        <f t="shared" si="141"/>
        <v>28.264150943396228</v>
      </c>
      <c r="CA71" s="168">
        <f t="shared" si="141"/>
        <v>31.754901960784313</v>
      </c>
      <c r="CB71" s="176">
        <f t="shared" si="141"/>
        <v>38.608938547486034</v>
      </c>
      <c r="CC71" s="168">
        <f t="shared" si="141"/>
        <v>39.825581395348834</v>
      </c>
      <c r="CD71" s="168">
        <f t="shared" si="141"/>
        <v>79.128205128205124</v>
      </c>
      <c r="CE71" s="168">
        <f t="shared" si="141"/>
        <v>54.924242424242422</v>
      </c>
      <c r="CF71" s="168" t="str">
        <f t="shared" si="141"/>
        <v xml:space="preserve"> -</v>
      </c>
      <c r="CG71" s="168">
        <f t="shared" si="141"/>
        <v>34.842105263157897</v>
      </c>
      <c r="CH71" s="168">
        <f t="shared" si="141"/>
        <v>46.507462686567166</v>
      </c>
      <c r="CI71" s="168">
        <f t="shared" si="141"/>
        <v>16.097938144329898</v>
      </c>
      <c r="CJ71" s="168">
        <f t="shared" si="141"/>
        <v>27.369230769230768</v>
      </c>
      <c r="CK71" s="168">
        <f t="shared" si="141"/>
        <v>40.064935064935064</v>
      </c>
      <c r="CL71" s="177">
        <f>IF(OR(CL69&lt;0.1,CL70&lt;0.1),0,CL70/CL69)</f>
        <v>32.336291913214993</v>
      </c>
    </row>
    <row r="72" spans="1:90">
      <c r="A72" s="80">
        <f>ROWS($A$3:A70)</f>
        <v>68</v>
      </c>
      <c r="B72" s="59" t="s">
        <v>83</v>
      </c>
      <c r="C72" s="203"/>
      <c r="D72" s="259"/>
      <c r="E72" s="435"/>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202">
        <v>2010</v>
      </c>
      <c r="D73" s="259" t="s">
        <v>13</v>
      </c>
      <c r="E73" s="435"/>
      <c r="F73" s="116">
        <v>2934</v>
      </c>
      <c r="G73" s="137">
        <v>1628</v>
      </c>
      <c r="H73" s="137">
        <v>1925</v>
      </c>
      <c r="I73" s="138">
        <v>2407</v>
      </c>
      <c r="J73" s="141"/>
      <c r="K73" s="116">
        <f t="shared" ref="K73:K78" si="142">BF73</f>
        <v>261</v>
      </c>
      <c r="L73" s="137">
        <f t="shared" ref="L73:L78" si="143">AY73</f>
        <v>128</v>
      </c>
      <c r="M73" s="137">
        <f t="shared" ref="M73:M78" si="144">BD73</f>
        <v>692</v>
      </c>
      <c r="N73" s="137">
        <f t="shared" ref="N73:N78" si="145">AW73</f>
        <v>93</v>
      </c>
      <c r="O73" s="137">
        <f t="shared" ref="O73:O78" si="146">BE73</f>
        <v>141</v>
      </c>
      <c r="P73" s="137">
        <f t="shared" ref="P73:P78" si="147">SUM(AZ73,BA73)</f>
        <v>467</v>
      </c>
      <c r="Q73" s="137">
        <f>'2010'!AU73</f>
        <v>256</v>
      </c>
      <c r="R73" s="137">
        <f t="shared" ref="R73:R78" si="148">SUM(AT73,AX73)</f>
        <v>320</v>
      </c>
      <c r="S73" s="137">
        <f t="shared" ref="S73:S78" si="149">AV73</f>
        <v>167</v>
      </c>
      <c r="T73" s="137">
        <f t="shared" ref="T73:U78" si="150">BB73</f>
        <v>195</v>
      </c>
      <c r="U73" s="139">
        <f t="shared" si="150"/>
        <v>214</v>
      </c>
      <c r="V73" s="137">
        <f t="shared" ref="V73:V78" si="151">SUM(BG73,BJ73)</f>
        <v>118</v>
      </c>
      <c r="W73" s="137">
        <f t="shared" ref="W73:W78" si="152">BR73</f>
        <v>139</v>
      </c>
      <c r="X73" s="137">
        <f t="shared" ref="X73:X78" si="153">SUM(BH73,BI73)</f>
        <v>350</v>
      </c>
      <c r="Y73" s="137">
        <f t="shared" ref="Y73:Y78" si="154">SUM(BK73,BL73,BN73)</f>
        <v>461</v>
      </c>
      <c r="Z73" s="137">
        <f t="shared" ref="Z73:Z78" si="155">BM73</f>
        <v>333</v>
      </c>
      <c r="AA73" s="137">
        <f t="shared" ref="AA73:AA78" si="156">SUM(BO73,BQ73)</f>
        <v>125</v>
      </c>
      <c r="AB73" s="139">
        <f t="shared" ref="AB73:AB78" si="157">BP73</f>
        <v>92</v>
      </c>
      <c r="AC73" s="137">
        <f t="shared" ref="AC73:AC78" si="158">BX73</f>
        <v>196</v>
      </c>
      <c r="AD73" s="137">
        <f t="shared" ref="AD73:AD78" si="159">BU73</f>
        <v>154</v>
      </c>
      <c r="AE73" s="137">
        <f t="shared" ref="AE73:AE78" si="160">SUM(BS73,BT73)</f>
        <v>313</v>
      </c>
      <c r="AF73" s="137">
        <f t="shared" ref="AF73:AF78" si="161">CA73</f>
        <v>95</v>
      </c>
      <c r="AG73" s="137">
        <f t="shared" ref="AG73:AG78" si="162">BV73</f>
        <v>426</v>
      </c>
      <c r="AH73" s="137">
        <f t="shared" ref="AH73:AH78" si="163">BZ73</f>
        <v>194</v>
      </c>
      <c r="AI73" s="137">
        <f t="shared" ref="AI73:AI78" si="164">BW73</f>
        <v>199</v>
      </c>
      <c r="AJ73" s="137">
        <f t="shared" ref="AJ73:AJ78" si="165">BY73</f>
        <v>150</v>
      </c>
      <c r="AK73" s="139">
        <f t="shared" ref="AK73:AK78" si="166">CB73</f>
        <v>198</v>
      </c>
      <c r="AL73" s="137">
        <f t="shared" ref="AL73:AL78" si="167">CE73</f>
        <v>317</v>
      </c>
      <c r="AM73" s="137">
        <f t="shared" ref="AM73:AM78" si="168">CH73</f>
        <v>348</v>
      </c>
      <c r="AN73" s="137">
        <f t="shared" ref="AN73:AN78" si="169">CJ73</f>
        <v>190</v>
      </c>
      <c r="AO73" s="137">
        <f t="shared" ref="AO73:AP78" si="170">CC73</f>
        <v>306</v>
      </c>
      <c r="AP73" s="137">
        <f t="shared" si="170"/>
        <v>195</v>
      </c>
      <c r="AQ73" s="137">
        <f t="shared" ref="AQ73:AQ78" si="171">CK73</f>
        <v>347</v>
      </c>
      <c r="AR73" s="137">
        <f t="shared" ref="AR73:AR78" si="172">CI73</f>
        <v>181</v>
      </c>
      <c r="AS73" s="138">
        <f t="shared" ref="AS73:AS78" si="173">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c r="A74" s="80">
        <f>ROWS($A$3:A72)</f>
        <v>70</v>
      </c>
      <c r="B74" s="92" t="s">
        <v>85</v>
      </c>
      <c r="C74" s="203"/>
      <c r="D74" s="259" t="s">
        <v>13</v>
      </c>
      <c r="E74" s="435"/>
      <c r="F74" s="116">
        <v>465</v>
      </c>
      <c r="G74" s="137">
        <v>243</v>
      </c>
      <c r="H74" s="137">
        <v>314</v>
      </c>
      <c r="I74" s="138">
        <v>188</v>
      </c>
      <c r="J74" s="141"/>
      <c r="K74" s="116">
        <f t="shared" si="142"/>
        <v>46</v>
      </c>
      <c r="L74" s="137">
        <f t="shared" si="143"/>
        <v>76</v>
      </c>
      <c r="M74" s="137">
        <f t="shared" si="144"/>
        <v>12</v>
      </c>
      <c r="N74" s="137">
        <f t="shared" si="145"/>
        <v>30</v>
      </c>
      <c r="O74" s="137">
        <f t="shared" si="146"/>
        <v>12</v>
      </c>
      <c r="P74" s="137">
        <f t="shared" si="147"/>
        <v>50</v>
      </c>
      <c r="Q74" s="137">
        <f>'2010'!AU74</f>
        <v>20</v>
      </c>
      <c r="R74" s="137">
        <f t="shared" si="148"/>
        <v>137</v>
      </c>
      <c r="S74" s="137">
        <f t="shared" si="149"/>
        <v>47</v>
      </c>
      <c r="T74" s="137">
        <f t="shared" si="150"/>
        <v>16</v>
      </c>
      <c r="U74" s="139">
        <f t="shared" si="150"/>
        <v>19</v>
      </c>
      <c r="V74" s="137">
        <f t="shared" si="151"/>
        <v>27</v>
      </c>
      <c r="W74" s="137">
        <f t="shared" si="152"/>
        <v>10</v>
      </c>
      <c r="X74" s="137">
        <f t="shared" si="153"/>
        <v>51</v>
      </c>
      <c r="Y74" s="137">
        <f t="shared" si="154"/>
        <v>86</v>
      </c>
      <c r="Z74" s="137">
        <f t="shared" si="155"/>
        <v>18</v>
      </c>
      <c r="AA74" s="137">
        <f t="shared" si="156"/>
        <v>29</v>
      </c>
      <c r="AB74" s="139">
        <f t="shared" si="157"/>
        <v>22</v>
      </c>
      <c r="AC74" s="137">
        <f t="shared" si="158"/>
        <v>9</v>
      </c>
      <c r="AD74" s="137">
        <f t="shared" si="159"/>
        <v>29</v>
      </c>
      <c r="AE74" s="137">
        <f t="shared" si="160"/>
        <v>56</v>
      </c>
      <c r="AF74" s="137">
        <f t="shared" si="161"/>
        <v>29</v>
      </c>
      <c r="AG74" s="137">
        <f t="shared" si="162"/>
        <v>63</v>
      </c>
      <c r="AH74" s="137">
        <f t="shared" si="163"/>
        <v>98</v>
      </c>
      <c r="AI74" s="137">
        <f t="shared" si="164"/>
        <v>11</v>
      </c>
      <c r="AJ74" s="137">
        <f t="shared" si="165"/>
        <v>6</v>
      </c>
      <c r="AK74" s="139">
        <f t="shared" si="166"/>
        <v>13</v>
      </c>
      <c r="AL74" s="137">
        <f t="shared" si="167"/>
        <v>16</v>
      </c>
      <c r="AM74" s="137">
        <f t="shared" si="168"/>
        <v>27</v>
      </c>
      <c r="AN74" s="137">
        <f t="shared" si="169"/>
        <v>29</v>
      </c>
      <c r="AO74" s="137">
        <f t="shared" si="170"/>
        <v>26</v>
      </c>
      <c r="AP74" s="137">
        <f t="shared" si="170"/>
        <v>24</v>
      </c>
      <c r="AQ74" s="137">
        <f t="shared" si="171"/>
        <v>13</v>
      </c>
      <c r="AR74" s="137">
        <f t="shared" si="172"/>
        <v>22</v>
      </c>
      <c r="AS74" s="138">
        <f t="shared" si="173"/>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c r="A75" s="80">
        <f>ROWS($A$3:A73)</f>
        <v>71</v>
      </c>
      <c r="B75" s="92" t="s">
        <v>86</v>
      </c>
      <c r="C75" s="203"/>
      <c r="D75" s="259" t="s">
        <v>13</v>
      </c>
      <c r="E75" s="435"/>
      <c r="F75" s="116">
        <v>3016</v>
      </c>
      <c r="G75" s="137">
        <v>779</v>
      </c>
      <c r="H75" s="137">
        <v>4390</v>
      </c>
      <c r="I75" s="138">
        <v>1072</v>
      </c>
      <c r="J75" s="141"/>
      <c r="K75" s="116">
        <f t="shared" si="142"/>
        <v>12</v>
      </c>
      <c r="L75" s="137">
        <f t="shared" si="143"/>
        <v>446</v>
      </c>
      <c r="M75" s="137">
        <f t="shared" si="144"/>
        <v>200</v>
      </c>
      <c r="N75" s="137">
        <f t="shared" si="145"/>
        <v>33</v>
      </c>
      <c r="O75" s="137" t="str">
        <f t="shared" si="146"/>
        <v>*</v>
      </c>
      <c r="P75" s="137">
        <f t="shared" si="147"/>
        <v>1287</v>
      </c>
      <c r="Q75" s="137">
        <f>'2010'!AU75</f>
        <v>31</v>
      </c>
      <c r="R75" s="137">
        <f t="shared" si="148"/>
        <v>600</v>
      </c>
      <c r="S75" s="137">
        <f t="shared" si="149"/>
        <v>81</v>
      </c>
      <c r="T75" s="137">
        <f t="shared" si="150"/>
        <v>316</v>
      </c>
      <c r="U75" s="139" t="str">
        <f t="shared" si="150"/>
        <v>*</v>
      </c>
      <c r="V75" s="137">
        <f t="shared" si="151"/>
        <v>334</v>
      </c>
      <c r="W75" s="137" t="str">
        <f t="shared" si="152"/>
        <v>*</v>
      </c>
      <c r="X75" s="137">
        <f t="shared" si="153"/>
        <v>145</v>
      </c>
      <c r="Y75" s="137">
        <f t="shared" si="154"/>
        <v>197</v>
      </c>
      <c r="Z75" s="137">
        <f t="shared" si="155"/>
        <v>32</v>
      </c>
      <c r="AA75" s="137">
        <f t="shared" si="156"/>
        <v>63</v>
      </c>
      <c r="AB75" s="139" t="str">
        <f t="shared" si="157"/>
        <v xml:space="preserve"> -</v>
      </c>
      <c r="AC75" s="137" t="str">
        <f t="shared" si="158"/>
        <v xml:space="preserve"> -</v>
      </c>
      <c r="AD75" s="137">
        <f t="shared" si="159"/>
        <v>602</v>
      </c>
      <c r="AE75" s="137">
        <f t="shared" si="160"/>
        <v>1615</v>
      </c>
      <c r="AF75" s="137">
        <f t="shared" si="161"/>
        <v>249</v>
      </c>
      <c r="AG75" s="137">
        <f t="shared" si="162"/>
        <v>1758</v>
      </c>
      <c r="AH75" s="137">
        <f t="shared" si="163"/>
        <v>116</v>
      </c>
      <c r="AI75" s="137" t="str">
        <f t="shared" si="164"/>
        <v>*</v>
      </c>
      <c r="AJ75" s="137" t="str">
        <f t="shared" si="165"/>
        <v>*</v>
      </c>
      <c r="AK75" s="139">
        <f t="shared" si="166"/>
        <v>43</v>
      </c>
      <c r="AL75" s="137" t="str">
        <f t="shared" si="167"/>
        <v>*</v>
      </c>
      <c r="AM75" s="137">
        <f t="shared" si="168"/>
        <v>6</v>
      </c>
      <c r="AN75" s="137">
        <f t="shared" si="169"/>
        <v>137</v>
      </c>
      <c r="AO75" s="137">
        <f t="shared" si="170"/>
        <v>29</v>
      </c>
      <c r="AP75" s="137">
        <f t="shared" si="170"/>
        <v>13</v>
      </c>
      <c r="AQ75" s="137">
        <f t="shared" si="171"/>
        <v>13</v>
      </c>
      <c r="AR75" s="137">
        <f t="shared" si="172"/>
        <v>859</v>
      </c>
      <c r="AS75" s="138">
        <f t="shared" si="173"/>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c r="A76" s="80">
        <f>ROWS($A$3:A74)</f>
        <v>72</v>
      </c>
      <c r="B76" s="92" t="s">
        <v>87</v>
      </c>
      <c r="C76" s="203"/>
      <c r="D76" s="259" t="s">
        <v>13</v>
      </c>
      <c r="E76" s="435"/>
      <c r="F76" s="116">
        <v>4205</v>
      </c>
      <c r="G76" s="137">
        <v>1272</v>
      </c>
      <c r="H76" s="137">
        <v>5289</v>
      </c>
      <c r="I76" s="138">
        <v>5348</v>
      </c>
      <c r="J76" s="141"/>
      <c r="K76" s="116">
        <f t="shared" si="142"/>
        <v>1123</v>
      </c>
      <c r="L76" s="137">
        <f t="shared" si="143"/>
        <v>428</v>
      </c>
      <c r="M76" s="137">
        <f t="shared" si="144"/>
        <v>179</v>
      </c>
      <c r="N76" s="137">
        <f t="shared" si="145"/>
        <v>491</v>
      </c>
      <c r="O76" s="137">
        <f t="shared" si="146"/>
        <v>233</v>
      </c>
      <c r="P76" s="137">
        <f t="shared" si="147"/>
        <v>125</v>
      </c>
      <c r="Q76" s="137">
        <f>'2010'!AU76</f>
        <v>122</v>
      </c>
      <c r="R76" s="137">
        <f t="shared" si="148"/>
        <v>107</v>
      </c>
      <c r="S76" s="137">
        <f t="shared" si="149"/>
        <v>207</v>
      </c>
      <c r="T76" s="137">
        <f t="shared" si="150"/>
        <v>253</v>
      </c>
      <c r="U76" s="139">
        <f t="shared" si="150"/>
        <v>923</v>
      </c>
      <c r="V76" s="137">
        <f t="shared" si="151"/>
        <v>105</v>
      </c>
      <c r="W76" s="137">
        <f t="shared" si="152"/>
        <v>272</v>
      </c>
      <c r="X76" s="137">
        <f t="shared" si="153"/>
        <v>121</v>
      </c>
      <c r="Y76" s="137">
        <f t="shared" si="154"/>
        <v>179</v>
      </c>
      <c r="Z76" s="137">
        <f t="shared" si="155"/>
        <v>235</v>
      </c>
      <c r="AA76" s="137">
        <f t="shared" si="156"/>
        <v>123</v>
      </c>
      <c r="AB76" s="139">
        <f t="shared" si="157"/>
        <v>237</v>
      </c>
      <c r="AC76" s="137">
        <f t="shared" si="158"/>
        <v>688</v>
      </c>
      <c r="AD76" s="137">
        <f t="shared" si="159"/>
        <v>513</v>
      </c>
      <c r="AE76" s="137">
        <f t="shared" si="160"/>
        <v>870</v>
      </c>
      <c r="AF76" s="137">
        <f t="shared" si="161"/>
        <v>551</v>
      </c>
      <c r="AG76" s="137">
        <f t="shared" si="162"/>
        <v>898</v>
      </c>
      <c r="AH76" s="137">
        <f t="shared" si="163"/>
        <v>322</v>
      </c>
      <c r="AI76" s="137">
        <f t="shared" si="164"/>
        <v>392</v>
      </c>
      <c r="AJ76" s="137">
        <f t="shared" si="165"/>
        <v>225</v>
      </c>
      <c r="AK76" s="139">
        <f t="shared" si="166"/>
        <v>830</v>
      </c>
      <c r="AL76" s="137">
        <f t="shared" si="167"/>
        <v>327</v>
      </c>
      <c r="AM76" s="137">
        <f t="shared" si="168"/>
        <v>1026</v>
      </c>
      <c r="AN76" s="137">
        <f t="shared" si="169"/>
        <v>1983</v>
      </c>
      <c r="AO76" s="137">
        <f t="shared" si="170"/>
        <v>441</v>
      </c>
      <c r="AP76" s="137">
        <f t="shared" si="170"/>
        <v>99</v>
      </c>
      <c r="AQ76" s="137">
        <f t="shared" si="171"/>
        <v>498</v>
      </c>
      <c r="AR76" s="137">
        <f t="shared" si="172"/>
        <v>328</v>
      </c>
      <c r="AS76" s="138">
        <f t="shared" si="173"/>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c r="A77" s="80">
        <f>ROWS($A$3:A75)</f>
        <v>73</v>
      </c>
      <c r="B77" s="92" t="s">
        <v>88</v>
      </c>
      <c r="C77" s="203"/>
      <c r="D77" s="259" t="s">
        <v>13</v>
      </c>
      <c r="E77" s="435"/>
      <c r="F77" s="116">
        <v>1140</v>
      </c>
      <c r="G77" s="137">
        <v>76</v>
      </c>
      <c r="H77" s="137">
        <v>119</v>
      </c>
      <c r="I77" s="138">
        <v>662</v>
      </c>
      <c r="J77" s="141"/>
      <c r="K77" s="116">
        <f t="shared" si="142"/>
        <v>123</v>
      </c>
      <c r="L77" s="137">
        <f t="shared" si="143"/>
        <v>22</v>
      </c>
      <c r="M77" s="137">
        <f t="shared" si="144"/>
        <v>132</v>
      </c>
      <c r="N77" s="137">
        <f t="shared" si="145"/>
        <v>21</v>
      </c>
      <c r="O77" s="137">
        <f t="shared" si="146"/>
        <v>46</v>
      </c>
      <c r="P77" s="137">
        <f t="shared" si="147"/>
        <v>29</v>
      </c>
      <c r="Q77" s="137">
        <f>'2010'!AU77</f>
        <v>14</v>
      </c>
      <c r="R77" s="137">
        <f t="shared" si="148"/>
        <v>39</v>
      </c>
      <c r="S77" s="137" t="str">
        <f t="shared" si="149"/>
        <v>*</v>
      </c>
      <c r="T77" s="137">
        <f t="shared" si="150"/>
        <v>168</v>
      </c>
      <c r="U77" s="139">
        <f t="shared" si="150"/>
        <v>538</v>
      </c>
      <c r="V77" s="137">
        <f t="shared" si="151"/>
        <v>0</v>
      </c>
      <c r="W77" s="137">
        <f t="shared" si="152"/>
        <v>10</v>
      </c>
      <c r="X77" s="137">
        <f t="shared" si="153"/>
        <v>0</v>
      </c>
      <c r="Y77" s="137">
        <f t="shared" si="154"/>
        <v>24</v>
      </c>
      <c r="Z77" s="137">
        <f t="shared" si="155"/>
        <v>24</v>
      </c>
      <c r="AA77" s="137">
        <f t="shared" si="156"/>
        <v>6</v>
      </c>
      <c r="AB77" s="139">
        <f t="shared" si="157"/>
        <v>3</v>
      </c>
      <c r="AC77" s="137">
        <f t="shared" si="158"/>
        <v>17</v>
      </c>
      <c r="AD77" s="137">
        <f t="shared" si="159"/>
        <v>6</v>
      </c>
      <c r="AE77" s="137">
        <f t="shared" si="160"/>
        <v>8</v>
      </c>
      <c r="AF77" s="137" t="str">
        <f t="shared" si="161"/>
        <v>*</v>
      </c>
      <c r="AG77" s="137">
        <f t="shared" si="162"/>
        <v>25</v>
      </c>
      <c r="AH77" s="137">
        <f t="shared" si="163"/>
        <v>16</v>
      </c>
      <c r="AI77" s="137">
        <f t="shared" si="164"/>
        <v>21</v>
      </c>
      <c r="AJ77" s="137" t="str">
        <f t="shared" si="165"/>
        <v>*</v>
      </c>
      <c r="AK77" s="139">
        <f t="shared" si="166"/>
        <v>19</v>
      </c>
      <c r="AL77" s="137">
        <f t="shared" si="167"/>
        <v>7</v>
      </c>
      <c r="AM77" s="137">
        <f t="shared" si="168"/>
        <v>156</v>
      </c>
      <c r="AN77" s="137">
        <f t="shared" si="169"/>
        <v>55</v>
      </c>
      <c r="AO77" s="137">
        <f t="shared" si="170"/>
        <v>28</v>
      </c>
      <c r="AP77" s="137">
        <f t="shared" si="170"/>
        <v>7</v>
      </c>
      <c r="AQ77" s="137">
        <f t="shared" si="171"/>
        <v>84</v>
      </c>
      <c r="AR77" s="137">
        <f t="shared" si="172"/>
        <v>13</v>
      </c>
      <c r="AS77" s="138">
        <f t="shared" si="173"/>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c r="A78" s="80">
        <f>ROWS($A$3:A76)</f>
        <v>74</v>
      </c>
      <c r="B78" s="92" t="s">
        <v>89</v>
      </c>
      <c r="C78" s="203"/>
      <c r="D78" s="259" t="s">
        <v>13</v>
      </c>
      <c r="E78" s="435"/>
      <c r="F78" s="116">
        <v>2637</v>
      </c>
      <c r="G78" s="137">
        <v>932</v>
      </c>
      <c r="H78" s="137">
        <v>1574</v>
      </c>
      <c r="I78" s="138">
        <v>1897</v>
      </c>
      <c r="J78" s="141"/>
      <c r="K78" s="116">
        <f t="shared" si="142"/>
        <v>262</v>
      </c>
      <c r="L78" s="137">
        <f t="shared" si="143"/>
        <v>188</v>
      </c>
      <c r="M78" s="137">
        <f t="shared" si="144"/>
        <v>337</v>
      </c>
      <c r="N78" s="137">
        <f t="shared" si="145"/>
        <v>114</v>
      </c>
      <c r="O78" s="137">
        <f t="shared" si="146"/>
        <v>143</v>
      </c>
      <c r="P78" s="137">
        <f t="shared" si="147"/>
        <v>348</v>
      </c>
      <c r="Q78" s="137">
        <f>'2010'!AU78</f>
        <v>161</v>
      </c>
      <c r="R78" s="137">
        <f t="shared" si="148"/>
        <v>319</v>
      </c>
      <c r="S78" s="137">
        <f t="shared" si="149"/>
        <v>138</v>
      </c>
      <c r="T78" s="137">
        <f t="shared" si="150"/>
        <v>281</v>
      </c>
      <c r="U78" s="139">
        <f t="shared" si="150"/>
        <v>323</v>
      </c>
      <c r="V78" s="137">
        <f t="shared" si="151"/>
        <v>66</v>
      </c>
      <c r="W78" s="137">
        <f t="shared" si="152"/>
        <v>63</v>
      </c>
      <c r="X78" s="137">
        <f t="shared" si="153"/>
        <v>131</v>
      </c>
      <c r="Y78" s="137">
        <f t="shared" si="154"/>
        <v>159</v>
      </c>
      <c r="Z78" s="137">
        <f t="shared" si="155"/>
        <v>236</v>
      </c>
      <c r="AA78" s="137">
        <f t="shared" si="156"/>
        <v>107</v>
      </c>
      <c r="AB78" s="139">
        <f t="shared" si="157"/>
        <v>110</v>
      </c>
      <c r="AC78" s="137">
        <f t="shared" si="158"/>
        <v>127</v>
      </c>
      <c r="AD78" s="137">
        <f t="shared" si="159"/>
        <v>118</v>
      </c>
      <c r="AE78" s="137">
        <f t="shared" si="160"/>
        <v>215</v>
      </c>
      <c r="AF78" s="137">
        <f t="shared" si="161"/>
        <v>141</v>
      </c>
      <c r="AG78" s="137">
        <f t="shared" si="162"/>
        <v>402</v>
      </c>
      <c r="AH78" s="137">
        <f t="shared" si="163"/>
        <v>154</v>
      </c>
      <c r="AI78" s="137">
        <f t="shared" si="164"/>
        <v>171</v>
      </c>
      <c r="AJ78" s="137">
        <f t="shared" si="165"/>
        <v>33</v>
      </c>
      <c r="AK78" s="139">
        <f t="shared" si="166"/>
        <v>139</v>
      </c>
      <c r="AL78" s="137">
        <f t="shared" si="167"/>
        <v>67</v>
      </c>
      <c r="AM78" s="137">
        <f t="shared" si="168"/>
        <v>285</v>
      </c>
      <c r="AN78" s="137">
        <f t="shared" si="169"/>
        <v>166</v>
      </c>
      <c r="AO78" s="137">
        <f t="shared" si="170"/>
        <v>228</v>
      </c>
      <c r="AP78" s="137">
        <f t="shared" si="170"/>
        <v>81</v>
      </c>
      <c r="AQ78" s="137">
        <f t="shared" si="171"/>
        <v>293</v>
      </c>
      <c r="AR78" s="137">
        <f t="shared" si="172"/>
        <v>274</v>
      </c>
      <c r="AS78" s="138">
        <f t="shared" si="173"/>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c r="A79" s="80">
        <f>ROWS($A$3:A77)</f>
        <v>75</v>
      </c>
      <c r="B79" s="59" t="s">
        <v>79</v>
      </c>
      <c r="C79" s="202">
        <v>2010</v>
      </c>
      <c r="D79" s="259"/>
      <c r="E79" s="435"/>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row>
    <row r="80" spans="1:90">
      <c r="A80" s="80">
        <f>ROWS($A$3:A78)</f>
        <v>76</v>
      </c>
      <c r="B80" s="92" t="s">
        <v>90</v>
      </c>
      <c r="C80" s="205">
        <v>2010</v>
      </c>
      <c r="D80" s="259" t="s">
        <v>13</v>
      </c>
      <c r="E80" s="435"/>
      <c r="F80" s="116">
        <f>SUM(AT80:BF80)</f>
        <v>15783</v>
      </c>
      <c r="G80" s="137">
        <f>SUM(BG80:BR80)</f>
        <v>5519</v>
      </c>
      <c r="H80" s="137">
        <f>SUM(BS80:CB80)</f>
        <v>14234</v>
      </c>
      <c r="I80" s="138">
        <f>SUM(CC80:CK80)</f>
        <v>13613</v>
      </c>
      <c r="J80" s="141"/>
      <c r="K80" s="116">
        <f>BF80</f>
        <v>2444</v>
      </c>
      <c r="L80" s="137">
        <f>AY80</f>
        <v>1180</v>
      </c>
      <c r="M80" s="137">
        <f>BD80</f>
        <v>1850</v>
      </c>
      <c r="N80" s="137">
        <f>AW80</f>
        <v>864</v>
      </c>
      <c r="O80" s="137">
        <f>BE80</f>
        <v>643</v>
      </c>
      <c r="P80" s="137">
        <f>AZ80+BA80</f>
        <v>2002</v>
      </c>
      <c r="Q80" s="137">
        <f>'2010'!AU80</f>
        <v>689</v>
      </c>
      <c r="R80" s="137">
        <f>AT80+AX80</f>
        <v>1275</v>
      </c>
      <c r="S80" s="137">
        <f>AV80</f>
        <v>638</v>
      </c>
      <c r="T80" s="137">
        <f>BB80</f>
        <v>1533</v>
      </c>
      <c r="U80" s="139">
        <f>BC80</f>
        <v>2665</v>
      </c>
      <c r="V80" s="137">
        <f>BG80+BJ80</f>
        <v>600</v>
      </c>
      <c r="W80" s="137">
        <f>BR80</f>
        <v>851</v>
      </c>
      <c r="X80" s="137">
        <f>BH80+BI80</f>
        <v>807</v>
      </c>
      <c r="Y80" s="137">
        <f>BK80+BL80+BN80</f>
        <v>1026</v>
      </c>
      <c r="Z80" s="137">
        <f>BM80</f>
        <v>1141</v>
      </c>
      <c r="AA80" s="137">
        <f>BO80+BQ80</f>
        <v>466</v>
      </c>
      <c r="AB80" s="139">
        <f>BP80</f>
        <v>628</v>
      </c>
      <c r="AC80" s="137">
        <f>BX80</f>
        <v>1323</v>
      </c>
      <c r="AD80" s="137">
        <f>BU80</f>
        <v>1339</v>
      </c>
      <c r="AE80" s="137">
        <f>BS80+BT80</f>
        <v>2418</v>
      </c>
      <c r="AF80" s="137">
        <f>CA80</f>
        <v>1185</v>
      </c>
      <c r="AG80" s="137">
        <f>BV80</f>
        <v>3600</v>
      </c>
      <c r="AH80" s="137">
        <f>BZ80</f>
        <v>1028</v>
      </c>
      <c r="AI80" s="137">
        <f>BW80</f>
        <v>1098</v>
      </c>
      <c r="AJ80" s="137">
        <f>BY80</f>
        <v>568</v>
      </c>
      <c r="AK80" s="139">
        <f>CB80</f>
        <v>1675</v>
      </c>
      <c r="AL80" s="137">
        <f>CE80</f>
        <v>964</v>
      </c>
      <c r="AM80" s="137">
        <f>CH80</f>
        <v>2229</v>
      </c>
      <c r="AN80" s="137">
        <f>CJ80</f>
        <v>3184</v>
      </c>
      <c r="AO80" s="137">
        <f>CC80</f>
        <v>1235</v>
      </c>
      <c r="AP80" s="137">
        <f>CD80</f>
        <v>484</v>
      </c>
      <c r="AQ80" s="137">
        <f>CK80</f>
        <v>1619</v>
      </c>
      <c r="AR80" s="137">
        <f>CI80</f>
        <v>1532</v>
      </c>
      <c r="AS80" s="138">
        <f>CF80+CG80</f>
        <v>2366</v>
      </c>
      <c r="AT80" s="137">
        <v>0</v>
      </c>
      <c r="AU80" s="137">
        <v>689</v>
      </c>
      <c r="AV80" s="137">
        <v>638</v>
      </c>
      <c r="AW80" s="137">
        <v>864</v>
      </c>
      <c r="AX80" s="137">
        <v>1275</v>
      </c>
      <c r="AY80" s="137">
        <v>1180</v>
      </c>
      <c r="AZ80" s="137">
        <v>0</v>
      </c>
      <c r="BA80" s="137">
        <v>2002</v>
      </c>
      <c r="BB80" s="137">
        <v>1533</v>
      </c>
      <c r="BC80" s="137">
        <v>2665</v>
      </c>
      <c r="BD80" s="137">
        <v>1850</v>
      </c>
      <c r="BE80" s="137">
        <v>643</v>
      </c>
      <c r="BF80" s="139">
        <v>2444</v>
      </c>
      <c r="BG80" s="137">
        <v>0</v>
      </c>
      <c r="BH80" s="137">
        <v>0</v>
      </c>
      <c r="BI80" s="137">
        <v>807</v>
      </c>
      <c r="BJ80" s="137">
        <v>600</v>
      </c>
      <c r="BK80" s="137">
        <v>0</v>
      </c>
      <c r="BL80" s="137">
        <v>0</v>
      </c>
      <c r="BM80" s="137">
        <v>1141</v>
      </c>
      <c r="BN80" s="137">
        <v>1026</v>
      </c>
      <c r="BO80" s="137">
        <v>0</v>
      </c>
      <c r="BP80" s="137">
        <v>628</v>
      </c>
      <c r="BQ80" s="137">
        <v>466</v>
      </c>
      <c r="BR80" s="139">
        <v>851</v>
      </c>
      <c r="BS80" s="137">
        <v>0</v>
      </c>
      <c r="BT80" s="137">
        <v>2418</v>
      </c>
      <c r="BU80" s="137">
        <v>1339</v>
      </c>
      <c r="BV80" s="137">
        <v>3600</v>
      </c>
      <c r="BW80" s="137">
        <v>1098</v>
      </c>
      <c r="BX80" s="137">
        <v>1323</v>
      </c>
      <c r="BY80" s="137">
        <v>568</v>
      </c>
      <c r="BZ80" s="137">
        <v>1028</v>
      </c>
      <c r="CA80" s="137">
        <v>1185</v>
      </c>
      <c r="CB80" s="139">
        <v>1675</v>
      </c>
      <c r="CC80" s="137">
        <v>1235</v>
      </c>
      <c r="CD80" s="137">
        <v>484</v>
      </c>
      <c r="CE80" s="137">
        <v>964</v>
      </c>
      <c r="CF80" s="137">
        <v>0</v>
      </c>
      <c r="CG80" s="137">
        <v>2366</v>
      </c>
      <c r="CH80" s="137">
        <v>2229</v>
      </c>
      <c r="CI80" s="137">
        <v>1532</v>
      </c>
      <c r="CJ80" s="137">
        <v>3184</v>
      </c>
      <c r="CK80" s="138">
        <v>1619</v>
      </c>
      <c r="CL80" s="258">
        <v>49149</v>
      </c>
    </row>
    <row r="81" spans="1:90">
      <c r="A81" s="80">
        <f>ROWS($A$3:A79)</f>
        <v>77</v>
      </c>
      <c r="B81" s="602" t="s">
        <v>365</v>
      </c>
      <c r="C81" s="590">
        <v>2010</v>
      </c>
      <c r="D81" s="603" t="s">
        <v>13</v>
      </c>
      <c r="E81" s="522">
        <v>43320</v>
      </c>
      <c r="F81" s="154">
        <f>SUM(AT81:BF81)</f>
        <v>1003663</v>
      </c>
      <c r="G81" s="155">
        <f>SUM(BG81:BR81)</f>
        <v>655345</v>
      </c>
      <c r="H81" s="155">
        <f>SUM(BS81:CB81)</f>
        <v>658287</v>
      </c>
      <c r="I81" s="156">
        <f>SUM(CC81:CK81)</f>
        <v>581823</v>
      </c>
      <c r="J81" s="141"/>
      <c r="K81" s="154">
        <f>BF81</f>
        <v>79174</v>
      </c>
      <c r="L81" s="155">
        <f>AY81</f>
        <v>118323</v>
      </c>
      <c r="M81" s="155">
        <f>BD81</f>
        <v>97481</v>
      </c>
      <c r="N81" s="155">
        <f>AW81</f>
        <v>50194</v>
      </c>
      <c r="O81" s="155">
        <f>BE81</f>
        <v>28426</v>
      </c>
      <c r="P81" s="155">
        <f>AZ81+BA81</f>
        <v>151524</v>
      </c>
      <c r="Q81" s="155">
        <f>AU81</f>
        <v>99497</v>
      </c>
      <c r="R81" s="155">
        <f>AT81+AX81</f>
        <v>143112</v>
      </c>
      <c r="S81" s="155">
        <f>AV81</f>
        <v>100940</v>
      </c>
      <c r="T81" s="155">
        <f>BB81</f>
        <v>52478</v>
      </c>
      <c r="U81" s="552">
        <f>BC81</f>
        <v>82514</v>
      </c>
      <c r="V81" s="155">
        <f>BG81+BJ81</f>
        <v>90247</v>
      </c>
      <c r="W81" s="155">
        <f>BR81</f>
        <v>52902</v>
      </c>
      <c r="X81" s="155">
        <f>BH81+BI81</f>
        <v>172225</v>
      </c>
      <c r="Y81" s="155">
        <f>BK81+BL81+BN81</f>
        <v>98096</v>
      </c>
      <c r="Z81" s="155">
        <f>BM81</f>
        <v>79154</v>
      </c>
      <c r="AA81" s="155">
        <f>BO81+BQ81</f>
        <v>107197</v>
      </c>
      <c r="AB81" s="552">
        <f>BP81</f>
        <v>55524</v>
      </c>
      <c r="AC81" s="155">
        <f>BX81</f>
        <v>35306</v>
      </c>
      <c r="AD81" s="155">
        <f>BU81</f>
        <v>56873</v>
      </c>
      <c r="AE81" s="155">
        <f>BS81+BT81</f>
        <v>100178</v>
      </c>
      <c r="AF81" s="155">
        <f>CA81</f>
        <v>72358</v>
      </c>
      <c r="AG81" s="155">
        <f>BV81</f>
        <v>135522</v>
      </c>
      <c r="AH81" s="155">
        <f>BZ81</f>
        <v>56720</v>
      </c>
      <c r="AI81" s="155">
        <f>BW81</f>
        <v>60393</v>
      </c>
      <c r="AJ81" s="155">
        <f>BY81</f>
        <v>76229</v>
      </c>
      <c r="AK81" s="552">
        <f>CB81</f>
        <v>64708</v>
      </c>
      <c r="AL81" s="155">
        <f>CE81</f>
        <v>101760</v>
      </c>
      <c r="AM81" s="155">
        <f>CH81</f>
        <v>76049</v>
      </c>
      <c r="AN81" s="155">
        <f>CJ81</f>
        <v>31825</v>
      </c>
      <c r="AO81" s="155">
        <f>CC81</f>
        <v>78543</v>
      </c>
      <c r="AP81" s="155">
        <f>CD81</f>
        <v>94229</v>
      </c>
      <c r="AQ81" s="155">
        <f>CK81</f>
        <v>68674</v>
      </c>
      <c r="AR81" s="155">
        <f>CI81</f>
        <v>58258</v>
      </c>
      <c r="AS81" s="156">
        <f>CF81+CG81</f>
        <v>72485</v>
      </c>
      <c r="AT81" s="155">
        <v>12221</v>
      </c>
      <c r="AU81" s="155">
        <v>99497</v>
      </c>
      <c r="AV81" s="155">
        <v>100940</v>
      </c>
      <c r="AW81" s="155">
        <v>50194</v>
      </c>
      <c r="AX81" s="155">
        <v>130891</v>
      </c>
      <c r="AY81" s="155">
        <v>118323</v>
      </c>
      <c r="AZ81" s="155">
        <v>15581</v>
      </c>
      <c r="BA81" s="155">
        <v>135943</v>
      </c>
      <c r="BB81" s="155">
        <v>52478</v>
      </c>
      <c r="BC81" s="155">
        <v>82514</v>
      </c>
      <c r="BD81" s="155">
        <v>97481</v>
      </c>
      <c r="BE81" s="155">
        <v>28426</v>
      </c>
      <c r="BF81" s="552">
        <v>79174</v>
      </c>
      <c r="BG81" s="155">
        <v>10879</v>
      </c>
      <c r="BH81" s="155">
        <v>9133</v>
      </c>
      <c r="BI81" s="155">
        <v>163092</v>
      </c>
      <c r="BJ81" s="155">
        <v>79368</v>
      </c>
      <c r="BK81" s="155">
        <v>3385</v>
      </c>
      <c r="BL81" s="155">
        <v>5150</v>
      </c>
      <c r="BM81" s="155">
        <v>79154</v>
      </c>
      <c r="BN81" s="155">
        <v>89561</v>
      </c>
      <c r="BO81" s="155">
        <v>4187</v>
      </c>
      <c r="BP81" s="155">
        <v>55524</v>
      </c>
      <c r="BQ81" s="155">
        <v>103010</v>
      </c>
      <c r="BR81" s="552">
        <v>52902</v>
      </c>
      <c r="BS81" s="155">
        <v>8829</v>
      </c>
      <c r="BT81" s="155">
        <v>91349</v>
      </c>
      <c r="BU81" s="155">
        <v>56873</v>
      </c>
      <c r="BV81" s="155">
        <v>135522</v>
      </c>
      <c r="BW81" s="155">
        <v>60393</v>
      </c>
      <c r="BX81" s="155">
        <v>35306</v>
      </c>
      <c r="BY81" s="155">
        <v>76229</v>
      </c>
      <c r="BZ81" s="155">
        <v>56720</v>
      </c>
      <c r="CA81" s="155">
        <v>72358</v>
      </c>
      <c r="CB81" s="552">
        <v>64708</v>
      </c>
      <c r="CC81" s="155">
        <v>78543</v>
      </c>
      <c r="CD81" s="155">
        <v>94229</v>
      </c>
      <c r="CE81" s="155">
        <v>101760</v>
      </c>
      <c r="CF81" s="155">
        <v>5557</v>
      </c>
      <c r="CG81" s="155">
        <v>66928</v>
      </c>
      <c r="CH81" s="155">
        <v>76049</v>
      </c>
      <c r="CI81" s="155">
        <v>58258</v>
      </c>
      <c r="CJ81" s="155">
        <v>31825</v>
      </c>
      <c r="CK81" s="156">
        <v>68674</v>
      </c>
      <c r="CL81" s="553">
        <f>SUM(AT81:CK81)</f>
        <v>2899118</v>
      </c>
    </row>
    <row r="82" spans="1:90">
      <c r="A82" s="80">
        <f>ROWS($A$3:A80)</f>
        <v>78</v>
      </c>
      <c r="B82" s="610" t="s">
        <v>367</v>
      </c>
      <c r="C82" s="590">
        <v>2010</v>
      </c>
      <c r="D82" s="603" t="s">
        <v>13</v>
      </c>
      <c r="E82" s="522">
        <v>43320</v>
      </c>
      <c r="F82" s="530">
        <f t="shared" ref="F82:AQ82" si="174">F81/F80</f>
        <v>63.591395805613637</v>
      </c>
      <c r="G82" s="531">
        <f t="shared" si="174"/>
        <v>118.74343178111977</v>
      </c>
      <c r="H82" s="531">
        <f t="shared" si="174"/>
        <v>46.247505971617251</v>
      </c>
      <c r="I82" s="532">
        <f t="shared" si="174"/>
        <v>42.740248292073751</v>
      </c>
      <c r="J82" s="141"/>
      <c r="K82" s="530">
        <f t="shared" si="174"/>
        <v>32.395253682487727</v>
      </c>
      <c r="L82" s="531">
        <f t="shared" si="174"/>
        <v>100.27372881355932</v>
      </c>
      <c r="M82" s="531">
        <f t="shared" si="174"/>
        <v>52.692432432432433</v>
      </c>
      <c r="N82" s="531">
        <f t="shared" si="174"/>
        <v>58.094907407407405</v>
      </c>
      <c r="O82" s="531">
        <f t="shared" si="174"/>
        <v>44.208398133748055</v>
      </c>
      <c r="P82" s="531">
        <f t="shared" si="174"/>
        <v>75.686313686313682</v>
      </c>
      <c r="Q82" s="531">
        <f t="shared" si="174"/>
        <v>144.40783744557331</v>
      </c>
      <c r="R82" s="531">
        <f t="shared" si="174"/>
        <v>112.24470588235295</v>
      </c>
      <c r="S82" s="531">
        <f t="shared" si="174"/>
        <v>158.21316614420061</v>
      </c>
      <c r="T82" s="531">
        <f t="shared" si="174"/>
        <v>34.232224396607961</v>
      </c>
      <c r="U82" s="555">
        <f t="shared" si="174"/>
        <v>30.962101313320826</v>
      </c>
      <c r="V82" s="531">
        <f t="shared" si="174"/>
        <v>150.41166666666666</v>
      </c>
      <c r="W82" s="531">
        <f t="shared" si="174"/>
        <v>62.164512338425382</v>
      </c>
      <c r="X82" s="531">
        <f t="shared" si="174"/>
        <v>213.41387856257745</v>
      </c>
      <c r="Y82" s="531">
        <f t="shared" si="174"/>
        <v>95.610136452241719</v>
      </c>
      <c r="Z82" s="531">
        <f t="shared" si="174"/>
        <v>69.372480280455747</v>
      </c>
      <c r="AA82" s="531">
        <f t="shared" si="174"/>
        <v>230.03648068669528</v>
      </c>
      <c r="AB82" s="555">
        <f t="shared" si="174"/>
        <v>88.414012738853501</v>
      </c>
      <c r="AC82" s="531">
        <f t="shared" si="174"/>
        <v>26.686318972033259</v>
      </c>
      <c r="AD82" s="531">
        <f t="shared" si="174"/>
        <v>42.474234503360719</v>
      </c>
      <c r="AE82" s="531">
        <f t="shared" si="174"/>
        <v>41.43010752688172</v>
      </c>
      <c r="AF82" s="531">
        <f t="shared" si="174"/>
        <v>61.061603375527426</v>
      </c>
      <c r="AG82" s="531">
        <f t="shared" si="174"/>
        <v>37.645000000000003</v>
      </c>
      <c r="AH82" s="531">
        <f t="shared" si="174"/>
        <v>55.175097276264594</v>
      </c>
      <c r="AI82" s="531">
        <f t="shared" si="174"/>
        <v>55.002732240437162</v>
      </c>
      <c r="AJ82" s="531">
        <f t="shared" si="174"/>
        <v>134.20598591549296</v>
      </c>
      <c r="AK82" s="555">
        <f t="shared" si="174"/>
        <v>38.631641791044778</v>
      </c>
      <c r="AL82" s="531">
        <f t="shared" si="174"/>
        <v>105.56016597510373</v>
      </c>
      <c r="AM82" s="531">
        <f t="shared" si="174"/>
        <v>34.117990130103188</v>
      </c>
      <c r="AN82" s="531">
        <f t="shared" si="174"/>
        <v>9.9952889447236188</v>
      </c>
      <c r="AO82" s="531">
        <f t="shared" si="174"/>
        <v>63.59757085020243</v>
      </c>
      <c r="AP82" s="531">
        <f t="shared" si="174"/>
        <v>194.68801652892563</v>
      </c>
      <c r="AQ82" s="531">
        <f t="shared" si="174"/>
        <v>42.417541692402715</v>
      </c>
      <c r="AR82" s="531">
        <f>AR81/AR80</f>
        <v>38.027415143603136</v>
      </c>
      <c r="AS82" s="532">
        <f>AS81/AS80</f>
        <v>30.636094674556212</v>
      </c>
      <c r="AT82" s="531">
        <f>IF(OR(AT80&lt;0.1,AT81&lt;0.1),0,AT81/AT80)</f>
        <v>0</v>
      </c>
      <c r="AU82" s="531">
        <f>IF(OR(AU80&lt;0.1,AU81&lt;0.1),0,AU81/AU80)</f>
        <v>144.40783744557331</v>
      </c>
      <c r="AV82" s="531">
        <f t="shared" ref="AV82:CK82" si="175">IF(OR(AV80&lt;0.1,AV81&lt;0.1),0,AV81/AV80)</f>
        <v>158.21316614420061</v>
      </c>
      <c r="AW82" s="531">
        <f t="shared" si="175"/>
        <v>58.094907407407405</v>
      </c>
      <c r="AX82" s="531">
        <f>IF(OR(AX80&lt;0.1,AX81&lt;0.1),0,AX81/AX80)</f>
        <v>102.65960784313725</v>
      </c>
      <c r="AY82" s="531">
        <f t="shared" si="175"/>
        <v>100.27372881355932</v>
      </c>
      <c r="AZ82" s="531">
        <f t="shared" si="175"/>
        <v>0</v>
      </c>
      <c r="BA82" s="531">
        <f t="shared" si="175"/>
        <v>67.90359640359641</v>
      </c>
      <c r="BB82" s="531">
        <f t="shared" si="175"/>
        <v>34.232224396607961</v>
      </c>
      <c r="BC82" s="531">
        <f t="shared" si="175"/>
        <v>30.962101313320826</v>
      </c>
      <c r="BD82" s="531">
        <f t="shared" si="175"/>
        <v>52.692432432432433</v>
      </c>
      <c r="BE82" s="531">
        <f t="shared" si="175"/>
        <v>44.208398133748055</v>
      </c>
      <c r="BF82" s="555">
        <f t="shared" si="175"/>
        <v>32.395253682487727</v>
      </c>
      <c r="BG82" s="531">
        <f t="shared" si="175"/>
        <v>0</v>
      </c>
      <c r="BH82" s="531">
        <f>IF(OR(BH80&lt;0.1,BH81&lt;0.1),0,BH81/BH80)</f>
        <v>0</v>
      </c>
      <c r="BI82" s="531">
        <f>IF(OR(BI80&lt;0.1,BI81&lt;0.1),0,BI81/BI80)</f>
        <v>202.09665427509293</v>
      </c>
      <c r="BJ82" s="531">
        <f>IF(OR(BJ80&lt;0.1,BJ81&lt;0.1),0,BJ81/BJ80)</f>
        <v>132.28</v>
      </c>
      <c r="BK82" s="531">
        <f t="shared" si="175"/>
        <v>0</v>
      </c>
      <c r="BL82" s="531">
        <f t="shared" si="175"/>
        <v>0</v>
      </c>
      <c r="BM82" s="531">
        <f>IF(OR(BM80&lt;0.1,BM81&lt;0.1),0,BM81/BM80)</f>
        <v>69.372480280455747</v>
      </c>
      <c r="BN82" s="531">
        <f t="shared" si="175"/>
        <v>87.291423001949312</v>
      </c>
      <c r="BO82" s="531">
        <f t="shared" si="175"/>
        <v>0</v>
      </c>
      <c r="BP82" s="531">
        <f t="shared" si="175"/>
        <v>88.414012738853501</v>
      </c>
      <c r="BQ82" s="531">
        <f>IF(OR(BQ80&lt;0.1,BQ81&lt;0.1),0,BQ81/BQ80)</f>
        <v>221.05150214592274</v>
      </c>
      <c r="BR82" s="555">
        <f t="shared" si="175"/>
        <v>62.164512338425382</v>
      </c>
      <c r="BS82" s="531">
        <f t="shared" si="175"/>
        <v>0</v>
      </c>
      <c r="BT82" s="531">
        <f t="shared" si="175"/>
        <v>37.778742762613732</v>
      </c>
      <c r="BU82" s="531">
        <f t="shared" si="175"/>
        <v>42.474234503360719</v>
      </c>
      <c r="BV82" s="531">
        <f t="shared" si="175"/>
        <v>37.645000000000003</v>
      </c>
      <c r="BW82" s="531">
        <f t="shared" si="175"/>
        <v>55.002732240437162</v>
      </c>
      <c r="BX82" s="531">
        <f t="shared" si="175"/>
        <v>26.686318972033259</v>
      </c>
      <c r="BY82" s="531">
        <f t="shared" si="175"/>
        <v>134.20598591549296</v>
      </c>
      <c r="BZ82" s="531">
        <f t="shared" si="175"/>
        <v>55.175097276264594</v>
      </c>
      <c r="CA82" s="531">
        <f t="shared" si="175"/>
        <v>61.061603375527426</v>
      </c>
      <c r="CB82" s="555">
        <f t="shared" si="175"/>
        <v>38.631641791044778</v>
      </c>
      <c r="CC82" s="531">
        <f t="shared" si="175"/>
        <v>63.59757085020243</v>
      </c>
      <c r="CD82" s="531">
        <f t="shared" si="175"/>
        <v>194.68801652892563</v>
      </c>
      <c r="CE82" s="531">
        <f t="shared" si="175"/>
        <v>105.56016597510373</v>
      </c>
      <c r="CF82" s="531">
        <f t="shared" si="175"/>
        <v>0</v>
      </c>
      <c r="CG82" s="531">
        <f t="shared" si="175"/>
        <v>28.287404902789518</v>
      </c>
      <c r="CH82" s="531">
        <f t="shared" si="175"/>
        <v>34.117990130103188</v>
      </c>
      <c r="CI82" s="531">
        <f t="shared" si="175"/>
        <v>38.027415143603136</v>
      </c>
      <c r="CJ82" s="531">
        <f t="shared" si="175"/>
        <v>9.9952889447236188</v>
      </c>
      <c r="CK82" s="532">
        <f t="shared" si="175"/>
        <v>42.417541692402715</v>
      </c>
      <c r="CL82" s="556">
        <f>IF(OR(CL80&lt;0.1,CL81&lt;0.1),0,CL81/CL80)</f>
        <v>58.986306944190119</v>
      </c>
    </row>
    <row r="83" spans="1:90">
      <c r="A83" s="80">
        <f>ROWS($A$3:A81)</f>
        <v>79</v>
      </c>
      <c r="B83" s="602" t="s">
        <v>366</v>
      </c>
      <c r="C83" s="590">
        <v>2010</v>
      </c>
      <c r="D83" s="603" t="s">
        <v>13</v>
      </c>
      <c r="E83" s="522">
        <v>43320</v>
      </c>
      <c r="F83" s="154">
        <f>SUM(AT83:BF83)</f>
        <v>1159636</v>
      </c>
      <c r="G83" s="155">
        <f>SUM(BG83:BR83)</f>
        <v>733790</v>
      </c>
      <c r="H83" s="155">
        <f>SUM(BS83:CB83)</f>
        <v>844158</v>
      </c>
      <c r="I83" s="156">
        <f>SUM(CC83:CK83)</f>
        <v>726570</v>
      </c>
      <c r="J83" s="122"/>
      <c r="K83" s="154">
        <f>BF83</f>
        <v>100975</v>
      </c>
      <c r="L83" s="155">
        <f>AY83</f>
        <v>132194</v>
      </c>
      <c r="M83" s="155">
        <f>BD83</f>
        <v>115612</v>
      </c>
      <c r="N83" s="155">
        <f>AW83</f>
        <v>60753</v>
      </c>
      <c r="O83" s="155">
        <f>BE83</f>
        <v>34214</v>
      </c>
      <c r="P83" s="155">
        <f>AZ83+BA83</f>
        <v>168870</v>
      </c>
      <c r="Q83" s="155">
        <f>AU83</f>
        <v>105977</v>
      </c>
      <c r="R83" s="155">
        <f>AT83+AX83</f>
        <v>154151</v>
      </c>
      <c r="S83" s="155">
        <f>AV83</f>
        <v>107474</v>
      </c>
      <c r="T83" s="155">
        <f>BB83</f>
        <v>67389</v>
      </c>
      <c r="U83" s="552">
        <f>BC83</f>
        <v>112027</v>
      </c>
      <c r="V83" s="155">
        <f>BG83+BJ83</f>
        <v>97903</v>
      </c>
      <c r="W83" s="155">
        <f>BR83</f>
        <v>62309</v>
      </c>
      <c r="X83" s="155">
        <f>BH83+BI83</f>
        <v>185706</v>
      </c>
      <c r="Y83" s="155">
        <f>BK83+BL83+BN83</f>
        <v>110520</v>
      </c>
      <c r="Z83" s="155">
        <f>BM83</f>
        <v>96855</v>
      </c>
      <c r="AA83" s="155">
        <f>BO83+BQ83</f>
        <v>115195</v>
      </c>
      <c r="AB83" s="552">
        <f>BP83</f>
        <v>65302</v>
      </c>
      <c r="AC83" s="155">
        <f>BX83</f>
        <v>56623</v>
      </c>
      <c r="AD83" s="155">
        <f>BU83</f>
        <v>72359</v>
      </c>
      <c r="AE83" s="155">
        <f>BS83+BT83</f>
        <v>126639</v>
      </c>
      <c r="AF83" s="155">
        <f>CA83</f>
        <v>89404</v>
      </c>
      <c r="AG83" s="155">
        <f>BV83</f>
        <v>179906</v>
      </c>
      <c r="AH83" s="155">
        <f>BZ83</f>
        <v>73891</v>
      </c>
      <c r="AI83" s="155">
        <f>BW83</f>
        <v>76075</v>
      </c>
      <c r="AJ83" s="155">
        <f>BY83</f>
        <v>84713</v>
      </c>
      <c r="AK83" s="552">
        <f>CB83</f>
        <v>84548</v>
      </c>
      <c r="AL83" s="155">
        <f>CE83</f>
        <v>111883</v>
      </c>
      <c r="AM83" s="155">
        <f>CH83</f>
        <v>95004</v>
      </c>
      <c r="AN83" s="155">
        <f>CJ83</f>
        <v>48773</v>
      </c>
      <c r="AO83" s="155">
        <f>CC83</f>
        <v>94626</v>
      </c>
      <c r="AP83" s="155">
        <f>CD83</f>
        <v>101245</v>
      </c>
      <c r="AQ83" s="155">
        <f>CK83</f>
        <v>87230</v>
      </c>
      <c r="AR83" s="155">
        <f>CI83</f>
        <v>95961</v>
      </c>
      <c r="AS83" s="156">
        <f>CF83+CG83</f>
        <v>91848</v>
      </c>
      <c r="AT83" s="155">
        <v>13061</v>
      </c>
      <c r="AU83" s="155">
        <v>105977</v>
      </c>
      <c r="AV83" s="155">
        <v>107474</v>
      </c>
      <c r="AW83" s="155">
        <v>60753</v>
      </c>
      <c r="AX83" s="155">
        <v>141090</v>
      </c>
      <c r="AY83" s="155">
        <v>132194</v>
      </c>
      <c r="AZ83" s="155">
        <v>18507</v>
      </c>
      <c r="BA83" s="155">
        <v>150363</v>
      </c>
      <c r="BB83" s="155">
        <v>67389</v>
      </c>
      <c r="BC83" s="155">
        <v>112027</v>
      </c>
      <c r="BD83" s="155">
        <v>115612</v>
      </c>
      <c r="BE83" s="155">
        <v>34214</v>
      </c>
      <c r="BF83" s="552">
        <v>100975</v>
      </c>
      <c r="BG83" s="155">
        <v>11856</v>
      </c>
      <c r="BH83" s="155">
        <v>9886</v>
      </c>
      <c r="BI83" s="155">
        <v>175820</v>
      </c>
      <c r="BJ83" s="155">
        <v>86047</v>
      </c>
      <c r="BK83" s="155">
        <v>4138</v>
      </c>
      <c r="BL83" s="155">
        <v>5969</v>
      </c>
      <c r="BM83" s="155">
        <v>96855</v>
      </c>
      <c r="BN83" s="155">
        <v>100413</v>
      </c>
      <c r="BO83" s="155">
        <v>4710</v>
      </c>
      <c r="BP83" s="155">
        <v>65302</v>
      </c>
      <c r="BQ83" s="155">
        <v>110485</v>
      </c>
      <c r="BR83" s="552">
        <v>62309</v>
      </c>
      <c r="BS83" s="155">
        <v>10022</v>
      </c>
      <c r="BT83" s="155">
        <v>116617</v>
      </c>
      <c r="BU83" s="155">
        <v>72359</v>
      </c>
      <c r="BV83" s="155">
        <v>179906</v>
      </c>
      <c r="BW83" s="155">
        <v>76075</v>
      </c>
      <c r="BX83" s="155">
        <v>56623</v>
      </c>
      <c r="BY83" s="155">
        <v>84713</v>
      </c>
      <c r="BZ83" s="155">
        <v>73891</v>
      </c>
      <c r="CA83" s="155">
        <v>89404</v>
      </c>
      <c r="CB83" s="552">
        <v>84548</v>
      </c>
      <c r="CC83" s="155">
        <v>94626</v>
      </c>
      <c r="CD83" s="155">
        <v>101245</v>
      </c>
      <c r="CE83" s="155">
        <v>111883</v>
      </c>
      <c r="CF83" s="155">
        <v>6507</v>
      </c>
      <c r="CG83" s="155">
        <v>85341</v>
      </c>
      <c r="CH83" s="155">
        <v>95004</v>
      </c>
      <c r="CI83" s="155">
        <v>95961</v>
      </c>
      <c r="CJ83" s="155">
        <v>48773</v>
      </c>
      <c r="CK83" s="156">
        <v>87230</v>
      </c>
      <c r="CL83" s="320">
        <f>SUM(AT83:CK83)</f>
        <v>3464154</v>
      </c>
    </row>
    <row r="84" spans="1:90">
      <c r="A84" s="80">
        <f>ROWS($A$3:A82)</f>
        <v>80</v>
      </c>
      <c r="B84" s="610" t="s">
        <v>368</v>
      </c>
      <c r="C84" s="590">
        <v>2010</v>
      </c>
      <c r="D84" s="603" t="s">
        <v>13</v>
      </c>
      <c r="E84" s="522">
        <v>43320</v>
      </c>
      <c r="F84" s="530">
        <f>F83/F80</f>
        <v>73.473737565735291</v>
      </c>
      <c r="G84" s="531">
        <f>G83/G80</f>
        <v>132.95705743794164</v>
      </c>
      <c r="H84" s="531">
        <f>H83/H80</f>
        <v>59.305746803428413</v>
      </c>
      <c r="I84" s="532">
        <f>I83/I80</f>
        <v>53.373246161757145</v>
      </c>
      <c r="J84" s="122"/>
      <c r="K84" s="530">
        <f t="shared" ref="K84:AS84" si="176">K83/K80</f>
        <v>41.315466448445171</v>
      </c>
      <c r="L84" s="531">
        <f t="shared" si="176"/>
        <v>112.02881355932203</v>
      </c>
      <c r="M84" s="531">
        <f t="shared" si="176"/>
        <v>62.492972972972971</v>
      </c>
      <c r="N84" s="531">
        <f t="shared" si="176"/>
        <v>70.315972222222229</v>
      </c>
      <c r="O84" s="531">
        <f t="shared" si="176"/>
        <v>53.2099533437014</v>
      </c>
      <c r="P84" s="531">
        <f t="shared" si="176"/>
        <v>84.350649350649348</v>
      </c>
      <c r="Q84" s="531">
        <f t="shared" si="176"/>
        <v>153.81277213352686</v>
      </c>
      <c r="R84" s="531">
        <f t="shared" si="176"/>
        <v>120.90274509803922</v>
      </c>
      <c r="S84" s="531">
        <f t="shared" si="176"/>
        <v>168.45454545454547</v>
      </c>
      <c r="T84" s="531">
        <f t="shared" si="176"/>
        <v>43.958904109589042</v>
      </c>
      <c r="U84" s="555">
        <f t="shared" si="176"/>
        <v>42.036397748592869</v>
      </c>
      <c r="V84" s="531">
        <f t="shared" si="176"/>
        <v>163.17166666666665</v>
      </c>
      <c r="W84" s="531">
        <f t="shared" si="176"/>
        <v>73.218566392479431</v>
      </c>
      <c r="X84" s="531">
        <f t="shared" si="176"/>
        <v>230.11895910780669</v>
      </c>
      <c r="Y84" s="531">
        <f t="shared" si="176"/>
        <v>107.71929824561404</v>
      </c>
      <c r="Z84" s="531">
        <f t="shared" si="176"/>
        <v>84.886064855390003</v>
      </c>
      <c r="AA84" s="531">
        <f t="shared" si="176"/>
        <v>247.19957081545064</v>
      </c>
      <c r="AB84" s="555">
        <f t="shared" si="176"/>
        <v>103.98407643312102</v>
      </c>
      <c r="AC84" s="531">
        <f t="shared" si="176"/>
        <v>42.798941798941797</v>
      </c>
      <c r="AD84" s="531">
        <f t="shared" si="176"/>
        <v>54.039581777445854</v>
      </c>
      <c r="AE84" s="531">
        <f t="shared" si="176"/>
        <v>52.373449131513645</v>
      </c>
      <c r="AF84" s="531">
        <f t="shared" si="176"/>
        <v>75.446413502109706</v>
      </c>
      <c r="AG84" s="531">
        <f t="shared" si="176"/>
        <v>49.973888888888887</v>
      </c>
      <c r="AH84" s="531">
        <f t="shared" si="176"/>
        <v>71.878404669260703</v>
      </c>
      <c r="AI84" s="531">
        <f t="shared" si="176"/>
        <v>69.285063752276869</v>
      </c>
      <c r="AJ84" s="531">
        <f t="shared" si="176"/>
        <v>149.14260563380282</v>
      </c>
      <c r="AK84" s="555">
        <f t="shared" si="176"/>
        <v>50.476417910447758</v>
      </c>
      <c r="AL84" s="531">
        <f t="shared" si="176"/>
        <v>116.06120331950207</v>
      </c>
      <c r="AM84" s="531">
        <f t="shared" si="176"/>
        <v>42.621803499327051</v>
      </c>
      <c r="AN84" s="531">
        <f t="shared" si="176"/>
        <v>15.318153266331658</v>
      </c>
      <c r="AO84" s="531">
        <f t="shared" si="176"/>
        <v>76.620242914979755</v>
      </c>
      <c r="AP84" s="531">
        <f t="shared" si="176"/>
        <v>209.18388429752065</v>
      </c>
      <c r="AQ84" s="531">
        <f t="shared" si="176"/>
        <v>53.878937615812227</v>
      </c>
      <c r="AR84" s="531">
        <f t="shared" si="176"/>
        <v>62.637728459530024</v>
      </c>
      <c r="AS84" s="532">
        <f t="shared" si="176"/>
        <v>38.819949281487744</v>
      </c>
      <c r="AT84" s="531">
        <f>IF(OR(AT80&lt;0.1,AT83&lt;0.1),0,AT83/AT80)</f>
        <v>0</v>
      </c>
      <c r="AU84" s="531">
        <f t="shared" ref="AU84:CL84" si="177">IF(OR(AU80&lt;0.1,AU83&lt;0.1),0,AU83/AU80)</f>
        <v>153.81277213352686</v>
      </c>
      <c r="AV84" s="531">
        <f t="shared" si="177"/>
        <v>168.45454545454547</v>
      </c>
      <c r="AW84" s="531">
        <f t="shared" si="177"/>
        <v>70.315972222222229</v>
      </c>
      <c r="AX84" s="531">
        <f t="shared" si="177"/>
        <v>110.65882352941176</v>
      </c>
      <c r="AY84" s="531">
        <f t="shared" si="177"/>
        <v>112.02881355932203</v>
      </c>
      <c r="AZ84" s="531">
        <f t="shared" si="177"/>
        <v>0</v>
      </c>
      <c r="BA84" s="531">
        <f t="shared" si="177"/>
        <v>75.10639360639361</v>
      </c>
      <c r="BB84" s="531">
        <f t="shared" si="177"/>
        <v>43.958904109589042</v>
      </c>
      <c r="BC84" s="531">
        <f t="shared" si="177"/>
        <v>42.036397748592869</v>
      </c>
      <c r="BD84" s="531">
        <f t="shared" si="177"/>
        <v>62.492972972972971</v>
      </c>
      <c r="BE84" s="531">
        <f t="shared" si="177"/>
        <v>53.2099533437014</v>
      </c>
      <c r="BF84" s="555">
        <f t="shared" si="177"/>
        <v>41.315466448445171</v>
      </c>
      <c r="BG84" s="531">
        <f t="shared" si="177"/>
        <v>0</v>
      </c>
      <c r="BH84" s="531">
        <f t="shared" si="177"/>
        <v>0</v>
      </c>
      <c r="BI84" s="531">
        <f t="shared" si="177"/>
        <v>217.86864931846344</v>
      </c>
      <c r="BJ84" s="531">
        <f t="shared" si="177"/>
        <v>143.41166666666666</v>
      </c>
      <c r="BK84" s="531">
        <f t="shared" si="177"/>
        <v>0</v>
      </c>
      <c r="BL84" s="531">
        <f t="shared" si="177"/>
        <v>0</v>
      </c>
      <c r="BM84" s="531">
        <f t="shared" si="177"/>
        <v>84.886064855390003</v>
      </c>
      <c r="BN84" s="531">
        <f t="shared" si="177"/>
        <v>97.868421052631575</v>
      </c>
      <c r="BO84" s="531">
        <f t="shared" si="177"/>
        <v>0</v>
      </c>
      <c r="BP84" s="531">
        <f t="shared" si="177"/>
        <v>103.98407643312102</v>
      </c>
      <c r="BQ84" s="531">
        <f t="shared" si="177"/>
        <v>237.09227467811158</v>
      </c>
      <c r="BR84" s="555">
        <f t="shared" si="177"/>
        <v>73.218566392479431</v>
      </c>
      <c r="BS84" s="531">
        <f t="shared" si="177"/>
        <v>0</v>
      </c>
      <c r="BT84" s="531">
        <f t="shared" si="177"/>
        <v>48.228701406120763</v>
      </c>
      <c r="BU84" s="531">
        <f t="shared" si="177"/>
        <v>54.039581777445854</v>
      </c>
      <c r="BV84" s="531">
        <f t="shared" si="177"/>
        <v>49.973888888888887</v>
      </c>
      <c r="BW84" s="531">
        <f t="shared" si="177"/>
        <v>69.285063752276869</v>
      </c>
      <c r="BX84" s="531">
        <f t="shared" si="177"/>
        <v>42.798941798941797</v>
      </c>
      <c r="BY84" s="531">
        <f t="shared" si="177"/>
        <v>149.14260563380282</v>
      </c>
      <c r="BZ84" s="531">
        <f t="shared" si="177"/>
        <v>71.878404669260703</v>
      </c>
      <c r="CA84" s="531">
        <f t="shared" si="177"/>
        <v>75.446413502109706</v>
      </c>
      <c r="CB84" s="555">
        <f t="shared" si="177"/>
        <v>50.476417910447758</v>
      </c>
      <c r="CC84" s="531">
        <f t="shared" si="177"/>
        <v>76.620242914979755</v>
      </c>
      <c r="CD84" s="531">
        <f t="shared" si="177"/>
        <v>209.18388429752065</v>
      </c>
      <c r="CE84" s="531">
        <f t="shared" si="177"/>
        <v>116.06120331950207</v>
      </c>
      <c r="CF84" s="531">
        <f t="shared" si="177"/>
        <v>0</v>
      </c>
      <c r="CG84" s="531">
        <f t="shared" si="177"/>
        <v>36.069737954353336</v>
      </c>
      <c r="CH84" s="531">
        <f t="shared" si="177"/>
        <v>42.621803499327051</v>
      </c>
      <c r="CI84" s="531">
        <f t="shared" si="177"/>
        <v>62.637728459530024</v>
      </c>
      <c r="CJ84" s="531">
        <f t="shared" si="177"/>
        <v>15.318153266331658</v>
      </c>
      <c r="CK84" s="532">
        <f t="shared" si="177"/>
        <v>53.878937615812227</v>
      </c>
      <c r="CL84" s="556">
        <f t="shared" si="177"/>
        <v>70.482695477018865</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2">
        <v>2010</v>
      </c>
      <c r="D86" s="259"/>
      <c r="E86" s="435"/>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9" t="s">
        <v>188</v>
      </c>
      <c r="E87" s="437">
        <v>41016</v>
      </c>
      <c r="F87" s="151">
        <v>21916</v>
      </c>
      <c r="G87" s="151">
        <v>19633</v>
      </c>
      <c r="H87" s="151">
        <v>16339</v>
      </c>
      <c r="I87" s="152">
        <v>18855</v>
      </c>
      <c r="J87" s="280"/>
      <c r="K87" s="116">
        <f>BF87</f>
        <v>16636</v>
      </c>
      <c r="L87" s="137">
        <f>AY87</f>
        <v>27818</v>
      </c>
      <c r="M87" s="137">
        <f>BD87</f>
        <v>12363</v>
      </c>
      <c r="N87" s="137">
        <f>AW87</f>
        <v>22929</v>
      </c>
      <c r="O87" s="137">
        <f>BE87</f>
        <v>18453</v>
      </c>
      <c r="P87" s="143">
        <f>(AZ100*AZ87+BA100*BA87)/(AZ100+BA100)</f>
        <v>23530.943005181347</v>
      </c>
      <c r="Q87" s="137">
        <f>'2008'!AU87</f>
        <v>31866</v>
      </c>
      <c r="R87" s="143">
        <f>(AT100*AT87+AX100*AX87)/(AT100+AX100)</f>
        <v>37102.306569343069</v>
      </c>
      <c r="S87" s="137">
        <f>AV87</f>
        <v>39737</v>
      </c>
      <c r="T87" s="137">
        <f>BB87</f>
        <v>20559</v>
      </c>
      <c r="U87" s="139">
        <f>BC87</f>
        <v>17982</v>
      </c>
      <c r="V87" s="143">
        <f>(BG100*BG87+BJ100*BJ87)/(BG100+BJ100)</f>
        <v>24275.736842105263</v>
      </c>
      <c r="W87" s="137">
        <f>BR87</f>
        <v>12683</v>
      </c>
      <c r="X87" s="143">
        <f>(BH100*BH87+BI100*BI87)/(BH100+BI100)</f>
        <v>24999.288659793816</v>
      </c>
      <c r="Y87" s="143">
        <f>(BK100*BK87+BL100*BL87+BN100*BN87)/(BK100+BL100+BN100)</f>
        <v>53894.228571428568</v>
      </c>
      <c r="Z87" s="137">
        <f>BM87</f>
        <v>10371</v>
      </c>
      <c r="AA87" s="143">
        <f>(BO100*BO87+BQ100*BQ87)/(BO100+BQ100)</f>
        <v>23102.758620689656</v>
      </c>
      <c r="AB87" s="139">
        <f>BP87</f>
        <v>14972</v>
      </c>
      <c r="AC87" s="137">
        <f>BX87</f>
        <v>12786</v>
      </c>
      <c r="AD87" s="137">
        <f>BU87</f>
        <v>24012</v>
      </c>
      <c r="AE87" s="143">
        <f>(BS100*BS87+BT100*BT87)/(BS100+BT100)</f>
        <v>22244.947368421053</v>
      </c>
      <c r="AF87" s="137">
        <f>CA87</f>
        <v>15497</v>
      </c>
      <c r="AG87" s="137">
        <f>BV87</f>
        <v>19133</v>
      </c>
      <c r="AH87" s="137">
        <f>BZ87</f>
        <v>13687</v>
      </c>
      <c r="AI87" s="137">
        <f>BW87</f>
        <v>11304</v>
      </c>
      <c r="AJ87" s="137">
        <f>BY87</f>
        <v>8438</v>
      </c>
      <c r="AK87" s="139">
        <f>CB87</f>
        <v>12780</v>
      </c>
      <c r="AL87" s="137">
        <f>CE87</f>
        <v>11622</v>
      </c>
      <c r="AM87" s="137">
        <f>CH87</f>
        <v>20292</v>
      </c>
      <c r="AN87" s="137">
        <f>CJ87</f>
        <v>17940</v>
      </c>
      <c r="AO87" s="137">
        <f>CC87</f>
        <v>12849</v>
      </c>
      <c r="AP87" s="137">
        <f>CD87</f>
        <v>24704</v>
      </c>
      <c r="AQ87" s="137">
        <f>CK87</f>
        <v>13410</v>
      </c>
      <c r="AR87" s="137">
        <f>CI87</f>
        <v>24132</v>
      </c>
      <c r="AS87" s="144">
        <f>(CF100*CF87+CG100*CG87)/(CF100+CG100)</f>
        <v>25454.942084942086</v>
      </c>
      <c r="AT87" s="137">
        <v>97762</v>
      </c>
      <c r="AU87" s="151">
        <v>36750</v>
      </c>
      <c r="AV87" s="151">
        <v>39737</v>
      </c>
      <c r="AW87" s="151">
        <v>22929</v>
      </c>
      <c r="AX87" s="151">
        <v>34324</v>
      </c>
      <c r="AY87" s="151">
        <v>27818</v>
      </c>
      <c r="AZ87" s="151">
        <v>41022</v>
      </c>
      <c r="BA87" s="151">
        <v>21621</v>
      </c>
      <c r="BB87" s="151">
        <v>20559</v>
      </c>
      <c r="BC87" s="151">
        <v>17982</v>
      </c>
      <c r="BD87" s="151">
        <v>12363</v>
      </c>
      <c r="BE87" s="151">
        <v>18453</v>
      </c>
      <c r="BF87" s="153">
        <v>16636</v>
      </c>
      <c r="BG87" s="151">
        <v>14109</v>
      </c>
      <c r="BH87" s="151">
        <v>37743</v>
      </c>
      <c r="BI87" s="151">
        <v>24731</v>
      </c>
      <c r="BJ87" s="151">
        <v>26182</v>
      </c>
      <c r="BK87" s="151">
        <v>119753</v>
      </c>
      <c r="BL87" s="151">
        <v>73064</v>
      </c>
      <c r="BM87" s="151">
        <v>10371</v>
      </c>
      <c r="BN87" s="151">
        <v>39097</v>
      </c>
      <c r="BO87" s="151">
        <v>65796</v>
      </c>
      <c r="BP87" s="151">
        <v>14972</v>
      </c>
      <c r="BQ87" s="151">
        <v>21578</v>
      </c>
      <c r="BR87" s="153">
        <v>12683</v>
      </c>
      <c r="BS87" s="151">
        <v>28446</v>
      </c>
      <c r="BT87" s="151">
        <v>21596</v>
      </c>
      <c r="BU87" s="151">
        <v>24012</v>
      </c>
      <c r="BV87" s="151">
        <v>19133</v>
      </c>
      <c r="BW87" s="151">
        <v>11304</v>
      </c>
      <c r="BX87" s="151">
        <v>12786</v>
      </c>
      <c r="BY87" s="151">
        <v>8438</v>
      </c>
      <c r="BZ87" s="151">
        <v>13687</v>
      </c>
      <c r="CA87" s="151">
        <v>15497</v>
      </c>
      <c r="CB87" s="153">
        <v>12780</v>
      </c>
      <c r="CC87" s="151">
        <v>12849</v>
      </c>
      <c r="CD87" s="151">
        <v>24704</v>
      </c>
      <c r="CE87" s="151">
        <v>11622</v>
      </c>
      <c r="CF87" s="151">
        <v>48200</v>
      </c>
      <c r="CG87" s="151">
        <v>24730</v>
      </c>
      <c r="CH87" s="151">
        <v>20292</v>
      </c>
      <c r="CI87" s="151">
        <v>24132</v>
      </c>
      <c r="CJ87" s="151">
        <v>17940</v>
      </c>
      <c r="CK87" s="151">
        <v>13410</v>
      </c>
      <c r="CL87" s="140">
        <v>19673</v>
      </c>
    </row>
    <row r="88" spans="1:90">
      <c r="A88" s="80">
        <f>ROWS($A$3:A86)</f>
        <v>84</v>
      </c>
      <c r="B88" s="59" t="s">
        <v>190</v>
      </c>
      <c r="C88" s="202">
        <v>2010</v>
      </c>
      <c r="D88" s="259"/>
      <c r="E88" s="435"/>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c r="A89" s="80">
        <f>ROWS($A$3:A87)</f>
        <v>85</v>
      </c>
      <c r="B89" s="92" t="str">
        <f>'2012'!B89</f>
        <v>Winterweizen (einschl. Dinkel u. Einkorn)</v>
      </c>
      <c r="C89" s="205"/>
      <c r="D89" s="259" t="s">
        <v>192</v>
      </c>
      <c r="E89" s="471">
        <v>41499</v>
      </c>
      <c r="F89" s="170">
        <v>69.8</v>
      </c>
      <c r="G89" s="173">
        <v>66.599999999999994</v>
      </c>
      <c r="H89" s="173">
        <v>68.5</v>
      </c>
      <c r="I89" s="174">
        <v>69.7</v>
      </c>
      <c r="J89" s="173"/>
      <c r="K89" s="170">
        <f>BF89</f>
        <v>66.5</v>
      </c>
      <c r="L89" s="171">
        <f>AY89</f>
        <v>64.5</v>
      </c>
      <c r="M89" s="171">
        <f>BD89</f>
        <v>66.599999999999994</v>
      </c>
      <c r="N89" s="171">
        <f>AW89</f>
        <v>65.2</v>
      </c>
      <c r="O89" s="171">
        <f>BE89</f>
        <v>63.1</v>
      </c>
      <c r="P89" s="171">
        <f>BA89</f>
        <v>73.5</v>
      </c>
      <c r="Q89" s="171">
        <f>'2010'!AU89</f>
        <v>74.8</v>
      </c>
      <c r="R89" s="171">
        <f>AX89</f>
        <v>74</v>
      </c>
      <c r="S89" s="171">
        <f>AV89</f>
        <v>67.8</v>
      </c>
      <c r="T89" s="171">
        <f t="shared" ref="T89:U93" si="178">BB89</f>
        <v>69.2</v>
      </c>
      <c r="U89" s="172">
        <f t="shared" si="178"/>
        <v>72.900000000000006</v>
      </c>
      <c r="V89" s="171">
        <f>BJ89</f>
        <v>69.099999999999994</v>
      </c>
      <c r="W89" s="171">
        <f>BR89</f>
        <v>69.099999999999994</v>
      </c>
      <c r="X89" s="171">
        <f>BI89</f>
        <v>65.400000000000006</v>
      </c>
      <c r="Y89" s="171">
        <f>BN89</f>
        <v>71.900000000000006</v>
      </c>
      <c r="Z89" s="171">
        <f>BM89</f>
        <v>63.2</v>
      </c>
      <c r="AA89" s="171">
        <f>BQ89</f>
        <v>67.2</v>
      </c>
      <c r="AB89" s="172">
        <f>BP89</f>
        <v>63</v>
      </c>
      <c r="AC89" s="171">
        <f>BX89</f>
        <v>79.099999999999994</v>
      </c>
      <c r="AD89" s="171">
        <f>BU89</f>
        <v>58.3</v>
      </c>
      <c r="AE89" s="171">
        <f>BT89</f>
        <v>64.400000000000006</v>
      </c>
      <c r="AF89" s="171">
        <f>CA89</f>
        <v>64.599999999999994</v>
      </c>
      <c r="AG89" s="171">
        <f>BV89</f>
        <v>70.2</v>
      </c>
      <c r="AH89" s="171">
        <f>BZ89</f>
        <v>68.099999999999994</v>
      </c>
      <c r="AI89" s="171">
        <f>BW89</f>
        <v>70.099999999999994</v>
      </c>
      <c r="AJ89" s="171">
        <f>BY89</f>
        <v>64.2</v>
      </c>
      <c r="AK89" s="172">
        <f>CB89</f>
        <v>63.4</v>
      </c>
      <c r="AL89" s="171">
        <f>CE89</f>
        <v>63.6</v>
      </c>
      <c r="AM89" s="171">
        <f>CH89</f>
        <v>72.400000000000006</v>
      </c>
      <c r="AN89" s="171">
        <f>CJ89</f>
        <v>69.400000000000006</v>
      </c>
      <c r="AO89" s="171">
        <f t="shared" ref="AO89:AP93" si="179">CC89</f>
        <v>62.9</v>
      </c>
      <c r="AP89" s="171">
        <f t="shared" si="179"/>
        <v>65.7</v>
      </c>
      <c r="AQ89" s="171">
        <f>CK89</f>
        <v>68.900000000000006</v>
      </c>
      <c r="AR89" s="171">
        <f>CI89</f>
        <v>68.3</v>
      </c>
      <c r="AS89" s="174">
        <f>CG89</f>
        <v>72</v>
      </c>
      <c r="AT89" s="171" t="s">
        <v>58</v>
      </c>
      <c r="AU89" s="173">
        <v>74.8</v>
      </c>
      <c r="AV89" s="173">
        <v>67.8</v>
      </c>
      <c r="AW89" s="173">
        <v>65.2</v>
      </c>
      <c r="AX89" s="173">
        <v>74</v>
      </c>
      <c r="AY89" s="173">
        <v>64.5</v>
      </c>
      <c r="AZ89" s="171" t="s">
        <v>58</v>
      </c>
      <c r="BA89" s="173">
        <v>73.5</v>
      </c>
      <c r="BB89" s="173">
        <v>69.2</v>
      </c>
      <c r="BC89" s="173">
        <v>72.900000000000006</v>
      </c>
      <c r="BD89" s="173">
        <v>66.599999999999994</v>
      </c>
      <c r="BE89" s="173">
        <v>63.1</v>
      </c>
      <c r="BF89" s="172">
        <v>66.5</v>
      </c>
      <c r="BG89" s="171" t="s">
        <v>58</v>
      </c>
      <c r="BH89" s="171" t="s">
        <v>58</v>
      </c>
      <c r="BI89" s="173">
        <v>65.400000000000006</v>
      </c>
      <c r="BJ89" s="173">
        <v>69.099999999999994</v>
      </c>
      <c r="BK89" s="171" t="s">
        <v>58</v>
      </c>
      <c r="BL89" s="173" t="s">
        <v>58</v>
      </c>
      <c r="BM89" s="173">
        <v>63.2</v>
      </c>
      <c r="BN89" s="173">
        <v>71.900000000000006</v>
      </c>
      <c r="BO89" s="171" t="s">
        <v>58</v>
      </c>
      <c r="BP89" s="173">
        <v>63</v>
      </c>
      <c r="BQ89" s="173">
        <v>67.2</v>
      </c>
      <c r="BR89" s="172">
        <v>69.099999999999994</v>
      </c>
      <c r="BS89" s="171" t="s">
        <v>58</v>
      </c>
      <c r="BT89" s="173">
        <v>64.400000000000006</v>
      </c>
      <c r="BU89" s="173">
        <v>58.3</v>
      </c>
      <c r="BV89" s="173">
        <v>70.2</v>
      </c>
      <c r="BW89" s="173">
        <v>70.099999999999994</v>
      </c>
      <c r="BX89" s="173">
        <v>79.099999999999994</v>
      </c>
      <c r="BY89" s="173">
        <v>64.2</v>
      </c>
      <c r="BZ89" s="173">
        <v>68.099999999999994</v>
      </c>
      <c r="CA89" s="173">
        <v>64.599999999999994</v>
      </c>
      <c r="CB89" s="172">
        <v>63.4</v>
      </c>
      <c r="CC89" s="173">
        <v>62.9</v>
      </c>
      <c r="CD89" s="173">
        <v>65.7</v>
      </c>
      <c r="CE89" s="173">
        <v>63.6</v>
      </c>
      <c r="CF89" s="171" t="s">
        <v>58</v>
      </c>
      <c r="CG89" s="173">
        <v>72</v>
      </c>
      <c r="CH89" s="173">
        <v>72.400000000000006</v>
      </c>
      <c r="CI89" s="173">
        <v>68.3</v>
      </c>
      <c r="CJ89" s="173">
        <v>69.400000000000006</v>
      </c>
      <c r="CK89" s="174">
        <v>68.900000000000006</v>
      </c>
      <c r="CL89" s="175">
        <v>69</v>
      </c>
    </row>
    <row r="90" spans="1:90">
      <c r="A90" s="80">
        <f>ROWS($A$3:A88)</f>
        <v>86</v>
      </c>
      <c r="B90" s="92" t="s">
        <v>193</v>
      </c>
      <c r="C90" s="203"/>
      <c r="D90" s="259" t="s">
        <v>192</v>
      </c>
      <c r="E90" s="437">
        <v>40648</v>
      </c>
      <c r="F90" s="170">
        <v>700.6</v>
      </c>
      <c r="G90" s="173">
        <v>648.29999999999995</v>
      </c>
      <c r="H90" s="173">
        <v>629.70000000000005</v>
      </c>
      <c r="I90" s="174">
        <v>701.5</v>
      </c>
      <c r="J90" s="173"/>
      <c r="K90" s="170" t="str">
        <f>BF90</f>
        <v>-</v>
      </c>
      <c r="L90" s="171">
        <f>AY90</f>
        <v>656.9</v>
      </c>
      <c r="M90" s="171">
        <f>BD90</f>
        <v>633.6</v>
      </c>
      <c r="N90" s="171" t="str">
        <f>AW90</f>
        <v>-</v>
      </c>
      <c r="O90" s="171" t="str">
        <f>BE90</f>
        <v>-</v>
      </c>
      <c r="P90" s="171">
        <f>BA90</f>
        <v>723.3</v>
      </c>
      <c r="Q90" s="171">
        <f>'2010'!AU90</f>
        <v>745</v>
      </c>
      <c r="R90" s="171">
        <f>AX90</f>
        <v>701.7</v>
      </c>
      <c r="S90" s="171" t="str">
        <f>AV90</f>
        <v>-</v>
      </c>
      <c r="T90" s="171">
        <f t="shared" si="178"/>
        <v>658.3</v>
      </c>
      <c r="U90" s="172">
        <f t="shared" si="178"/>
        <v>616.6</v>
      </c>
      <c r="V90" s="171" t="str">
        <f>BJ90</f>
        <v>-</v>
      </c>
      <c r="W90" s="171" t="str">
        <f>BR90</f>
        <v>-</v>
      </c>
      <c r="X90" s="171">
        <f>BI90</f>
        <v>622.79999999999995</v>
      </c>
      <c r="Y90" s="171">
        <f>BN90</f>
        <v>664.5</v>
      </c>
      <c r="Z90" s="171">
        <f>BM90</f>
        <v>655.29999999999995</v>
      </c>
      <c r="AA90" s="171" t="str">
        <f>BQ90</f>
        <v>-</v>
      </c>
      <c r="AB90" s="172" t="str">
        <f>BP90</f>
        <v>-</v>
      </c>
      <c r="AC90" s="171" t="str">
        <f>BX90</f>
        <v>-</v>
      </c>
      <c r="AD90" s="171" t="str">
        <f>BU90</f>
        <v>-</v>
      </c>
      <c r="AE90" s="171" t="str">
        <f>BT90</f>
        <v>-</v>
      </c>
      <c r="AF90" s="171" t="str">
        <f>CA90</f>
        <v>-</v>
      </c>
      <c r="AG90" s="171" t="str">
        <f>BV90</f>
        <v>-</v>
      </c>
      <c r="AH90" s="171" t="str">
        <f>BZ90</f>
        <v>-</v>
      </c>
      <c r="AI90" s="171" t="str">
        <f>BW90</f>
        <v>-</v>
      </c>
      <c r="AJ90" s="171" t="str">
        <f>BY90</f>
        <v>-</v>
      </c>
      <c r="AK90" s="172" t="str">
        <f>CB90</f>
        <v>-</v>
      </c>
      <c r="AL90" s="171" t="str">
        <f>CE90</f>
        <v>-</v>
      </c>
      <c r="AM90" s="171">
        <f>CH90</f>
        <v>729.1</v>
      </c>
      <c r="AN90" s="171" t="str">
        <f>CJ90</f>
        <v>-</v>
      </c>
      <c r="AO90" s="171" t="str">
        <f t="shared" si="179"/>
        <v>-</v>
      </c>
      <c r="AP90" s="171" t="str">
        <f t="shared" si="179"/>
        <v>-</v>
      </c>
      <c r="AQ90" s="171" t="str">
        <f>CK90</f>
        <v>-</v>
      </c>
      <c r="AR90" s="171" t="str">
        <f>CI90</f>
        <v>-</v>
      </c>
      <c r="AS90" s="174">
        <f>CG90</f>
        <v>710.6</v>
      </c>
      <c r="AT90" s="171" t="s">
        <v>58</v>
      </c>
      <c r="AU90" s="173">
        <v>745</v>
      </c>
      <c r="AV90" s="171" t="s">
        <v>58</v>
      </c>
      <c r="AW90" s="173" t="s">
        <v>58</v>
      </c>
      <c r="AX90" s="173">
        <v>701.7</v>
      </c>
      <c r="AY90" s="173">
        <v>656.9</v>
      </c>
      <c r="AZ90" s="171" t="s">
        <v>58</v>
      </c>
      <c r="BA90" s="173">
        <v>723.3</v>
      </c>
      <c r="BB90" s="173">
        <v>658.3</v>
      </c>
      <c r="BC90" s="173">
        <v>616.6</v>
      </c>
      <c r="BD90" s="173">
        <v>633.6</v>
      </c>
      <c r="BE90" s="171" t="s">
        <v>58</v>
      </c>
      <c r="BF90" s="172" t="s">
        <v>58</v>
      </c>
      <c r="BG90" s="171" t="s">
        <v>58</v>
      </c>
      <c r="BH90" s="171" t="s">
        <v>58</v>
      </c>
      <c r="BI90" s="173">
        <v>622.79999999999995</v>
      </c>
      <c r="BJ90" s="173" t="s">
        <v>58</v>
      </c>
      <c r="BK90" s="171" t="s">
        <v>58</v>
      </c>
      <c r="BL90" s="173" t="s">
        <v>58</v>
      </c>
      <c r="BM90" s="173">
        <v>655.29999999999995</v>
      </c>
      <c r="BN90" s="173">
        <v>664.5</v>
      </c>
      <c r="BO90" s="171" t="s">
        <v>58</v>
      </c>
      <c r="BP90" s="171" t="s">
        <v>58</v>
      </c>
      <c r="BQ90" s="171" t="s">
        <v>58</v>
      </c>
      <c r="BR90" s="172" t="s">
        <v>58</v>
      </c>
      <c r="BS90" s="171" t="s">
        <v>58</v>
      </c>
      <c r="BT90" s="173" t="s">
        <v>58</v>
      </c>
      <c r="BU90" s="173" t="s">
        <v>58</v>
      </c>
      <c r="BV90" s="173" t="s">
        <v>58</v>
      </c>
      <c r="BW90" s="173" t="s">
        <v>58</v>
      </c>
      <c r="BX90" s="173" t="s">
        <v>58</v>
      </c>
      <c r="BY90" s="173" t="s">
        <v>58</v>
      </c>
      <c r="BZ90" s="173" t="s">
        <v>58</v>
      </c>
      <c r="CA90" s="173" t="s">
        <v>58</v>
      </c>
      <c r="CB90" s="172" t="s">
        <v>58</v>
      </c>
      <c r="CC90" s="173" t="s">
        <v>58</v>
      </c>
      <c r="CD90" s="173" t="s">
        <v>58</v>
      </c>
      <c r="CE90" s="173" t="s">
        <v>58</v>
      </c>
      <c r="CF90" s="171" t="s">
        <v>58</v>
      </c>
      <c r="CG90" s="173">
        <v>710.6</v>
      </c>
      <c r="CH90" s="173">
        <v>729.1</v>
      </c>
      <c r="CI90" s="171" t="s">
        <v>58</v>
      </c>
      <c r="CJ90" s="173" t="s">
        <v>58</v>
      </c>
      <c r="CK90" s="174" t="s">
        <v>58</v>
      </c>
      <c r="CL90" s="189">
        <v>689.9</v>
      </c>
    </row>
    <row r="91" spans="1:90">
      <c r="A91" s="80">
        <f>ROWS($A$3:A89)</f>
        <v>87</v>
      </c>
      <c r="B91" s="92" t="s">
        <v>194</v>
      </c>
      <c r="C91" s="203"/>
      <c r="D91" s="259" t="s">
        <v>192</v>
      </c>
      <c r="E91" s="437">
        <v>40648</v>
      </c>
      <c r="F91" s="170">
        <v>38.5</v>
      </c>
      <c r="G91" s="171">
        <v>40</v>
      </c>
      <c r="H91" s="171">
        <v>40.799999999999997</v>
      </c>
      <c r="I91" s="174">
        <v>37.6</v>
      </c>
      <c r="J91" s="173"/>
      <c r="K91" s="170">
        <f>BF91</f>
        <v>34.9</v>
      </c>
      <c r="L91" s="171">
        <f>AY91</f>
        <v>38.4</v>
      </c>
      <c r="M91" s="171">
        <f>BD91</f>
        <v>36.6</v>
      </c>
      <c r="N91" s="171">
        <f>AW91</f>
        <v>39.299999999999997</v>
      </c>
      <c r="O91" s="171">
        <f>BE91</f>
        <v>35.799999999999997</v>
      </c>
      <c r="P91" s="171">
        <f>BA91</f>
        <v>43</v>
      </c>
      <c r="Q91" s="171">
        <f>'2010'!AU91</f>
        <v>39.6</v>
      </c>
      <c r="R91" s="171">
        <f>AX91</f>
        <v>41.4</v>
      </c>
      <c r="S91" s="171">
        <f>AV91</f>
        <v>42.1</v>
      </c>
      <c r="T91" s="171">
        <f t="shared" si="178"/>
        <v>38.299999999999997</v>
      </c>
      <c r="U91" s="172">
        <f t="shared" si="178"/>
        <v>40.4</v>
      </c>
      <c r="V91" s="171">
        <f>BJ91</f>
        <v>44.1</v>
      </c>
      <c r="W91" s="171">
        <f>BR91</f>
        <v>39.700000000000003</v>
      </c>
      <c r="X91" s="171">
        <f>BI91</f>
        <v>44.1</v>
      </c>
      <c r="Y91" s="171">
        <f>BN91</f>
        <v>41.8</v>
      </c>
      <c r="Z91" s="171">
        <f>BM91</f>
        <v>37.799999999999997</v>
      </c>
      <c r="AA91" s="171">
        <f>BQ91</f>
        <v>37.700000000000003</v>
      </c>
      <c r="AB91" s="172">
        <f>BP91</f>
        <v>41.2</v>
      </c>
      <c r="AC91" s="171" t="str">
        <f>BX91</f>
        <v>-</v>
      </c>
      <c r="AD91" s="171" t="str">
        <f>BU91</f>
        <v>-</v>
      </c>
      <c r="AE91" s="171">
        <f>BT91</f>
        <v>40.200000000000003</v>
      </c>
      <c r="AF91" s="171" t="str">
        <f>CA91</f>
        <v>-</v>
      </c>
      <c r="AG91" s="171">
        <f>BV91</f>
        <v>40.299999999999997</v>
      </c>
      <c r="AH91" s="171">
        <f>BZ91</f>
        <v>29.7</v>
      </c>
      <c r="AI91" s="171">
        <f>BW91</f>
        <v>38.5</v>
      </c>
      <c r="AJ91" s="171">
        <f>BY91</f>
        <v>41.9</v>
      </c>
      <c r="AK91" s="172">
        <f>CB91</f>
        <v>36</v>
      </c>
      <c r="AL91" s="171">
        <f>CE91</f>
        <v>38.200000000000003</v>
      </c>
      <c r="AM91" s="171">
        <f>CH91</f>
        <v>36.5</v>
      </c>
      <c r="AN91" s="171">
        <f>CJ91</f>
        <v>37.6</v>
      </c>
      <c r="AO91" s="171">
        <f t="shared" si="179"/>
        <v>36.5</v>
      </c>
      <c r="AP91" s="171">
        <f t="shared" si="179"/>
        <v>39.799999999999997</v>
      </c>
      <c r="AQ91" s="171">
        <f>CK91</f>
        <v>38.200000000000003</v>
      </c>
      <c r="AR91" s="171">
        <f>CI91</f>
        <v>38</v>
      </c>
      <c r="AS91" s="174">
        <f>CG91</f>
        <v>37.6</v>
      </c>
      <c r="AT91" s="171" t="s">
        <v>58</v>
      </c>
      <c r="AU91" s="171">
        <v>39.6</v>
      </c>
      <c r="AV91" s="171">
        <v>42.1</v>
      </c>
      <c r="AW91" s="173">
        <v>39.299999999999997</v>
      </c>
      <c r="AX91" s="171">
        <v>41.4</v>
      </c>
      <c r="AY91" s="173">
        <v>38.4</v>
      </c>
      <c r="AZ91" s="171" t="s">
        <v>58</v>
      </c>
      <c r="BA91" s="173">
        <v>43</v>
      </c>
      <c r="BB91" s="173">
        <v>38.299999999999997</v>
      </c>
      <c r="BC91" s="173">
        <v>40.4</v>
      </c>
      <c r="BD91" s="173">
        <v>36.6</v>
      </c>
      <c r="BE91" s="173">
        <v>35.799999999999997</v>
      </c>
      <c r="BF91" s="172">
        <v>34.9</v>
      </c>
      <c r="BG91" s="171" t="s">
        <v>58</v>
      </c>
      <c r="BH91" s="171" t="s">
        <v>58</v>
      </c>
      <c r="BI91" s="173">
        <v>44.1</v>
      </c>
      <c r="BJ91" s="173">
        <v>44.1</v>
      </c>
      <c r="BK91" s="171" t="s">
        <v>58</v>
      </c>
      <c r="BL91" s="173" t="s">
        <v>58</v>
      </c>
      <c r="BM91" s="171">
        <v>37.799999999999997</v>
      </c>
      <c r="BN91" s="171">
        <v>41.8</v>
      </c>
      <c r="BO91" s="171" t="s">
        <v>58</v>
      </c>
      <c r="BP91" s="173">
        <v>41.2</v>
      </c>
      <c r="BQ91" s="171">
        <v>37.700000000000003</v>
      </c>
      <c r="BR91" s="172">
        <v>39.700000000000003</v>
      </c>
      <c r="BS91" s="171" t="s">
        <v>58</v>
      </c>
      <c r="BT91" s="173">
        <v>40.200000000000003</v>
      </c>
      <c r="BU91" s="171" t="s">
        <v>58</v>
      </c>
      <c r="BV91" s="173">
        <v>40.299999999999997</v>
      </c>
      <c r="BW91" s="173">
        <v>38.5</v>
      </c>
      <c r="BX91" s="173" t="s">
        <v>58</v>
      </c>
      <c r="BY91" s="173">
        <v>41.9</v>
      </c>
      <c r="BZ91" s="173">
        <v>29.7</v>
      </c>
      <c r="CA91" s="171" t="s">
        <v>58</v>
      </c>
      <c r="CB91" s="172">
        <v>36</v>
      </c>
      <c r="CC91" s="173">
        <v>36.5</v>
      </c>
      <c r="CD91" s="173">
        <v>39.799999999999997</v>
      </c>
      <c r="CE91" s="173">
        <v>38.200000000000003</v>
      </c>
      <c r="CF91" s="171" t="s">
        <v>58</v>
      </c>
      <c r="CG91" s="173">
        <v>37.6</v>
      </c>
      <c r="CH91" s="173">
        <v>36.5</v>
      </c>
      <c r="CI91" s="173">
        <v>38</v>
      </c>
      <c r="CJ91" s="173">
        <v>37.6</v>
      </c>
      <c r="CK91" s="174">
        <v>38.200000000000003</v>
      </c>
      <c r="CL91" s="189">
        <v>38.799999999999997</v>
      </c>
    </row>
    <row r="92" spans="1:90">
      <c r="A92" s="80">
        <f>ROWS($A$3:A90)</f>
        <v>88</v>
      </c>
      <c r="B92" s="92" t="s">
        <v>195</v>
      </c>
      <c r="C92" s="203"/>
      <c r="D92" s="259" t="s">
        <v>192</v>
      </c>
      <c r="E92" s="437">
        <v>40648</v>
      </c>
      <c r="F92" s="170">
        <v>452</v>
      </c>
      <c r="G92" s="173">
        <v>435.2</v>
      </c>
      <c r="H92" s="173">
        <v>450.5</v>
      </c>
      <c r="I92" s="174">
        <v>426.3</v>
      </c>
      <c r="J92" s="173"/>
      <c r="K92" s="170">
        <f>BF92</f>
        <v>453.2</v>
      </c>
      <c r="L92" s="171">
        <f>AY92</f>
        <v>424.1</v>
      </c>
      <c r="M92" s="171">
        <f>BD92</f>
        <v>418.3</v>
      </c>
      <c r="N92" s="171">
        <f>AW92</f>
        <v>450.8</v>
      </c>
      <c r="O92" s="171">
        <f>BE92</f>
        <v>479</v>
      </c>
      <c r="P92" s="171">
        <f>BA92</f>
        <v>461.7</v>
      </c>
      <c r="Q92" s="171">
        <f>'2010'!AU92</f>
        <v>438.9</v>
      </c>
      <c r="R92" s="171">
        <f>AX92</f>
        <v>478.3</v>
      </c>
      <c r="S92" s="171">
        <f>AV92</f>
        <v>453.7</v>
      </c>
      <c r="T92" s="171">
        <f t="shared" si="178"/>
        <v>456.3</v>
      </c>
      <c r="U92" s="172">
        <f t="shared" si="178"/>
        <v>449.1</v>
      </c>
      <c r="V92" s="171">
        <f>BJ92</f>
        <v>404.6</v>
      </c>
      <c r="W92" s="171">
        <f>BR92</f>
        <v>526.1</v>
      </c>
      <c r="X92" s="171">
        <f>BI92</f>
        <v>446.1</v>
      </c>
      <c r="Y92" s="171">
        <f>BN92</f>
        <v>426.2</v>
      </c>
      <c r="Z92" s="171">
        <f>BM92</f>
        <v>401.9</v>
      </c>
      <c r="AA92" s="171">
        <f>BQ92</f>
        <v>438.9</v>
      </c>
      <c r="AB92" s="172">
        <f>BP92</f>
        <v>458.5</v>
      </c>
      <c r="AC92" s="171" t="str">
        <f>BX92</f>
        <v>-</v>
      </c>
      <c r="AD92" s="171" t="str">
        <f>BU92</f>
        <v>-</v>
      </c>
      <c r="AE92" s="171">
        <f>BT92</f>
        <v>432.8</v>
      </c>
      <c r="AF92" s="171">
        <f>CA92</f>
        <v>474</v>
      </c>
      <c r="AG92" s="171">
        <f>BV92</f>
        <v>482.1</v>
      </c>
      <c r="AH92" s="171">
        <f>BZ92</f>
        <v>462.8</v>
      </c>
      <c r="AI92" s="171">
        <f>BW92</f>
        <v>412.2</v>
      </c>
      <c r="AJ92" s="171">
        <f>BY92</f>
        <v>500.2</v>
      </c>
      <c r="AK92" s="172">
        <f>CB92</f>
        <v>434.6</v>
      </c>
      <c r="AL92" s="171">
        <f>CE92</f>
        <v>388.2</v>
      </c>
      <c r="AM92" s="171">
        <f>CH92</f>
        <v>406.1</v>
      </c>
      <c r="AN92" s="171">
        <f>CJ92</f>
        <v>415.8</v>
      </c>
      <c r="AO92" s="171">
        <f t="shared" si="179"/>
        <v>358.1</v>
      </c>
      <c r="AP92" s="171">
        <f t="shared" si="179"/>
        <v>429.5</v>
      </c>
      <c r="AQ92" s="171">
        <f>CK92</f>
        <v>440.7</v>
      </c>
      <c r="AR92" s="171">
        <f>CI92</f>
        <v>535.70000000000005</v>
      </c>
      <c r="AS92" s="174">
        <f>CG92</f>
        <v>458.1</v>
      </c>
      <c r="AT92" s="171" t="s">
        <v>58</v>
      </c>
      <c r="AU92" s="173">
        <v>438.9</v>
      </c>
      <c r="AV92" s="173">
        <v>453.7</v>
      </c>
      <c r="AW92" s="173">
        <v>450.8</v>
      </c>
      <c r="AX92" s="173">
        <v>478.3</v>
      </c>
      <c r="AY92" s="173">
        <v>424.1</v>
      </c>
      <c r="AZ92" s="171" t="s">
        <v>58</v>
      </c>
      <c r="BA92" s="173">
        <v>461.7</v>
      </c>
      <c r="BB92" s="173">
        <v>456.3</v>
      </c>
      <c r="BC92" s="173">
        <v>449.1</v>
      </c>
      <c r="BD92" s="173">
        <v>418.3</v>
      </c>
      <c r="BE92" s="173">
        <v>479</v>
      </c>
      <c r="BF92" s="172">
        <v>453.2</v>
      </c>
      <c r="BG92" s="171" t="s">
        <v>58</v>
      </c>
      <c r="BH92" s="171" t="s">
        <v>58</v>
      </c>
      <c r="BI92" s="173">
        <v>446.1</v>
      </c>
      <c r="BJ92" s="173">
        <v>404.6</v>
      </c>
      <c r="BK92" s="171" t="s">
        <v>58</v>
      </c>
      <c r="BL92" s="173" t="s">
        <v>58</v>
      </c>
      <c r="BM92" s="173">
        <v>401.9</v>
      </c>
      <c r="BN92" s="173">
        <v>426.2</v>
      </c>
      <c r="BO92" s="171" t="s">
        <v>58</v>
      </c>
      <c r="BP92" s="173">
        <v>458.5</v>
      </c>
      <c r="BQ92" s="173">
        <v>438.9</v>
      </c>
      <c r="BR92" s="172">
        <v>526.1</v>
      </c>
      <c r="BS92" s="171" t="s">
        <v>58</v>
      </c>
      <c r="BT92" s="173">
        <v>432.8</v>
      </c>
      <c r="BU92" s="171" t="s">
        <v>58</v>
      </c>
      <c r="BV92" s="173">
        <v>482.1</v>
      </c>
      <c r="BW92" s="173">
        <v>412.2</v>
      </c>
      <c r="BX92" s="173" t="s">
        <v>58</v>
      </c>
      <c r="BY92" s="173">
        <v>500.2</v>
      </c>
      <c r="BZ92" s="173">
        <v>462.8</v>
      </c>
      <c r="CA92" s="173">
        <v>474</v>
      </c>
      <c r="CB92" s="172">
        <v>434.6</v>
      </c>
      <c r="CC92" s="173">
        <v>358.1</v>
      </c>
      <c r="CD92" s="173">
        <v>429.5</v>
      </c>
      <c r="CE92" s="173">
        <v>388.2</v>
      </c>
      <c r="CF92" s="171" t="s">
        <v>58</v>
      </c>
      <c r="CG92" s="173">
        <v>458.1</v>
      </c>
      <c r="CH92" s="173">
        <v>406.1</v>
      </c>
      <c r="CI92" s="173">
        <v>535.70000000000005</v>
      </c>
      <c r="CJ92" s="173">
        <v>415.8</v>
      </c>
      <c r="CK92" s="174">
        <v>440.7</v>
      </c>
      <c r="CL92" s="189">
        <v>439.1</v>
      </c>
    </row>
    <row r="93" spans="1:90">
      <c r="A93" s="80">
        <f>ROWS($A$3:A91)</f>
        <v>89</v>
      </c>
      <c r="B93" s="54" t="s">
        <v>94</v>
      </c>
      <c r="C93" s="202"/>
      <c r="D93" s="259" t="s">
        <v>3</v>
      </c>
      <c r="E93" s="437"/>
      <c r="F93" s="117">
        <v>0.37</v>
      </c>
      <c r="G93" s="118">
        <v>0.37</v>
      </c>
      <c r="H93" s="118">
        <v>0.69</v>
      </c>
      <c r="I93" s="119">
        <v>0.54</v>
      </c>
      <c r="J93" s="122"/>
      <c r="K93" s="117">
        <f>BF93</f>
        <v>0.97</v>
      </c>
      <c r="L93" s="118">
        <f>AY93</f>
        <v>0.64</v>
      </c>
      <c r="M93" s="118">
        <f>BD93</f>
        <v>0.66</v>
      </c>
      <c r="N93" s="118">
        <f>AW93</f>
        <v>0.75</v>
      </c>
      <c r="O93" s="118">
        <f>BE93</f>
        <v>0.52</v>
      </c>
      <c r="P93" s="190">
        <f>(AZ35*AZ93+BA35*BA93)/P35</f>
        <v>7.424074935000087E-2</v>
      </c>
      <c r="Q93" s="118">
        <f>'2010'!AU93</f>
        <v>0.51</v>
      </c>
      <c r="R93" s="190">
        <f>(AT35*AT93+AX35*AX93)/R35</f>
        <v>0</v>
      </c>
      <c r="S93" s="118">
        <f>AV93</f>
        <v>0.59</v>
      </c>
      <c r="T93" s="118">
        <f t="shared" si="178"/>
        <v>0.51</v>
      </c>
      <c r="U93" s="120">
        <f t="shared" si="178"/>
        <v>0.93</v>
      </c>
      <c r="V93" s="190">
        <f>(BG35*BG93+BJ35*BJ93)/V35</f>
        <v>0.1739520808635428</v>
      </c>
      <c r="W93" s="118">
        <f>BR93</f>
        <v>0.82</v>
      </c>
      <c r="X93" s="190">
        <f>(BH35*BH93+BI35*BI93)/X35</f>
        <v>3.7476574635466248E-2</v>
      </c>
      <c r="Y93" s="190">
        <f>(BK35*BK93+BL35*BL93+BN35*BN93)/Y35</f>
        <v>6.2762376700481515E-2</v>
      </c>
      <c r="Z93" s="118">
        <f>BM93</f>
        <v>0.65</v>
      </c>
      <c r="AA93" s="190">
        <f>(BO35*BO93+BQ35*BQ93)/AA35</f>
        <v>0.41887775352252427</v>
      </c>
      <c r="AB93" s="120">
        <f>BP93</f>
        <v>0.74</v>
      </c>
      <c r="AC93" s="118">
        <f>BX93</f>
        <v>0.96</v>
      </c>
      <c r="AD93" s="118">
        <f>BU93</f>
        <v>0.46</v>
      </c>
      <c r="AE93" s="190">
        <f>(BS35*BS93+BT35*BT93)/AE35</f>
        <v>0.48083499539736113</v>
      </c>
      <c r="AF93" s="118">
        <f>CA93</f>
        <v>0.56999999999999995</v>
      </c>
      <c r="AG93" s="118">
        <f>BV93</f>
        <v>0.38</v>
      </c>
      <c r="AH93" s="118">
        <f>BZ93</f>
        <v>0.59</v>
      </c>
      <c r="AI93" s="118">
        <f>BW93</f>
        <v>1</v>
      </c>
      <c r="AJ93" s="118">
        <f>BY93</f>
        <v>1</v>
      </c>
      <c r="AK93" s="120">
        <f>CB93</f>
        <v>1</v>
      </c>
      <c r="AL93" s="118">
        <f>CE93</f>
        <v>0.98</v>
      </c>
      <c r="AM93" s="118">
        <f>CH93</f>
        <v>0.15</v>
      </c>
      <c r="AN93" s="118">
        <f>CJ93</f>
        <v>0.57999999999999996</v>
      </c>
      <c r="AO93" s="118">
        <f t="shared" si="179"/>
        <v>0.98</v>
      </c>
      <c r="AP93" s="118">
        <f t="shared" si="179"/>
        <v>0.53</v>
      </c>
      <c r="AQ93" s="118">
        <f>CK93</f>
        <v>0.73</v>
      </c>
      <c r="AR93" s="118">
        <f>CI93</f>
        <v>0.26</v>
      </c>
      <c r="AS93" s="191">
        <f>(CF35*CF93+CG35*CG93)/AS35</f>
        <v>0.41793752620012448</v>
      </c>
      <c r="AT93" s="118">
        <v>0</v>
      </c>
      <c r="AU93" s="118">
        <v>0.51</v>
      </c>
      <c r="AV93" s="118">
        <v>0.59</v>
      </c>
      <c r="AW93" s="118">
        <v>0.75</v>
      </c>
      <c r="AX93" s="118">
        <v>0</v>
      </c>
      <c r="AY93" s="118">
        <v>0.64</v>
      </c>
      <c r="AZ93" s="118">
        <v>0</v>
      </c>
      <c r="BA93" s="118">
        <v>0.08</v>
      </c>
      <c r="BB93" s="118">
        <v>0.51</v>
      </c>
      <c r="BC93" s="118">
        <v>0.93</v>
      </c>
      <c r="BD93" s="118">
        <v>0.66</v>
      </c>
      <c r="BE93" s="118">
        <v>0.52</v>
      </c>
      <c r="BF93" s="120">
        <v>0.97</v>
      </c>
      <c r="BG93" s="118">
        <v>0.69</v>
      </c>
      <c r="BH93" s="118">
        <v>0</v>
      </c>
      <c r="BI93" s="118">
        <v>0.04</v>
      </c>
      <c r="BJ93" s="118">
        <v>0.12</v>
      </c>
      <c r="BK93" s="118">
        <v>0.01</v>
      </c>
      <c r="BL93" s="118">
        <v>0</v>
      </c>
      <c r="BM93" s="118">
        <v>0.65</v>
      </c>
      <c r="BN93" s="118">
        <v>7.0000000000000007E-2</v>
      </c>
      <c r="BO93" s="118">
        <v>0.21</v>
      </c>
      <c r="BP93" s="118">
        <v>0.74</v>
      </c>
      <c r="BQ93" s="118">
        <v>0.43</v>
      </c>
      <c r="BR93" s="120">
        <v>0.82</v>
      </c>
      <c r="BS93" s="118">
        <v>0.21</v>
      </c>
      <c r="BT93" s="118">
        <v>0.5</v>
      </c>
      <c r="BU93" s="118">
        <v>0.46</v>
      </c>
      <c r="BV93" s="118">
        <v>0.38</v>
      </c>
      <c r="BW93" s="118">
        <v>1</v>
      </c>
      <c r="BX93" s="118">
        <v>0.96</v>
      </c>
      <c r="BY93" s="118">
        <v>1</v>
      </c>
      <c r="BZ93" s="118">
        <v>0.59</v>
      </c>
      <c r="CA93" s="118">
        <v>0.56999999999999995</v>
      </c>
      <c r="CB93" s="120">
        <v>1</v>
      </c>
      <c r="CC93" s="118">
        <v>0.98</v>
      </c>
      <c r="CD93" s="118">
        <v>0.53</v>
      </c>
      <c r="CE93" s="118">
        <v>0.98</v>
      </c>
      <c r="CF93" s="118">
        <v>7.0000000000000007E-2</v>
      </c>
      <c r="CG93" s="118">
        <v>0.44</v>
      </c>
      <c r="CH93" s="118">
        <v>0.15</v>
      </c>
      <c r="CI93" s="118">
        <v>0.26</v>
      </c>
      <c r="CJ93" s="118">
        <v>0.57999999999999996</v>
      </c>
      <c r="CK93" s="119">
        <v>0.73</v>
      </c>
      <c r="CL93" s="121">
        <v>0.56999999999999995</v>
      </c>
    </row>
    <row r="94" spans="1:90">
      <c r="A94" s="80">
        <f>ROWS($A$3:A92)</f>
        <v>90</v>
      </c>
      <c r="B94" s="59" t="s">
        <v>247</v>
      </c>
      <c r="C94" s="203"/>
      <c r="D94" s="259"/>
      <c r="E94" s="437"/>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c r="A95" s="80">
        <f>ROWS($A$3:A94)</f>
        <v>92</v>
      </c>
      <c r="B95" s="236" t="s">
        <v>95</v>
      </c>
      <c r="C95" s="203">
        <v>2010</v>
      </c>
      <c r="D95" s="259" t="s">
        <v>10</v>
      </c>
      <c r="E95" s="437"/>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BA95</f>
        <v>27400</v>
      </c>
      <c r="Q95" s="137">
        <f>'2010'!AU95</f>
        <v>17100</v>
      </c>
      <c r="R95" s="137">
        <f>AX95</f>
        <v>28800</v>
      </c>
      <c r="S95" s="137">
        <f>AV95</f>
        <v>12300</v>
      </c>
      <c r="T95" s="137">
        <f t="shared" ref="T95:U98" si="180">BB95</f>
        <v>43200</v>
      </c>
      <c r="U95" s="139">
        <f t="shared" si="180"/>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81">CC95</f>
        <v>49800</v>
      </c>
      <c r="AP95" s="137">
        <f t="shared" si="181"/>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c r="A96" s="80">
        <f>ROWS($A$3:A94)</f>
        <v>92</v>
      </c>
      <c r="B96" s="92" t="s">
        <v>96</v>
      </c>
      <c r="C96" s="198">
        <v>2010</v>
      </c>
      <c r="D96" s="259" t="s">
        <v>10</v>
      </c>
      <c r="E96" s="437">
        <v>40683</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BA96</f>
        <v>26046</v>
      </c>
      <c r="Q96" s="137">
        <f>'2010'!AU96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0">
      <c r="A97" s="80">
        <f>ROWS($A$3:A95)</f>
        <v>93</v>
      </c>
      <c r="B97" s="55" t="s">
        <v>77</v>
      </c>
      <c r="C97" s="202">
        <v>2001</v>
      </c>
      <c r="D97" s="259" t="s">
        <v>13</v>
      </c>
      <c r="E97" s="437">
        <v>40441</v>
      </c>
      <c r="F97" s="154">
        <v>122737</v>
      </c>
      <c r="G97" s="155">
        <v>30239</v>
      </c>
      <c r="H97" s="155">
        <v>82089</v>
      </c>
      <c r="I97" s="156">
        <v>186831</v>
      </c>
      <c r="J97" s="281"/>
      <c r="K97" s="157">
        <f>BF97</f>
        <v>29042</v>
      </c>
      <c r="L97" s="113">
        <f>AY97</f>
        <v>8671</v>
      </c>
      <c r="M97" s="113">
        <f>BD97</f>
        <v>9647</v>
      </c>
      <c r="N97" s="113">
        <f>AW97</f>
        <v>12155</v>
      </c>
      <c r="O97" s="113">
        <f>BE97</f>
        <v>8882</v>
      </c>
      <c r="P97" s="113">
        <f>AZ97+BA97</f>
        <v>6750</v>
      </c>
      <c r="Q97" s="113">
        <f>'2010'!AU97</f>
        <v>3596</v>
      </c>
      <c r="R97" s="113">
        <f>AT97+AX97</f>
        <v>6359</v>
      </c>
      <c r="S97" s="113">
        <f>AV97</f>
        <v>3597</v>
      </c>
      <c r="T97" s="113">
        <f t="shared" si="180"/>
        <v>9048</v>
      </c>
      <c r="U97" s="112">
        <f t="shared" si="180"/>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81"/>
        <v>10463</v>
      </c>
      <c r="AP97" s="113">
        <f t="shared" si="181"/>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c r="A98" s="80">
        <f>ROWS($A$3:A96)</f>
        <v>94</v>
      </c>
      <c r="B98" s="55" t="s">
        <v>96</v>
      </c>
      <c r="C98" s="205">
        <f>C97</f>
        <v>2001</v>
      </c>
      <c r="D98" s="259" t="s">
        <v>10</v>
      </c>
      <c r="E98" s="437">
        <v>40441</v>
      </c>
      <c r="F98" s="154">
        <v>618865</v>
      </c>
      <c r="G98" s="155">
        <v>149025</v>
      </c>
      <c r="H98" s="155">
        <v>366598</v>
      </c>
      <c r="I98" s="156">
        <v>1009287</v>
      </c>
      <c r="J98" s="281"/>
      <c r="K98" s="157">
        <f>BF98</f>
        <v>150712</v>
      </c>
      <c r="L98" s="113">
        <f>AY98</f>
        <v>42810</v>
      </c>
      <c r="M98" s="113">
        <f>BD98</f>
        <v>45971</v>
      </c>
      <c r="N98" s="113">
        <f>AW98</f>
        <v>57752</v>
      </c>
      <c r="O98" s="113">
        <f>BE98</f>
        <v>42099</v>
      </c>
      <c r="P98" s="113">
        <f>AZ98+BA98</f>
        <v>34324</v>
      </c>
      <c r="Q98" s="113">
        <f>'2010'!AU98</f>
        <v>18437</v>
      </c>
      <c r="R98" s="113">
        <f>AT98+AX98</f>
        <v>31700</v>
      </c>
      <c r="S98" s="113">
        <f>AV98</f>
        <v>14642</v>
      </c>
      <c r="T98" s="113">
        <f t="shared" si="180"/>
        <v>45007</v>
      </c>
      <c r="U98" s="112">
        <f t="shared" si="180"/>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81"/>
        <v>51966</v>
      </c>
      <c r="AP98" s="113">
        <f t="shared" si="181"/>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c r="A99" s="80">
        <f>ROWS($A$3:A97)</f>
        <v>95</v>
      </c>
      <c r="B99" s="55"/>
      <c r="C99" s="203"/>
      <c r="D99" s="259"/>
      <c r="E99" s="435"/>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c r="A100" s="80">
        <f>ROWS($A$3:A98)</f>
        <v>96</v>
      </c>
      <c r="B100" s="55" t="s">
        <v>255</v>
      </c>
      <c r="C100" s="203">
        <f>C86</f>
        <v>2010</v>
      </c>
      <c r="D100" s="259" t="s">
        <v>13</v>
      </c>
      <c r="E100" s="437">
        <v>40652</v>
      </c>
      <c r="F100" s="154">
        <v>1657</v>
      </c>
      <c r="G100" s="155">
        <v>433</v>
      </c>
      <c r="H100" s="155">
        <v>749</v>
      </c>
      <c r="I100" s="156">
        <v>1460</v>
      </c>
      <c r="J100" s="281"/>
      <c r="K100" s="157">
        <f>BF100</f>
        <v>231</v>
      </c>
      <c r="L100" s="113">
        <f>AY100</f>
        <v>65</v>
      </c>
      <c r="M100" s="113">
        <f>BD100</f>
        <v>202</v>
      </c>
      <c r="N100" s="113">
        <f>AW100</f>
        <v>106</v>
      </c>
      <c r="O100" s="113">
        <f>BE100</f>
        <v>105</v>
      </c>
      <c r="P100" s="113">
        <f>'2009'!AZ101+'2009'!BA101</f>
        <v>658</v>
      </c>
      <c r="Q100" s="113">
        <f>'2009'!AU101</f>
        <v>260</v>
      </c>
      <c r="R100" s="113">
        <f>AT100+AX100</f>
        <v>137</v>
      </c>
      <c r="S100" s="113">
        <f>AV100</f>
        <v>68</v>
      </c>
      <c r="T100" s="113">
        <f>BB100</f>
        <v>159</v>
      </c>
      <c r="U100" s="112">
        <f>BC100</f>
        <v>327</v>
      </c>
      <c r="V100" s="113">
        <f>BG100+BJ100</f>
        <v>19</v>
      </c>
      <c r="W100" s="113">
        <f>BR100</f>
        <v>30</v>
      </c>
      <c r="X100" s="113">
        <f>BH100+BI100</f>
        <v>97</v>
      </c>
      <c r="Y100" s="113">
        <f>BK100+BL100+BN100</f>
        <v>35</v>
      </c>
      <c r="Z100" s="113">
        <f>BM100</f>
        <v>174</v>
      </c>
      <c r="AA100" s="113">
        <f>BO100+BQ100</f>
        <v>58</v>
      </c>
      <c r="AB100" s="112">
        <f>BP100</f>
        <v>21</v>
      </c>
      <c r="AC100" s="113">
        <f>BX100</f>
        <v>87</v>
      </c>
      <c r="AD100" s="113">
        <f>BU100</f>
        <v>106</v>
      </c>
      <c r="AE100" s="113">
        <f>BS100+BT100</f>
        <v>95</v>
      </c>
      <c r="AF100" s="113">
        <f>CA100</f>
        <v>102</v>
      </c>
      <c r="AG100" s="113">
        <f>BV100</f>
        <v>101</v>
      </c>
      <c r="AH100" s="113">
        <f>BZ100</f>
        <v>72</v>
      </c>
      <c r="AI100" s="113">
        <f>BW100</f>
        <v>75</v>
      </c>
      <c r="AJ100" s="113">
        <f>BY100</f>
        <v>70</v>
      </c>
      <c r="AK100" s="112">
        <f>CB100</f>
        <v>41</v>
      </c>
      <c r="AL100" s="113">
        <f>CE100</f>
        <v>94</v>
      </c>
      <c r="AM100" s="113">
        <f>CH100</f>
        <v>342</v>
      </c>
      <c r="AN100" s="113">
        <f>CJ100</f>
        <v>297</v>
      </c>
      <c r="AO100" s="113">
        <f>CC100</f>
        <v>127</v>
      </c>
      <c r="AP100" s="113">
        <f>CD100</f>
        <v>39</v>
      </c>
      <c r="AQ100" s="113">
        <f>CK100</f>
        <v>213</v>
      </c>
      <c r="AR100" s="113">
        <f>CI100</f>
        <v>89</v>
      </c>
      <c r="AS100" s="158">
        <f>CF100+CG100</f>
        <v>259</v>
      </c>
      <c r="AT100" s="113">
        <v>6</v>
      </c>
      <c r="AU100" s="113">
        <v>64</v>
      </c>
      <c r="AV100" s="113">
        <v>68</v>
      </c>
      <c r="AW100" s="113">
        <v>106</v>
      </c>
      <c r="AX100" s="113">
        <v>131</v>
      </c>
      <c r="AY100" s="113">
        <v>65</v>
      </c>
      <c r="AZ100" s="113">
        <v>19</v>
      </c>
      <c r="BA100" s="113">
        <v>174</v>
      </c>
      <c r="BB100" s="113">
        <v>159</v>
      </c>
      <c r="BC100" s="113">
        <v>327</v>
      </c>
      <c r="BD100" s="113">
        <v>202</v>
      </c>
      <c r="BE100" s="113">
        <v>105</v>
      </c>
      <c r="BF100" s="112">
        <v>231</v>
      </c>
      <c r="BG100" s="159">
        <v>3</v>
      </c>
      <c r="BH100" s="113">
        <v>2</v>
      </c>
      <c r="BI100" s="113">
        <v>95</v>
      </c>
      <c r="BJ100" s="113">
        <v>16</v>
      </c>
      <c r="BK100" s="113">
        <v>6</v>
      </c>
      <c r="BL100" s="113">
        <v>1</v>
      </c>
      <c r="BM100" s="113">
        <v>174</v>
      </c>
      <c r="BN100" s="113">
        <v>28</v>
      </c>
      <c r="BO100" s="159">
        <v>2</v>
      </c>
      <c r="BP100" s="113">
        <v>21</v>
      </c>
      <c r="BQ100" s="113">
        <v>56</v>
      </c>
      <c r="BR100" s="112">
        <v>30</v>
      </c>
      <c r="BS100" s="159">
        <v>9</v>
      </c>
      <c r="BT100" s="113">
        <v>86</v>
      </c>
      <c r="BU100" s="113">
        <v>106</v>
      </c>
      <c r="BV100" s="113">
        <v>101</v>
      </c>
      <c r="BW100" s="113">
        <v>75</v>
      </c>
      <c r="BX100" s="113">
        <v>87</v>
      </c>
      <c r="BY100" s="113">
        <v>70</v>
      </c>
      <c r="BZ100" s="113">
        <v>72</v>
      </c>
      <c r="CA100" s="113">
        <v>102</v>
      </c>
      <c r="CB100" s="112">
        <v>41</v>
      </c>
      <c r="CC100" s="113">
        <v>127</v>
      </c>
      <c r="CD100" s="113">
        <v>39</v>
      </c>
      <c r="CE100" s="113">
        <v>94</v>
      </c>
      <c r="CF100" s="113">
        <v>8</v>
      </c>
      <c r="CG100" s="113">
        <v>251</v>
      </c>
      <c r="CH100" s="113">
        <v>342</v>
      </c>
      <c r="CI100" s="113">
        <v>89</v>
      </c>
      <c r="CJ100" s="113">
        <v>297</v>
      </c>
      <c r="CK100" s="158">
        <v>213</v>
      </c>
      <c r="CL100" s="123">
        <v>4299</v>
      </c>
    </row>
    <row r="101" spans="1:90">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c r="A103" s="80">
        <f>ROWS($A$3:A101)</f>
        <v>99</v>
      </c>
      <c r="B103" s="55"/>
      <c r="C103" s="203"/>
      <c r="D103" s="259"/>
      <c r="E103" s="435"/>
      <c r="F103" s="154"/>
      <c r="G103" s="155"/>
      <c r="H103" s="155"/>
      <c r="I103" s="156"/>
      <c r="J103" s="281"/>
      <c r="K103" s="157">
        <f>BF103</f>
        <v>0</v>
      </c>
      <c r="L103" s="113">
        <f>AY103</f>
        <v>0</v>
      </c>
      <c r="M103" s="113">
        <f>BD103</f>
        <v>0</v>
      </c>
      <c r="N103" s="113">
        <f>AW103</f>
        <v>0</v>
      </c>
      <c r="O103" s="113">
        <f>BE103</f>
        <v>0</v>
      </c>
      <c r="P103" s="113">
        <f>AZ103+BA103</f>
        <v>0</v>
      </c>
      <c r="Q103" s="113">
        <f>'2010'!AU103</f>
        <v>0</v>
      </c>
      <c r="R103" s="113">
        <f>AT103+AX103</f>
        <v>0</v>
      </c>
      <c r="S103" s="113">
        <f>AV103</f>
        <v>0</v>
      </c>
      <c r="T103" s="113">
        <f t="shared" ref="T103:U106" si="182">BB103</f>
        <v>0</v>
      </c>
      <c r="U103" s="112">
        <f t="shared" si="182"/>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3">CC103</f>
        <v>0</v>
      </c>
      <c r="AP103" s="113">
        <f t="shared" si="183"/>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c r="A104" s="80">
        <f>ROWS($A$3:A102)</f>
        <v>100</v>
      </c>
      <c r="B104" s="55"/>
      <c r="C104" s="203"/>
      <c r="D104" s="259"/>
      <c r="E104" s="435"/>
      <c r="F104" s="154"/>
      <c r="G104" s="155"/>
      <c r="H104" s="155"/>
      <c r="I104" s="156"/>
      <c r="J104" s="281"/>
      <c r="K104" s="157">
        <f>BF104</f>
        <v>0</v>
      </c>
      <c r="L104" s="113">
        <f>AY104</f>
        <v>0</v>
      </c>
      <c r="M104" s="113">
        <f>BD104</f>
        <v>0</v>
      </c>
      <c r="N104" s="113">
        <f>AW104</f>
        <v>0</v>
      </c>
      <c r="O104" s="113">
        <f>BE104</f>
        <v>0</v>
      </c>
      <c r="P104" s="113">
        <f>AZ104+BA104</f>
        <v>0</v>
      </c>
      <c r="Q104" s="113">
        <f>'2010'!AU104</f>
        <v>0</v>
      </c>
      <c r="R104" s="113">
        <f>AT104+AX104</f>
        <v>0</v>
      </c>
      <c r="S104" s="113">
        <f>AV104</f>
        <v>0</v>
      </c>
      <c r="T104" s="113">
        <f t="shared" si="182"/>
        <v>0</v>
      </c>
      <c r="U104" s="112">
        <f t="shared" si="182"/>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3"/>
        <v>0</v>
      </c>
      <c r="AP104" s="113">
        <f t="shared" si="183"/>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80">
        <f>ROWS($A$3:A103)</f>
        <v>101</v>
      </c>
      <c r="B105" s="55"/>
      <c r="C105" s="203"/>
      <c r="D105" s="259"/>
      <c r="E105" s="435"/>
      <c r="F105" s="154"/>
      <c r="G105" s="155"/>
      <c r="H105" s="155"/>
      <c r="I105" s="156"/>
      <c r="J105" s="281"/>
      <c r="K105" s="157">
        <f>BF105</f>
        <v>0</v>
      </c>
      <c r="L105" s="113">
        <f>AY105</f>
        <v>0</v>
      </c>
      <c r="M105" s="113">
        <f>BD105</f>
        <v>0</v>
      </c>
      <c r="N105" s="113">
        <f>AW105</f>
        <v>0</v>
      </c>
      <c r="O105" s="113">
        <f>BE105</f>
        <v>0</v>
      </c>
      <c r="P105" s="113">
        <f>AZ105+BA105</f>
        <v>0</v>
      </c>
      <c r="Q105" s="113">
        <f>'2010'!AU105</f>
        <v>0</v>
      </c>
      <c r="R105" s="113">
        <f>AT105+AX105</f>
        <v>0</v>
      </c>
      <c r="S105" s="113">
        <f>AV105</f>
        <v>0</v>
      </c>
      <c r="T105" s="113">
        <f t="shared" si="182"/>
        <v>0</v>
      </c>
      <c r="U105" s="112">
        <f t="shared" si="182"/>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3"/>
        <v>0</v>
      </c>
      <c r="AP105" s="113">
        <f t="shared" si="183"/>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c r="A106" s="80">
        <f>ROWS($A$3:A104)</f>
        <v>102</v>
      </c>
      <c r="B106" s="56"/>
      <c r="C106" s="206"/>
      <c r="D106" s="265"/>
      <c r="E106" s="439"/>
      <c r="F106" s="160"/>
      <c r="G106" s="161"/>
      <c r="H106" s="161"/>
      <c r="I106" s="162"/>
      <c r="J106" s="161"/>
      <c r="K106" s="163">
        <f>BF106</f>
        <v>0</v>
      </c>
      <c r="L106" s="164">
        <f>AY106</f>
        <v>0</v>
      </c>
      <c r="M106" s="164">
        <f>BD106</f>
        <v>0</v>
      </c>
      <c r="N106" s="164">
        <f>AW106</f>
        <v>0</v>
      </c>
      <c r="O106" s="164">
        <f>BE106</f>
        <v>0</v>
      </c>
      <c r="P106" s="164">
        <f>AZ106+BA106</f>
        <v>0</v>
      </c>
      <c r="Q106" s="164">
        <f>'2010'!AU106</f>
        <v>0</v>
      </c>
      <c r="R106" s="164">
        <f>AT106+AX106</f>
        <v>0</v>
      </c>
      <c r="S106" s="164">
        <f>AV106</f>
        <v>0</v>
      </c>
      <c r="T106" s="164">
        <f t="shared" si="182"/>
        <v>0</v>
      </c>
      <c r="U106" s="114">
        <f t="shared" si="182"/>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3"/>
        <v>0</v>
      </c>
      <c r="AP106" s="164">
        <f t="shared" si="183"/>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c r="B107" s="57"/>
      <c r="C107" s="203"/>
      <c r="D107" s="48"/>
      <c r="E107" s="322"/>
      <c r="F107" s="155">
        <f t="shared" ref="F107:K107" si="184">SUM(F7:F92)</f>
        <v>15873973.352749368</v>
      </c>
      <c r="G107" s="155">
        <f t="shared" si="184"/>
        <v>9265253.2950449176</v>
      </c>
      <c r="H107" s="155">
        <f t="shared" si="184"/>
        <v>9693005.6686735339</v>
      </c>
      <c r="I107" s="155">
        <f t="shared" si="184"/>
        <v>9852582.2917868774</v>
      </c>
      <c r="J107" s="155">
        <f t="shared" si="184"/>
        <v>0</v>
      </c>
      <c r="K107" s="155">
        <f t="shared" si="184"/>
        <v>1655647.2648660459</v>
      </c>
      <c r="L107" s="155">
        <f t="shared" ref="L107:BW107" si="185">SUM(L7:L92)</f>
        <v>1353379.2416132344</v>
      </c>
      <c r="M107" s="155">
        <f t="shared" si="185"/>
        <v>1217540.9745183201</v>
      </c>
      <c r="N107" s="155">
        <f t="shared" si="185"/>
        <v>950819.93436411559</v>
      </c>
      <c r="O107" s="155">
        <f t="shared" si="185"/>
        <v>708940.20910848386</v>
      </c>
      <c r="P107" s="155">
        <f t="shared" si="185"/>
        <v>1738621.8362356103</v>
      </c>
      <c r="Q107" s="155">
        <f t="shared" si="185"/>
        <v>1267291.8930285599</v>
      </c>
      <c r="R107" s="155">
        <f t="shared" si="185"/>
        <v>3109993.2197105112</v>
      </c>
      <c r="S107" s="155">
        <f t="shared" si="185"/>
        <v>1475598.671524789</v>
      </c>
      <c r="T107" s="155">
        <f t="shared" si="185"/>
        <v>913981.91225873388</v>
      </c>
      <c r="U107" s="155">
        <f t="shared" si="185"/>
        <v>1800457.3371440235</v>
      </c>
      <c r="V107" s="155">
        <f t="shared" si="185"/>
        <v>1041761.1542111505</v>
      </c>
      <c r="W107" s="155">
        <f t="shared" si="185"/>
        <v>670791.88078251272</v>
      </c>
      <c r="X107" s="155">
        <f t="shared" si="185"/>
        <v>2298868.4937115917</v>
      </c>
      <c r="Y107" s="155">
        <f t="shared" si="185"/>
        <v>2734049.2961044475</v>
      </c>
      <c r="Z107" s="155">
        <f t="shared" si="185"/>
        <v>930914.68704461155</v>
      </c>
      <c r="AA107" s="155">
        <f t="shared" si="185"/>
        <v>1077608.3176307045</v>
      </c>
      <c r="AB107" s="155">
        <f t="shared" si="185"/>
        <v>687437.09345535806</v>
      </c>
      <c r="AC107" s="155">
        <f t="shared" si="185"/>
        <v>1020855.7412837548</v>
      </c>
      <c r="AD107" s="155">
        <f t="shared" si="185"/>
        <v>703179.72251298558</v>
      </c>
      <c r="AE107" s="155">
        <f t="shared" si="185"/>
        <v>1817388.8057039524</v>
      </c>
      <c r="AF107" s="155">
        <f t="shared" si="185"/>
        <v>899427.46808626235</v>
      </c>
      <c r="AG107" s="155">
        <f t="shared" si="185"/>
        <v>1849073.3616161193</v>
      </c>
      <c r="AH107" s="155">
        <f t="shared" si="185"/>
        <v>1038294.8835930239</v>
      </c>
      <c r="AI107" s="155">
        <f t="shared" si="185"/>
        <v>778715.71141415567</v>
      </c>
      <c r="AJ107" s="155">
        <f t="shared" si="185"/>
        <v>773528.70105328748</v>
      </c>
      <c r="AK107" s="155">
        <f t="shared" si="185"/>
        <v>976607.14823370217</v>
      </c>
      <c r="AL107" s="155">
        <f t="shared" si="185"/>
        <v>995738.56704204914</v>
      </c>
      <c r="AM107" s="155">
        <f t="shared" si="185"/>
        <v>1428067.9376480372</v>
      </c>
      <c r="AN107" s="155">
        <f t="shared" si="185"/>
        <v>1625773.2720357671</v>
      </c>
      <c r="AO107" s="155">
        <f t="shared" si="185"/>
        <v>1289709.042191949</v>
      </c>
      <c r="AP107" s="155">
        <f t="shared" si="185"/>
        <v>846137.84010534978</v>
      </c>
      <c r="AQ107" s="155">
        <f t="shared" si="185"/>
        <v>1074768.7746373941</v>
      </c>
      <c r="AR107" s="155">
        <f t="shared" si="185"/>
        <v>906503.0766815166</v>
      </c>
      <c r="AS107" s="155">
        <f t="shared" si="185"/>
        <v>1901084.8555961084</v>
      </c>
      <c r="AT107" s="155">
        <f t="shared" si="185"/>
        <v>1640986.2178262167</v>
      </c>
      <c r="AU107" s="155">
        <f t="shared" si="185"/>
        <v>1270734.0962879858</v>
      </c>
      <c r="AV107" s="155">
        <f t="shared" si="185"/>
        <v>1475598.671524789</v>
      </c>
      <c r="AW107" s="155">
        <f t="shared" si="185"/>
        <v>950819.93436411559</v>
      </c>
      <c r="AX107" s="155">
        <f t="shared" si="185"/>
        <v>1571581.4393762345</v>
      </c>
      <c r="AY107" s="155">
        <f t="shared" si="185"/>
        <v>1353379.2416132344</v>
      </c>
      <c r="AZ107" s="155">
        <f t="shared" si="185"/>
        <v>398225.22786035336</v>
      </c>
      <c r="BA107" s="155">
        <f t="shared" si="185"/>
        <v>1377779.9961667024</v>
      </c>
      <c r="BB107" s="155">
        <f t="shared" si="185"/>
        <v>913981.91225873388</v>
      </c>
      <c r="BC107" s="155">
        <f t="shared" si="185"/>
        <v>1800457.3371440235</v>
      </c>
      <c r="BD107" s="155">
        <f t="shared" si="185"/>
        <v>1217540.9745183201</v>
      </c>
      <c r="BE107" s="155">
        <f t="shared" si="185"/>
        <v>708940.20910848386</v>
      </c>
      <c r="BF107" s="155">
        <f t="shared" si="185"/>
        <v>1655647.2648660459</v>
      </c>
      <c r="BG107" s="155">
        <f t="shared" si="185"/>
        <v>203345.82714047088</v>
      </c>
      <c r="BH107" s="155">
        <f t="shared" si="185"/>
        <v>804714.17131521343</v>
      </c>
      <c r="BI107" s="155">
        <f t="shared" si="185"/>
        <v>1533402.2082426085</v>
      </c>
      <c r="BJ107" s="155">
        <f t="shared" si="185"/>
        <v>855019.71967134275</v>
      </c>
      <c r="BK107" s="155">
        <f t="shared" si="185"/>
        <v>505276.71238273371</v>
      </c>
      <c r="BL107" s="155">
        <f t="shared" si="185"/>
        <v>844719.7679529083</v>
      </c>
      <c r="BM107" s="155">
        <f t="shared" si="185"/>
        <v>930914.68704461155</v>
      </c>
      <c r="BN107" s="155">
        <f t="shared" si="185"/>
        <v>1565940.0074645972</v>
      </c>
      <c r="BO107" s="155">
        <f t="shared" si="185"/>
        <v>347760.31473377009</v>
      </c>
      <c r="BP107" s="155">
        <f t="shared" si="185"/>
        <v>687437.09345535806</v>
      </c>
      <c r="BQ107" s="155">
        <f t="shared" si="185"/>
        <v>795296.12600697018</v>
      </c>
      <c r="BR107" s="155">
        <f t="shared" si="185"/>
        <v>670791.88078251272</v>
      </c>
      <c r="BS107" s="155">
        <f t="shared" si="185"/>
        <v>591114.76680851018</v>
      </c>
      <c r="BT107" s="155">
        <f t="shared" si="185"/>
        <v>1255667.7074756848</v>
      </c>
      <c r="BU107" s="155">
        <f t="shared" si="185"/>
        <v>703179.72251298558</v>
      </c>
      <c r="BV107" s="155">
        <f t="shared" si="185"/>
        <v>1849073.3616161193</v>
      </c>
      <c r="BW107" s="155">
        <f t="shared" si="185"/>
        <v>778715.71141415567</v>
      </c>
      <c r="BX107" s="155">
        <f t="shared" ref="BX107:CL107" si="186">SUM(BX7:BX92)</f>
        <v>1020855.7412837548</v>
      </c>
      <c r="BY107" s="155">
        <f t="shared" si="186"/>
        <v>773528.70105328748</v>
      </c>
      <c r="BZ107" s="155">
        <f t="shared" si="186"/>
        <v>1038294.8835930239</v>
      </c>
      <c r="CA107" s="155">
        <f t="shared" si="186"/>
        <v>899427.46808626235</v>
      </c>
      <c r="CB107" s="155">
        <f t="shared" si="186"/>
        <v>976607.14823370217</v>
      </c>
      <c r="CC107" s="155">
        <f t="shared" si="186"/>
        <v>1289709.042191949</v>
      </c>
      <c r="CD107" s="155">
        <f t="shared" si="186"/>
        <v>846137.84010534978</v>
      </c>
      <c r="CE107" s="155">
        <f t="shared" si="186"/>
        <v>995738.56704204914</v>
      </c>
      <c r="CF107" s="155">
        <f t="shared" si="186"/>
        <v>447536.79309228889</v>
      </c>
      <c r="CG107" s="155">
        <f t="shared" si="186"/>
        <v>1502873.9734235581</v>
      </c>
      <c r="CH107" s="155">
        <f t="shared" si="186"/>
        <v>1428067.9376480372</v>
      </c>
      <c r="CI107" s="155">
        <f t="shared" si="186"/>
        <v>906503.0766815166</v>
      </c>
      <c r="CJ107" s="155">
        <f t="shared" si="186"/>
        <v>1625773.2720357671</v>
      </c>
      <c r="CK107" s="155">
        <f t="shared" si="186"/>
        <v>1074768.7746373941</v>
      </c>
      <c r="CL107" s="155">
        <f t="shared" si="186"/>
        <v>44689148.787645936</v>
      </c>
    </row>
    <row r="108" spans="1:90">
      <c r="B108" s="71" t="s">
        <v>209</v>
      </c>
    </row>
    <row r="109" spans="1:90">
      <c r="B109" s="73" t="s">
        <v>263</v>
      </c>
    </row>
    <row r="110" spans="1:90">
      <c r="B110" s="73" t="s">
        <v>205</v>
      </c>
    </row>
    <row r="111" spans="1:90">
      <c r="B111" s="73" t="s">
        <v>206</v>
      </c>
    </row>
    <row r="112" spans="1:90">
      <c r="B112" s="72"/>
    </row>
    <row r="113" spans="1:90">
      <c r="B113" s="73" t="s">
        <v>78</v>
      </c>
    </row>
    <row r="114" spans="1:90">
      <c r="B114" s="73" t="s">
        <v>207</v>
      </c>
    </row>
    <row r="115" spans="1:90">
      <c r="B115" s="73" t="s">
        <v>211</v>
      </c>
    </row>
    <row r="117" spans="1:90" s="69" customFormat="1" ht="11.25">
      <c r="A117" s="327"/>
      <c r="B117" s="328" t="s">
        <v>63</v>
      </c>
      <c r="C117" s="322">
        <v>2009</v>
      </c>
      <c r="D117" s="329" t="s">
        <v>11</v>
      </c>
      <c r="E117" s="441">
        <v>40767</v>
      </c>
      <c r="F117" s="323">
        <f>SUM(AT117:BF117)</f>
        <v>34700</v>
      </c>
      <c r="G117" s="323">
        <f>SUM(BG117:BR117)</f>
        <v>15300</v>
      </c>
      <c r="H117" s="323">
        <f>SUM(BS117:CB117)</f>
        <v>27400</v>
      </c>
      <c r="I117" s="323">
        <f>SUM(CC117:CK117)</f>
        <v>22800</v>
      </c>
      <c r="J117" s="324"/>
      <c r="K117" s="323">
        <f>BF117</f>
        <v>3500</v>
      </c>
      <c r="L117" s="323">
        <f>AY117</f>
        <v>3600</v>
      </c>
      <c r="M117" s="323">
        <f>BD117</f>
        <v>2600</v>
      </c>
      <c r="N117" s="323">
        <f>AW117</f>
        <v>1600</v>
      </c>
      <c r="O117" s="323">
        <f>BE117</f>
        <v>1100</v>
      </c>
      <c r="P117" s="323">
        <f>AZ117+BA117</f>
        <v>5400</v>
      </c>
      <c r="Q117" s="323">
        <f>'2010'!AU117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325"/>
      <c r="D118" s="329" t="s">
        <v>285</v>
      </c>
      <c r="E118" s="442"/>
      <c r="F118" s="323">
        <v>706</v>
      </c>
      <c r="G118" s="324">
        <v>364</v>
      </c>
      <c r="H118" s="324">
        <v>507</v>
      </c>
      <c r="I118" s="323">
        <v>423</v>
      </c>
      <c r="J118" s="326"/>
      <c r="K118" s="323">
        <f>BF118</f>
        <v>74</v>
      </c>
      <c r="L118" s="324">
        <f>AY118</f>
        <v>71</v>
      </c>
      <c r="M118" s="324">
        <f>BD118</f>
        <v>53</v>
      </c>
      <c r="N118" s="324">
        <f>AW118</f>
        <v>31</v>
      </c>
      <c r="O118" s="324">
        <f>BE118</f>
        <v>29</v>
      </c>
      <c r="P118" s="423">
        <f>AZ118+BA118</f>
        <v>95</v>
      </c>
      <c r="Q118" s="323"/>
      <c r="R118" s="423">
        <f>AT118+AX118</f>
        <v>124</v>
      </c>
      <c r="S118" s="324">
        <f>AV118</f>
        <v>53</v>
      </c>
      <c r="T118" s="324">
        <f>BB118</f>
        <v>56</v>
      </c>
      <c r="U118" s="323">
        <f>BC118</f>
        <v>84</v>
      </c>
      <c r="V118" s="423">
        <f>BG118+BJ118</f>
        <v>57</v>
      </c>
      <c r="W118" s="324">
        <f>BR118</f>
        <v>26</v>
      </c>
      <c r="X118" s="423">
        <f>BH118+BI118</f>
        <v>69</v>
      </c>
      <c r="Y118" s="423">
        <f>BK118+BL118+BN118</f>
        <v>101</v>
      </c>
      <c r="Z118" s="324">
        <f>BM118</f>
        <v>41</v>
      </c>
      <c r="AA118" s="423">
        <f>BO118+BQ118</f>
        <v>37</v>
      </c>
      <c r="AB118" s="323">
        <f>BP118</f>
        <v>33</v>
      </c>
      <c r="AC118" s="324">
        <f>BX118</f>
        <v>36</v>
      </c>
      <c r="AD118" s="324">
        <f>BU118</f>
        <v>43</v>
      </c>
      <c r="AE118" s="423">
        <f>BS118+BT118</f>
        <v>107</v>
      </c>
      <c r="AF118" s="324">
        <f>CA118</f>
        <v>44</v>
      </c>
      <c r="AG118" s="324">
        <f>BV118</f>
        <v>124</v>
      </c>
      <c r="AH118" s="324">
        <f>BZ118</f>
        <v>74</v>
      </c>
      <c r="AI118" s="324">
        <f>BW118</f>
        <v>30</v>
      </c>
      <c r="AJ118" s="324">
        <f>BY118</f>
        <v>19</v>
      </c>
      <c r="AK118" s="323">
        <f>CB118</f>
        <v>31</v>
      </c>
      <c r="AL118" s="324">
        <f>CE118</f>
        <v>32</v>
      </c>
      <c r="AM118" s="324">
        <f>CH118</f>
        <v>66</v>
      </c>
      <c r="AN118" s="324">
        <f>CJ118</f>
        <v>91</v>
      </c>
      <c r="AO118" s="324">
        <f>CC118</f>
        <v>46</v>
      </c>
      <c r="AP118" s="324">
        <f>CD118</f>
        <v>19</v>
      </c>
      <c r="AQ118" s="324">
        <f>CK118</f>
        <v>45</v>
      </c>
      <c r="AR118" s="324">
        <f>CI118</f>
        <v>64</v>
      </c>
      <c r="AS118" s="423">
        <f>CF118+CG118</f>
        <v>60</v>
      </c>
      <c r="AT118" s="324">
        <v>44</v>
      </c>
      <c r="AU118" s="324">
        <v>36</v>
      </c>
      <c r="AV118" s="324">
        <v>53</v>
      </c>
      <c r="AW118" s="324">
        <v>31</v>
      </c>
      <c r="AX118" s="324">
        <v>80</v>
      </c>
      <c r="AY118" s="324">
        <v>71</v>
      </c>
      <c r="AZ118" s="324">
        <v>14</v>
      </c>
      <c r="BA118" s="324">
        <v>81</v>
      </c>
      <c r="BB118" s="324">
        <v>56</v>
      </c>
      <c r="BC118" s="324">
        <v>84</v>
      </c>
      <c r="BD118" s="324">
        <v>53</v>
      </c>
      <c r="BE118" s="324">
        <v>29</v>
      </c>
      <c r="BF118" s="323">
        <v>74</v>
      </c>
      <c r="BG118" s="324">
        <v>16</v>
      </c>
      <c r="BH118" s="324">
        <v>14</v>
      </c>
      <c r="BI118" s="324">
        <v>55</v>
      </c>
      <c r="BJ118" s="324">
        <v>41</v>
      </c>
      <c r="BK118" s="324">
        <v>15</v>
      </c>
      <c r="BL118" s="324">
        <v>17</v>
      </c>
      <c r="BM118" s="324">
        <v>41</v>
      </c>
      <c r="BN118" s="324">
        <v>69</v>
      </c>
      <c r="BO118" s="324">
        <v>13</v>
      </c>
      <c r="BP118" s="324">
        <v>33</v>
      </c>
      <c r="BQ118" s="324">
        <v>24</v>
      </c>
      <c r="BR118" s="323">
        <v>26</v>
      </c>
      <c r="BS118" s="324">
        <v>16</v>
      </c>
      <c r="BT118" s="324">
        <v>91</v>
      </c>
      <c r="BU118" s="324">
        <v>43</v>
      </c>
      <c r="BV118" s="324">
        <v>124</v>
      </c>
      <c r="BW118" s="324">
        <v>30</v>
      </c>
      <c r="BX118" s="324">
        <v>36</v>
      </c>
      <c r="BY118" s="324">
        <v>19</v>
      </c>
      <c r="BZ118" s="324">
        <v>74</v>
      </c>
      <c r="CA118" s="324">
        <v>44</v>
      </c>
      <c r="CB118" s="323">
        <v>31</v>
      </c>
      <c r="CC118" s="324">
        <v>46</v>
      </c>
      <c r="CD118" s="324">
        <v>19</v>
      </c>
      <c r="CE118" s="324">
        <v>32</v>
      </c>
      <c r="CF118" s="324">
        <v>10</v>
      </c>
      <c r="CG118" s="324">
        <v>50</v>
      </c>
      <c r="CH118" s="324">
        <v>66</v>
      </c>
      <c r="CI118" s="324">
        <v>64</v>
      </c>
      <c r="CJ118" s="324">
        <v>91</v>
      </c>
      <c r="CK118" s="323">
        <v>45</v>
      </c>
      <c r="CL118" s="323">
        <v>2001</v>
      </c>
    </row>
    <row r="119" spans="1:90" s="69" customFormat="1" ht="11.25">
      <c r="B119" s="328" t="s">
        <v>55</v>
      </c>
      <c r="C119" s="322">
        <v>2010</v>
      </c>
      <c r="D119" s="69" t="s">
        <v>13</v>
      </c>
      <c r="E119" s="443">
        <v>40441</v>
      </c>
      <c r="F119" s="323"/>
      <c r="G119" s="323"/>
      <c r="H119" s="323"/>
      <c r="I119" s="323"/>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row>
    <row r="120" spans="1:90" s="69" customFormat="1" ht="11.25">
      <c r="B120" s="328"/>
      <c r="C120" s="322"/>
      <c r="D120" s="69" t="s">
        <v>1</v>
      </c>
      <c r="E120" s="322"/>
      <c r="F120" s="323"/>
      <c r="G120" s="323"/>
      <c r="H120" s="323"/>
      <c r="I120" s="323"/>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row>
    <row r="121" spans="1:90" s="69" customFormat="1" ht="11.25">
      <c r="B121" s="328" t="s">
        <v>197</v>
      </c>
      <c r="C121" s="322">
        <v>2010</v>
      </c>
      <c r="D121" s="69" t="s">
        <v>13</v>
      </c>
      <c r="E121" s="443">
        <v>40441</v>
      </c>
      <c r="F121" s="323"/>
      <c r="G121" s="323"/>
      <c r="H121" s="323"/>
      <c r="I121" s="323"/>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row>
    <row r="122" spans="1:90" s="69" customFormat="1" ht="11.25">
      <c r="B122" s="328"/>
      <c r="C122" s="322"/>
      <c r="D122" s="69" t="s">
        <v>1</v>
      </c>
      <c r="E122" s="322"/>
      <c r="F122" s="323"/>
      <c r="G122" s="323"/>
      <c r="H122" s="323"/>
      <c r="I122" s="323"/>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row>
    <row r="123" spans="1:90" s="69" customFormat="1" ht="11.25">
      <c r="B123" s="328" t="s">
        <v>235</v>
      </c>
      <c r="C123" s="322">
        <v>2010</v>
      </c>
      <c r="D123" s="69" t="s">
        <v>13</v>
      </c>
      <c r="E123" s="443">
        <v>40648</v>
      </c>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row>
    <row r="124" spans="1:90" s="69" customFormat="1" ht="11.25">
      <c r="B124" s="328" t="s">
        <v>236</v>
      </c>
      <c r="C124" s="322">
        <v>2010</v>
      </c>
      <c r="D124" s="69" t="s">
        <v>13</v>
      </c>
      <c r="E124" s="443">
        <v>40652</v>
      </c>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row>
    <row r="125" spans="1:90" s="69" customFormat="1" ht="11.25">
      <c r="B125" s="328" t="s">
        <v>237</v>
      </c>
      <c r="C125" s="322">
        <v>2010</v>
      </c>
      <c r="D125" s="69" t="s">
        <v>13</v>
      </c>
      <c r="E125" s="443">
        <v>40652</v>
      </c>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row>
    <row r="127" spans="1:90">
      <c r="B127" s="58" t="s">
        <v>234</v>
      </c>
      <c r="D127" t="s">
        <v>7</v>
      </c>
      <c r="E127" s="440">
        <v>40865</v>
      </c>
      <c r="F127" s="126">
        <v>15500</v>
      </c>
      <c r="G127" s="126">
        <v>7543</v>
      </c>
      <c r="H127" s="126">
        <v>21801</v>
      </c>
      <c r="I127" s="126">
        <v>12214</v>
      </c>
      <c r="K127" s="126">
        <v>4058</v>
      </c>
      <c r="L127" s="126">
        <v>1576</v>
      </c>
      <c r="M127" s="126">
        <v>690</v>
      </c>
      <c r="N127" s="126">
        <v>1576</v>
      </c>
      <c r="O127" s="126">
        <v>593</v>
      </c>
      <c r="P127" s="126">
        <v>629</v>
      </c>
      <c r="Q127" s="126">
        <v>616</v>
      </c>
      <c r="R127" s="126">
        <v>520</v>
      </c>
      <c r="S127" s="126">
        <v>795</v>
      </c>
      <c r="T127" s="126">
        <v>1229</v>
      </c>
      <c r="U127" s="126">
        <v>3189</v>
      </c>
      <c r="V127" s="126">
        <v>641</v>
      </c>
      <c r="W127" s="126">
        <v>1280</v>
      </c>
      <c r="X127" s="126">
        <v>815</v>
      </c>
      <c r="Y127" s="126">
        <v>1065</v>
      </c>
      <c r="Z127" s="126">
        <v>1364</v>
      </c>
      <c r="AA127" s="126">
        <v>968</v>
      </c>
      <c r="AB127" s="126">
        <v>1252</v>
      </c>
      <c r="AC127" s="126">
        <v>1981</v>
      </c>
      <c r="AD127" s="126">
        <v>2079</v>
      </c>
      <c r="AE127" s="126">
        <v>3167</v>
      </c>
      <c r="AF127" s="126">
        <v>2676</v>
      </c>
      <c r="AG127" s="126">
        <v>4028</v>
      </c>
      <c r="AH127" s="126">
        <v>1242</v>
      </c>
      <c r="AI127" s="126">
        <v>1694</v>
      </c>
      <c r="AJ127" s="126">
        <v>1262</v>
      </c>
      <c r="AK127" s="126">
        <v>3672</v>
      </c>
      <c r="AL127" s="126">
        <v>1809</v>
      </c>
      <c r="AM127" s="126">
        <v>1846</v>
      </c>
      <c r="AN127" s="126">
        <v>2095</v>
      </c>
      <c r="AO127" s="126">
        <v>1435</v>
      </c>
      <c r="AP127" s="126">
        <v>617</v>
      </c>
      <c r="AQ127" s="126">
        <v>1805</v>
      </c>
      <c r="AR127" s="126">
        <v>922</v>
      </c>
      <c r="AS127" s="126">
        <v>1685</v>
      </c>
      <c r="AT127" s="126" t="s">
        <v>233</v>
      </c>
      <c r="AU127" s="126">
        <v>616</v>
      </c>
      <c r="AV127" s="126">
        <v>795</v>
      </c>
      <c r="AW127" s="126">
        <v>1576</v>
      </c>
      <c r="AX127" s="126">
        <v>520</v>
      </c>
      <c r="AY127" s="126">
        <v>1576</v>
      </c>
      <c r="AZ127" s="126" t="s">
        <v>233</v>
      </c>
      <c r="BA127" s="126">
        <v>629</v>
      </c>
      <c r="BB127" s="126">
        <v>1229</v>
      </c>
      <c r="BC127" s="126">
        <v>3189</v>
      </c>
      <c r="BD127" s="126">
        <v>690</v>
      </c>
      <c r="BE127" s="126">
        <v>593</v>
      </c>
      <c r="BF127" s="126">
        <v>4058</v>
      </c>
      <c r="BG127" s="126">
        <v>70</v>
      </c>
      <c r="BH127" s="126" t="s">
        <v>233</v>
      </c>
      <c r="BI127" s="126">
        <v>815</v>
      </c>
      <c r="BJ127" s="126">
        <v>571</v>
      </c>
      <c r="BK127" s="126" t="s">
        <v>233</v>
      </c>
      <c r="BL127" s="126" t="s">
        <v>233</v>
      </c>
      <c r="BM127" s="126">
        <v>1364</v>
      </c>
      <c r="BN127" s="126">
        <v>1065</v>
      </c>
      <c r="BO127" s="126" t="s">
        <v>233</v>
      </c>
      <c r="BP127" s="126">
        <v>1252</v>
      </c>
      <c r="BQ127" s="126">
        <v>968</v>
      </c>
      <c r="BR127" s="126">
        <v>1280</v>
      </c>
      <c r="BS127" s="126">
        <v>49</v>
      </c>
      <c r="BT127" s="126">
        <v>3118</v>
      </c>
      <c r="BU127" s="126">
        <v>2079</v>
      </c>
      <c r="BV127" s="126">
        <v>4028</v>
      </c>
      <c r="BW127" s="126">
        <v>1694</v>
      </c>
      <c r="BX127" s="126">
        <v>1981</v>
      </c>
      <c r="BY127" s="126">
        <v>1262</v>
      </c>
      <c r="BZ127" s="126">
        <v>1242</v>
      </c>
      <c r="CA127" s="126">
        <v>2676</v>
      </c>
      <c r="CB127" s="126">
        <v>3672</v>
      </c>
      <c r="CC127" s="126">
        <v>1435</v>
      </c>
      <c r="CD127" s="126">
        <v>617</v>
      </c>
      <c r="CE127" s="126">
        <v>1809</v>
      </c>
      <c r="CF127" s="126">
        <v>33</v>
      </c>
      <c r="CG127" s="126">
        <v>1652</v>
      </c>
      <c r="CH127" s="126">
        <v>1846</v>
      </c>
      <c r="CI127" s="126">
        <v>922</v>
      </c>
      <c r="CJ127" s="126">
        <v>2095</v>
      </c>
      <c r="CK127" s="126">
        <v>1805</v>
      </c>
      <c r="CL127" s="126">
        <v>57058</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CM128"/>
  <sheetViews>
    <sheetView zoomScaleNormal="100" workbookViewId="0">
      <pane xSplit="5" ySplit="4" topLeftCell="S23"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68" customWidth="1"/>
    <col min="6" max="89" width="11.42578125" style="126" customWidth="1"/>
    <col min="90" max="90" width="17.85546875" style="126" bestFit="1" customWidth="1"/>
  </cols>
  <sheetData>
    <row r="1" spans="1:91" ht="13.5" thickBot="1">
      <c r="B1" s="70" t="s">
        <v>187</v>
      </c>
      <c r="E1" s="69"/>
    </row>
    <row r="2" spans="1:91">
      <c r="B2" s="81"/>
      <c r="C2" s="199"/>
      <c r="D2" s="83"/>
      <c r="E2" s="283"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7"/>
      <c r="E3" s="86"/>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7"/>
      <c r="E4" s="86"/>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7"/>
      <c r="E5" s="267"/>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8"/>
      <c r="E6" s="269"/>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2009</v>
      </c>
      <c r="D7" s="254" t="s">
        <v>1</v>
      </c>
      <c r="E7" s="269"/>
      <c r="F7" s="116">
        <v>1055768</v>
      </c>
      <c r="G7" s="137">
        <v>691909</v>
      </c>
      <c r="H7" s="137">
        <v>934709</v>
      </c>
      <c r="I7" s="138">
        <v>891765</v>
      </c>
      <c r="J7" s="137"/>
      <c r="K7" s="116">
        <f t="shared" ref="K7:K20" si="0">BF7</f>
        <v>151157</v>
      </c>
      <c r="L7" s="137">
        <f t="shared" ref="L7:L20" si="1">AY7</f>
        <v>85814</v>
      </c>
      <c r="M7" s="137">
        <f t="shared" ref="M7:M20" si="2">BD7</f>
        <v>130441</v>
      </c>
      <c r="N7" s="137">
        <f t="shared" ref="N7:N20" si="3">AW7</f>
        <v>64236</v>
      </c>
      <c r="O7" s="137">
        <f t="shared" ref="O7:O20" si="4">BE7</f>
        <v>62712</v>
      </c>
      <c r="P7" s="137">
        <f>'2009'!AZ7+'2009'!BA7</f>
        <v>119981</v>
      </c>
      <c r="Q7" s="137">
        <f>'2009'!AU7</f>
        <v>61785</v>
      </c>
      <c r="R7" s="137">
        <f t="shared" ref="R7:R13" si="5">AT7+AX7</f>
        <v>89417</v>
      </c>
      <c r="S7" s="137">
        <f t="shared" ref="S7:S20" si="6">AV7</f>
        <v>64148</v>
      </c>
      <c r="T7" s="137">
        <f t="shared" ref="T7:T20" si="7">BB7</f>
        <v>77675</v>
      </c>
      <c r="U7" s="139">
        <f t="shared" ref="U7:U20" si="8">BC7</f>
        <v>148401</v>
      </c>
      <c r="V7" s="137">
        <f t="shared" ref="V7:V13" si="9">BG7+BJ7</f>
        <v>87896</v>
      </c>
      <c r="W7" s="137">
        <f t="shared" ref="W7:W20" si="10">BR7</f>
        <v>87068</v>
      </c>
      <c r="X7" s="137">
        <f t="shared" ref="X7:X13" si="11">BH7+BI7</f>
        <v>125846</v>
      </c>
      <c r="Y7" s="137">
        <f t="shared" ref="Y7:Y13" si="12">BK7+BL7+BN7</f>
        <v>131551</v>
      </c>
      <c r="Z7" s="137">
        <f t="shared" ref="Z7:Z20" si="13">BM7</f>
        <v>112626</v>
      </c>
      <c r="AA7" s="137">
        <f t="shared" ref="AA7:AA13" si="14">BO7+BQ7</f>
        <v>67169</v>
      </c>
      <c r="AB7" s="139">
        <f t="shared" ref="AB7:AB20" si="15">BP7</f>
        <v>79751</v>
      </c>
      <c r="AC7" s="137">
        <f t="shared" ref="AC7:AC20" si="16">BX7</f>
        <v>102525</v>
      </c>
      <c r="AD7" s="137">
        <f t="shared" ref="AD7:AD20" si="17">BU7</f>
        <v>67988</v>
      </c>
      <c r="AE7" s="137">
        <f t="shared" ref="AE7:AE13" si="18">BS7+BT7</f>
        <v>153139</v>
      </c>
      <c r="AF7" s="137">
        <f t="shared" ref="AF7:AF20" si="19">CA7</f>
        <v>80677</v>
      </c>
      <c r="AG7" s="137">
        <f t="shared" ref="AG7:AG20" si="20">BV7</f>
        <v>185085</v>
      </c>
      <c r="AH7" s="137">
        <f t="shared" ref="AH7:AH20" si="21">BZ7</f>
        <v>81800</v>
      </c>
      <c r="AI7" s="137">
        <f t="shared" ref="AI7:AI20" si="22">BW7</f>
        <v>76943</v>
      </c>
      <c r="AJ7" s="137">
        <f t="shared" ref="AJ7:AJ20" si="23">BY7</f>
        <v>73435</v>
      </c>
      <c r="AK7" s="139">
        <f t="shared" ref="AK7:AK20" si="24">CB7</f>
        <v>113116</v>
      </c>
      <c r="AL7" s="137">
        <f t="shared" ref="AL7:AL20" si="25">CE7</f>
        <v>91772</v>
      </c>
      <c r="AM7" s="137">
        <f t="shared" ref="AM7:AM20" si="26">CH7</f>
        <v>140975</v>
      </c>
      <c r="AN7" s="137">
        <f t="shared" ref="AN7:AN20" si="27">CJ7</f>
        <v>163182</v>
      </c>
      <c r="AO7" s="137">
        <f t="shared" ref="AO7:AO20" si="28">CC7</f>
        <v>109404</v>
      </c>
      <c r="AP7" s="137">
        <f t="shared" ref="AP7:AP20" si="29">CD7</f>
        <v>51918</v>
      </c>
      <c r="AQ7" s="137">
        <f t="shared" ref="AQ7:AQ20" si="30">CK7</f>
        <v>120435</v>
      </c>
      <c r="AR7" s="137">
        <f t="shared" ref="AR7:AR20" si="31">CI7</f>
        <v>66478</v>
      </c>
      <c r="AS7" s="138">
        <f t="shared" ref="AS7:AS13" si="32">CF7+CG7</f>
        <v>147601</v>
      </c>
      <c r="AT7" s="137">
        <v>20735</v>
      </c>
      <c r="AU7" s="137">
        <v>61785</v>
      </c>
      <c r="AV7" s="137">
        <v>64148</v>
      </c>
      <c r="AW7" s="141">
        <v>64236</v>
      </c>
      <c r="AX7" s="137">
        <v>68682</v>
      </c>
      <c r="AY7" s="137">
        <v>85814</v>
      </c>
      <c r="AZ7" s="137">
        <v>9988</v>
      </c>
      <c r="BA7" s="137">
        <v>109993</v>
      </c>
      <c r="BB7" s="137">
        <v>77675</v>
      </c>
      <c r="BC7" s="137">
        <v>148401</v>
      </c>
      <c r="BD7" s="137">
        <v>130441</v>
      </c>
      <c r="BE7" s="137">
        <v>62712</v>
      </c>
      <c r="BF7" s="139">
        <v>151157</v>
      </c>
      <c r="BG7" s="137">
        <v>14021</v>
      </c>
      <c r="BH7" s="137">
        <v>17346</v>
      </c>
      <c r="BI7" s="137">
        <v>108500</v>
      </c>
      <c r="BJ7" s="137">
        <v>73875</v>
      </c>
      <c r="BK7" s="137">
        <v>10883</v>
      </c>
      <c r="BL7" s="137">
        <v>14496</v>
      </c>
      <c r="BM7" s="137">
        <v>112626</v>
      </c>
      <c r="BN7" s="137">
        <v>106172</v>
      </c>
      <c r="BO7" s="137">
        <v>9801</v>
      </c>
      <c r="BP7" s="137">
        <v>79751</v>
      </c>
      <c r="BQ7" s="137">
        <v>57368</v>
      </c>
      <c r="BR7" s="139">
        <v>87068</v>
      </c>
      <c r="BS7" s="137">
        <v>15306</v>
      </c>
      <c r="BT7" s="137">
        <v>137833</v>
      </c>
      <c r="BU7" s="137">
        <v>67988</v>
      </c>
      <c r="BV7" s="137">
        <v>185085</v>
      </c>
      <c r="BW7" s="137">
        <v>76943</v>
      </c>
      <c r="BX7" s="137">
        <v>102525</v>
      </c>
      <c r="BY7" s="137">
        <v>73435</v>
      </c>
      <c r="BZ7" s="137">
        <v>81800</v>
      </c>
      <c r="CA7" s="137">
        <v>80677</v>
      </c>
      <c r="CB7" s="139">
        <v>113116</v>
      </c>
      <c r="CC7" s="137">
        <v>109404</v>
      </c>
      <c r="CD7" s="137">
        <v>51918</v>
      </c>
      <c r="CE7" s="137">
        <v>91772</v>
      </c>
      <c r="CF7" s="137">
        <v>11869</v>
      </c>
      <c r="CG7" s="137">
        <v>135732</v>
      </c>
      <c r="CH7" s="137">
        <v>140975</v>
      </c>
      <c r="CI7" s="137">
        <v>66478</v>
      </c>
      <c r="CJ7" s="137">
        <v>163182</v>
      </c>
      <c r="CK7" s="138">
        <v>120435</v>
      </c>
      <c r="CL7" s="140">
        <v>3575145</v>
      </c>
      <c r="CM7" s="49"/>
    </row>
    <row r="8" spans="1:91" ht="14.25">
      <c r="A8" s="80">
        <f>ROWS($A$3:A6)</f>
        <v>4</v>
      </c>
      <c r="B8" s="92" t="s">
        <v>242</v>
      </c>
      <c r="C8" s="203"/>
      <c r="D8" s="254" t="s">
        <v>1</v>
      </c>
      <c r="E8" s="269"/>
      <c r="F8" s="116">
        <v>171139</v>
      </c>
      <c r="G8" s="137">
        <v>112272</v>
      </c>
      <c r="H8" s="137">
        <v>111596</v>
      </c>
      <c r="I8" s="138">
        <v>107941</v>
      </c>
      <c r="J8" s="141"/>
      <c r="K8" s="116">
        <f t="shared" si="0"/>
        <v>18738</v>
      </c>
      <c r="L8" s="137">
        <f t="shared" si="1"/>
        <v>14821</v>
      </c>
      <c r="M8" s="137">
        <f t="shared" si="2"/>
        <v>14031</v>
      </c>
      <c r="N8" s="137">
        <f t="shared" si="3"/>
        <v>10454</v>
      </c>
      <c r="O8" s="137">
        <f t="shared" si="4"/>
        <v>7795</v>
      </c>
      <c r="P8" s="137">
        <f>'2009'!AZ8+'2009'!BA8</f>
        <v>22322</v>
      </c>
      <c r="Q8" s="137">
        <f>'2009'!AU8</f>
        <v>13602</v>
      </c>
      <c r="R8" s="137">
        <f t="shared" si="5"/>
        <v>27114</v>
      </c>
      <c r="S8" s="137">
        <f t="shared" si="6"/>
        <v>15679</v>
      </c>
      <c r="T8" s="137">
        <f t="shared" si="7"/>
        <v>9893</v>
      </c>
      <c r="U8" s="139">
        <f t="shared" si="8"/>
        <v>16689</v>
      </c>
      <c r="V8" s="137">
        <f t="shared" si="9"/>
        <v>12339</v>
      </c>
      <c r="W8" s="137">
        <f t="shared" si="10"/>
        <v>8215</v>
      </c>
      <c r="X8" s="137">
        <f t="shared" si="11"/>
        <v>27134</v>
      </c>
      <c r="Y8" s="137">
        <f t="shared" si="12"/>
        <v>32017</v>
      </c>
      <c r="Z8" s="137">
        <f t="shared" si="13"/>
        <v>11854</v>
      </c>
      <c r="AA8" s="137">
        <f t="shared" si="14"/>
        <v>11978</v>
      </c>
      <c r="AB8" s="139">
        <f t="shared" si="15"/>
        <v>8736</v>
      </c>
      <c r="AC8" s="137">
        <f t="shared" si="16"/>
        <v>11619</v>
      </c>
      <c r="AD8" s="137">
        <f t="shared" si="17"/>
        <v>7315</v>
      </c>
      <c r="AE8" s="137">
        <f t="shared" si="18"/>
        <v>19024</v>
      </c>
      <c r="AF8" s="137">
        <f t="shared" si="19"/>
        <v>10091</v>
      </c>
      <c r="AG8" s="137">
        <f t="shared" si="20"/>
        <v>21464</v>
      </c>
      <c r="AH8" s="137">
        <f t="shared" si="21"/>
        <v>12436</v>
      </c>
      <c r="AI8" s="137">
        <f t="shared" si="22"/>
        <v>9793</v>
      </c>
      <c r="AJ8" s="137">
        <f t="shared" si="23"/>
        <v>8448</v>
      </c>
      <c r="AK8" s="139">
        <f t="shared" si="24"/>
        <v>11405</v>
      </c>
      <c r="AL8" s="137">
        <f t="shared" si="25"/>
        <v>12132</v>
      </c>
      <c r="AM8" s="137">
        <f t="shared" si="26"/>
        <v>15778</v>
      </c>
      <c r="AN8" s="137">
        <f t="shared" si="27"/>
        <v>16714</v>
      </c>
      <c r="AO8" s="137">
        <f t="shared" si="28"/>
        <v>14080</v>
      </c>
      <c r="AP8" s="137">
        <f t="shared" si="29"/>
        <v>9114</v>
      </c>
      <c r="AQ8" s="137">
        <f t="shared" si="30"/>
        <v>11620</v>
      </c>
      <c r="AR8" s="137">
        <f t="shared" si="31"/>
        <v>9603</v>
      </c>
      <c r="AS8" s="138">
        <f t="shared" si="32"/>
        <v>18899</v>
      </c>
      <c r="AT8" s="137">
        <v>10656</v>
      </c>
      <c r="AU8" s="137">
        <v>13602</v>
      </c>
      <c r="AV8" s="137">
        <v>15679</v>
      </c>
      <c r="AW8" s="141">
        <v>10454</v>
      </c>
      <c r="AX8" s="137">
        <v>16458</v>
      </c>
      <c r="AY8" s="137">
        <v>14821</v>
      </c>
      <c r="AZ8" s="137">
        <v>3533</v>
      </c>
      <c r="BA8" s="137">
        <v>18789</v>
      </c>
      <c r="BB8" s="137">
        <v>9893</v>
      </c>
      <c r="BC8" s="137">
        <v>16689</v>
      </c>
      <c r="BD8" s="137">
        <v>14031</v>
      </c>
      <c r="BE8" s="137">
        <v>7795</v>
      </c>
      <c r="BF8" s="139">
        <v>18738</v>
      </c>
      <c r="BG8" s="137">
        <v>2033</v>
      </c>
      <c r="BH8" s="137">
        <v>8011</v>
      </c>
      <c r="BI8" s="137">
        <v>19123</v>
      </c>
      <c r="BJ8" s="137">
        <v>10306</v>
      </c>
      <c r="BK8" s="137">
        <v>3256</v>
      </c>
      <c r="BL8" s="137">
        <v>8408</v>
      </c>
      <c r="BM8" s="137">
        <v>11854</v>
      </c>
      <c r="BN8" s="137">
        <v>20353</v>
      </c>
      <c r="BO8" s="137">
        <v>2924</v>
      </c>
      <c r="BP8" s="137">
        <v>8736</v>
      </c>
      <c r="BQ8" s="137">
        <v>9054</v>
      </c>
      <c r="BR8" s="139">
        <v>8215</v>
      </c>
      <c r="BS8" s="137">
        <v>4878</v>
      </c>
      <c r="BT8" s="137">
        <v>14146</v>
      </c>
      <c r="BU8" s="137">
        <v>7315</v>
      </c>
      <c r="BV8" s="137">
        <v>21464</v>
      </c>
      <c r="BW8" s="137">
        <v>9793</v>
      </c>
      <c r="BX8" s="137">
        <v>11619</v>
      </c>
      <c r="BY8" s="137">
        <v>8448</v>
      </c>
      <c r="BZ8" s="137">
        <v>12436</v>
      </c>
      <c r="CA8" s="137">
        <v>10091</v>
      </c>
      <c r="CB8" s="139">
        <v>11405</v>
      </c>
      <c r="CC8" s="137">
        <v>14080</v>
      </c>
      <c r="CD8" s="137">
        <v>9114</v>
      </c>
      <c r="CE8" s="137">
        <v>12132</v>
      </c>
      <c r="CF8" s="137">
        <v>3715</v>
      </c>
      <c r="CG8" s="137">
        <v>15184</v>
      </c>
      <c r="CH8" s="137">
        <v>15778</v>
      </c>
      <c r="CI8" s="137">
        <v>9603</v>
      </c>
      <c r="CJ8" s="137">
        <v>16714</v>
      </c>
      <c r="CK8" s="138">
        <v>11620</v>
      </c>
      <c r="CL8" s="140">
        <v>502954</v>
      </c>
      <c r="CM8" s="49"/>
    </row>
    <row r="9" spans="1:91">
      <c r="A9" s="80">
        <f>ROWS($A$3:A7)</f>
        <v>5</v>
      </c>
      <c r="B9" s="92" t="s">
        <v>0</v>
      </c>
      <c r="C9" s="203"/>
      <c r="D9" s="254" t="s">
        <v>1</v>
      </c>
      <c r="E9" s="269"/>
      <c r="F9" s="116">
        <v>534003</v>
      </c>
      <c r="G9" s="137">
        <v>253605</v>
      </c>
      <c r="H9" s="137">
        <v>372949</v>
      </c>
      <c r="I9" s="138">
        <v>478067</v>
      </c>
      <c r="J9" s="141"/>
      <c r="K9" s="116">
        <f t="shared" si="0"/>
        <v>71691</v>
      </c>
      <c r="L9" s="137">
        <f t="shared" si="1"/>
        <v>36398</v>
      </c>
      <c r="M9" s="137">
        <f t="shared" si="2"/>
        <v>75473</v>
      </c>
      <c r="N9" s="137">
        <f t="shared" si="3"/>
        <v>32387</v>
      </c>
      <c r="O9" s="137">
        <f t="shared" si="4"/>
        <v>27253</v>
      </c>
      <c r="P9" s="137">
        <f>'2009'!AZ9+'2009'!BA9</f>
        <v>65982</v>
      </c>
      <c r="Q9" s="137">
        <f>'2009'!AU9</f>
        <v>25969</v>
      </c>
      <c r="R9" s="137">
        <f t="shared" si="5"/>
        <v>42908</v>
      </c>
      <c r="S9" s="137">
        <f t="shared" si="6"/>
        <v>28709</v>
      </c>
      <c r="T9" s="137">
        <f t="shared" si="7"/>
        <v>44567</v>
      </c>
      <c r="U9" s="139">
        <f t="shared" si="8"/>
        <v>82667</v>
      </c>
      <c r="V9" s="137">
        <f t="shared" si="9"/>
        <v>26016</v>
      </c>
      <c r="W9" s="137">
        <f t="shared" si="10"/>
        <v>23139</v>
      </c>
      <c r="X9" s="137">
        <f t="shared" si="11"/>
        <v>52894</v>
      </c>
      <c r="Y9" s="137">
        <f t="shared" si="12"/>
        <v>51489</v>
      </c>
      <c r="Z9" s="137">
        <f t="shared" si="13"/>
        <v>51920</v>
      </c>
      <c r="AA9" s="137">
        <f t="shared" si="14"/>
        <v>27237</v>
      </c>
      <c r="AB9" s="139">
        <f t="shared" si="15"/>
        <v>20910</v>
      </c>
      <c r="AC9" s="137">
        <f t="shared" si="16"/>
        <v>42832</v>
      </c>
      <c r="AD9" s="137">
        <f t="shared" si="17"/>
        <v>27700</v>
      </c>
      <c r="AE9" s="137">
        <f t="shared" si="18"/>
        <v>58719</v>
      </c>
      <c r="AF9" s="137">
        <f t="shared" si="19"/>
        <v>27808</v>
      </c>
      <c r="AG9" s="137">
        <f t="shared" si="20"/>
        <v>70868</v>
      </c>
      <c r="AH9" s="137">
        <f t="shared" si="21"/>
        <v>40549</v>
      </c>
      <c r="AI9" s="137">
        <f t="shared" si="22"/>
        <v>32926</v>
      </c>
      <c r="AJ9" s="137">
        <f t="shared" si="23"/>
        <v>27412</v>
      </c>
      <c r="AK9" s="139">
        <f t="shared" si="24"/>
        <v>44134</v>
      </c>
      <c r="AL9" s="137">
        <f t="shared" si="25"/>
        <v>41188</v>
      </c>
      <c r="AM9" s="137">
        <f t="shared" si="26"/>
        <v>82597</v>
      </c>
      <c r="AN9" s="137">
        <f t="shared" si="27"/>
        <v>96757</v>
      </c>
      <c r="AO9" s="137">
        <f t="shared" si="28"/>
        <v>53018</v>
      </c>
      <c r="AP9" s="137">
        <f t="shared" si="29"/>
        <v>23985</v>
      </c>
      <c r="AQ9" s="137">
        <f t="shared" si="30"/>
        <v>60002</v>
      </c>
      <c r="AR9" s="137">
        <f t="shared" si="31"/>
        <v>37170</v>
      </c>
      <c r="AS9" s="138">
        <f t="shared" si="32"/>
        <v>83349</v>
      </c>
      <c r="AT9" s="137">
        <v>4782</v>
      </c>
      <c r="AU9" s="137">
        <v>25969</v>
      </c>
      <c r="AV9" s="137">
        <v>28709</v>
      </c>
      <c r="AW9" s="141">
        <v>32387</v>
      </c>
      <c r="AX9" s="137">
        <v>38126</v>
      </c>
      <c r="AY9" s="137">
        <v>36398</v>
      </c>
      <c r="AZ9" s="137">
        <v>4757</v>
      </c>
      <c r="BA9" s="137">
        <v>61225</v>
      </c>
      <c r="BB9" s="137">
        <v>44567</v>
      </c>
      <c r="BC9" s="137">
        <v>82667</v>
      </c>
      <c r="BD9" s="137">
        <v>75473</v>
      </c>
      <c r="BE9" s="137">
        <v>27253</v>
      </c>
      <c r="BF9" s="139">
        <v>71691</v>
      </c>
      <c r="BG9" s="137">
        <v>3156</v>
      </c>
      <c r="BH9" s="137">
        <v>3983</v>
      </c>
      <c r="BI9" s="137">
        <v>48911</v>
      </c>
      <c r="BJ9" s="137">
        <v>22860</v>
      </c>
      <c r="BK9" s="137">
        <v>2890</v>
      </c>
      <c r="BL9" s="137">
        <v>3475</v>
      </c>
      <c r="BM9" s="137">
        <v>51920</v>
      </c>
      <c r="BN9" s="137">
        <v>45124</v>
      </c>
      <c r="BO9" s="137">
        <v>1741</v>
      </c>
      <c r="BP9" s="137">
        <v>20910</v>
      </c>
      <c r="BQ9" s="137">
        <v>25496</v>
      </c>
      <c r="BR9" s="139">
        <v>23139</v>
      </c>
      <c r="BS9" s="137">
        <v>3663</v>
      </c>
      <c r="BT9" s="137">
        <v>55056</v>
      </c>
      <c r="BU9" s="137">
        <v>27700</v>
      </c>
      <c r="BV9" s="137">
        <v>70868</v>
      </c>
      <c r="BW9" s="137">
        <v>32926</v>
      </c>
      <c r="BX9" s="137">
        <v>42832</v>
      </c>
      <c r="BY9" s="137">
        <v>27412</v>
      </c>
      <c r="BZ9" s="137">
        <v>40549</v>
      </c>
      <c r="CA9" s="137">
        <v>27808</v>
      </c>
      <c r="CB9" s="139">
        <v>44134</v>
      </c>
      <c r="CC9" s="137">
        <v>53018</v>
      </c>
      <c r="CD9" s="137">
        <v>23985</v>
      </c>
      <c r="CE9" s="137">
        <v>41188</v>
      </c>
      <c r="CF9" s="137">
        <v>5350</v>
      </c>
      <c r="CG9" s="137">
        <v>77999</v>
      </c>
      <c r="CH9" s="137">
        <v>82597</v>
      </c>
      <c r="CI9" s="137">
        <v>37170</v>
      </c>
      <c r="CJ9" s="137">
        <v>96757</v>
      </c>
      <c r="CK9" s="138">
        <v>60002</v>
      </c>
      <c r="CL9" s="140">
        <v>1638837</v>
      </c>
      <c r="CM9" s="49"/>
    </row>
    <row r="10" spans="1:91">
      <c r="A10" s="80">
        <f>ROWS($A$3:A8)</f>
        <v>6</v>
      </c>
      <c r="B10" s="92" t="s">
        <v>202</v>
      </c>
      <c r="C10" s="203"/>
      <c r="D10" s="254" t="s">
        <v>1</v>
      </c>
      <c r="E10" s="269"/>
      <c r="F10" s="116">
        <v>334649</v>
      </c>
      <c r="G10" s="137">
        <v>309892</v>
      </c>
      <c r="H10" s="137">
        <v>431990</v>
      </c>
      <c r="I10" s="138">
        <v>291147</v>
      </c>
      <c r="J10" s="141"/>
      <c r="K10" s="116">
        <f t="shared" si="0"/>
        <v>59097</v>
      </c>
      <c r="L10" s="137">
        <f t="shared" si="1"/>
        <v>33663</v>
      </c>
      <c r="M10" s="137">
        <f t="shared" si="2"/>
        <v>38607</v>
      </c>
      <c r="N10" s="137">
        <f t="shared" si="3"/>
        <v>20633</v>
      </c>
      <c r="O10" s="137">
        <f t="shared" si="4"/>
        <v>26978</v>
      </c>
      <c r="P10" s="137">
        <f>'2009'!AZ10+'2009'!BA10</f>
        <v>29525</v>
      </c>
      <c r="Q10" s="137">
        <f>'2009'!AU10</f>
        <v>21396</v>
      </c>
      <c r="R10" s="137">
        <f t="shared" si="5"/>
        <v>17464</v>
      </c>
      <c r="S10" s="137">
        <f t="shared" si="6"/>
        <v>18683</v>
      </c>
      <c r="T10" s="137">
        <f t="shared" si="7"/>
        <v>21781</v>
      </c>
      <c r="U10" s="139">
        <f t="shared" si="8"/>
        <v>46823</v>
      </c>
      <c r="V10" s="137">
        <f t="shared" si="9"/>
        <v>46148</v>
      </c>
      <c r="W10" s="137">
        <f t="shared" si="10"/>
        <v>54608</v>
      </c>
      <c r="X10" s="137">
        <f t="shared" si="11"/>
        <v>41240</v>
      </c>
      <c r="Y10" s="137">
        <f t="shared" si="12"/>
        <v>44176</v>
      </c>
      <c r="Z10" s="137">
        <f t="shared" si="13"/>
        <v>47409</v>
      </c>
      <c r="AA10" s="137">
        <f t="shared" si="14"/>
        <v>27043</v>
      </c>
      <c r="AB10" s="139">
        <f t="shared" si="15"/>
        <v>49267</v>
      </c>
      <c r="AC10" s="137">
        <f t="shared" si="16"/>
        <v>46914</v>
      </c>
      <c r="AD10" s="137">
        <f t="shared" si="17"/>
        <v>31114</v>
      </c>
      <c r="AE10" s="137">
        <f t="shared" si="18"/>
        <v>71961</v>
      </c>
      <c r="AF10" s="137">
        <f t="shared" si="19"/>
        <v>41574</v>
      </c>
      <c r="AG10" s="137">
        <f t="shared" si="20"/>
        <v>87507</v>
      </c>
      <c r="AH10" s="137">
        <f t="shared" si="21"/>
        <v>27315</v>
      </c>
      <c r="AI10" s="137">
        <f t="shared" si="22"/>
        <v>33073</v>
      </c>
      <c r="AJ10" s="137">
        <f t="shared" si="23"/>
        <v>36721</v>
      </c>
      <c r="AK10" s="139">
        <f t="shared" si="24"/>
        <v>55813</v>
      </c>
      <c r="AL10" s="137">
        <f t="shared" si="25"/>
        <v>37302</v>
      </c>
      <c r="AM10" s="137">
        <f t="shared" si="26"/>
        <v>40108</v>
      </c>
      <c r="AN10" s="137">
        <f t="shared" si="27"/>
        <v>46797</v>
      </c>
      <c r="AO10" s="137">
        <f t="shared" si="28"/>
        <v>41212</v>
      </c>
      <c r="AP10" s="137">
        <f t="shared" si="29"/>
        <v>17981</v>
      </c>
      <c r="AQ10" s="137">
        <f t="shared" si="30"/>
        <v>46633</v>
      </c>
      <c r="AR10" s="137">
        <f t="shared" si="31"/>
        <v>18630</v>
      </c>
      <c r="AS10" s="138">
        <f t="shared" si="32"/>
        <v>42483</v>
      </c>
      <c r="AT10" s="141">
        <v>4967</v>
      </c>
      <c r="AU10" s="141">
        <v>21396</v>
      </c>
      <c r="AV10" s="141">
        <v>18683</v>
      </c>
      <c r="AW10" s="141">
        <v>20633</v>
      </c>
      <c r="AX10" s="141">
        <v>12497</v>
      </c>
      <c r="AY10" s="137">
        <v>33663</v>
      </c>
      <c r="AZ10" s="137">
        <v>1420</v>
      </c>
      <c r="BA10" s="137">
        <v>28105</v>
      </c>
      <c r="BB10" s="137">
        <v>21781</v>
      </c>
      <c r="BC10" s="137">
        <v>46823</v>
      </c>
      <c r="BD10" s="137">
        <v>38607</v>
      </c>
      <c r="BE10" s="137">
        <v>26978</v>
      </c>
      <c r="BF10" s="139">
        <v>59097</v>
      </c>
      <c r="BG10" s="137">
        <v>8621</v>
      </c>
      <c r="BH10" s="137">
        <v>4518</v>
      </c>
      <c r="BI10" s="137">
        <v>36722</v>
      </c>
      <c r="BJ10" s="137">
        <v>37527</v>
      </c>
      <c r="BK10" s="137">
        <v>4429</v>
      </c>
      <c r="BL10" s="137">
        <v>1812</v>
      </c>
      <c r="BM10" s="137">
        <v>47409</v>
      </c>
      <c r="BN10" s="137">
        <v>37935</v>
      </c>
      <c r="BO10" s="137">
        <v>5040</v>
      </c>
      <c r="BP10" s="137">
        <v>49267</v>
      </c>
      <c r="BQ10" s="137">
        <v>22003</v>
      </c>
      <c r="BR10" s="139">
        <v>54608</v>
      </c>
      <c r="BS10" s="137">
        <v>6491</v>
      </c>
      <c r="BT10" s="137">
        <v>65470</v>
      </c>
      <c r="BU10" s="137">
        <v>31114</v>
      </c>
      <c r="BV10" s="137">
        <v>87507</v>
      </c>
      <c r="BW10" s="137">
        <v>33073</v>
      </c>
      <c r="BX10" s="137">
        <v>46914</v>
      </c>
      <c r="BY10" s="137">
        <v>36721</v>
      </c>
      <c r="BZ10" s="137">
        <v>27315</v>
      </c>
      <c r="CA10" s="137">
        <v>41574</v>
      </c>
      <c r="CB10" s="139">
        <v>55813</v>
      </c>
      <c r="CC10" s="137">
        <v>41212</v>
      </c>
      <c r="CD10" s="137">
        <v>17981</v>
      </c>
      <c r="CE10" s="137">
        <v>37302</v>
      </c>
      <c r="CF10" s="137">
        <v>2268</v>
      </c>
      <c r="CG10" s="137">
        <v>40215</v>
      </c>
      <c r="CH10" s="137">
        <v>40108</v>
      </c>
      <c r="CI10" s="137">
        <v>18630</v>
      </c>
      <c r="CJ10" s="137">
        <v>46797</v>
      </c>
      <c r="CK10" s="138">
        <v>46633</v>
      </c>
      <c r="CL10" s="140">
        <v>1368202</v>
      </c>
      <c r="CM10" s="49"/>
    </row>
    <row r="11" spans="1:91">
      <c r="A11" s="80">
        <f>ROWS($A$3:A9)</f>
        <v>7</v>
      </c>
      <c r="B11" s="92" t="s">
        <v>2</v>
      </c>
      <c r="C11" s="203"/>
      <c r="D11" s="254" t="s">
        <v>1</v>
      </c>
      <c r="E11" s="269"/>
      <c r="F11" s="116">
        <v>8804</v>
      </c>
      <c r="G11" s="137">
        <v>10080</v>
      </c>
      <c r="H11" s="137">
        <v>11335</v>
      </c>
      <c r="I11" s="138">
        <v>7902</v>
      </c>
      <c r="J11" s="141"/>
      <c r="K11" s="116">
        <f t="shared" si="0"/>
        <v>1098</v>
      </c>
      <c r="L11" s="137">
        <f t="shared" si="1"/>
        <v>522</v>
      </c>
      <c r="M11" s="137">
        <f t="shared" si="2"/>
        <v>1053</v>
      </c>
      <c r="N11" s="137">
        <f t="shared" si="3"/>
        <v>287</v>
      </c>
      <c r="O11" s="137">
        <f t="shared" si="4"/>
        <v>255</v>
      </c>
      <c r="P11" s="137">
        <f>'2009'!AZ11+'2009'!BA11</f>
        <v>1446</v>
      </c>
      <c r="Q11" s="137">
        <f>'2009'!AU11</f>
        <v>249</v>
      </c>
      <c r="R11" s="137">
        <f t="shared" si="5"/>
        <v>1174</v>
      </c>
      <c r="S11" s="137">
        <f t="shared" si="6"/>
        <v>616</v>
      </c>
      <c r="T11" s="137">
        <f t="shared" si="7"/>
        <v>811</v>
      </c>
      <c r="U11" s="139">
        <f t="shared" si="8"/>
        <v>1293</v>
      </c>
      <c r="V11" s="137">
        <f t="shared" si="9"/>
        <v>2312</v>
      </c>
      <c r="W11" s="137">
        <f t="shared" si="10"/>
        <v>508</v>
      </c>
      <c r="X11" s="137">
        <f t="shared" si="11"/>
        <v>3116</v>
      </c>
      <c r="Y11" s="137">
        <f t="shared" si="12"/>
        <v>2681</v>
      </c>
      <c r="Z11" s="137">
        <f t="shared" si="13"/>
        <v>743</v>
      </c>
      <c r="AA11" s="137">
        <f t="shared" si="14"/>
        <v>401</v>
      </c>
      <c r="AB11" s="139">
        <f t="shared" si="15"/>
        <v>321</v>
      </c>
      <c r="AC11" s="137">
        <f t="shared" si="16"/>
        <v>656</v>
      </c>
      <c r="AD11" s="137">
        <f t="shared" si="17"/>
        <v>928</v>
      </c>
      <c r="AE11" s="137">
        <f t="shared" si="18"/>
        <v>2227</v>
      </c>
      <c r="AF11" s="137">
        <f t="shared" si="19"/>
        <v>918</v>
      </c>
      <c r="AG11" s="137">
        <f t="shared" si="20"/>
        <v>3425</v>
      </c>
      <c r="AH11" s="137">
        <f t="shared" si="21"/>
        <v>962</v>
      </c>
      <c r="AI11" s="137">
        <f t="shared" si="22"/>
        <v>452</v>
      </c>
      <c r="AJ11" s="137">
        <f t="shared" si="23"/>
        <v>349</v>
      </c>
      <c r="AK11" s="139">
        <f t="shared" si="24"/>
        <v>1418</v>
      </c>
      <c r="AL11" s="137">
        <f t="shared" si="25"/>
        <v>365</v>
      </c>
      <c r="AM11" s="137">
        <f t="shared" si="26"/>
        <v>1514</v>
      </c>
      <c r="AN11" s="137">
        <f t="shared" si="27"/>
        <v>2176</v>
      </c>
      <c r="AO11" s="137">
        <f t="shared" si="28"/>
        <v>267</v>
      </c>
      <c r="AP11" s="137">
        <f t="shared" si="29"/>
        <v>476</v>
      </c>
      <c r="AQ11" s="137">
        <f t="shared" si="30"/>
        <v>1126</v>
      </c>
      <c r="AR11" s="137">
        <f t="shared" si="31"/>
        <v>707</v>
      </c>
      <c r="AS11" s="138">
        <f t="shared" si="32"/>
        <v>1272</v>
      </c>
      <c r="AT11" s="141">
        <v>270</v>
      </c>
      <c r="AU11" s="141">
        <v>249</v>
      </c>
      <c r="AV11" s="141">
        <v>616</v>
      </c>
      <c r="AW11" s="141">
        <v>287</v>
      </c>
      <c r="AX11" s="141">
        <v>904</v>
      </c>
      <c r="AY11" s="137">
        <v>522</v>
      </c>
      <c r="AZ11" s="137">
        <v>217</v>
      </c>
      <c r="BA11" s="137">
        <v>1229</v>
      </c>
      <c r="BB11" s="137">
        <v>811</v>
      </c>
      <c r="BC11" s="137">
        <v>1293</v>
      </c>
      <c r="BD11" s="137">
        <v>1053</v>
      </c>
      <c r="BE11" s="137">
        <v>255</v>
      </c>
      <c r="BF11" s="139">
        <v>1098</v>
      </c>
      <c r="BG11" s="137">
        <v>82</v>
      </c>
      <c r="BH11" s="137">
        <v>707</v>
      </c>
      <c r="BI11" s="137">
        <v>2409</v>
      </c>
      <c r="BJ11" s="137">
        <v>2230</v>
      </c>
      <c r="BK11" s="137">
        <v>253</v>
      </c>
      <c r="BL11" s="137">
        <v>761</v>
      </c>
      <c r="BM11" s="137">
        <v>743</v>
      </c>
      <c r="BN11" s="137">
        <v>1667</v>
      </c>
      <c r="BO11" s="137">
        <v>73</v>
      </c>
      <c r="BP11" s="137">
        <v>321</v>
      </c>
      <c r="BQ11" s="137">
        <v>328</v>
      </c>
      <c r="BR11" s="139">
        <v>508</v>
      </c>
      <c r="BS11" s="137">
        <v>207</v>
      </c>
      <c r="BT11" s="137">
        <v>2020</v>
      </c>
      <c r="BU11" s="137">
        <v>928</v>
      </c>
      <c r="BV11" s="137">
        <v>3425</v>
      </c>
      <c r="BW11" s="137">
        <v>452</v>
      </c>
      <c r="BX11" s="137">
        <v>656</v>
      </c>
      <c r="BY11" s="137">
        <v>349</v>
      </c>
      <c r="BZ11" s="137">
        <v>962</v>
      </c>
      <c r="CA11" s="137">
        <v>918</v>
      </c>
      <c r="CB11" s="139">
        <v>1418</v>
      </c>
      <c r="CC11" s="137">
        <v>267</v>
      </c>
      <c r="CD11" s="137">
        <v>476</v>
      </c>
      <c r="CE11" s="137">
        <v>365</v>
      </c>
      <c r="CF11" s="137">
        <v>155</v>
      </c>
      <c r="CG11" s="137">
        <v>1117</v>
      </c>
      <c r="CH11" s="137">
        <v>1514</v>
      </c>
      <c r="CI11" s="137">
        <v>707</v>
      </c>
      <c r="CJ11" s="137">
        <v>2176</v>
      </c>
      <c r="CK11" s="138">
        <v>1126</v>
      </c>
      <c r="CL11" s="140">
        <v>38359</v>
      </c>
      <c r="CM11" s="49"/>
    </row>
    <row r="12" spans="1:91">
      <c r="A12" s="80">
        <f>ROWS($A$3:A10)</f>
        <v>8</v>
      </c>
      <c r="B12" s="92" t="s">
        <v>203</v>
      </c>
      <c r="C12" s="203"/>
      <c r="D12" s="254" t="s">
        <v>1</v>
      </c>
      <c r="E12" s="269"/>
      <c r="F12" s="116">
        <v>7173</v>
      </c>
      <c r="G12" s="137">
        <v>6059</v>
      </c>
      <c r="H12" s="137">
        <v>6839</v>
      </c>
      <c r="I12" s="138">
        <v>6709</v>
      </c>
      <c r="J12" s="141"/>
      <c r="K12" s="116">
        <f t="shared" si="0"/>
        <v>533</v>
      </c>
      <c r="L12" s="137">
        <f t="shared" si="1"/>
        <v>410</v>
      </c>
      <c r="M12" s="137">
        <f t="shared" si="2"/>
        <v>1276</v>
      </c>
      <c r="N12" s="137">
        <f t="shared" si="3"/>
        <v>476</v>
      </c>
      <c r="O12" s="137">
        <f t="shared" si="4"/>
        <v>431</v>
      </c>
      <c r="P12" s="137">
        <f>'2009'!AZ12+'2009'!BA12</f>
        <v>707</v>
      </c>
      <c r="Q12" s="137">
        <f>'2009'!AU12</f>
        <v>569</v>
      </c>
      <c r="R12" s="137">
        <f t="shared" si="5"/>
        <v>756</v>
      </c>
      <c r="S12" s="137">
        <f t="shared" si="6"/>
        <v>461</v>
      </c>
      <c r="T12" s="137">
        <f t="shared" si="7"/>
        <v>625</v>
      </c>
      <c r="U12" s="139">
        <f t="shared" si="8"/>
        <v>930</v>
      </c>
      <c r="V12" s="137">
        <f t="shared" si="9"/>
        <v>1081</v>
      </c>
      <c r="W12" s="137">
        <f t="shared" si="10"/>
        <v>597</v>
      </c>
      <c r="X12" s="137">
        <f t="shared" si="11"/>
        <v>1463</v>
      </c>
      <c r="Y12" s="137">
        <f t="shared" si="12"/>
        <v>1188</v>
      </c>
      <c r="Z12" s="137">
        <f t="shared" si="13"/>
        <v>700</v>
      </c>
      <c r="AA12" s="137">
        <f t="shared" si="14"/>
        <v>512</v>
      </c>
      <c r="AB12" s="139">
        <f t="shared" si="15"/>
        <v>518</v>
      </c>
      <c r="AC12" s="137">
        <f t="shared" si="16"/>
        <v>505</v>
      </c>
      <c r="AD12" s="137">
        <f t="shared" si="17"/>
        <v>931</v>
      </c>
      <c r="AE12" s="137">
        <f t="shared" si="18"/>
        <v>1208</v>
      </c>
      <c r="AF12" s="137">
        <f t="shared" si="19"/>
        <v>287</v>
      </c>
      <c r="AG12" s="137">
        <f t="shared" si="20"/>
        <v>1822</v>
      </c>
      <c r="AH12" s="137">
        <f t="shared" si="21"/>
        <v>538</v>
      </c>
      <c r="AI12" s="137">
        <f t="shared" si="22"/>
        <v>698</v>
      </c>
      <c r="AJ12" s="137">
        <f t="shared" si="23"/>
        <v>505</v>
      </c>
      <c r="AK12" s="139">
        <f t="shared" si="24"/>
        <v>346</v>
      </c>
      <c r="AL12" s="137">
        <f t="shared" si="25"/>
        <v>784</v>
      </c>
      <c r="AM12" s="137">
        <f t="shared" si="26"/>
        <v>978</v>
      </c>
      <c r="AN12" s="137">
        <f t="shared" si="27"/>
        <v>738</v>
      </c>
      <c r="AO12" s="137">
        <f t="shared" si="28"/>
        <v>827</v>
      </c>
      <c r="AP12" s="137">
        <f t="shared" si="29"/>
        <v>362</v>
      </c>
      <c r="AQ12" s="137">
        <f t="shared" si="30"/>
        <v>1054</v>
      </c>
      <c r="AR12" s="137">
        <f t="shared" si="31"/>
        <v>367</v>
      </c>
      <c r="AS12" s="138">
        <f t="shared" si="32"/>
        <v>1597</v>
      </c>
      <c r="AT12" s="146">
        <v>59</v>
      </c>
      <c r="AU12" s="146">
        <v>569</v>
      </c>
      <c r="AV12" s="146">
        <v>461</v>
      </c>
      <c r="AW12" s="146">
        <v>476</v>
      </c>
      <c r="AX12" s="146">
        <v>697</v>
      </c>
      <c r="AY12" s="146">
        <v>410</v>
      </c>
      <c r="AZ12" s="146">
        <v>61</v>
      </c>
      <c r="BA12" s="146">
        <v>646</v>
      </c>
      <c r="BB12" s="146">
        <v>625</v>
      </c>
      <c r="BC12" s="146">
        <v>930</v>
      </c>
      <c r="BD12" s="146">
        <v>1276</v>
      </c>
      <c r="BE12" s="146">
        <v>431</v>
      </c>
      <c r="BF12" s="147">
        <v>533</v>
      </c>
      <c r="BG12" s="146">
        <v>129</v>
      </c>
      <c r="BH12" s="146">
        <v>127</v>
      </c>
      <c r="BI12" s="146">
        <v>1336</v>
      </c>
      <c r="BJ12" s="146">
        <v>952</v>
      </c>
      <c r="BK12" s="137">
        <v>55</v>
      </c>
      <c r="BL12" s="137">
        <v>40</v>
      </c>
      <c r="BM12" s="137">
        <v>700</v>
      </c>
      <c r="BN12" s="137">
        <v>1093</v>
      </c>
      <c r="BO12" s="137">
        <v>23</v>
      </c>
      <c r="BP12" s="137">
        <v>518</v>
      </c>
      <c r="BQ12" s="137">
        <v>489</v>
      </c>
      <c r="BR12" s="139">
        <v>597</v>
      </c>
      <c r="BS12" s="137">
        <v>67</v>
      </c>
      <c r="BT12" s="137">
        <v>1141</v>
      </c>
      <c r="BU12" s="137">
        <v>931</v>
      </c>
      <c r="BV12" s="137">
        <v>1822</v>
      </c>
      <c r="BW12" s="137">
        <v>698</v>
      </c>
      <c r="BX12" s="137">
        <v>505</v>
      </c>
      <c r="BY12" s="137">
        <v>505</v>
      </c>
      <c r="BZ12" s="137">
        <v>538</v>
      </c>
      <c r="CA12" s="137">
        <v>287</v>
      </c>
      <c r="CB12" s="139">
        <v>346</v>
      </c>
      <c r="CC12" s="137">
        <v>827</v>
      </c>
      <c r="CD12" s="137">
        <v>362</v>
      </c>
      <c r="CE12" s="137">
        <v>784</v>
      </c>
      <c r="CF12" s="137">
        <v>380</v>
      </c>
      <c r="CG12" s="137">
        <v>1217</v>
      </c>
      <c r="CH12" s="137">
        <v>978</v>
      </c>
      <c r="CI12" s="137">
        <v>367</v>
      </c>
      <c r="CJ12" s="137">
        <v>738</v>
      </c>
      <c r="CK12" s="138">
        <v>1054</v>
      </c>
      <c r="CL12" s="140">
        <v>26794</v>
      </c>
      <c r="CM12" s="49"/>
    </row>
    <row r="13" spans="1:91">
      <c r="A13" s="80">
        <f>ROWS($A$3:A11)</f>
        <v>9</v>
      </c>
      <c r="B13" s="92" t="s">
        <v>65</v>
      </c>
      <c r="C13" s="202">
        <v>2009</v>
      </c>
      <c r="D13" s="254" t="s">
        <v>11</v>
      </c>
      <c r="E13" s="256">
        <v>40679</v>
      </c>
      <c r="F13" s="116">
        <v>4000848</v>
      </c>
      <c r="G13" s="137">
        <v>2740503</v>
      </c>
      <c r="H13" s="137">
        <v>2196018</v>
      </c>
      <c r="I13" s="138">
        <v>1807552</v>
      </c>
      <c r="J13" s="141"/>
      <c r="K13" s="116">
        <f t="shared" si="0"/>
        <v>312129</v>
      </c>
      <c r="L13" s="137">
        <f t="shared" si="1"/>
        <v>415696</v>
      </c>
      <c r="M13" s="137">
        <f t="shared" si="2"/>
        <v>134211</v>
      </c>
      <c r="N13" s="137">
        <f t="shared" si="3"/>
        <v>253522</v>
      </c>
      <c r="O13" s="137">
        <f t="shared" si="4"/>
        <v>131854</v>
      </c>
      <c r="P13" s="137">
        <f>'2009'!AZ13+'2009'!BA13</f>
        <v>451469</v>
      </c>
      <c r="Q13" s="137">
        <f>'2009'!AU13</f>
        <v>371616</v>
      </c>
      <c r="R13" s="137">
        <f t="shared" si="5"/>
        <v>1118520</v>
      </c>
      <c r="S13" s="137">
        <f t="shared" si="6"/>
        <v>514109</v>
      </c>
      <c r="T13" s="137">
        <f t="shared" si="7"/>
        <v>109028</v>
      </c>
      <c r="U13" s="139">
        <f t="shared" si="8"/>
        <v>188694</v>
      </c>
      <c r="V13" s="137">
        <f t="shared" si="9"/>
        <v>281406</v>
      </c>
      <c r="W13" s="137">
        <f t="shared" si="10"/>
        <v>120637</v>
      </c>
      <c r="X13" s="137">
        <f t="shared" si="11"/>
        <v>723565</v>
      </c>
      <c r="Y13" s="137">
        <f t="shared" si="12"/>
        <v>994716</v>
      </c>
      <c r="Z13" s="137">
        <f t="shared" si="13"/>
        <v>147782</v>
      </c>
      <c r="AA13" s="137">
        <f t="shared" si="14"/>
        <v>314342</v>
      </c>
      <c r="AB13" s="139">
        <f t="shared" si="15"/>
        <v>158055</v>
      </c>
      <c r="AC13" s="137">
        <f t="shared" si="16"/>
        <v>207259</v>
      </c>
      <c r="AD13" s="137">
        <f t="shared" si="17"/>
        <v>157791</v>
      </c>
      <c r="AE13" s="137">
        <f t="shared" si="18"/>
        <v>472342</v>
      </c>
      <c r="AF13" s="137">
        <f t="shared" si="19"/>
        <v>222401</v>
      </c>
      <c r="AG13" s="137">
        <f t="shared" si="20"/>
        <v>417267</v>
      </c>
      <c r="AH13" s="137">
        <f t="shared" si="21"/>
        <v>277555</v>
      </c>
      <c r="AI13" s="137">
        <f t="shared" si="22"/>
        <v>140307</v>
      </c>
      <c r="AJ13" s="137">
        <f t="shared" si="23"/>
        <v>134712</v>
      </c>
      <c r="AK13" s="139">
        <f t="shared" si="24"/>
        <v>166384</v>
      </c>
      <c r="AL13" s="137">
        <f t="shared" si="25"/>
        <v>189337</v>
      </c>
      <c r="AM13" s="137">
        <f t="shared" si="26"/>
        <v>189403</v>
      </c>
      <c r="AN13" s="137">
        <f t="shared" si="27"/>
        <v>276363</v>
      </c>
      <c r="AO13" s="137">
        <f t="shared" si="28"/>
        <v>280927</v>
      </c>
      <c r="AP13" s="137">
        <f t="shared" si="29"/>
        <v>220782</v>
      </c>
      <c r="AQ13" s="137">
        <f t="shared" si="30"/>
        <v>131059</v>
      </c>
      <c r="AR13" s="137">
        <f t="shared" si="31"/>
        <v>207710</v>
      </c>
      <c r="AS13" s="138">
        <f t="shared" si="32"/>
        <v>311971</v>
      </c>
      <c r="AT13" s="141">
        <v>601646</v>
      </c>
      <c r="AU13" s="141">
        <v>371616</v>
      </c>
      <c r="AV13" s="141">
        <v>514109</v>
      </c>
      <c r="AW13" s="141">
        <v>253522</v>
      </c>
      <c r="AX13" s="141">
        <v>516874</v>
      </c>
      <c r="AY13" s="137">
        <v>415696</v>
      </c>
      <c r="AZ13" s="137">
        <v>122415</v>
      </c>
      <c r="BA13" s="137">
        <v>329054</v>
      </c>
      <c r="BB13" s="137">
        <v>109028</v>
      </c>
      <c r="BC13" s="137">
        <v>188694</v>
      </c>
      <c r="BD13" s="137">
        <v>134211</v>
      </c>
      <c r="BE13" s="137">
        <v>131854</v>
      </c>
      <c r="BF13" s="139">
        <v>312129</v>
      </c>
      <c r="BG13" s="137">
        <v>54494</v>
      </c>
      <c r="BH13" s="137">
        <v>291959</v>
      </c>
      <c r="BI13" s="137">
        <v>431606</v>
      </c>
      <c r="BJ13" s="137">
        <v>226912</v>
      </c>
      <c r="BK13" s="137">
        <v>146466</v>
      </c>
      <c r="BL13" s="137">
        <v>311969</v>
      </c>
      <c r="BM13" s="137">
        <v>147782</v>
      </c>
      <c r="BN13" s="137">
        <v>536281</v>
      </c>
      <c r="BO13" s="137">
        <v>119788</v>
      </c>
      <c r="BP13" s="137">
        <v>158055</v>
      </c>
      <c r="BQ13" s="137">
        <v>194554</v>
      </c>
      <c r="BR13" s="139">
        <v>120637</v>
      </c>
      <c r="BS13" s="137">
        <v>221924</v>
      </c>
      <c r="BT13" s="137">
        <v>250418</v>
      </c>
      <c r="BU13" s="137">
        <v>157791</v>
      </c>
      <c r="BV13" s="137">
        <v>417267</v>
      </c>
      <c r="BW13" s="137">
        <v>140307</v>
      </c>
      <c r="BX13" s="137">
        <v>207259</v>
      </c>
      <c r="BY13" s="137">
        <v>134712</v>
      </c>
      <c r="BZ13" s="137">
        <v>277555</v>
      </c>
      <c r="CA13" s="137">
        <v>222401</v>
      </c>
      <c r="CB13" s="139">
        <v>166384</v>
      </c>
      <c r="CC13" s="137">
        <v>280927</v>
      </c>
      <c r="CD13" s="137">
        <v>220782</v>
      </c>
      <c r="CE13" s="137">
        <v>189337</v>
      </c>
      <c r="CF13" s="137">
        <v>122087</v>
      </c>
      <c r="CG13" s="137">
        <v>189884</v>
      </c>
      <c r="CH13" s="137">
        <v>189403</v>
      </c>
      <c r="CI13" s="137">
        <v>207710</v>
      </c>
      <c r="CJ13" s="137">
        <v>276363</v>
      </c>
      <c r="CK13" s="138">
        <v>131059</v>
      </c>
      <c r="CL13" s="140">
        <v>10744921</v>
      </c>
      <c r="CM13" s="49"/>
    </row>
    <row r="14" spans="1:91">
      <c r="A14" s="80">
        <f>ROWS($A$3:A12)</f>
        <v>10</v>
      </c>
      <c r="B14" s="54" t="s">
        <v>61</v>
      </c>
      <c r="C14" s="252"/>
      <c r="D14" s="254" t="s">
        <v>12</v>
      </c>
      <c r="E14" s="269"/>
      <c r="F14" s="142">
        <f>F13/F7*100</f>
        <v>378.95143630039934</v>
      </c>
      <c r="G14" s="143">
        <f>G13/G7*100</f>
        <v>396.07853055820925</v>
      </c>
      <c r="H14" s="143">
        <f>H13/H7*100</f>
        <v>234.94135607980664</v>
      </c>
      <c r="I14" s="144">
        <f>I13/I7*100</f>
        <v>202.69375900601614</v>
      </c>
      <c r="J14" s="141"/>
      <c r="K14" s="145">
        <f t="shared" si="0"/>
        <v>206.49324874137486</v>
      </c>
      <c r="L14" s="146">
        <f t="shared" si="1"/>
        <v>484.41513039830335</v>
      </c>
      <c r="M14" s="146">
        <f t="shared" si="2"/>
        <v>102.89019556734462</v>
      </c>
      <c r="N14" s="146">
        <f t="shared" si="3"/>
        <v>394.67276916370884</v>
      </c>
      <c r="O14" s="146">
        <f t="shared" si="4"/>
        <v>210.2532210741166</v>
      </c>
      <c r="P14" s="143">
        <f>P13/P7*100</f>
        <v>376.28374492628001</v>
      </c>
      <c r="Q14" s="146">
        <f>'2009'!AU14</f>
        <v>601.46637533381886</v>
      </c>
      <c r="R14" s="143">
        <f>R13/R7*100</f>
        <v>1250.9030721227507</v>
      </c>
      <c r="S14" s="146">
        <f t="shared" si="6"/>
        <v>801.44197792604609</v>
      </c>
      <c r="T14" s="146">
        <f t="shared" si="7"/>
        <v>140.36433859028</v>
      </c>
      <c r="U14" s="147">
        <f t="shared" si="8"/>
        <v>127.15143428952635</v>
      </c>
      <c r="V14" s="143">
        <f>V13/V7*100</f>
        <v>320.15791389824335</v>
      </c>
      <c r="W14" s="146">
        <f t="shared" si="10"/>
        <v>138.55492258924059</v>
      </c>
      <c r="X14" s="143">
        <f>X13/X7*100</f>
        <v>574.96066621108332</v>
      </c>
      <c r="Y14" s="143">
        <f>Y13/Y7*100</f>
        <v>756.14476514811747</v>
      </c>
      <c r="Z14" s="146">
        <f t="shared" si="13"/>
        <v>131.21481718253335</v>
      </c>
      <c r="AA14" s="143">
        <f>AA13/AA7*100</f>
        <v>467.98672006431536</v>
      </c>
      <c r="AB14" s="147">
        <f t="shared" si="15"/>
        <v>198.18560268836754</v>
      </c>
      <c r="AC14" s="146">
        <f t="shared" si="16"/>
        <v>202.15459643989271</v>
      </c>
      <c r="AD14" s="146">
        <f t="shared" si="17"/>
        <v>232.08654468435608</v>
      </c>
      <c r="AE14" s="143">
        <f>AE13/AE7*100</f>
        <v>308.44004466530407</v>
      </c>
      <c r="AF14" s="146">
        <f t="shared" si="19"/>
        <v>275.66840611326649</v>
      </c>
      <c r="AG14" s="146">
        <f t="shared" si="20"/>
        <v>225.44614636518355</v>
      </c>
      <c r="AH14" s="146">
        <f t="shared" si="21"/>
        <v>339.30929095354526</v>
      </c>
      <c r="AI14" s="146">
        <f t="shared" si="22"/>
        <v>182.35187086544585</v>
      </c>
      <c r="AJ14" s="146">
        <f t="shared" si="23"/>
        <v>183.44386191870362</v>
      </c>
      <c r="AK14" s="147">
        <f t="shared" si="24"/>
        <v>147.09148131122035</v>
      </c>
      <c r="AL14" s="146">
        <f t="shared" si="25"/>
        <v>206.31238286187511</v>
      </c>
      <c r="AM14" s="146">
        <f t="shared" si="26"/>
        <v>134.35219010462848</v>
      </c>
      <c r="AN14" s="146">
        <f t="shared" si="27"/>
        <v>169.35875280361805</v>
      </c>
      <c r="AO14" s="146">
        <f t="shared" si="28"/>
        <v>256.77945961756427</v>
      </c>
      <c r="AP14" s="146">
        <f t="shared" si="29"/>
        <v>425.25135791055123</v>
      </c>
      <c r="AQ14" s="146">
        <f t="shared" si="30"/>
        <v>108.82135591813011</v>
      </c>
      <c r="AR14" s="146">
        <f t="shared" si="31"/>
        <v>312.44923132464874</v>
      </c>
      <c r="AS14" s="144">
        <f t="shared" ref="AS14:CL14" si="33">AS13/AS7*100</f>
        <v>211.36103413933509</v>
      </c>
      <c r="AT14" s="143">
        <f t="shared" si="33"/>
        <v>2901.5963346997828</v>
      </c>
      <c r="AU14" s="143">
        <f t="shared" si="33"/>
        <v>601.46637533381886</v>
      </c>
      <c r="AV14" s="143">
        <f t="shared" si="33"/>
        <v>801.44197792604609</v>
      </c>
      <c r="AW14" s="143">
        <f t="shared" si="33"/>
        <v>394.67276916370884</v>
      </c>
      <c r="AX14" s="143">
        <f t="shared" si="33"/>
        <v>752.56107859410031</v>
      </c>
      <c r="AY14" s="143">
        <f t="shared" si="33"/>
        <v>484.41513039830335</v>
      </c>
      <c r="AZ14" s="143">
        <f t="shared" si="33"/>
        <v>1225.6207448938726</v>
      </c>
      <c r="BA14" s="143">
        <f t="shared" si="33"/>
        <v>299.15903739328871</v>
      </c>
      <c r="BB14" s="143">
        <f t="shared" si="33"/>
        <v>140.36433859028</v>
      </c>
      <c r="BC14" s="143">
        <f t="shared" si="33"/>
        <v>127.15143428952635</v>
      </c>
      <c r="BD14" s="143">
        <f t="shared" si="33"/>
        <v>102.89019556734462</v>
      </c>
      <c r="BE14" s="143">
        <f t="shared" si="33"/>
        <v>210.2532210741166</v>
      </c>
      <c r="BF14" s="148">
        <f t="shared" si="33"/>
        <v>206.49324874137486</v>
      </c>
      <c r="BG14" s="143">
        <f t="shared" si="33"/>
        <v>388.6598673418444</v>
      </c>
      <c r="BH14" s="143">
        <f t="shared" si="33"/>
        <v>1683.1488527614435</v>
      </c>
      <c r="BI14" s="143">
        <f t="shared" si="33"/>
        <v>397.79354838709679</v>
      </c>
      <c r="BJ14" s="143">
        <f t="shared" si="33"/>
        <v>307.15668358714044</v>
      </c>
      <c r="BK14" s="143">
        <f t="shared" si="33"/>
        <v>1345.8237618303776</v>
      </c>
      <c r="BL14" s="143">
        <f t="shared" si="33"/>
        <v>2152.1040286975717</v>
      </c>
      <c r="BM14" s="143">
        <f t="shared" si="33"/>
        <v>131.21481718253335</v>
      </c>
      <c r="BN14" s="143">
        <f t="shared" si="33"/>
        <v>505.10586595335872</v>
      </c>
      <c r="BO14" s="143">
        <f t="shared" si="33"/>
        <v>1222.20181614121</v>
      </c>
      <c r="BP14" s="143">
        <f t="shared" si="33"/>
        <v>198.18560268836754</v>
      </c>
      <c r="BQ14" s="143">
        <f t="shared" si="33"/>
        <v>339.13331473992469</v>
      </c>
      <c r="BR14" s="148">
        <f t="shared" si="33"/>
        <v>138.55492258924059</v>
      </c>
      <c r="BS14" s="143">
        <f t="shared" si="33"/>
        <v>1449.9150659871946</v>
      </c>
      <c r="BT14" s="143">
        <f t="shared" si="33"/>
        <v>181.68218060986848</v>
      </c>
      <c r="BU14" s="143">
        <f t="shared" si="33"/>
        <v>232.08654468435608</v>
      </c>
      <c r="BV14" s="143">
        <f t="shared" si="33"/>
        <v>225.44614636518355</v>
      </c>
      <c r="BW14" s="143">
        <f t="shared" si="33"/>
        <v>182.35187086544585</v>
      </c>
      <c r="BX14" s="143">
        <f t="shared" si="33"/>
        <v>202.15459643989271</v>
      </c>
      <c r="BY14" s="143">
        <f t="shared" si="33"/>
        <v>183.44386191870362</v>
      </c>
      <c r="BZ14" s="143">
        <f t="shared" si="33"/>
        <v>339.30929095354526</v>
      </c>
      <c r="CA14" s="143">
        <f t="shared" si="33"/>
        <v>275.66840611326649</v>
      </c>
      <c r="CB14" s="148">
        <f t="shared" si="33"/>
        <v>147.09148131122035</v>
      </c>
      <c r="CC14" s="143">
        <f t="shared" si="33"/>
        <v>256.77945961756427</v>
      </c>
      <c r="CD14" s="143">
        <f t="shared" si="33"/>
        <v>425.25135791055123</v>
      </c>
      <c r="CE14" s="143">
        <f t="shared" si="33"/>
        <v>206.31238286187511</v>
      </c>
      <c r="CF14" s="143">
        <f t="shared" si="33"/>
        <v>1028.620776813548</v>
      </c>
      <c r="CG14" s="143">
        <f t="shared" si="33"/>
        <v>139.89626617157342</v>
      </c>
      <c r="CH14" s="143">
        <f t="shared" si="33"/>
        <v>134.35219010462848</v>
      </c>
      <c r="CI14" s="143">
        <f t="shared" si="33"/>
        <v>312.44923132464874</v>
      </c>
      <c r="CJ14" s="143">
        <f t="shared" si="33"/>
        <v>169.35875280361805</v>
      </c>
      <c r="CK14" s="144">
        <f t="shared" si="33"/>
        <v>108.82135591813011</v>
      </c>
      <c r="CL14" s="149">
        <f t="shared" si="33"/>
        <v>300.54504083051177</v>
      </c>
    </row>
    <row r="15" spans="1:91">
      <c r="A15" s="80">
        <f>ROWS($A$3:A13)</f>
        <v>11</v>
      </c>
      <c r="B15" s="59" t="s">
        <v>269</v>
      </c>
      <c r="C15" s="252"/>
      <c r="D15" s="254"/>
      <c r="E15" s="269"/>
      <c r="F15" s="142"/>
      <c r="G15" s="143"/>
      <c r="H15" s="143"/>
      <c r="I15" s="144"/>
      <c r="J15" s="141"/>
      <c r="K15" s="145"/>
      <c r="L15" s="146"/>
      <c r="M15" s="146"/>
      <c r="N15" s="146"/>
      <c r="O15" s="146"/>
      <c r="P15" s="143"/>
      <c r="Q15" s="146"/>
      <c r="R15" s="143"/>
      <c r="S15" s="146"/>
      <c r="T15" s="146"/>
      <c r="U15" s="147"/>
      <c r="V15" s="143"/>
      <c r="W15" s="146"/>
      <c r="X15" s="143"/>
      <c r="Y15" s="143"/>
      <c r="Z15" s="146"/>
      <c r="AA15" s="143"/>
      <c r="AB15" s="147"/>
      <c r="AC15" s="146"/>
      <c r="AD15" s="146"/>
      <c r="AE15" s="143"/>
      <c r="AF15" s="146"/>
      <c r="AG15" s="146"/>
      <c r="AH15" s="146"/>
      <c r="AI15" s="146"/>
      <c r="AJ15" s="146"/>
      <c r="AK15" s="147"/>
      <c r="AL15" s="146"/>
      <c r="AM15" s="146"/>
      <c r="AN15" s="146"/>
      <c r="AO15" s="146"/>
      <c r="AP15" s="146"/>
      <c r="AQ15" s="146"/>
      <c r="AR15" s="146"/>
      <c r="AS15" s="144"/>
      <c r="AT15" s="143"/>
      <c r="AU15" s="143"/>
      <c r="AV15" s="143"/>
      <c r="AW15" s="143"/>
      <c r="AX15" s="143"/>
      <c r="AY15" s="143"/>
      <c r="AZ15" s="143"/>
      <c r="BA15" s="143"/>
      <c r="BB15" s="143"/>
      <c r="BC15" s="143"/>
      <c r="BD15" s="143"/>
      <c r="BE15" s="143"/>
      <c r="BF15" s="148"/>
      <c r="BG15" s="143"/>
      <c r="BH15" s="143"/>
      <c r="BI15" s="143"/>
      <c r="BJ15" s="143"/>
      <c r="BK15" s="143"/>
      <c r="BL15" s="143"/>
      <c r="BM15" s="143"/>
      <c r="BN15" s="143"/>
      <c r="BO15" s="143"/>
      <c r="BP15" s="143"/>
      <c r="BQ15" s="143"/>
      <c r="BR15" s="148"/>
      <c r="BS15" s="143"/>
      <c r="BT15" s="143"/>
      <c r="BU15" s="143"/>
      <c r="BV15" s="143"/>
      <c r="BW15" s="143"/>
      <c r="BX15" s="143"/>
      <c r="BY15" s="143"/>
      <c r="BZ15" s="143"/>
      <c r="CA15" s="143"/>
      <c r="CB15" s="148"/>
      <c r="CC15" s="143"/>
      <c r="CD15" s="143"/>
      <c r="CE15" s="143"/>
      <c r="CF15" s="143"/>
      <c r="CG15" s="143"/>
      <c r="CH15" s="143"/>
      <c r="CI15" s="143"/>
      <c r="CJ15" s="143"/>
      <c r="CK15" s="144"/>
      <c r="CL15" s="149"/>
    </row>
    <row r="16" spans="1:91">
      <c r="A16" s="80">
        <f>ROWS($A$3:A14)</f>
        <v>12</v>
      </c>
      <c r="B16" s="92" t="s">
        <v>200</v>
      </c>
      <c r="C16" s="202">
        <v>2009</v>
      </c>
      <c r="D16" s="254" t="s">
        <v>11</v>
      </c>
      <c r="E16" s="256">
        <v>40697</v>
      </c>
      <c r="F16" s="116">
        <v>2147800</v>
      </c>
      <c r="G16" s="137">
        <v>1430400</v>
      </c>
      <c r="H16" s="137">
        <v>1079400</v>
      </c>
      <c r="I16" s="138">
        <v>914000</v>
      </c>
      <c r="J16" s="141"/>
      <c r="K16" s="116">
        <f t="shared" si="0"/>
        <v>149400</v>
      </c>
      <c r="L16" s="137">
        <f t="shared" si="1"/>
        <v>181300</v>
      </c>
      <c r="M16" s="137">
        <f t="shared" si="2"/>
        <v>70600</v>
      </c>
      <c r="N16" s="137">
        <f t="shared" si="3"/>
        <v>111200</v>
      </c>
      <c r="O16" s="137">
        <f t="shared" si="4"/>
        <v>63800</v>
      </c>
      <c r="P16" s="137">
        <f>'2009'!AZ16+'2009'!BA16</f>
        <v>244700</v>
      </c>
      <c r="Q16" s="137">
        <f>'2009'!AU16</f>
        <v>211400</v>
      </c>
      <c r="R16" s="137">
        <f>AT16+AX16</f>
        <v>706900</v>
      </c>
      <c r="S16" s="137">
        <f t="shared" si="6"/>
        <v>251500</v>
      </c>
      <c r="T16" s="137">
        <f t="shared" si="7"/>
        <v>61700</v>
      </c>
      <c r="U16" s="139">
        <f t="shared" si="8"/>
        <v>95400</v>
      </c>
      <c r="V16" s="137">
        <f>BG16+BJ16</f>
        <v>152400</v>
      </c>
      <c r="W16" s="137">
        <f t="shared" si="10"/>
        <v>59600</v>
      </c>
      <c r="X16" s="137">
        <f>BH16+BI16</f>
        <v>409500</v>
      </c>
      <c r="Y16" s="137">
        <f>BK16+BL16+BN16</f>
        <v>544600</v>
      </c>
      <c r="Z16" s="137">
        <f t="shared" si="13"/>
        <v>61500</v>
      </c>
      <c r="AA16" s="137">
        <f>BO16+BQ16</f>
        <v>141900</v>
      </c>
      <c r="AB16" s="139">
        <f t="shared" si="15"/>
        <v>60800</v>
      </c>
      <c r="AC16" s="137">
        <f t="shared" si="16"/>
        <v>106700</v>
      </c>
      <c r="AD16" s="137">
        <f t="shared" si="17"/>
        <v>63800</v>
      </c>
      <c r="AE16" s="137">
        <f>BS16+BT16</f>
        <v>253800</v>
      </c>
      <c r="AF16" s="137">
        <f t="shared" si="19"/>
        <v>100100</v>
      </c>
      <c r="AG16" s="137">
        <f t="shared" si="20"/>
        <v>218900</v>
      </c>
      <c r="AH16" s="137">
        <f t="shared" si="21"/>
        <v>127800</v>
      </c>
      <c r="AI16" s="137">
        <f t="shared" si="22"/>
        <v>68400</v>
      </c>
      <c r="AJ16" s="137">
        <f t="shared" si="23"/>
        <v>69500</v>
      </c>
      <c r="AK16" s="139">
        <f t="shared" si="24"/>
        <v>70400</v>
      </c>
      <c r="AL16" s="137">
        <f t="shared" si="25"/>
        <v>87300</v>
      </c>
      <c r="AM16" s="137">
        <f t="shared" si="26"/>
        <v>95400</v>
      </c>
      <c r="AN16" s="137">
        <f t="shared" si="27"/>
        <v>141300</v>
      </c>
      <c r="AO16" s="137">
        <f t="shared" si="28"/>
        <v>138400</v>
      </c>
      <c r="AP16" s="137">
        <f t="shared" si="29"/>
        <v>97300</v>
      </c>
      <c r="AQ16" s="137">
        <f t="shared" si="30"/>
        <v>65000</v>
      </c>
      <c r="AR16" s="137">
        <f t="shared" si="31"/>
        <v>107900</v>
      </c>
      <c r="AS16" s="138">
        <f>CF16+CG16</f>
        <v>181200</v>
      </c>
      <c r="AT16" s="141">
        <v>470600</v>
      </c>
      <c r="AU16" s="141">
        <v>211400</v>
      </c>
      <c r="AV16" s="141">
        <v>251500</v>
      </c>
      <c r="AW16" s="141">
        <v>111200</v>
      </c>
      <c r="AX16" s="141">
        <v>236300</v>
      </c>
      <c r="AY16" s="137">
        <v>181300</v>
      </c>
      <c r="AZ16" s="137">
        <v>92600</v>
      </c>
      <c r="BA16" s="137">
        <v>152100</v>
      </c>
      <c r="BB16" s="137">
        <v>61700</v>
      </c>
      <c r="BC16" s="137">
        <v>95400</v>
      </c>
      <c r="BD16" s="137">
        <v>70600</v>
      </c>
      <c r="BE16" s="137">
        <v>63800</v>
      </c>
      <c r="BF16" s="139">
        <v>149400</v>
      </c>
      <c r="BG16" s="137">
        <v>42700</v>
      </c>
      <c r="BH16" s="137">
        <v>218500</v>
      </c>
      <c r="BI16" s="137">
        <v>191000</v>
      </c>
      <c r="BJ16" s="137">
        <v>109700</v>
      </c>
      <c r="BK16" s="137">
        <v>110300</v>
      </c>
      <c r="BL16" s="137">
        <v>220200</v>
      </c>
      <c r="BM16" s="137">
        <v>61500</v>
      </c>
      <c r="BN16" s="137">
        <v>214100</v>
      </c>
      <c r="BO16" s="137">
        <v>68700</v>
      </c>
      <c r="BP16" s="137">
        <v>60800</v>
      </c>
      <c r="BQ16" s="137">
        <v>73200</v>
      </c>
      <c r="BR16" s="139">
        <v>59600</v>
      </c>
      <c r="BS16" s="137">
        <v>149800</v>
      </c>
      <c r="BT16" s="137">
        <v>104000</v>
      </c>
      <c r="BU16" s="137">
        <v>63800</v>
      </c>
      <c r="BV16" s="137">
        <v>218900</v>
      </c>
      <c r="BW16" s="137">
        <v>68400</v>
      </c>
      <c r="BX16" s="137">
        <v>106700</v>
      </c>
      <c r="BY16" s="137">
        <v>69500</v>
      </c>
      <c r="BZ16" s="137">
        <v>127800</v>
      </c>
      <c r="CA16" s="137">
        <v>100100</v>
      </c>
      <c r="CB16" s="139">
        <v>70400</v>
      </c>
      <c r="CC16" s="137">
        <v>138400</v>
      </c>
      <c r="CD16" s="137">
        <v>97300</v>
      </c>
      <c r="CE16" s="137">
        <v>87300</v>
      </c>
      <c r="CF16" s="137">
        <v>109800</v>
      </c>
      <c r="CG16" s="137">
        <v>71400</v>
      </c>
      <c r="CH16" s="137">
        <v>95400</v>
      </c>
      <c r="CI16" s="137">
        <v>107900</v>
      </c>
      <c r="CJ16" s="137">
        <v>141300</v>
      </c>
      <c r="CK16" s="138">
        <v>65000</v>
      </c>
      <c r="CL16" s="140">
        <v>5571500</v>
      </c>
    </row>
    <row r="17" spans="1:90" ht="14.25">
      <c r="A17" s="80">
        <f>ROWS($A$3:A15)</f>
        <v>13</v>
      </c>
      <c r="B17" s="54" t="s">
        <v>243</v>
      </c>
      <c r="C17" s="252"/>
      <c r="D17" s="254" t="s">
        <v>3</v>
      </c>
      <c r="E17" s="256"/>
      <c r="F17" s="167">
        <f>(AT16*AT17+AU16*AU17+AV16*AV17+AW16*AW17+AX16*AX17+AY16*AY17+AZ16*AZ17+BA16*BA17+BB16*BB17+BC16*BC17+BD16*BD17+BE16*BE17+BF16*BF17)/F16</f>
        <v>5.2734239687121702</v>
      </c>
      <c r="G17" s="168">
        <f>(BG16*BG17+BH16*BH17+BI16*BI17+BJ16*BJ17+BK16*BK17+BL16*BL17+BM16*BM17+BN16*BN17+BO16*BO17+BP16*BP17+BQ16*BQ17+BR16*BR17)/G16</f>
        <v>5.9508738814317672</v>
      </c>
      <c r="H17" s="168">
        <f>(BS16*BS17+BT16*BT17+BU16*BU17+BV16*BV17+BW16*BW17+BX16*BX17+BY16*BY17+BZ16*BZ17+CA16*CA17+CB16*CB17)/H16</f>
        <v>5.1313600148230503</v>
      </c>
      <c r="I17" s="169">
        <f>(CC16*CC17+CD16*CD17+CE16*CE17+CF16*CF17+CG16*CG17+CH16*CH17+CI16*CI17+CJ16*CJ17+CK16*CK17)/I16</f>
        <v>4.576794310722101</v>
      </c>
      <c r="J17" s="173"/>
      <c r="K17" s="170">
        <f t="shared" si="0"/>
        <v>5</v>
      </c>
      <c r="L17" s="171">
        <f t="shared" si="1"/>
        <v>4.7</v>
      </c>
      <c r="M17" s="171">
        <f t="shared" si="2"/>
        <v>4.7</v>
      </c>
      <c r="N17" s="171">
        <f t="shared" si="3"/>
        <v>5.4</v>
      </c>
      <c r="O17" s="171">
        <f t="shared" si="4"/>
        <v>5.5</v>
      </c>
      <c r="P17" s="168">
        <f>ROUND((AZ16*AZ17/100+BA16*BA17/100)/P16%,1)</f>
        <v>6.1</v>
      </c>
      <c r="Q17" s="171">
        <f>'2009'!AU17</f>
        <v>4.5</v>
      </c>
      <c r="R17" s="168">
        <f>ROUND((AT16*AT17/100+AX16*AX17/100)/R16%,1)</f>
        <v>5.9</v>
      </c>
      <c r="S17" s="171">
        <f t="shared" si="6"/>
        <v>4.5999999999999996</v>
      </c>
      <c r="T17" s="171">
        <f t="shared" si="7"/>
        <v>4.5999999999999996</v>
      </c>
      <c r="U17" s="172">
        <f t="shared" si="8"/>
        <v>4.4000000000000004</v>
      </c>
      <c r="V17" s="168">
        <f>ROUND((BG16*BG17/100+BJ16*BJ17/100)/V16%,1)</f>
        <v>5.2</v>
      </c>
      <c r="W17" s="171">
        <f t="shared" si="10"/>
        <v>4.8</v>
      </c>
      <c r="X17" s="168">
        <f>ROUND((BH16*BH17/100+BI16*BI17/100)/X16%,1)</f>
        <v>5.5</v>
      </c>
      <c r="Y17" s="168">
        <f>ROUND((BK16*BK17/100+BL16*BL17/100+BN16*BN17/100)/Y16%,1)</f>
        <v>6.6</v>
      </c>
      <c r="Z17" s="171">
        <f t="shared" si="13"/>
        <v>5.3</v>
      </c>
      <c r="AA17" s="168">
        <f>ROUND((BO16*BO17/100+BQ16*BQ17/100)/AA16%,1)</f>
        <v>7.1</v>
      </c>
      <c r="AB17" s="172">
        <f t="shared" si="15"/>
        <v>4.8</v>
      </c>
      <c r="AC17" s="171">
        <f t="shared" si="16"/>
        <v>5.7</v>
      </c>
      <c r="AD17" s="171">
        <f t="shared" si="17"/>
        <v>3.9</v>
      </c>
      <c r="AE17" s="168">
        <f>ROUND((BS16*BS17/100+BT16*BT17/100)/AE16%,1)</f>
        <v>5.8</v>
      </c>
      <c r="AF17" s="171">
        <f t="shared" si="19"/>
        <v>4.8</v>
      </c>
      <c r="AG17" s="171">
        <f t="shared" si="20"/>
        <v>4.8</v>
      </c>
      <c r="AH17" s="171">
        <f t="shared" si="21"/>
        <v>5.3</v>
      </c>
      <c r="AI17" s="171">
        <f t="shared" si="22"/>
        <v>4.9000000000000004</v>
      </c>
      <c r="AJ17" s="171">
        <f t="shared" si="23"/>
        <v>5</v>
      </c>
      <c r="AK17" s="172">
        <f t="shared" si="24"/>
        <v>4.4000000000000004</v>
      </c>
      <c r="AL17" s="171">
        <f t="shared" si="25"/>
        <v>5.7</v>
      </c>
      <c r="AM17" s="171">
        <f t="shared" si="26"/>
        <v>3.6</v>
      </c>
      <c r="AN17" s="171">
        <f t="shared" si="27"/>
        <v>3.8</v>
      </c>
      <c r="AO17" s="171">
        <f t="shared" si="28"/>
        <v>4.9000000000000004</v>
      </c>
      <c r="AP17" s="171">
        <f t="shared" si="29"/>
        <v>4.5</v>
      </c>
      <c r="AQ17" s="171">
        <f t="shared" si="30"/>
        <v>5.0999999999999996</v>
      </c>
      <c r="AR17" s="171">
        <f t="shared" si="31"/>
        <v>4.0999999999999996</v>
      </c>
      <c r="AS17" s="169">
        <f>ROUND((CF16*CF17/100+CG16*CG17/100)/AS16%,1)</f>
        <v>5.0999999999999996</v>
      </c>
      <c r="AT17" s="173">
        <v>6.4</v>
      </c>
      <c r="AU17" s="173">
        <v>4.5</v>
      </c>
      <c r="AV17" s="173">
        <v>4.5999999999999996</v>
      </c>
      <c r="AW17" s="173">
        <v>5.4</v>
      </c>
      <c r="AX17" s="173">
        <v>4.8</v>
      </c>
      <c r="AY17" s="171">
        <v>4.7</v>
      </c>
      <c r="AZ17" s="171">
        <v>8</v>
      </c>
      <c r="BA17" s="171">
        <v>4.9000000000000004</v>
      </c>
      <c r="BB17" s="171">
        <v>4.5999999999999996</v>
      </c>
      <c r="BC17" s="171">
        <v>4.4000000000000004</v>
      </c>
      <c r="BD17" s="171">
        <v>4.7</v>
      </c>
      <c r="BE17" s="171">
        <v>5.5</v>
      </c>
      <c r="BF17" s="172">
        <v>5</v>
      </c>
      <c r="BG17" s="171">
        <v>6.9</v>
      </c>
      <c r="BH17" s="171">
        <v>6.6</v>
      </c>
      <c r="BI17" s="171">
        <v>4.2</v>
      </c>
      <c r="BJ17" s="171">
        <v>4.5</v>
      </c>
      <c r="BK17" s="171">
        <v>6.3</v>
      </c>
      <c r="BL17" s="171">
        <v>8.6</v>
      </c>
      <c r="BM17" s="171">
        <v>5.3</v>
      </c>
      <c r="BN17" s="171">
        <v>4.5999999999999996</v>
      </c>
      <c r="BO17" s="171">
        <v>9.9</v>
      </c>
      <c r="BP17" s="171">
        <v>4.8</v>
      </c>
      <c r="BQ17" s="171">
        <v>4.4000000000000004</v>
      </c>
      <c r="BR17" s="172">
        <v>4.8</v>
      </c>
      <c r="BS17" s="171">
        <v>6.9</v>
      </c>
      <c r="BT17" s="171">
        <v>4.3</v>
      </c>
      <c r="BU17" s="171">
        <v>3.9</v>
      </c>
      <c r="BV17" s="171">
        <v>4.8</v>
      </c>
      <c r="BW17" s="171">
        <v>4.9000000000000004</v>
      </c>
      <c r="BX17" s="171">
        <v>5.7</v>
      </c>
      <c r="BY17" s="171">
        <v>5</v>
      </c>
      <c r="BZ17" s="171">
        <v>5.3</v>
      </c>
      <c r="CA17" s="171">
        <v>4.8</v>
      </c>
      <c r="CB17" s="172">
        <v>4.4000000000000004</v>
      </c>
      <c r="CC17" s="171">
        <v>4.9000000000000004</v>
      </c>
      <c r="CD17" s="171">
        <v>4.5</v>
      </c>
      <c r="CE17" s="171">
        <v>5.7</v>
      </c>
      <c r="CF17" s="171">
        <v>5.8</v>
      </c>
      <c r="CG17" s="171">
        <v>3.9</v>
      </c>
      <c r="CH17" s="171">
        <v>3.6</v>
      </c>
      <c r="CI17" s="171">
        <v>4.0999999999999996</v>
      </c>
      <c r="CJ17" s="171">
        <v>3.8</v>
      </c>
      <c r="CK17" s="174">
        <v>5.0999999999999996</v>
      </c>
      <c r="CL17" s="175">
        <v>5.0999999999999996</v>
      </c>
    </row>
    <row r="18" spans="1:90">
      <c r="A18" s="80">
        <f>ROWS($A$3:A16)</f>
        <v>14</v>
      </c>
      <c r="B18" s="238" t="s">
        <v>270</v>
      </c>
      <c r="C18" s="202">
        <v>2007</v>
      </c>
      <c r="D18" s="254" t="s">
        <v>11</v>
      </c>
      <c r="E18" s="256"/>
      <c r="F18" s="116">
        <v>84065</v>
      </c>
      <c r="G18" s="137">
        <v>29190</v>
      </c>
      <c r="H18" s="137">
        <v>77208</v>
      </c>
      <c r="I18" s="138">
        <v>46957</v>
      </c>
      <c r="J18" s="173"/>
      <c r="K18" s="116">
        <f>BF18</f>
        <v>6256</v>
      </c>
      <c r="L18" s="137">
        <f>AY18</f>
        <v>8739</v>
      </c>
      <c r="M18" s="137">
        <f>BD18</f>
        <v>6943</v>
      </c>
      <c r="N18" s="137">
        <f>AW18</f>
        <v>2639</v>
      </c>
      <c r="O18" s="137">
        <f>BE18</f>
        <v>1814</v>
      </c>
      <c r="P18" s="143">
        <f>'2009'!AZ18+'2009'!BA18</f>
        <v>21440</v>
      </c>
      <c r="Q18" s="137">
        <f>'2009'!AU18</f>
        <v>2519</v>
      </c>
      <c r="R18" s="143">
        <f>AT18+AX18</f>
        <v>14752</v>
      </c>
      <c r="S18" s="137">
        <f>AV18</f>
        <v>4108</v>
      </c>
      <c r="T18" s="137">
        <f>BB18</f>
        <v>7702</v>
      </c>
      <c r="U18" s="139">
        <f>BC18</f>
        <v>7153</v>
      </c>
      <c r="V18" s="143">
        <f>BG18+BJ18</f>
        <v>6080</v>
      </c>
      <c r="W18" s="137">
        <f>BR18</f>
        <v>1976</v>
      </c>
      <c r="X18" s="143">
        <f>BH18+BI18</f>
        <v>5832</v>
      </c>
      <c r="Y18" s="143">
        <f>BK18+BL18+BN18</f>
        <v>7989</v>
      </c>
      <c r="Z18" s="137">
        <f>BM18</f>
        <v>3095</v>
      </c>
      <c r="AA18" s="143">
        <f>BO18+BQ18</f>
        <v>2360</v>
      </c>
      <c r="AB18" s="139">
        <f>BP18</f>
        <v>1858</v>
      </c>
      <c r="AC18" s="137">
        <f>BX18</f>
        <v>3803</v>
      </c>
      <c r="AD18" s="137">
        <f>BU18</f>
        <v>10040</v>
      </c>
      <c r="AE18" s="143">
        <f>BS18+BT18</f>
        <v>22621</v>
      </c>
      <c r="AF18" s="137">
        <f>CA18</f>
        <v>5993</v>
      </c>
      <c r="AG18" s="137">
        <f>BV18</f>
        <v>21077</v>
      </c>
      <c r="AH18" s="137">
        <f>BZ18</f>
        <v>4856</v>
      </c>
      <c r="AI18" s="137">
        <f>BW18</f>
        <v>2841</v>
      </c>
      <c r="AJ18" s="137">
        <f>BY18</f>
        <v>1487</v>
      </c>
      <c r="AK18" s="139">
        <f>CB18</f>
        <v>4490</v>
      </c>
      <c r="AL18" s="137">
        <f>CE18</f>
        <v>2263</v>
      </c>
      <c r="AM18" s="137">
        <f>CH18</f>
        <v>5995</v>
      </c>
      <c r="AN18" s="137">
        <f>CJ18</f>
        <v>9801</v>
      </c>
      <c r="AO18" s="137">
        <f>CC18</f>
        <v>3932</v>
      </c>
      <c r="AP18" s="137">
        <f>CD18</f>
        <v>1573</v>
      </c>
      <c r="AQ18" s="137">
        <f>CK18</f>
        <v>4297</v>
      </c>
      <c r="AR18" s="137">
        <f>CI18</f>
        <v>12635</v>
      </c>
      <c r="AS18" s="144">
        <f>CF18+CG18</f>
        <v>6461</v>
      </c>
      <c r="AT18" s="137">
        <v>2417</v>
      </c>
      <c r="AU18" s="137">
        <v>2519</v>
      </c>
      <c r="AV18" s="137">
        <v>4108</v>
      </c>
      <c r="AW18" s="141">
        <v>2639</v>
      </c>
      <c r="AX18" s="137">
        <v>12335</v>
      </c>
      <c r="AY18" s="137">
        <v>8739</v>
      </c>
      <c r="AZ18" s="137">
        <v>2151</v>
      </c>
      <c r="BA18" s="137">
        <v>19289</v>
      </c>
      <c r="BB18" s="137">
        <v>7702</v>
      </c>
      <c r="BC18" s="137">
        <v>7153</v>
      </c>
      <c r="BD18" s="137">
        <v>6943</v>
      </c>
      <c r="BE18" s="137">
        <v>1814</v>
      </c>
      <c r="BF18" s="139">
        <v>6256</v>
      </c>
      <c r="BG18" s="137">
        <v>1187</v>
      </c>
      <c r="BH18" s="137">
        <v>704</v>
      </c>
      <c r="BI18" s="137">
        <v>5128</v>
      </c>
      <c r="BJ18" s="137">
        <v>4893</v>
      </c>
      <c r="BK18" s="137">
        <v>774</v>
      </c>
      <c r="BL18" s="137">
        <v>453</v>
      </c>
      <c r="BM18" s="137">
        <v>3095</v>
      </c>
      <c r="BN18" s="137">
        <v>6762</v>
      </c>
      <c r="BO18" s="137">
        <v>168</v>
      </c>
      <c r="BP18" s="137">
        <v>1858</v>
      </c>
      <c r="BQ18" s="137">
        <v>2192</v>
      </c>
      <c r="BR18" s="139">
        <v>1976</v>
      </c>
      <c r="BS18" s="137">
        <v>1807</v>
      </c>
      <c r="BT18" s="137">
        <v>20814</v>
      </c>
      <c r="BU18" s="137">
        <v>10040</v>
      </c>
      <c r="BV18" s="137">
        <v>21077</v>
      </c>
      <c r="BW18" s="137">
        <v>2841</v>
      </c>
      <c r="BX18" s="137">
        <v>3803</v>
      </c>
      <c r="BY18" s="137">
        <v>1487</v>
      </c>
      <c r="BZ18" s="137">
        <v>4856</v>
      </c>
      <c r="CA18" s="137">
        <v>5993</v>
      </c>
      <c r="CB18" s="139">
        <v>4490</v>
      </c>
      <c r="CC18" s="137">
        <v>3932</v>
      </c>
      <c r="CD18" s="137">
        <v>1573</v>
      </c>
      <c r="CE18" s="137">
        <v>2263</v>
      </c>
      <c r="CF18" s="137">
        <v>491</v>
      </c>
      <c r="CG18" s="137">
        <v>5970</v>
      </c>
      <c r="CH18" s="137">
        <v>5995</v>
      </c>
      <c r="CI18" s="137">
        <v>12635</v>
      </c>
      <c r="CJ18" s="137">
        <v>9801</v>
      </c>
      <c r="CK18" s="138">
        <v>4297</v>
      </c>
      <c r="CL18" s="140">
        <v>237420</v>
      </c>
    </row>
    <row r="19" spans="1:90">
      <c r="A19" s="80">
        <f>ROWS($A$3:A17)</f>
        <v>15</v>
      </c>
      <c r="B19" s="238" t="s">
        <v>268</v>
      </c>
      <c r="C19" s="202">
        <v>2008</v>
      </c>
      <c r="D19" s="254" t="s">
        <v>11</v>
      </c>
      <c r="E19" s="278">
        <v>41491</v>
      </c>
      <c r="F19" s="302">
        <v>1529220</v>
      </c>
      <c r="G19" s="141">
        <v>1002931</v>
      </c>
      <c r="H19" s="141">
        <v>735402</v>
      </c>
      <c r="I19" s="298">
        <v>623711</v>
      </c>
      <c r="J19" s="173"/>
      <c r="K19" s="145">
        <f>BF19</f>
        <v>104139</v>
      </c>
      <c r="L19" s="146">
        <f>AY19</f>
        <v>125777</v>
      </c>
      <c r="M19" s="146">
        <f>BD19</f>
        <v>46537</v>
      </c>
      <c r="N19" s="146">
        <f>AW19</f>
        <v>78011</v>
      </c>
      <c r="O19" s="146">
        <f>BE19</f>
        <v>46437</v>
      </c>
      <c r="P19" s="143">
        <f>'2009'!AZ19+'2009'!BA19</f>
        <v>166580</v>
      </c>
      <c r="Q19" s="146">
        <f>'2009'!AU19</f>
        <v>153466</v>
      </c>
      <c r="R19" s="143">
        <f>AT19+AX19</f>
        <v>513901</v>
      </c>
      <c r="S19" s="146">
        <f>AV19</f>
        <v>182567</v>
      </c>
      <c r="T19" s="146">
        <f>BB19</f>
        <v>45082</v>
      </c>
      <c r="U19" s="147">
        <f>BC19</f>
        <v>66723</v>
      </c>
      <c r="V19" s="143">
        <f>BG19+BJ19</f>
        <v>108739</v>
      </c>
      <c r="W19" s="146">
        <f>BR19</f>
        <v>41775</v>
      </c>
      <c r="X19" s="143">
        <f>BH19+BI19</f>
        <v>283314</v>
      </c>
      <c r="Y19" s="143">
        <f>BK19+BL19+BN19</f>
        <v>386042</v>
      </c>
      <c r="Z19" s="146">
        <f>BM19</f>
        <v>40270</v>
      </c>
      <c r="AA19" s="143">
        <f>BO19+BQ19</f>
        <v>102916</v>
      </c>
      <c r="AB19" s="147">
        <f>BP19</f>
        <v>39875</v>
      </c>
      <c r="AC19" s="146">
        <f>BX19</f>
        <v>76857</v>
      </c>
      <c r="AD19" s="146">
        <f>BU19</f>
        <v>41951</v>
      </c>
      <c r="AE19" s="143">
        <f>BS19+BT19</f>
        <v>164814</v>
      </c>
      <c r="AF19" s="146">
        <f>CA19</f>
        <v>67486</v>
      </c>
      <c r="AG19" s="146">
        <f>BV19</f>
        <v>151029</v>
      </c>
      <c r="AH19" s="146">
        <f>BZ19</f>
        <v>83862</v>
      </c>
      <c r="AI19" s="146">
        <f>BW19</f>
        <v>49049</v>
      </c>
      <c r="AJ19" s="146">
        <f>BY19</f>
        <v>53804</v>
      </c>
      <c r="AK19" s="147">
        <f>CB19</f>
        <v>46550</v>
      </c>
      <c r="AL19" s="146">
        <f>CE19</f>
        <v>60481</v>
      </c>
      <c r="AM19" s="146">
        <f>CH19</f>
        <v>67105</v>
      </c>
      <c r="AN19" s="146">
        <f>CJ19</f>
        <v>94061</v>
      </c>
      <c r="AO19" s="146">
        <f>CC19</f>
        <v>95897</v>
      </c>
      <c r="AP19" s="146">
        <f>CD19</f>
        <v>63161</v>
      </c>
      <c r="AQ19" s="146">
        <f>CK19</f>
        <v>40205</v>
      </c>
      <c r="AR19" s="146">
        <f>CI19</f>
        <v>74716</v>
      </c>
      <c r="AS19" s="144">
        <f>CF19+CG19</f>
        <v>128085</v>
      </c>
      <c r="AT19" s="141">
        <v>346433</v>
      </c>
      <c r="AU19" s="141">
        <v>153466</v>
      </c>
      <c r="AV19" s="141">
        <v>182567</v>
      </c>
      <c r="AW19" s="141">
        <v>78011</v>
      </c>
      <c r="AX19" s="141">
        <v>167468</v>
      </c>
      <c r="AY19" s="141">
        <v>125777</v>
      </c>
      <c r="AZ19" s="141">
        <v>60777</v>
      </c>
      <c r="BA19" s="141">
        <v>105803</v>
      </c>
      <c r="BB19" s="141">
        <v>45082</v>
      </c>
      <c r="BC19" s="141">
        <v>66723</v>
      </c>
      <c r="BD19" s="141">
        <v>46537</v>
      </c>
      <c r="BE19" s="141">
        <v>46437</v>
      </c>
      <c r="BF19" s="297">
        <v>104139</v>
      </c>
      <c r="BG19" s="141">
        <v>28956</v>
      </c>
      <c r="BH19" s="141">
        <v>154693</v>
      </c>
      <c r="BI19" s="141">
        <v>128621</v>
      </c>
      <c r="BJ19" s="141">
        <v>79783</v>
      </c>
      <c r="BK19" s="141">
        <v>77617</v>
      </c>
      <c r="BL19" s="141">
        <v>163618</v>
      </c>
      <c r="BM19" s="141">
        <v>40270</v>
      </c>
      <c r="BN19" s="141">
        <v>144807</v>
      </c>
      <c r="BO19" s="141">
        <v>49626</v>
      </c>
      <c r="BP19" s="141">
        <v>39875</v>
      </c>
      <c r="BQ19" s="141">
        <v>53290</v>
      </c>
      <c r="BR19" s="297">
        <v>41775</v>
      </c>
      <c r="BS19" s="141">
        <v>100136</v>
      </c>
      <c r="BT19" s="141">
        <v>64678</v>
      </c>
      <c r="BU19" s="141">
        <v>41951</v>
      </c>
      <c r="BV19" s="141">
        <v>151029</v>
      </c>
      <c r="BW19" s="141">
        <v>49049</v>
      </c>
      <c r="BX19" s="141">
        <v>76857</v>
      </c>
      <c r="BY19" s="141">
        <v>53804</v>
      </c>
      <c r="BZ19" s="141">
        <v>83862</v>
      </c>
      <c r="CA19" s="141">
        <v>67486</v>
      </c>
      <c r="CB19" s="297">
        <v>46550</v>
      </c>
      <c r="CC19" s="141">
        <v>95897</v>
      </c>
      <c r="CD19" s="141">
        <v>63161</v>
      </c>
      <c r="CE19" s="141">
        <v>60481</v>
      </c>
      <c r="CF19" s="141">
        <v>81448</v>
      </c>
      <c r="CG19" s="141">
        <v>46637</v>
      </c>
      <c r="CH19" s="141">
        <v>67105</v>
      </c>
      <c r="CI19" s="141">
        <v>74716</v>
      </c>
      <c r="CJ19" s="141">
        <v>94061</v>
      </c>
      <c r="CK19" s="298">
        <v>40205</v>
      </c>
      <c r="CL19" s="258">
        <v>3891264</v>
      </c>
    </row>
    <row r="20" spans="1:90">
      <c r="A20" s="80">
        <f>ROWS($A$3:A18)</f>
        <v>16</v>
      </c>
      <c r="B20" s="92" t="s">
        <v>64</v>
      </c>
      <c r="C20" s="202">
        <v>2009</v>
      </c>
      <c r="D20" s="254" t="s">
        <v>285</v>
      </c>
      <c r="E20" s="256">
        <v>40875</v>
      </c>
      <c r="F20" s="116">
        <v>119642</v>
      </c>
      <c r="G20" s="137">
        <v>80956</v>
      </c>
      <c r="H20" s="137">
        <v>55254</v>
      </c>
      <c r="I20" s="138">
        <v>48870</v>
      </c>
      <c r="J20" s="141"/>
      <c r="K20" s="116">
        <f t="shared" si="0"/>
        <v>8179</v>
      </c>
      <c r="L20" s="137">
        <f t="shared" si="1"/>
        <v>9547</v>
      </c>
      <c r="M20" s="137">
        <f t="shared" si="2"/>
        <v>3577</v>
      </c>
      <c r="N20" s="137">
        <f t="shared" si="3"/>
        <v>5577</v>
      </c>
      <c r="O20" s="137">
        <f t="shared" si="4"/>
        <v>3216</v>
      </c>
      <c r="P20" s="137">
        <f>'2009'!AZ20+'2009'!BA20</f>
        <v>13239</v>
      </c>
      <c r="Q20" s="137">
        <f>'2009'!AU20</f>
        <v>12089</v>
      </c>
      <c r="R20" s="137">
        <f>AT20+AX20</f>
        <v>42289</v>
      </c>
      <c r="S20" s="137">
        <f t="shared" si="6"/>
        <v>13579</v>
      </c>
      <c r="T20" s="137">
        <f t="shared" si="7"/>
        <v>2946</v>
      </c>
      <c r="U20" s="139">
        <f t="shared" si="8"/>
        <v>5403</v>
      </c>
      <c r="V20" s="137">
        <f>BG20+BJ20</f>
        <v>8070</v>
      </c>
      <c r="W20" s="137">
        <f t="shared" si="10"/>
        <v>3135</v>
      </c>
      <c r="X20" s="137">
        <f>BH20+BI20</f>
        <v>24028</v>
      </c>
      <c r="Y20" s="137">
        <f>BK20+BL20+BN20</f>
        <v>32102</v>
      </c>
      <c r="Z20" s="137">
        <f t="shared" si="13"/>
        <v>3205</v>
      </c>
      <c r="AA20" s="137">
        <f>BO20+BQ20</f>
        <v>7385</v>
      </c>
      <c r="AB20" s="139">
        <f t="shared" si="15"/>
        <v>3033</v>
      </c>
      <c r="AC20" s="137">
        <f t="shared" si="16"/>
        <v>5443</v>
      </c>
      <c r="AD20" s="137">
        <f t="shared" si="17"/>
        <v>3083</v>
      </c>
      <c r="AE20" s="137">
        <f>BS20+BT20</f>
        <v>12149</v>
      </c>
      <c r="AF20" s="137">
        <f t="shared" si="19"/>
        <v>5178</v>
      </c>
      <c r="AG20" s="137">
        <f t="shared" si="20"/>
        <v>11313</v>
      </c>
      <c r="AH20" s="137">
        <f t="shared" si="21"/>
        <v>6945</v>
      </c>
      <c r="AI20" s="137">
        <f t="shared" si="22"/>
        <v>3629</v>
      </c>
      <c r="AJ20" s="137">
        <f t="shared" si="23"/>
        <v>3776</v>
      </c>
      <c r="AK20" s="139">
        <f t="shared" si="24"/>
        <v>3737</v>
      </c>
      <c r="AL20" s="137">
        <f t="shared" si="25"/>
        <v>4535</v>
      </c>
      <c r="AM20" s="137">
        <f t="shared" si="26"/>
        <v>5632</v>
      </c>
      <c r="AN20" s="137">
        <f t="shared" si="27"/>
        <v>7338</v>
      </c>
      <c r="AO20" s="137">
        <f t="shared" si="28"/>
        <v>7234</v>
      </c>
      <c r="AP20" s="137">
        <f t="shared" si="29"/>
        <v>4869</v>
      </c>
      <c r="AQ20" s="137">
        <f t="shared" si="30"/>
        <v>3217</v>
      </c>
      <c r="AR20" s="137">
        <f t="shared" si="31"/>
        <v>6025</v>
      </c>
      <c r="AS20" s="138">
        <f>CF20+CG20</f>
        <v>10020</v>
      </c>
      <c r="AT20" s="141">
        <v>28691</v>
      </c>
      <c r="AU20" s="137">
        <v>12089</v>
      </c>
      <c r="AV20" s="137">
        <v>13579</v>
      </c>
      <c r="AW20" s="137">
        <v>5577</v>
      </c>
      <c r="AX20" s="137">
        <v>13598</v>
      </c>
      <c r="AY20" s="137">
        <v>9547</v>
      </c>
      <c r="AZ20" s="137">
        <v>4550</v>
      </c>
      <c r="BA20" s="137">
        <v>8689</v>
      </c>
      <c r="BB20" s="137">
        <v>2946</v>
      </c>
      <c r="BC20" s="137">
        <v>5403</v>
      </c>
      <c r="BD20" s="137">
        <v>3577</v>
      </c>
      <c r="BE20" s="137">
        <v>3216</v>
      </c>
      <c r="BF20" s="139">
        <v>8179</v>
      </c>
      <c r="BG20" s="137">
        <v>2069</v>
      </c>
      <c r="BH20" s="137">
        <v>13216</v>
      </c>
      <c r="BI20" s="137">
        <v>10812</v>
      </c>
      <c r="BJ20" s="137">
        <v>6001</v>
      </c>
      <c r="BK20" s="137">
        <v>5713</v>
      </c>
      <c r="BL20" s="137">
        <v>13995</v>
      </c>
      <c r="BM20" s="137">
        <v>3205</v>
      </c>
      <c r="BN20" s="137">
        <v>12394</v>
      </c>
      <c r="BO20" s="137">
        <v>3650</v>
      </c>
      <c r="BP20" s="137">
        <v>3033</v>
      </c>
      <c r="BQ20" s="137">
        <v>3735</v>
      </c>
      <c r="BR20" s="139">
        <v>3135</v>
      </c>
      <c r="BS20" s="137">
        <v>7353</v>
      </c>
      <c r="BT20" s="137">
        <v>4796</v>
      </c>
      <c r="BU20" s="137">
        <v>3083</v>
      </c>
      <c r="BV20" s="137">
        <v>11313</v>
      </c>
      <c r="BW20" s="137">
        <v>3629</v>
      </c>
      <c r="BX20" s="137">
        <v>5443</v>
      </c>
      <c r="BY20" s="137">
        <v>3776</v>
      </c>
      <c r="BZ20" s="137">
        <v>6945</v>
      </c>
      <c r="CA20" s="137">
        <v>5178</v>
      </c>
      <c r="CB20" s="139">
        <v>3737</v>
      </c>
      <c r="CC20" s="137">
        <v>7234</v>
      </c>
      <c r="CD20" s="137">
        <v>4869</v>
      </c>
      <c r="CE20" s="137">
        <v>4535</v>
      </c>
      <c r="CF20" s="137">
        <v>5829</v>
      </c>
      <c r="CG20" s="141">
        <v>4191</v>
      </c>
      <c r="CH20" s="137">
        <v>5632</v>
      </c>
      <c r="CI20" s="137">
        <v>6025</v>
      </c>
      <c r="CJ20" s="137">
        <v>7338</v>
      </c>
      <c r="CK20" s="138">
        <v>3217</v>
      </c>
      <c r="CL20" s="140">
        <v>304723</v>
      </c>
    </row>
    <row r="21" spans="1:90">
      <c r="A21" s="80">
        <f>ROWS($A$3:A19)</f>
        <v>17</v>
      </c>
      <c r="B21" s="53" t="s">
        <v>62</v>
      </c>
      <c r="C21" s="261"/>
      <c r="D21" s="268" t="s">
        <v>3</v>
      </c>
      <c r="E21" s="269"/>
      <c r="F21" s="167">
        <f>F119/F20%</f>
        <v>0.59009377977633271</v>
      </c>
      <c r="G21" s="168">
        <f>G119/G20%</f>
        <v>0.44962695785364892</v>
      </c>
      <c r="H21" s="168">
        <f>H119/H20%</f>
        <v>0.91758062764686721</v>
      </c>
      <c r="I21" s="169">
        <f>I119/I20%</f>
        <v>0.86556169429097607</v>
      </c>
      <c r="J21" s="173"/>
      <c r="K21" s="167">
        <f t="shared" ref="K21:AP21" si="34">K119/K20%</f>
        <v>0.90475608265069074</v>
      </c>
      <c r="L21" s="168">
        <f t="shared" si="34"/>
        <v>0.74368911700010476</v>
      </c>
      <c r="M21" s="168">
        <f t="shared" si="34"/>
        <v>1.4816885658372938</v>
      </c>
      <c r="N21" s="168">
        <f t="shared" si="34"/>
        <v>0.55585440200824809</v>
      </c>
      <c r="O21" s="168">
        <f t="shared" si="34"/>
        <v>0.90174129353233845</v>
      </c>
      <c r="P21" s="168">
        <f t="shared" si="34"/>
        <v>0.71757685625802559</v>
      </c>
      <c r="Q21" s="168">
        <f t="shared" si="34"/>
        <v>0</v>
      </c>
      <c r="R21" s="168">
        <f t="shared" si="34"/>
        <v>0.29322045922107404</v>
      </c>
      <c r="S21" s="168">
        <f t="shared" si="34"/>
        <v>0.39030856469548569</v>
      </c>
      <c r="T21" s="168">
        <f t="shared" si="34"/>
        <v>1.9008825526137134</v>
      </c>
      <c r="U21" s="176">
        <f t="shared" si="34"/>
        <v>1.5546918378678511</v>
      </c>
      <c r="V21" s="168">
        <f t="shared" si="34"/>
        <v>0.70631970260223043</v>
      </c>
      <c r="W21" s="168">
        <f t="shared" si="34"/>
        <v>0.82934609250398716</v>
      </c>
      <c r="X21" s="168">
        <f t="shared" si="34"/>
        <v>0.28716497419677045</v>
      </c>
      <c r="Y21" s="168">
        <f t="shared" si="34"/>
        <v>0.31462214192262167</v>
      </c>
      <c r="Z21" s="168">
        <f t="shared" si="34"/>
        <v>1.2792511700468019</v>
      </c>
      <c r="AA21" s="168">
        <f t="shared" si="34"/>
        <v>0.50101557210561953</v>
      </c>
      <c r="AB21" s="176">
        <f t="shared" si="34"/>
        <v>1.0880316518298714</v>
      </c>
      <c r="AC21" s="168">
        <f t="shared" si="34"/>
        <v>0.66139996325555761</v>
      </c>
      <c r="AD21" s="168">
        <f t="shared" si="34"/>
        <v>1.3947453778786896</v>
      </c>
      <c r="AE21" s="168">
        <f t="shared" si="34"/>
        <v>0.88073092435591416</v>
      </c>
      <c r="AF21" s="168">
        <f t="shared" si="34"/>
        <v>0.84974893781382776</v>
      </c>
      <c r="AG21" s="168">
        <f t="shared" si="34"/>
        <v>1.0960841509767525</v>
      </c>
      <c r="AH21" s="168">
        <f t="shared" si="34"/>
        <v>1.0655147588192944</v>
      </c>
      <c r="AI21" s="168">
        <f t="shared" si="34"/>
        <v>0.82667401488013226</v>
      </c>
      <c r="AJ21" s="168">
        <f t="shared" si="34"/>
        <v>0.50317796610169496</v>
      </c>
      <c r="AK21" s="176">
        <f t="shared" si="34"/>
        <v>0.8295424137008296</v>
      </c>
      <c r="AL21" s="168">
        <f t="shared" si="34"/>
        <v>0.70562293274531418</v>
      </c>
      <c r="AM21" s="168">
        <f t="shared" si="34"/>
        <v>1.171875</v>
      </c>
      <c r="AN21" s="168">
        <f t="shared" si="34"/>
        <v>1.2401199236849278</v>
      </c>
      <c r="AO21" s="168">
        <f t="shared" si="34"/>
        <v>0.63588609344760849</v>
      </c>
      <c r="AP21" s="168">
        <f t="shared" si="34"/>
        <v>0.39022386527007602</v>
      </c>
      <c r="AQ21" s="168">
        <f t="shared" ref="AQ21:BV21" si="35">AQ119/AQ20%</f>
        <v>1.39881877525645</v>
      </c>
      <c r="AR21" s="168">
        <f t="shared" si="35"/>
        <v>1.0622406639004149</v>
      </c>
      <c r="AS21" s="169">
        <f t="shared" si="35"/>
        <v>0.59880239520958078</v>
      </c>
      <c r="AT21" s="168">
        <f t="shared" si="35"/>
        <v>0.15335819594994946</v>
      </c>
      <c r="AU21" s="168">
        <f t="shared" si="35"/>
        <v>0.29779138059392835</v>
      </c>
      <c r="AV21" s="168">
        <f t="shared" si="35"/>
        <v>0.39030856469548569</v>
      </c>
      <c r="AW21" s="168">
        <f t="shared" si="35"/>
        <v>0.55585440200824809</v>
      </c>
      <c r="AX21" s="168">
        <f t="shared" si="35"/>
        <v>0.58832181203118106</v>
      </c>
      <c r="AY21" s="168">
        <f t="shared" si="35"/>
        <v>0.74368911700010476</v>
      </c>
      <c r="AZ21" s="168">
        <f t="shared" si="35"/>
        <v>0.30769230769230771</v>
      </c>
      <c r="BA21" s="168">
        <f t="shared" si="35"/>
        <v>0.93221314305443659</v>
      </c>
      <c r="BB21" s="168">
        <f t="shared" si="35"/>
        <v>1.9008825526137134</v>
      </c>
      <c r="BC21" s="168">
        <f t="shared" si="35"/>
        <v>1.5546918378678511</v>
      </c>
      <c r="BD21" s="168">
        <f t="shared" si="35"/>
        <v>1.4816885658372938</v>
      </c>
      <c r="BE21" s="168">
        <f t="shared" si="35"/>
        <v>0.90174129353233845</v>
      </c>
      <c r="BF21" s="176">
        <f t="shared" si="35"/>
        <v>0.90475608265069074</v>
      </c>
      <c r="BG21" s="168">
        <f t="shared" si="35"/>
        <v>0.77332044465925565</v>
      </c>
      <c r="BH21" s="168">
        <f t="shared" si="35"/>
        <v>0.10593220338983052</v>
      </c>
      <c r="BI21" s="168">
        <f t="shared" si="35"/>
        <v>0.50869404365519788</v>
      </c>
      <c r="BJ21" s="168">
        <f t="shared" si="35"/>
        <v>0.68321946342276285</v>
      </c>
      <c r="BK21" s="168">
        <f t="shared" si="35"/>
        <v>0.26255907579205318</v>
      </c>
      <c r="BL21" s="168">
        <f t="shared" si="35"/>
        <v>0.12147195426938193</v>
      </c>
      <c r="BM21" s="168">
        <f t="shared" si="35"/>
        <v>1.2792511700468019</v>
      </c>
      <c r="BN21" s="168">
        <f t="shared" si="35"/>
        <v>0.55672099402936903</v>
      </c>
      <c r="BO21" s="168">
        <f t="shared" si="35"/>
        <v>0.35616438356164382</v>
      </c>
      <c r="BP21" s="168">
        <f t="shared" si="35"/>
        <v>1.0880316518298714</v>
      </c>
      <c r="BQ21" s="168">
        <f t="shared" si="35"/>
        <v>0.64257028112449799</v>
      </c>
      <c r="BR21" s="176">
        <f t="shared" si="35"/>
        <v>0.82934609250398716</v>
      </c>
      <c r="BS21" s="168">
        <f t="shared" si="35"/>
        <v>0.21759825921392628</v>
      </c>
      <c r="BT21" s="168">
        <f t="shared" si="35"/>
        <v>1.8974145120934112</v>
      </c>
      <c r="BU21" s="168">
        <f t="shared" si="35"/>
        <v>1.3947453778786896</v>
      </c>
      <c r="BV21" s="168">
        <f t="shared" si="35"/>
        <v>1.0960841509767525</v>
      </c>
      <c r="BW21" s="168">
        <f t="shared" ref="BW21:CL21" si="36">BW119/BW20%</f>
        <v>0.82667401488013226</v>
      </c>
      <c r="BX21" s="168">
        <f t="shared" si="36"/>
        <v>0.66139996325555761</v>
      </c>
      <c r="BY21" s="168">
        <f t="shared" si="36"/>
        <v>0.50317796610169496</v>
      </c>
      <c r="BZ21" s="168">
        <f t="shared" si="36"/>
        <v>1.0655147588192944</v>
      </c>
      <c r="CA21" s="168">
        <f t="shared" si="36"/>
        <v>0.84974893781382776</v>
      </c>
      <c r="CB21" s="176">
        <f t="shared" si="36"/>
        <v>0.8295424137008296</v>
      </c>
      <c r="CC21" s="168">
        <f t="shared" si="36"/>
        <v>0.63588609344760849</v>
      </c>
      <c r="CD21" s="168">
        <f t="shared" si="36"/>
        <v>0.39022386527007602</v>
      </c>
      <c r="CE21" s="168">
        <f t="shared" si="36"/>
        <v>0.70562293274531418</v>
      </c>
      <c r="CF21" s="168">
        <f t="shared" si="36"/>
        <v>0.17155601303825699</v>
      </c>
      <c r="CG21" s="168">
        <f t="shared" si="36"/>
        <v>1.1930326890956813</v>
      </c>
      <c r="CH21" s="168">
        <f t="shared" si="36"/>
        <v>1.171875</v>
      </c>
      <c r="CI21" s="168">
        <f t="shared" si="36"/>
        <v>1.0622406639004149</v>
      </c>
      <c r="CJ21" s="168">
        <f t="shared" si="36"/>
        <v>1.2401199236849278</v>
      </c>
      <c r="CK21" s="169">
        <f t="shared" si="36"/>
        <v>1.39881877525645</v>
      </c>
      <c r="CL21" s="177">
        <f t="shared" si="36"/>
        <v>0.65666195200231026</v>
      </c>
    </row>
    <row r="22" spans="1:90">
      <c r="A22" s="80">
        <f>ROWS($A$3:A20)</f>
        <v>18</v>
      </c>
      <c r="B22" s="59" t="s">
        <v>66</v>
      </c>
      <c r="C22" s="201"/>
      <c r="D22" s="268"/>
      <c r="E22" s="269"/>
      <c r="F22" s="116"/>
      <c r="G22" s="137"/>
      <c r="H22" s="137"/>
      <c r="I22" s="138"/>
      <c r="J22" s="141"/>
      <c r="K22" s="116"/>
      <c r="L22" s="137"/>
      <c r="M22" s="137"/>
      <c r="N22" s="137"/>
      <c r="O22" s="137"/>
      <c r="P22" s="137"/>
      <c r="Q22" s="137">
        <f>'2009'!AU22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C23" s="204">
        <v>2007</v>
      </c>
      <c r="D23" s="268" t="s">
        <v>13</v>
      </c>
      <c r="E23" s="269"/>
      <c r="F23" s="116">
        <v>18213</v>
      </c>
      <c r="G23" s="137">
        <v>6647</v>
      </c>
      <c r="H23" s="137">
        <v>18128</v>
      </c>
      <c r="I23" s="138">
        <v>14061</v>
      </c>
      <c r="J23" s="141"/>
      <c r="K23" s="116">
        <f t="shared" ref="K23:K33" si="37">BF23</f>
        <v>2292</v>
      </c>
      <c r="L23" s="137">
        <f t="shared" ref="L23:L33" si="38">AY23</f>
        <v>1708</v>
      </c>
      <c r="M23" s="137">
        <f t="shared" ref="M23:M33" si="39">BD23</f>
        <v>1904</v>
      </c>
      <c r="N23" s="137">
        <f t="shared" ref="N23:N33" si="40">AW23</f>
        <v>933</v>
      </c>
      <c r="O23" s="137">
        <f t="shared" ref="O23:O33" si="41">BE23</f>
        <v>663</v>
      </c>
      <c r="P23" s="137">
        <f>'2009'!AZ23+'2009'!BA23</f>
        <v>2947</v>
      </c>
      <c r="Q23" s="137">
        <f>'2009'!AU23</f>
        <v>783</v>
      </c>
      <c r="R23" s="137">
        <f t="shared" ref="R23:R29" si="42">AT23+AX23</f>
        <v>2063</v>
      </c>
      <c r="S23" s="137">
        <f t="shared" ref="S23:S33" si="43">AV23</f>
        <v>851</v>
      </c>
      <c r="T23" s="137">
        <f t="shared" ref="T23:T33" si="44">BB23</f>
        <v>1584</v>
      </c>
      <c r="U23" s="139">
        <f t="shared" ref="U23:U33" si="45">BC23</f>
        <v>2485</v>
      </c>
      <c r="V23" s="137">
        <f t="shared" ref="V23:V29" si="46">BG23+BJ23</f>
        <v>1004</v>
      </c>
      <c r="W23" s="137">
        <f t="shared" ref="W23:W33" si="47">BR23</f>
        <v>746</v>
      </c>
      <c r="X23" s="137">
        <f t="shared" ref="X23:X29" si="48">BH23+BI23</f>
        <v>1093</v>
      </c>
      <c r="Y23" s="137">
        <f t="shared" ref="Y23:Y29" si="49">BK23+BL23+BN23</f>
        <v>1372</v>
      </c>
      <c r="Z23" s="137">
        <f t="shared" ref="Z23:Z33" si="50">BM23</f>
        <v>1151</v>
      </c>
      <c r="AA23" s="137">
        <f t="shared" ref="AA23:AA29" si="51">BO23+BQ23</f>
        <v>593</v>
      </c>
      <c r="AB23" s="139">
        <f t="shared" ref="AB23:AB33" si="52">BP23</f>
        <v>688</v>
      </c>
      <c r="AC23" s="137">
        <f t="shared" ref="AC23:AC33" si="53">BX23</f>
        <v>1325</v>
      </c>
      <c r="AD23" s="137">
        <f t="shared" ref="AD23:AD33" si="54">BU23</f>
        <v>1995</v>
      </c>
      <c r="AE23" s="137">
        <f t="shared" ref="AE23:AE29" si="55">BS23+BT23</f>
        <v>4082</v>
      </c>
      <c r="AF23" s="137">
        <f t="shared" ref="AF23:AF33" si="56">CA23</f>
        <v>1371</v>
      </c>
      <c r="AG23" s="137">
        <f t="shared" ref="AG23:AG33" si="57">BV23</f>
        <v>4968</v>
      </c>
      <c r="AH23" s="137">
        <f t="shared" ref="AH23:AH33" si="58">BZ23</f>
        <v>1123</v>
      </c>
      <c r="AI23" s="137">
        <f t="shared" ref="AI23:AI33" si="59">BW23</f>
        <v>1066</v>
      </c>
      <c r="AJ23" s="137">
        <f t="shared" ref="AJ23:AJ33" si="60">BY23</f>
        <v>567</v>
      </c>
      <c r="AK23" s="139">
        <f t="shared" ref="AK23:AK33" si="61">CB23</f>
        <v>1631</v>
      </c>
      <c r="AL23" s="137">
        <f t="shared" ref="AL23:AL33" si="62">CE23</f>
        <v>924</v>
      </c>
      <c r="AM23" s="137">
        <f t="shared" ref="AM23:AM33" si="63">CH23</f>
        <v>2207</v>
      </c>
      <c r="AN23" s="137">
        <f t="shared" ref="AN23:AN33" si="64">CJ23</f>
        <v>3110</v>
      </c>
      <c r="AO23" s="137">
        <f t="shared" ref="AO23:AO33" si="65">CC23</f>
        <v>1336</v>
      </c>
      <c r="AP23" s="137">
        <f t="shared" ref="AP23:AP33" si="66">CD23</f>
        <v>546</v>
      </c>
      <c r="AQ23" s="137">
        <f t="shared" ref="AQ23:AQ33" si="67">CK23</f>
        <v>1583</v>
      </c>
      <c r="AR23" s="137">
        <f t="shared" ref="AR23:AR33" si="68">CI23</f>
        <v>1996</v>
      </c>
      <c r="AS23" s="138">
        <f t="shared" ref="AS23:AS29" si="69">CF23+CG23</f>
        <v>2359</v>
      </c>
      <c r="AT23" s="137">
        <v>257</v>
      </c>
      <c r="AU23" s="137">
        <v>783</v>
      </c>
      <c r="AV23" s="137">
        <v>851</v>
      </c>
      <c r="AW23" s="141">
        <v>933</v>
      </c>
      <c r="AX23" s="137">
        <v>1806</v>
      </c>
      <c r="AY23" s="137">
        <v>1708</v>
      </c>
      <c r="AZ23" s="137">
        <v>216</v>
      </c>
      <c r="BA23" s="137">
        <v>2731</v>
      </c>
      <c r="BB23" s="137">
        <v>1584</v>
      </c>
      <c r="BC23" s="137">
        <v>2485</v>
      </c>
      <c r="BD23" s="137">
        <v>1904</v>
      </c>
      <c r="BE23" s="137">
        <v>663</v>
      </c>
      <c r="BF23" s="139">
        <v>2292</v>
      </c>
      <c r="BG23" s="137">
        <v>181</v>
      </c>
      <c r="BH23" s="137">
        <v>88</v>
      </c>
      <c r="BI23" s="137">
        <v>1005</v>
      </c>
      <c r="BJ23" s="137">
        <v>823</v>
      </c>
      <c r="BK23" s="137">
        <v>104</v>
      </c>
      <c r="BL23" s="137">
        <v>80</v>
      </c>
      <c r="BM23" s="137">
        <v>1151</v>
      </c>
      <c r="BN23" s="137">
        <v>1188</v>
      </c>
      <c r="BO23" s="137">
        <v>37</v>
      </c>
      <c r="BP23" s="137">
        <v>688</v>
      </c>
      <c r="BQ23" s="137">
        <v>556</v>
      </c>
      <c r="BR23" s="139">
        <v>746</v>
      </c>
      <c r="BS23" s="137">
        <v>271</v>
      </c>
      <c r="BT23" s="137">
        <v>3811</v>
      </c>
      <c r="BU23" s="137">
        <v>1995</v>
      </c>
      <c r="BV23" s="137">
        <v>4968</v>
      </c>
      <c r="BW23" s="137">
        <v>1066</v>
      </c>
      <c r="BX23" s="137">
        <v>1325</v>
      </c>
      <c r="BY23" s="137">
        <v>567</v>
      </c>
      <c r="BZ23" s="137">
        <v>1123</v>
      </c>
      <c r="CA23" s="137">
        <v>1371</v>
      </c>
      <c r="CB23" s="139">
        <v>1631</v>
      </c>
      <c r="CC23" s="137">
        <v>1336</v>
      </c>
      <c r="CD23" s="137">
        <v>546</v>
      </c>
      <c r="CE23" s="137">
        <v>924</v>
      </c>
      <c r="CF23" s="137">
        <v>146</v>
      </c>
      <c r="CG23" s="137">
        <v>2213</v>
      </c>
      <c r="CH23" s="137">
        <v>2207</v>
      </c>
      <c r="CI23" s="137">
        <v>1996</v>
      </c>
      <c r="CJ23" s="137">
        <v>3110</v>
      </c>
      <c r="CK23" s="138">
        <v>1583</v>
      </c>
      <c r="CL23" s="140">
        <v>57049</v>
      </c>
    </row>
    <row r="24" spans="1:90">
      <c r="A24" s="80">
        <f>ROWS($A$3:A22)</f>
        <v>20</v>
      </c>
      <c r="B24" s="52" t="s">
        <v>249</v>
      </c>
      <c r="C24" s="201"/>
      <c r="D24" s="268" t="s">
        <v>13</v>
      </c>
      <c r="E24" s="269"/>
      <c r="F24" s="116">
        <f>3245+2664</f>
        <v>5909</v>
      </c>
      <c r="G24" s="137">
        <f>1077+1228</f>
        <v>2305</v>
      </c>
      <c r="H24" s="137">
        <f>3971+3685</f>
        <v>7656</v>
      </c>
      <c r="I24" s="138">
        <f>658+2103</f>
        <v>2761</v>
      </c>
      <c r="J24" s="141"/>
      <c r="K24" s="116">
        <f t="shared" si="37"/>
        <v>415</v>
      </c>
      <c r="L24" s="137">
        <f t="shared" si="38"/>
        <v>820</v>
      </c>
      <c r="M24" s="137">
        <f t="shared" si="39"/>
        <v>421</v>
      </c>
      <c r="N24" s="137">
        <f t="shared" si="40"/>
        <v>206</v>
      </c>
      <c r="O24" s="137">
        <f t="shared" si="41"/>
        <v>77</v>
      </c>
      <c r="P24" s="137">
        <f>'2009'!AZ24+'2009'!BA24</f>
        <v>1453</v>
      </c>
      <c r="Q24" s="137">
        <f>'2009'!AU24</f>
        <v>199</v>
      </c>
      <c r="R24" s="137">
        <f t="shared" si="42"/>
        <v>1090</v>
      </c>
      <c r="S24" s="137">
        <f t="shared" si="43"/>
        <v>300</v>
      </c>
      <c r="T24" s="137">
        <f t="shared" si="44"/>
        <v>528</v>
      </c>
      <c r="U24" s="139">
        <f t="shared" si="45"/>
        <v>400</v>
      </c>
      <c r="V24" s="137">
        <f t="shared" si="46"/>
        <v>631</v>
      </c>
      <c r="W24" s="137">
        <f t="shared" si="47"/>
        <v>221</v>
      </c>
      <c r="X24" s="137">
        <f t="shared" si="48"/>
        <v>394</v>
      </c>
      <c r="Y24" s="137">
        <f t="shared" si="49"/>
        <v>423</v>
      </c>
      <c r="Z24" s="137">
        <f t="shared" si="50"/>
        <v>224</v>
      </c>
      <c r="AA24" s="137">
        <f t="shared" si="51"/>
        <v>191</v>
      </c>
      <c r="AB24" s="139">
        <f t="shared" si="52"/>
        <v>221</v>
      </c>
      <c r="AC24" s="137">
        <f t="shared" si="53"/>
        <v>268</v>
      </c>
      <c r="AD24" s="137">
        <f t="shared" si="54"/>
        <v>1067</v>
      </c>
      <c r="AE24" s="137">
        <f t="shared" si="55"/>
        <v>2187</v>
      </c>
      <c r="AF24" s="137">
        <f t="shared" si="56"/>
        <v>468</v>
      </c>
      <c r="AG24" s="137">
        <f t="shared" si="57"/>
        <v>2596</v>
      </c>
      <c r="AH24" s="137">
        <f t="shared" si="58"/>
        <v>361</v>
      </c>
      <c r="AI24" s="137">
        <f t="shared" si="59"/>
        <v>252</v>
      </c>
      <c r="AJ24" s="137">
        <f t="shared" si="60"/>
        <v>87</v>
      </c>
      <c r="AK24" s="139">
        <f t="shared" si="61"/>
        <v>370</v>
      </c>
      <c r="AL24" s="137">
        <f t="shared" si="62"/>
        <v>166</v>
      </c>
      <c r="AM24" s="137">
        <f t="shared" si="63"/>
        <v>318</v>
      </c>
      <c r="AN24" s="137">
        <f t="shared" si="64"/>
        <v>541</v>
      </c>
      <c r="AO24" s="137">
        <f t="shared" si="65"/>
        <v>284</v>
      </c>
      <c r="AP24" s="137">
        <f t="shared" si="66"/>
        <v>144</v>
      </c>
      <c r="AQ24" s="137">
        <f t="shared" si="67"/>
        <v>277</v>
      </c>
      <c r="AR24" s="137">
        <f t="shared" si="68"/>
        <v>723</v>
      </c>
      <c r="AS24" s="138">
        <f t="shared" si="69"/>
        <v>308</v>
      </c>
      <c r="AT24" s="137">
        <f>116+46</f>
        <v>162</v>
      </c>
      <c r="AU24" s="137">
        <f>73+126</f>
        <v>199</v>
      </c>
      <c r="AV24" s="137">
        <f>123+177</f>
        <v>300</v>
      </c>
      <c r="AW24" s="141">
        <f>67+139</f>
        <v>206</v>
      </c>
      <c r="AX24" s="137">
        <f>730+198</f>
        <v>928</v>
      </c>
      <c r="AY24" s="137">
        <f>437+383</f>
        <v>820</v>
      </c>
      <c r="AZ24" s="137">
        <f>41+40</f>
        <v>81</v>
      </c>
      <c r="BA24" s="137">
        <f>1038+334</f>
        <v>1372</v>
      </c>
      <c r="BB24" s="137">
        <f>263+265</f>
        <v>528</v>
      </c>
      <c r="BC24" s="137">
        <f>40+360</f>
        <v>400</v>
      </c>
      <c r="BD24" s="137">
        <f>237+184</f>
        <v>421</v>
      </c>
      <c r="BE24" s="137">
        <f>19+58</f>
        <v>77</v>
      </c>
      <c r="BF24" s="139">
        <f>61+354</f>
        <v>415</v>
      </c>
      <c r="BG24" s="137">
        <f>110+32</f>
        <v>142</v>
      </c>
      <c r="BH24" s="137">
        <v>33</v>
      </c>
      <c r="BI24" s="137">
        <f>205+156</f>
        <v>361</v>
      </c>
      <c r="BJ24" s="137">
        <f>343+146</f>
        <v>489</v>
      </c>
      <c r="BK24" s="137">
        <v>41</v>
      </c>
      <c r="BL24" s="137">
        <v>24</v>
      </c>
      <c r="BM24" s="137">
        <f>36+188</f>
        <v>224</v>
      </c>
      <c r="BN24" s="137">
        <f>183+175</f>
        <v>358</v>
      </c>
      <c r="BO24" s="137">
        <v>20</v>
      </c>
      <c r="BP24" s="137">
        <f>23+198</f>
        <v>221</v>
      </c>
      <c r="BQ24" s="137">
        <f>79+92</f>
        <v>171</v>
      </c>
      <c r="BR24" s="139">
        <f>19+202</f>
        <v>221</v>
      </c>
      <c r="BS24" s="137">
        <f>133+38</f>
        <v>171</v>
      </c>
      <c r="BT24" s="137">
        <f>1405+611</f>
        <v>2016</v>
      </c>
      <c r="BU24" s="137">
        <f>713+354</f>
        <v>1067</v>
      </c>
      <c r="BV24" s="137">
        <f>1247+1349</f>
        <v>2596</v>
      </c>
      <c r="BW24" s="137">
        <f>17+235</f>
        <v>252</v>
      </c>
      <c r="BX24" s="137">
        <f>20+248</f>
        <v>268</v>
      </c>
      <c r="BY24" s="137">
        <f>6+81</f>
        <v>87</v>
      </c>
      <c r="BZ24" s="137">
        <f>181+180</f>
        <v>361</v>
      </c>
      <c r="CA24" s="137">
        <f>200+268</f>
        <v>468</v>
      </c>
      <c r="CB24" s="139">
        <f>49+321</f>
        <v>370</v>
      </c>
      <c r="CC24" s="137">
        <f>55+229</f>
        <v>284</v>
      </c>
      <c r="CD24" s="137">
        <f>39+105</f>
        <v>144</v>
      </c>
      <c r="CE24" s="137">
        <f>17+149</f>
        <v>166</v>
      </c>
      <c r="CF24" s="137">
        <v>35</v>
      </c>
      <c r="CG24" s="137">
        <f>50+223</f>
        <v>273</v>
      </c>
      <c r="CH24" s="137">
        <f>49+269</f>
        <v>318</v>
      </c>
      <c r="CI24" s="137">
        <f>318+405</f>
        <v>723</v>
      </c>
      <c r="CJ24" s="137">
        <f>85+456</f>
        <v>541</v>
      </c>
      <c r="CK24" s="138">
        <f>31+246</f>
        <v>277</v>
      </c>
      <c r="CL24" s="140">
        <f>8951+9680</f>
        <v>18631</v>
      </c>
    </row>
    <row r="25" spans="1:90">
      <c r="A25" s="80">
        <f>ROWS($A$3:A23)</f>
        <v>21</v>
      </c>
      <c r="B25" s="52" t="s">
        <v>250</v>
      </c>
      <c r="C25" s="201"/>
      <c r="D25" s="268" t="s">
        <v>13</v>
      </c>
      <c r="E25" s="269"/>
      <c r="F25" s="116">
        <v>2380</v>
      </c>
      <c r="G25" s="137">
        <v>924</v>
      </c>
      <c r="H25" s="137">
        <v>3174</v>
      </c>
      <c r="I25" s="138">
        <v>1978</v>
      </c>
      <c r="J25" s="141"/>
      <c r="K25" s="116">
        <f t="shared" si="37"/>
        <v>377</v>
      </c>
      <c r="L25" s="137">
        <f t="shared" si="38"/>
        <v>262</v>
      </c>
      <c r="M25" s="137">
        <f t="shared" si="39"/>
        <v>219</v>
      </c>
      <c r="N25" s="137">
        <f t="shared" si="40"/>
        <v>126</v>
      </c>
      <c r="O25" s="137">
        <f t="shared" si="41"/>
        <v>79</v>
      </c>
      <c r="P25" s="137">
        <f>'2009'!AZ25+'2009'!BA25</f>
        <v>352</v>
      </c>
      <c r="Q25" s="137">
        <f>'2009'!AU25</f>
        <v>113</v>
      </c>
      <c r="R25" s="137">
        <f t="shared" si="42"/>
        <v>179</v>
      </c>
      <c r="S25" s="137">
        <f t="shared" si="43"/>
        <v>135</v>
      </c>
      <c r="T25" s="137">
        <f t="shared" si="44"/>
        <v>213</v>
      </c>
      <c r="U25" s="139">
        <f t="shared" si="45"/>
        <v>325</v>
      </c>
      <c r="V25" s="137">
        <f t="shared" si="46"/>
        <v>117</v>
      </c>
      <c r="W25" s="137">
        <f t="shared" si="47"/>
        <v>154</v>
      </c>
      <c r="X25" s="137">
        <f t="shared" si="48"/>
        <v>139</v>
      </c>
      <c r="Y25" s="137">
        <f t="shared" si="49"/>
        <v>144</v>
      </c>
      <c r="Z25" s="137">
        <f t="shared" si="50"/>
        <v>157</v>
      </c>
      <c r="AA25" s="137">
        <f t="shared" si="51"/>
        <v>72</v>
      </c>
      <c r="AB25" s="139">
        <f t="shared" si="52"/>
        <v>141</v>
      </c>
      <c r="AC25" s="137">
        <f t="shared" si="53"/>
        <v>222</v>
      </c>
      <c r="AD25" s="137">
        <f t="shared" si="54"/>
        <v>305</v>
      </c>
      <c r="AE25" s="137">
        <f t="shared" si="55"/>
        <v>551</v>
      </c>
      <c r="AF25" s="137">
        <f t="shared" si="56"/>
        <v>250</v>
      </c>
      <c r="AG25" s="137">
        <f t="shared" si="57"/>
        <v>1001</v>
      </c>
      <c r="AH25" s="137">
        <f t="shared" si="58"/>
        <v>139</v>
      </c>
      <c r="AI25" s="137">
        <f t="shared" si="59"/>
        <v>229</v>
      </c>
      <c r="AJ25" s="137">
        <f t="shared" si="60"/>
        <v>106</v>
      </c>
      <c r="AK25" s="139">
        <f t="shared" si="61"/>
        <v>371</v>
      </c>
      <c r="AL25" s="137">
        <f t="shared" si="62"/>
        <v>173</v>
      </c>
      <c r="AM25" s="137">
        <f t="shared" si="63"/>
        <v>261</v>
      </c>
      <c r="AN25" s="137">
        <f t="shared" si="64"/>
        <v>339</v>
      </c>
      <c r="AO25" s="137">
        <f t="shared" si="65"/>
        <v>223</v>
      </c>
      <c r="AP25" s="137">
        <f t="shared" si="66"/>
        <v>98</v>
      </c>
      <c r="AQ25" s="137">
        <f t="shared" si="67"/>
        <v>254</v>
      </c>
      <c r="AR25" s="137">
        <f t="shared" si="68"/>
        <v>345</v>
      </c>
      <c r="AS25" s="138">
        <f t="shared" si="69"/>
        <v>285</v>
      </c>
      <c r="AT25" s="137">
        <v>37</v>
      </c>
      <c r="AU25" s="137">
        <v>113</v>
      </c>
      <c r="AV25" s="137">
        <v>135</v>
      </c>
      <c r="AW25" s="141">
        <v>126</v>
      </c>
      <c r="AX25" s="137">
        <v>142</v>
      </c>
      <c r="AY25" s="137">
        <v>262</v>
      </c>
      <c r="AZ25" s="137">
        <v>42</v>
      </c>
      <c r="BA25" s="137">
        <v>310</v>
      </c>
      <c r="BB25" s="137">
        <v>213</v>
      </c>
      <c r="BC25" s="137">
        <v>325</v>
      </c>
      <c r="BD25" s="137">
        <v>219</v>
      </c>
      <c r="BE25" s="137">
        <v>79</v>
      </c>
      <c r="BF25" s="139">
        <v>377</v>
      </c>
      <c r="BG25" s="137">
        <v>16</v>
      </c>
      <c r="BH25" s="137">
        <v>13</v>
      </c>
      <c r="BI25" s="137">
        <v>126</v>
      </c>
      <c r="BJ25" s="137">
        <v>101</v>
      </c>
      <c r="BK25" s="137">
        <v>12</v>
      </c>
      <c r="BL25" s="137">
        <v>6</v>
      </c>
      <c r="BM25" s="137">
        <v>157</v>
      </c>
      <c r="BN25" s="137">
        <v>126</v>
      </c>
      <c r="BO25" s="137">
        <v>3</v>
      </c>
      <c r="BP25" s="137">
        <v>141</v>
      </c>
      <c r="BQ25" s="137">
        <v>69</v>
      </c>
      <c r="BR25" s="139">
        <v>154</v>
      </c>
      <c r="BS25" s="137">
        <v>28</v>
      </c>
      <c r="BT25" s="137">
        <v>523</v>
      </c>
      <c r="BU25" s="137">
        <v>305</v>
      </c>
      <c r="BV25" s="137">
        <v>1001</v>
      </c>
      <c r="BW25" s="137">
        <v>229</v>
      </c>
      <c r="BX25" s="137">
        <v>222</v>
      </c>
      <c r="BY25" s="137">
        <v>106</v>
      </c>
      <c r="BZ25" s="137">
        <v>139</v>
      </c>
      <c r="CA25" s="137">
        <v>250</v>
      </c>
      <c r="CB25" s="139">
        <f>371</f>
        <v>371</v>
      </c>
      <c r="CC25" s="137">
        <v>223</v>
      </c>
      <c r="CD25" s="137">
        <v>98</v>
      </c>
      <c r="CE25" s="137">
        <v>173</v>
      </c>
      <c r="CF25" s="137">
        <v>11</v>
      </c>
      <c r="CG25" s="137">
        <v>274</v>
      </c>
      <c r="CH25" s="137">
        <v>261</v>
      </c>
      <c r="CI25" s="137">
        <v>345</v>
      </c>
      <c r="CJ25" s="137">
        <v>339</v>
      </c>
      <c r="CK25" s="138">
        <v>254</v>
      </c>
      <c r="CL25" s="140">
        <v>8456</v>
      </c>
    </row>
    <row r="26" spans="1:90">
      <c r="A26" s="80">
        <f>ROWS($A$3:A24)</f>
        <v>22</v>
      </c>
      <c r="B26" s="52" t="s">
        <v>251</v>
      </c>
      <c r="C26" s="201"/>
      <c r="D26" s="268" t="s">
        <v>13</v>
      </c>
      <c r="E26" s="269"/>
      <c r="F26" s="116">
        <f>1624+1371</f>
        <v>2995</v>
      </c>
      <c r="G26" s="137">
        <f>573+410</f>
        <v>983</v>
      </c>
      <c r="H26" s="137">
        <f>1755+1249</f>
        <v>3004</v>
      </c>
      <c r="I26" s="138">
        <f>1450+1499</f>
        <v>2949</v>
      </c>
      <c r="J26" s="141"/>
      <c r="K26" s="116">
        <f t="shared" si="37"/>
        <v>565</v>
      </c>
      <c r="L26" s="137">
        <f t="shared" si="38"/>
        <v>253</v>
      </c>
      <c r="M26" s="137">
        <f t="shared" si="39"/>
        <v>339</v>
      </c>
      <c r="N26" s="137">
        <f t="shared" si="40"/>
        <v>164</v>
      </c>
      <c r="O26" s="137">
        <f t="shared" si="41"/>
        <v>131</v>
      </c>
      <c r="P26" s="137">
        <f>'2009'!AZ26+'2009'!BA26</f>
        <v>317</v>
      </c>
      <c r="Q26" s="137">
        <f>'2009'!AU26</f>
        <v>157</v>
      </c>
      <c r="R26" s="137">
        <f t="shared" si="42"/>
        <v>202</v>
      </c>
      <c r="S26" s="137">
        <f t="shared" si="43"/>
        <v>126</v>
      </c>
      <c r="T26" s="137">
        <f t="shared" si="44"/>
        <v>249</v>
      </c>
      <c r="U26" s="139">
        <f t="shared" si="45"/>
        <v>492</v>
      </c>
      <c r="V26" s="137">
        <f t="shared" si="46"/>
        <v>103</v>
      </c>
      <c r="W26" s="137">
        <f t="shared" si="47"/>
        <v>120</v>
      </c>
      <c r="X26" s="137">
        <f t="shared" si="48"/>
        <v>127</v>
      </c>
      <c r="Y26" s="137">
        <f t="shared" si="49"/>
        <v>199</v>
      </c>
      <c r="Z26" s="137">
        <f t="shared" si="50"/>
        <v>220</v>
      </c>
      <c r="AA26" s="137">
        <f t="shared" si="51"/>
        <v>90</v>
      </c>
      <c r="AB26" s="139">
        <f t="shared" si="52"/>
        <v>124</v>
      </c>
      <c r="AC26" s="137">
        <f t="shared" si="53"/>
        <v>234</v>
      </c>
      <c r="AD26" s="137">
        <f t="shared" si="54"/>
        <v>324</v>
      </c>
      <c r="AE26" s="137">
        <f t="shared" si="55"/>
        <v>548</v>
      </c>
      <c r="AF26" s="137">
        <f t="shared" si="56"/>
        <v>284</v>
      </c>
      <c r="AG26" s="137">
        <f t="shared" si="57"/>
        <v>730</v>
      </c>
      <c r="AH26" s="137">
        <f t="shared" si="58"/>
        <v>183</v>
      </c>
      <c r="AI26" s="137">
        <f t="shared" si="59"/>
        <v>210</v>
      </c>
      <c r="AJ26" s="137">
        <f t="shared" si="60"/>
        <v>125</v>
      </c>
      <c r="AK26" s="139">
        <f t="shared" si="61"/>
        <v>366</v>
      </c>
      <c r="AL26" s="137">
        <f t="shared" si="62"/>
        <v>203</v>
      </c>
      <c r="AM26" s="137">
        <f t="shared" si="63"/>
        <v>416</v>
      </c>
      <c r="AN26" s="137">
        <f t="shared" si="64"/>
        <v>665</v>
      </c>
      <c r="AO26" s="137">
        <f t="shared" si="65"/>
        <v>290</v>
      </c>
      <c r="AP26" s="137">
        <f t="shared" si="66"/>
        <v>95</v>
      </c>
      <c r="AQ26" s="137">
        <f t="shared" si="67"/>
        <v>343</v>
      </c>
      <c r="AR26" s="137">
        <f t="shared" si="68"/>
        <v>408</v>
      </c>
      <c r="AS26" s="138">
        <f t="shared" si="69"/>
        <v>529</v>
      </c>
      <c r="AT26" s="141">
        <f>14+10</f>
        <v>24</v>
      </c>
      <c r="AU26" s="141">
        <f>84+73</f>
        <v>157</v>
      </c>
      <c r="AV26" s="141">
        <f>70+56</f>
        <v>126</v>
      </c>
      <c r="AW26" s="141">
        <f>98+66</f>
        <v>164</v>
      </c>
      <c r="AX26" s="141">
        <f>94+84</f>
        <v>178</v>
      </c>
      <c r="AY26" s="137">
        <f>151+102</f>
        <v>253</v>
      </c>
      <c r="AZ26" s="137">
        <f>13+11</f>
        <v>24</v>
      </c>
      <c r="BA26" s="137">
        <f>164+129</f>
        <v>293</v>
      </c>
      <c r="BB26" s="137">
        <f>131+118</f>
        <v>249</v>
      </c>
      <c r="BC26" s="137">
        <f>254+238</f>
        <v>492</v>
      </c>
      <c r="BD26" s="137">
        <f>174+165</f>
        <v>339</v>
      </c>
      <c r="BE26" s="137">
        <f>71+60</f>
        <v>131</v>
      </c>
      <c r="BF26" s="139">
        <f>306+259</f>
        <v>565</v>
      </c>
      <c r="BG26" s="137">
        <f>6+2</f>
        <v>8</v>
      </c>
      <c r="BH26" s="137">
        <v>11</v>
      </c>
      <c r="BI26" s="137">
        <f>63+53</f>
        <v>116</v>
      </c>
      <c r="BJ26" s="137">
        <f>61+34</f>
        <v>95</v>
      </c>
      <c r="BK26" s="137">
        <v>20</v>
      </c>
      <c r="BL26" s="137">
        <v>8</v>
      </c>
      <c r="BM26" s="137">
        <f>119+101</f>
        <v>220</v>
      </c>
      <c r="BN26" s="137">
        <f>96+75</f>
        <v>171</v>
      </c>
      <c r="BO26" s="137">
        <v>2</v>
      </c>
      <c r="BP26" s="137">
        <f>75+49</f>
        <v>124</v>
      </c>
      <c r="BQ26" s="137">
        <f>58+30</f>
        <v>88</v>
      </c>
      <c r="BR26" s="139">
        <f>75+45</f>
        <v>120</v>
      </c>
      <c r="BS26" s="137">
        <f>15+12</f>
        <v>27</v>
      </c>
      <c r="BT26" s="137">
        <f>309+212</f>
        <v>521</v>
      </c>
      <c r="BU26" s="137">
        <f>202+122</f>
        <v>324</v>
      </c>
      <c r="BV26" s="137">
        <f>490+240</f>
        <v>730</v>
      </c>
      <c r="BW26" s="137">
        <f>120+90</f>
        <v>210</v>
      </c>
      <c r="BX26" s="137">
        <f>111+123</f>
        <v>234</v>
      </c>
      <c r="BY26" s="137">
        <f>62+63</f>
        <v>125</v>
      </c>
      <c r="BZ26" s="137">
        <f>100+83</f>
        <v>183</v>
      </c>
      <c r="CA26" s="137">
        <f>148+136</f>
        <v>284</v>
      </c>
      <c r="CB26" s="139">
        <f>198+168</f>
        <v>366</v>
      </c>
      <c r="CC26" s="137">
        <f>153+137</f>
        <v>290</v>
      </c>
      <c r="CD26" s="137">
        <f>51+44</f>
        <v>95</v>
      </c>
      <c r="CE26" s="137">
        <f>117+86</f>
        <v>203</v>
      </c>
      <c r="CF26" s="137">
        <v>27</v>
      </c>
      <c r="CG26" s="137">
        <f>251+251</f>
        <v>502</v>
      </c>
      <c r="CH26" s="137">
        <f>194+222</f>
        <v>416</v>
      </c>
      <c r="CI26" s="137">
        <f>226+182</f>
        <v>408</v>
      </c>
      <c r="CJ26" s="137">
        <f>287+378</f>
        <v>665</v>
      </c>
      <c r="CK26" s="138">
        <f>160+183</f>
        <v>343</v>
      </c>
      <c r="CL26" s="140">
        <f>5402+4529</f>
        <v>9931</v>
      </c>
    </row>
    <row r="27" spans="1:90">
      <c r="A27" s="80">
        <f>ROWS($A$3:A25)</f>
        <v>23</v>
      </c>
      <c r="B27" s="52" t="s">
        <v>252</v>
      </c>
      <c r="C27" s="201"/>
      <c r="D27" s="268" t="s">
        <v>13</v>
      </c>
      <c r="E27" s="269"/>
      <c r="F27" s="116">
        <f>848+733+1253+1026</f>
        <v>3860</v>
      </c>
      <c r="G27" s="137">
        <f>254+215+339+284</f>
        <v>1092</v>
      </c>
      <c r="H27" s="137">
        <f>657+556+738+532</f>
        <v>2483</v>
      </c>
      <c r="I27" s="138">
        <f>816+720+1164+952</f>
        <v>3652</v>
      </c>
      <c r="J27" s="141"/>
      <c r="K27" s="116">
        <f>BF27</f>
        <v>506</v>
      </c>
      <c r="L27" s="137">
        <f>AY27</f>
        <v>239</v>
      </c>
      <c r="M27" s="137">
        <f>BD27</f>
        <v>499</v>
      </c>
      <c r="N27" s="137">
        <f>AW27</f>
        <v>235</v>
      </c>
      <c r="O27" s="137">
        <f>BE27</f>
        <v>176</v>
      </c>
      <c r="P27" s="137">
        <f>'2009'!AZ27+'2009'!BA27</f>
        <v>459</v>
      </c>
      <c r="Q27" s="137">
        <f>'2009'!AU27</f>
        <v>158</v>
      </c>
      <c r="R27" s="137">
        <f>AT27+AX27</f>
        <v>385</v>
      </c>
      <c r="S27" s="137">
        <f>AV27</f>
        <v>161</v>
      </c>
      <c r="T27" s="137">
        <f>BB27</f>
        <v>314</v>
      </c>
      <c r="U27" s="139">
        <f>BC27</f>
        <v>728</v>
      </c>
      <c r="V27" s="137">
        <f>BG27+BJ27</f>
        <v>63</v>
      </c>
      <c r="W27" s="137">
        <f>BR27</f>
        <v>139</v>
      </c>
      <c r="X27" s="137">
        <f>BH27+BI27</f>
        <v>157</v>
      </c>
      <c r="Y27" s="137">
        <f>BK27+BL27+BN27</f>
        <v>306</v>
      </c>
      <c r="Z27" s="137">
        <f>BM27</f>
        <v>242</v>
      </c>
      <c r="AA27" s="137">
        <f>BO27+BQ27</f>
        <v>95</v>
      </c>
      <c r="AB27" s="139">
        <f>BP27</f>
        <v>90</v>
      </c>
      <c r="AC27" s="137">
        <f>BX27</f>
        <v>359</v>
      </c>
      <c r="AD27" s="137">
        <f>BU27</f>
        <v>214</v>
      </c>
      <c r="AE27" s="137">
        <f>BS27+BT27</f>
        <v>554</v>
      </c>
      <c r="AF27" s="137">
        <f>CA27</f>
        <v>260</v>
      </c>
      <c r="AG27" s="137">
        <f>BV27</f>
        <v>373</v>
      </c>
      <c r="AH27" s="137">
        <f>BZ27</f>
        <v>191</v>
      </c>
      <c r="AI27" s="137">
        <f>BW27</f>
        <v>162</v>
      </c>
      <c r="AJ27" s="137">
        <f>BY27</f>
        <v>84</v>
      </c>
      <c r="AK27" s="139">
        <f>CB27</f>
        <v>286</v>
      </c>
      <c r="AL27" s="137">
        <f>CE27</f>
        <v>175</v>
      </c>
      <c r="AM27" s="137">
        <f>CH27</f>
        <v>663</v>
      </c>
      <c r="AN27" s="137">
        <f>CJ27</f>
        <v>1062</v>
      </c>
      <c r="AO27" s="137">
        <f>CC27</f>
        <v>273</v>
      </c>
      <c r="AP27" s="137">
        <f>CD27</f>
        <v>102</v>
      </c>
      <c r="AQ27" s="137">
        <f>CK27</f>
        <v>350</v>
      </c>
      <c r="AR27" s="137">
        <f>CI27</f>
        <v>371</v>
      </c>
      <c r="AS27" s="138">
        <f>CF27+CG27</f>
        <v>656</v>
      </c>
      <c r="AT27" s="141">
        <f>1+3+10+9</f>
        <v>23</v>
      </c>
      <c r="AU27" s="141">
        <f>32+25+63+38</f>
        <v>158</v>
      </c>
      <c r="AV27" s="141">
        <f>31+32+54+44</f>
        <v>161</v>
      </c>
      <c r="AW27" s="141">
        <f>50+46+74+65</f>
        <v>235</v>
      </c>
      <c r="AX27" s="141">
        <f>76+67+115+104</f>
        <v>362</v>
      </c>
      <c r="AY27" s="137">
        <f>69+47+70+53</f>
        <v>239</v>
      </c>
      <c r="AZ27" s="137">
        <f>9+8+20+12</f>
        <v>49</v>
      </c>
      <c r="BA27" s="137">
        <f>81+69+153+107</f>
        <v>410</v>
      </c>
      <c r="BB27" s="137">
        <f>76+62+86+90</f>
        <v>314</v>
      </c>
      <c r="BC27" s="137">
        <f>147+138+238+205</f>
        <v>728</v>
      </c>
      <c r="BD27" s="137">
        <f>106+106+159+128</f>
        <v>499</v>
      </c>
      <c r="BE27" s="137">
        <f>35+29+63+49</f>
        <v>176</v>
      </c>
      <c r="BF27" s="139">
        <f>135+101+148+122</f>
        <v>506</v>
      </c>
      <c r="BG27" s="137">
        <f>3+2+1+1</f>
        <v>7</v>
      </c>
      <c r="BH27" s="137">
        <v>18</v>
      </c>
      <c r="BI27" s="137">
        <f>35+25+42+37</f>
        <v>139</v>
      </c>
      <c r="BJ27" s="137">
        <f>22+10+12+12</f>
        <v>56</v>
      </c>
      <c r="BK27" s="137">
        <v>22</v>
      </c>
      <c r="BL27" s="137">
        <v>21</v>
      </c>
      <c r="BM27" s="137">
        <f>49+58+75+60</f>
        <v>242</v>
      </c>
      <c r="BN27" s="137">
        <f>63+41+78+81</f>
        <v>263</v>
      </c>
      <c r="BO27" s="137">
        <v>4</v>
      </c>
      <c r="BP27" s="137">
        <f>17+23+31+19</f>
        <v>90</v>
      </c>
      <c r="BQ27" s="137">
        <f>19+16+28+28</f>
        <v>91</v>
      </c>
      <c r="BR27" s="139">
        <f>34+25+44+36</f>
        <v>139</v>
      </c>
      <c r="BS27" s="137">
        <f>8+3+10+8</f>
        <v>29</v>
      </c>
      <c r="BT27" s="137">
        <f>135+137+175+78</f>
        <v>525</v>
      </c>
      <c r="BU27" s="137">
        <f>79+43+50+42</f>
        <v>214</v>
      </c>
      <c r="BV27" s="137">
        <f>136+70+94+73</f>
        <v>373</v>
      </c>
      <c r="BW27" s="137">
        <f>35+41+40+46</f>
        <v>162</v>
      </c>
      <c r="BX27" s="137">
        <f>78+87+112+82</f>
        <v>359</v>
      </c>
      <c r="BY27" s="137">
        <f>14+19+20+31</f>
        <v>84</v>
      </c>
      <c r="BZ27" s="137">
        <f>44+45+55+47</f>
        <v>191</v>
      </c>
      <c r="CA27" s="137">
        <f>68+51+89+52</f>
        <v>260</v>
      </c>
      <c r="CB27" s="139">
        <f>60+60+93+73</f>
        <v>286</v>
      </c>
      <c r="CC27" s="137">
        <f>54+50+92+77</f>
        <v>273</v>
      </c>
      <c r="CD27" s="137">
        <f>19+25+29+29</f>
        <v>102</v>
      </c>
      <c r="CE27" s="137">
        <f>48+30+54+43</f>
        <v>175</v>
      </c>
      <c r="CF27" s="137">
        <v>34</v>
      </c>
      <c r="CG27" s="137">
        <f>149+135+195+143</f>
        <v>622</v>
      </c>
      <c r="CH27" s="137">
        <f>139+121+212+191</f>
        <v>663</v>
      </c>
      <c r="CI27" s="137">
        <f>122+70+103+76</f>
        <v>371</v>
      </c>
      <c r="CJ27" s="137">
        <f>194+207+363+298</f>
        <v>1062</v>
      </c>
      <c r="CK27" s="138">
        <f>86+75+105+84</f>
        <v>350</v>
      </c>
      <c r="CL27" s="140">
        <f>2575+2224+3494+2794</f>
        <v>11087</v>
      </c>
    </row>
    <row r="28" spans="1:90">
      <c r="A28" s="80">
        <f>ROWS($A$3:A26)</f>
        <v>24</v>
      </c>
      <c r="B28" s="52" t="s">
        <v>4</v>
      </c>
      <c r="C28" s="201"/>
      <c r="D28" s="268" t="s">
        <v>13</v>
      </c>
      <c r="E28" s="269"/>
      <c r="F28" s="116">
        <f>1563+752</f>
        <v>2315</v>
      </c>
      <c r="G28" s="137">
        <f>486+334</f>
        <v>820</v>
      </c>
      <c r="H28" s="137">
        <f>813+461</f>
        <v>1274</v>
      </c>
      <c r="I28" s="138">
        <f>1376+647</f>
        <v>2023</v>
      </c>
      <c r="J28" s="141"/>
      <c r="K28" s="116">
        <f t="shared" si="37"/>
        <v>315</v>
      </c>
      <c r="L28" s="137">
        <f t="shared" si="38"/>
        <v>104</v>
      </c>
      <c r="M28" s="137">
        <f t="shared" si="39"/>
        <v>262</v>
      </c>
      <c r="N28" s="137">
        <f t="shared" si="40"/>
        <v>167</v>
      </c>
      <c r="O28" s="137">
        <f t="shared" si="41"/>
        <v>148</v>
      </c>
      <c r="P28" s="137">
        <f>'2009'!AZ28+'2009'!BA28</f>
        <v>268</v>
      </c>
      <c r="Q28" s="137">
        <f>'2009'!AU28</f>
        <v>111</v>
      </c>
      <c r="R28" s="137">
        <f t="shared" si="42"/>
        <v>180</v>
      </c>
      <c r="S28" s="137">
        <f t="shared" si="43"/>
        <v>101</v>
      </c>
      <c r="T28" s="137">
        <f t="shared" si="44"/>
        <v>204</v>
      </c>
      <c r="U28" s="139">
        <f t="shared" si="45"/>
        <v>455</v>
      </c>
      <c r="V28" s="137">
        <f t="shared" si="46"/>
        <v>43</v>
      </c>
      <c r="W28" s="137">
        <f t="shared" si="47"/>
        <v>74</v>
      </c>
      <c r="X28" s="137">
        <f t="shared" si="48"/>
        <v>142</v>
      </c>
      <c r="Y28" s="137">
        <f t="shared" si="49"/>
        <v>218</v>
      </c>
      <c r="Z28" s="137">
        <f t="shared" si="50"/>
        <v>175</v>
      </c>
      <c r="AA28" s="137">
        <f t="shared" si="51"/>
        <v>92</v>
      </c>
      <c r="AB28" s="139">
        <f t="shared" si="52"/>
        <v>76</v>
      </c>
      <c r="AC28" s="137">
        <f t="shared" si="53"/>
        <v>178</v>
      </c>
      <c r="AD28" s="137">
        <f t="shared" si="54"/>
        <v>59</v>
      </c>
      <c r="AE28" s="137">
        <f t="shared" si="55"/>
        <v>197</v>
      </c>
      <c r="AF28" s="137">
        <f t="shared" si="56"/>
        <v>94</v>
      </c>
      <c r="AG28" s="137">
        <f t="shared" si="57"/>
        <v>184</v>
      </c>
      <c r="AH28" s="137">
        <f t="shared" si="58"/>
        <v>161</v>
      </c>
      <c r="AI28" s="137">
        <f t="shared" si="59"/>
        <v>140</v>
      </c>
      <c r="AJ28" s="137">
        <f t="shared" si="60"/>
        <v>84</v>
      </c>
      <c r="AK28" s="139">
        <f t="shared" si="61"/>
        <v>177</v>
      </c>
      <c r="AL28" s="137">
        <f t="shared" si="62"/>
        <v>112</v>
      </c>
      <c r="AM28" s="137">
        <f t="shared" si="63"/>
        <v>430</v>
      </c>
      <c r="AN28" s="137">
        <f t="shared" si="64"/>
        <v>447</v>
      </c>
      <c r="AO28" s="137">
        <f t="shared" si="65"/>
        <v>172</v>
      </c>
      <c r="AP28" s="137">
        <f t="shared" si="66"/>
        <v>45</v>
      </c>
      <c r="AQ28" s="137">
        <f t="shared" si="67"/>
        <v>226</v>
      </c>
      <c r="AR28" s="137">
        <f t="shared" si="68"/>
        <v>127</v>
      </c>
      <c r="AS28" s="138">
        <f t="shared" si="69"/>
        <v>464</v>
      </c>
      <c r="AT28" s="141">
        <f>6+3</f>
        <v>9</v>
      </c>
      <c r="AU28" s="141">
        <f>72+39</f>
        <v>111</v>
      </c>
      <c r="AV28" s="141">
        <f>69+32</f>
        <v>101</v>
      </c>
      <c r="AW28" s="141">
        <f>107+60</f>
        <v>167</v>
      </c>
      <c r="AX28" s="141">
        <f>120+51</f>
        <v>171</v>
      </c>
      <c r="AY28" s="137">
        <f>64+40</f>
        <v>104</v>
      </c>
      <c r="AZ28" s="137">
        <f>12+3</f>
        <v>15</v>
      </c>
      <c r="BA28" s="137">
        <f>164+89</f>
        <v>253</v>
      </c>
      <c r="BB28" s="137">
        <f>153+51</f>
        <v>204</v>
      </c>
      <c r="BC28" s="137">
        <f>321+134</f>
        <v>455</v>
      </c>
      <c r="BD28" s="137">
        <f>177+85</f>
        <v>262</v>
      </c>
      <c r="BE28" s="137">
        <f>93+55</f>
        <v>148</v>
      </c>
      <c r="BF28" s="139">
        <f>205+110</f>
        <v>315</v>
      </c>
      <c r="BG28" s="137">
        <f>2+3</f>
        <v>5</v>
      </c>
      <c r="BH28" s="137">
        <v>7</v>
      </c>
      <c r="BI28" s="137">
        <f>75+60</f>
        <v>135</v>
      </c>
      <c r="BJ28" s="137">
        <f>23+15</f>
        <v>38</v>
      </c>
      <c r="BK28" s="137">
        <v>8</v>
      </c>
      <c r="BL28" s="137">
        <v>16</v>
      </c>
      <c r="BM28" s="137">
        <f>106+69</f>
        <v>175</v>
      </c>
      <c r="BN28" s="137">
        <f>117+77</f>
        <v>194</v>
      </c>
      <c r="BO28" s="137">
        <v>4</v>
      </c>
      <c r="BP28" s="137">
        <f>52+24</f>
        <v>76</v>
      </c>
      <c r="BQ28" s="137">
        <f>47+41</f>
        <v>88</v>
      </c>
      <c r="BR28" s="139">
        <f>43+31</f>
        <v>74</v>
      </c>
      <c r="BS28" s="137">
        <f>10+1</f>
        <v>11</v>
      </c>
      <c r="BT28" s="137">
        <f>129+57</f>
        <v>186</v>
      </c>
      <c r="BU28" s="137">
        <f>45+14</f>
        <v>59</v>
      </c>
      <c r="BV28" s="137">
        <f>121+63</f>
        <v>184</v>
      </c>
      <c r="BW28" s="137">
        <f>84+56</f>
        <v>140</v>
      </c>
      <c r="BX28" s="137">
        <f>105+73</f>
        <v>178</v>
      </c>
      <c r="BY28" s="137">
        <f>51+33</f>
        <v>84</v>
      </c>
      <c r="BZ28" s="137">
        <f>92+69</f>
        <v>161</v>
      </c>
      <c r="CA28" s="137">
        <f>65+29</f>
        <v>94</v>
      </c>
      <c r="CB28" s="139">
        <f>111+66</f>
        <v>177</v>
      </c>
      <c r="CC28" s="137">
        <f>109+63</f>
        <v>172</v>
      </c>
      <c r="CD28" s="137">
        <f>21+24</f>
        <v>45</v>
      </c>
      <c r="CE28" s="137">
        <f>53+59</f>
        <v>112</v>
      </c>
      <c r="CF28" s="137">
        <v>33</v>
      </c>
      <c r="CG28" s="137">
        <f>300+131</f>
        <v>431</v>
      </c>
      <c r="CH28" s="137">
        <f>303+127</f>
        <v>430</v>
      </c>
      <c r="CI28" s="137">
        <f>90+37</f>
        <v>127</v>
      </c>
      <c r="CJ28" s="137">
        <f>347+100</f>
        <v>447</v>
      </c>
      <c r="CK28" s="138">
        <f>131+95</f>
        <v>226</v>
      </c>
      <c r="CL28" s="140">
        <f>4238+2194</f>
        <v>6432</v>
      </c>
    </row>
    <row r="29" spans="1:90">
      <c r="A29" s="80">
        <f>ROWS($A$3:A27)</f>
        <v>25</v>
      </c>
      <c r="B29" s="52" t="s">
        <v>5</v>
      </c>
      <c r="C29" s="201"/>
      <c r="D29" s="268" t="s">
        <v>13</v>
      </c>
      <c r="E29" s="269"/>
      <c r="F29" s="116">
        <v>754</v>
      </c>
      <c r="G29" s="137">
        <v>523</v>
      </c>
      <c r="H29" s="137">
        <v>537</v>
      </c>
      <c r="I29" s="138">
        <v>698</v>
      </c>
      <c r="J29" s="141"/>
      <c r="K29" s="116">
        <f t="shared" si="37"/>
        <v>114</v>
      </c>
      <c r="L29" s="137">
        <f t="shared" si="38"/>
        <v>30</v>
      </c>
      <c r="M29" s="137">
        <f t="shared" si="39"/>
        <v>164</v>
      </c>
      <c r="N29" s="137">
        <f t="shared" si="40"/>
        <v>35</v>
      </c>
      <c r="O29" s="137">
        <f t="shared" si="41"/>
        <v>52</v>
      </c>
      <c r="P29" s="137">
        <f>'2009'!AZ29+'2009'!BA29</f>
        <v>98</v>
      </c>
      <c r="Q29" s="137">
        <f>'2009'!AU29</f>
        <v>45</v>
      </c>
      <c r="R29" s="137">
        <f t="shared" si="42"/>
        <v>27</v>
      </c>
      <c r="S29" s="137">
        <f t="shared" si="43"/>
        <v>28</v>
      </c>
      <c r="T29" s="137">
        <f t="shared" si="44"/>
        <v>76</v>
      </c>
      <c r="U29" s="139">
        <f t="shared" si="45"/>
        <v>85</v>
      </c>
      <c r="V29" s="137">
        <f t="shared" si="46"/>
        <v>47</v>
      </c>
      <c r="W29" s="137">
        <f t="shared" si="47"/>
        <v>38</v>
      </c>
      <c r="X29" s="137">
        <f t="shared" si="48"/>
        <v>134</v>
      </c>
      <c r="Y29" s="137">
        <f t="shared" si="49"/>
        <v>82</v>
      </c>
      <c r="Z29" s="137">
        <f t="shared" si="50"/>
        <v>133</v>
      </c>
      <c r="AA29" s="137">
        <f t="shared" si="51"/>
        <v>53</v>
      </c>
      <c r="AB29" s="139">
        <f t="shared" si="52"/>
        <v>36</v>
      </c>
      <c r="AC29" s="137">
        <f t="shared" si="53"/>
        <v>64</v>
      </c>
      <c r="AD29" s="137">
        <f t="shared" si="54"/>
        <v>26</v>
      </c>
      <c r="AE29" s="137">
        <f t="shared" si="55"/>
        <v>45</v>
      </c>
      <c r="AF29" s="137">
        <f t="shared" si="56"/>
        <v>15</v>
      </c>
      <c r="AG29" s="137">
        <f t="shared" si="57"/>
        <v>84</v>
      </c>
      <c r="AH29" s="137">
        <f t="shared" si="58"/>
        <v>88</v>
      </c>
      <c r="AI29" s="137">
        <f t="shared" si="59"/>
        <v>73</v>
      </c>
      <c r="AJ29" s="137">
        <f t="shared" si="60"/>
        <v>81</v>
      </c>
      <c r="AK29" s="139">
        <f t="shared" si="61"/>
        <v>61</v>
      </c>
      <c r="AL29" s="137">
        <f t="shared" si="62"/>
        <v>95</v>
      </c>
      <c r="AM29" s="137">
        <f t="shared" si="63"/>
        <v>119</v>
      </c>
      <c r="AN29" s="137">
        <f t="shared" si="64"/>
        <v>56</v>
      </c>
      <c r="AO29" s="137">
        <f t="shared" si="65"/>
        <v>94</v>
      </c>
      <c r="AP29" s="137">
        <f t="shared" si="66"/>
        <v>62</v>
      </c>
      <c r="AQ29" s="137">
        <f t="shared" si="67"/>
        <v>133</v>
      </c>
      <c r="AR29" s="137">
        <f t="shared" si="68"/>
        <v>22</v>
      </c>
      <c r="AS29" s="138">
        <f t="shared" si="69"/>
        <v>117</v>
      </c>
      <c r="AT29" s="141">
        <v>2</v>
      </c>
      <c r="AU29" s="141">
        <v>45</v>
      </c>
      <c r="AV29" s="141">
        <v>28</v>
      </c>
      <c r="AW29" s="141">
        <v>35</v>
      </c>
      <c r="AX29" s="141">
        <v>25</v>
      </c>
      <c r="AY29" s="137">
        <v>30</v>
      </c>
      <c r="AZ29" s="137">
        <v>5</v>
      </c>
      <c r="BA29" s="137">
        <v>93</v>
      </c>
      <c r="BB29" s="137">
        <v>76</v>
      </c>
      <c r="BC29" s="137">
        <v>85</v>
      </c>
      <c r="BD29" s="137">
        <v>164</v>
      </c>
      <c r="BE29" s="137">
        <v>52</v>
      </c>
      <c r="BF29" s="139">
        <v>114</v>
      </c>
      <c r="BG29" s="137">
        <v>3</v>
      </c>
      <c r="BH29" s="137">
        <v>6</v>
      </c>
      <c r="BI29" s="137">
        <f>128</f>
        <v>128</v>
      </c>
      <c r="BJ29" s="137">
        <f>44</f>
        <v>44</v>
      </c>
      <c r="BK29" s="137">
        <v>1</v>
      </c>
      <c r="BL29" s="137">
        <v>5</v>
      </c>
      <c r="BM29" s="137">
        <v>133</v>
      </c>
      <c r="BN29" s="137">
        <v>76</v>
      </c>
      <c r="BO29" s="137">
        <v>4</v>
      </c>
      <c r="BP29" s="137">
        <v>36</v>
      </c>
      <c r="BQ29" s="137">
        <v>49</v>
      </c>
      <c r="BR29" s="139">
        <v>38</v>
      </c>
      <c r="BS29" s="137">
        <v>5</v>
      </c>
      <c r="BT29" s="137">
        <v>40</v>
      </c>
      <c r="BU29" s="137">
        <f>26</f>
        <v>26</v>
      </c>
      <c r="BV29" s="137">
        <v>84</v>
      </c>
      <c r="BW29" s="137">
        <v>73</v>
      </c>
      <c r="BX29" s="137">
        <v>64</v>
      </c>
      <c r="BY29" s="137">
        <v>81</v>
      </c>
      <c r="BZ29" s="137">
        <f>88</f>
        <v>88</v>
      </c>
      <c r="CA29" s="137">
        <v>15</v>
      </c>
      <c r="CB29" s="139">
        <f>61</f>
        <v>61</v>
      </c>
      <c r="CC29" s="137">
        <f>94</f>
        <v>94</v>
      </c>
      <c r="CD29" s="137">
        <v>62</v>
      </c>
      <c r="CE29" s="137">
        <v>95</v>
      </c>
      <c r="CF29" s="137">
        <v>6</v>
      </c>
      <c r="CG29" s="137">
        <v>111</v>
      </c>
      <c r="CH29" s="137">
        <v>119</v>
      </c>
      <c r="CI29" s="137">
        <v>22</v>
      </c>
      <c r="CJ29" s="137">
        <v>56</v>
      </c>
      <c r="CK29" s="138">
        <v>133</v>
      </c>
      <c r="CL29" s="140">
        <f>2512</f>
        <v>2512</v>
      </c>
    </row>
    <row r="30" spans="1:90">
      <c r="A30" s="80">
        <f>ROWS($A$3:A28)</f>
        <v>26</v>
      </c>
      <c r="B30" s="53" t="s">
        <v>256</v>
      </c>
      <c r="C30" s="261"/>
      <c r="D30" s="268" t="s">
        <v>1</v>
      </c>
      <c r="E30" s="269"/>
      <c r="F30" s="167">
        <f>F35/F23</f>
        <v>25.940701696590349</v>
      </c>
      <c r="G30" s="168">
        <f>G35/G23</f>
        <v>30.661200541597712</v>
      </c>
      <c r="H30" s="168">
        <f>H35/H23</f>
        <v>18.05483230361871</v>
      </c>
      <c r="I30" s="169">
        <f>I35/I23</f>
        <v>30.732095868003697</v>
      </c>
      <c r="J30" s="173"/>
      <c r="K30" s="178">
        <f t="shared" si="37"/>
        <v>28.840750436300173</v>
      </c>
      <c r="L30" s="179">
        <f t="shared" si="38"/>
        <v>15.357728337236534</v>
      </c>
      <c r="M30" s="179">
        <f t="shared" si="39"/>
        <v>36.372899159663866</v>
      </c>
      <c r="N30" s="179">
        <f t="shared" si="40"/>
        <v>30.497320471597</v>
      </c>
      <c r="O30" s="179">
        <f t="shared" si="41"/>
        <v>39.758672699849171</v>
      </c>
      <c r="P30" s="168">
        <f>P35/P23</f>
        <v>20.014591109602986</v>
      </c>
      <c r="Q30" s="179">
        <f>'2009'!AU30</f>
        <v>28.835249042145595</v>
      </c>
      <c r="R30" s="168">
        <f>R35/R23</f>
        <v>17.007755695588948</v>
      </c>
      <c r="S30" s="179">
        <f t="shared" si="43"/>
        <v>23.418331374853114</v>
      </c>
      <c r="T30" s="179">
        <f t="shared" si="44"/>
        <v>26.487373737373737</v>
      </c>
      <c r="U30" s="180">
        <f t="shared" si="45"/>
        <v>31.196378269617707</v>
      </c>
      <c r="V30" s="168">
        <f>V35/V23</f>
        <v>16.553784860557769</v>
      </c>
      <c r="W30" s="179">
        <f t="shared" si="47"/>
        <v>26.178284182305632</v>
      </c>
      <c r="X30" s="168">
        <f>X35/X23</f>
        <v>36.625800548947851</v>
      </c>
      <c r="Y30" s="168">
        <f>Y35/Y23</f>
        <v>31.397959183673468</v>
      </c>
      <c r="Z30" s="179">
        <f t="shared" si="50"/>
        <v>40.707211120764555</v>
      </c>
      <c r="AA30" s="168">
        <f>AA35/AA23</f>
        <v>33.976391231028671</v>
      </c>
      <c r="AB30" s="180">
        <f t="shared" si="52"/>
        <v>25.5</v>
      </c>
      <c r="AC30" s="179">
        <f t="shared" si="53"/>
        <v>29.788679245283017</v>
      </c>
      <c r="AD30" s="179">
        <f t="shared" si="54"/>
        <v>11.494235588972431</v>
      </c>
      <c r="AE30" s="168">
        <f>AE35/AE23</f>
        <v>13.066144047035767</v>
      </c>
      <c r="AF30" s="179">
        <f t="shared" si="56"/>
        <v>17.436907366885485</v>
      </c>
      <c r="AG30" s="179">
        <f t="shared" si="57"/>
        <v>11.835950080515298</v>
      </c>
      <c r="AH30" s="179">
        <f t="shared" si="58"/>
        <v>30.728406055209263</v>
      </c>
      <c r="AI30" s="179">
        <f t="shared" si="59"/>
        <v>28.943714821763603</v>
      </c>
      <c r="AJ30" s="179">
        <f t="shared" si="60"/>
        <v>42.901234567901234</v>
      </c>
      <c r="AK30" s="180">
        <f t="shared" si="61"/>
        <v>24.014101778050275</v>
      </c>
      <c r="AL30" s="179">
        <f t="shared" si="62"/>
        <v>36.914502164502167</v>
      </c>
      <c r="AM30" s="179">
        <f t="shared" si="63"/>
        <v>35.15269596737653</v>
      </c>
      <c r="AN30" s="179">
        <f t="shared" si="64"/>
        <v>28.22636655948553</v>
      </c>
      <c r="AO30" s="179">
        <f t="shared" si="65"/>
        <v>32.446107784431135</v>
      </c>
      <c r="AP30" s="179">
        <f t="shared" si="66"/>
        <v>36.388278388278387</v>
      </c>
      <c r="AQ30" s="179">
        <f t="shared" si="67"/>
        <v>34.858496525584336</v>
      </c>
      <c r="AR30" s="179">
        <f t="shared" si="68"/>
        <v>17.063627254509019</v>
      </c>
      <c r="AS30" s="169">
        <f t="shared" ref="AS30:CL30" si="70">AS35/AS23</f>
        <v>33.994489190334889</v>
      </c>
      <c r="AT30" s="168">
        <f t="shared" si="70"/>
        <v>9.8910505836575879</v>
      </c>
      <c r="AU30" s="168">
        <f t="shared" si="70"/>
        <v>28.835249042145595</v>
      </c>
      <c r="AV30" s="168">
        <f t="shared" si="70"/>
        <v>23.418331374853114</v>
      </c>
      <c r="AW30" s="168">
        <f t="shared" si="70"/>
        <v>30.497320471597</v>
      </c>
      <c r="AX30" s="168">
        <f t="shared" si="70"/>
        <v>18.02048726467331</v>
      </c>
      <c r="AY30" s="168">
        <f t="shared" si="70"/>
        <v>15.357728337236534</v>
      </c>
      <c r="AZ30" s="168">
        <f t="shared" si="70"/>
        <v>19.356481481481481</v>
      </c>
      <c r="BA30" s="168">
        <f t="shared" si="70"/>
        <v>20.066642255584036</v>
      </c>
      <c r="BB30" s="168">
        <f t="shared" si="70"/>
        <v>26.487373737373737</v>
      </c>
      <c r="BC30" s="168">
        <f t="shared" si="70"/>
        <v>31.196378269617707</v>
      </c>
      <c r="BD30" s="168">
        <f t="shared" si="70"/>
        <v>36.372899159663866</v>
      </c>
      <c r="BE30" s="168">
        <f t="shared" si="70"/>
        <v>39.758672699849171</v>
      </c>
      <c r="BF30" s="176">
        <f t="shared" si="70"/>
        <v>28.840750436300173</v>
      </c>
      <c r="BG30" s="168">
        <f t="shared" si="70"/>
        <v>9.6408839779005522</v>
      </c>
      <c r="BH30" s="168">
        <f t="shared" si="70"/>
        <v>29.943181818181817</v>
      </c>
      <c r="BI30" s="168">
        <f t="shared" si="70"/>
        <v>37.210945273631843</v>
      </c>
      <c r="BJ30" s="168">
        <f t="shared" si="70"/>
        <v>18.074119076549209</v>
      </c>
      <c r="BK30" s="168">
        <f t="shared" si="70"/>
        <v>17.673076923076923</v>
      </c>
      <c r="BL30" s="168">
        <f t="shared" si="70"/>
        <v>34.450000000000003</v>
      </c>
      <c r="BM30" s="168">
        <f t="shared" si="70"/>
        <v>40.707211120764555</v>
      </c>
      <c r="BN30" s="168">
        <f t="shared" si="70"/>
        <v>32.393939393939391</v>
      </c>
      <c r="BO30" s="168">
        <f t="shared" si="70"/>
        <v>26.783783783783782</v>
      </c>
      <c r="BP30" s="168">
        <f t="shared" si="70"/>
        <v>25.5</v>
      </c>
      <c r="BQ30" s="168">
        <f t="shared" si="70"/>
        <v>34.455035971223019</v>
      </c>
      <c r="BR30" s="176">
        <f t="shared" si="70"/>
        <v>26.178284182305632</v>
      </c>
      <c r="BS30" s="168">
        <f t="shared" si="70"/>
        <v>13.158671586715867</v>
      </c>
      <c r="BT30" s="168">
        <f t="shared" si="70"/>
        <v>13.059564418787719</v>
      </c>
      <c r="BU30" s="168">
        <f t="shared" si="70"/>
        <v>11.494235588972431</v>
      </c>
      <c r="BV30" s="168">
        <f t="shared" si="70"/>
        <v>11.835950080515298</v>
      </c>
      <c r="BW30" s="168">
        <f t="shared" si="70"/>
        <v>28.943714821763603</v>
      </c>
      <c r="BX30" s="168">
        <f t="shared" si="70"/>
        <v>29.788679245283017</v>
      </c>
      <c r="BY30" s="168">
        <f t="shared" si="70"/>
        <v>42.901234567901234</v>
      </c>
      <c r="BZ30" s="168">
        <f t="shared" si="70"/>
        <v>30.728406055209263</v>
      </c>
      <c r="CA30" s="168">
        <f t="shared" si="70"/>
        <v>17.436907366885485</v>
      </c>
      <c r="CB30" s="176">
        <f t="shared" si="70"/>
        <v>24.014101778050275</v>
      </c>
      <c r="CC30" s="168">
        <f t="shared" si="70"/>
        <v>32.446107784431135</v>
      </c>
      <c r="CD30" s="168">
        <f t="shared" si="70"/>
        <v>36.388278388278387</v>
      </c>
      <c r="CE30" s="168">
        <f t="shared" si="70"/>
        <v>36.914502164502167</v>
      </c>
      <c r="CF30" s="168">
        <f t="shared" si="70"/>
        <v>32.739726027397261</v>
      </c>
      <c r="CG30" s="168">
        <f t="shared" si="70"/>
        <v>34.077270673294173</v>
      </c>
      <c r="CH30" s="168">
        <f t="shared" si="70"/>
        <v>35.15269596737653</v>
      </c>
      <c r="CI30" s="168">
        <f t="shared" si="70"/>
        <v>17.063627254509019</v>
      </c>
      <c r="CJ30" s="168">
        <f t="shared" si="70"/>
        <v>28.22636655948553</v>
      </c>
      <c r="CK30" s="169">
        <f t="shared" si="70"/>
        <v>34.858496525584336</v>
      </c>
      <c r="CL30" s="177">
        <f t="shared" si="70"/>
        <v>25.16576977685849</v>
      </c>
    </row>
    <row r="31" spans="1:90">
      <c r="A31" s="80">
        <f>ROWS($A$3:A29)</f>
        <v>27</v>
      </c>
      <c r="B31" s="53" t="str">
        <f>"Entwicklung Betriebe ab 5 ha LF von 2001 / "&amp;C23</f>
        <v>Entwicklung Betriebe ab 5 ha LF von 2001 / 2007</v>
      </c>
      <c r="C31" s="261"/>
      <c r="D31" s="268" t="s">
        <v>3</v>
      </c>
      <c r="E31" s="269"/>
      <c r="F31" s="142">
        <f>(F23-F24)/('2001'!F23-'2001'!F24)%-100</f>
        <v>-16.503800217155273</v>
      </c>
      <c r="G31" s="143">
        <f>(G23-G24)/('2001'!G23-'2001'!G24)%-100</f>
        <v>-14.628391663389692</v>
      </c>
      <c r="H31" s="143">
        <f>(H23-H24)/('2001'!H23-'2001'!H24)%-100</f>
        <v>-15.418786850819799</v>
      </c>
      <c r="I31" s="144">
        <f>(I23-I24)/('2001'!I23-'2001'!I24)%-100</f>
        <v>-17.614464858559344</v>
      </c>
      <c r="J31" s="141"/>
      <c r="K31" s="116">
        <f t="shared" si="37"/>
        <v>-17.603160667251984</v>
      </c>
      <c r="L31" s="137">
        <f t="shared" si="38"/>
        <v>-14.36837029893924</v>
      </c>
      <c r="M31" s="137">
        <f t="shared" si="39"/>
        <v>-19.881145326850358</v>
      </c>
      <c r="N31" s="137">
        <f t="shared" si="40"/>
        <v>-14.871194379391099</v>
      </c>
      <c r="O31" s="137">
        <f t="shared" si="41"/>
        <v>-12.406576980568019</v>
      </c>
      <c r="P31" s="143">
        <f>100-(P23%/((AZ23%)/(100-AZ31)+(BA23%)/(100-BA31)))</f>
        <v>-14.73228413599405</v>
      </c>
      <c r="Q31" s="146">
        <f>'2009'!AU31</f>
        <v>-19.11357340720221</v>
      </c>
      <c r="R31" s="143">
        <f>100-(R23%/((AT23%)/(100-AT31)+(AX23%)/(100-AX31)))</f>
        <v>-11.348012517026632</v>
      </c>
      <c r="S31" s="146">
        <f t="shared" si="43"/>
        <v>-16.388467374810318</v>
      </c>
      <c r="T31" s="146">
        <f t="shared" si="44"/>
        <v>-18.392581143740344</v>
      </c>
      <c r="U31" s="147">
        <f t="shared" si="45"/>
        <v>-17.130365659777425</v>
      </c>
      <c r="V31" s="143">
        <f>100-(V23%/((BG23%)/(100-BG31)+(BJ23%)/(100-BJ31)))</f>
        <v>-6.9569774860996887</v>
      </c>
      <c r="W31" s="146">
        <f t="shared" si="47"/>
        <v>-16.930379746835442</v>
      </c>
      <c r="X31" s="143">
        <f>100-(X23%/((BH23%)/(100-BH31)+(BI23%)/(100-BI31)))</f>
        <v>-12.625136266897684</v>
      </c>
      <c r="Y31" s="143">
        <f>100-(Y23%/((BK23%)/(100-BK31)+(BL23%)/(100-BL31)+(BN23%)/(100-BN31)))</f>
        <v>-15.221056483334152</v>
      </c>
      <c r="Z31" s="146">
        <f t="shared" si="50"/>
        <v>-15.727272727272734</v>
      </c>
      <c r="AA31" s="143">
        <f>100-(AA23%/((BO23%)/(100-BO31)+(BQ23%)/(100-BQ31)))</f>
        <v>-12.320124420285353</v>
      </c>
      <c r="AB31" s="147">
        <f t="shared" si="52"/>
        <v>-18.641114982578401</v>
      </c>
      <c r="AC31" s="146">
        <f t="shared" si="53"/>
        <v>-17.163009404388717</v>
      </c>
      <c r="AD31" s="146">
        <f t="shared" si="54"/>
        <v>-12.121212121212125</v>
      </c>
      <c r="AE31" s="143">
        <f>100-(AE23%/((BS23%)/(100-BS31)+(BT23%)/(100-BT31)))</f>
        <v>-13.098800393925458</v>
      </c>
      <c r="AF31" s="146">
        <f t="shared" si="56"/>
        <v>-15.843429636533088</v>
      </c>
      <c r="AG31" s="146">
        <f t="shared" si="57"/>
        <v>-13.049853372434015</v>
      </c>
      <c r="AH31" s="146">
        <f t="shared" si="58"/>
        <v>-17.083786724700758</v>
      </c>
      <c r="AI31" s="146">
        <f t="shared" si="59"/>
        <v>-17.694641051567245</v>
      </c>
      <c r="AJ31" s="146">
        <f t="shared" si="60"/>
        <v>-20</v>
      </c>
      <c r="AK31" s="147">
        <f t="shared" si="61"/>
        <v>-19.166666666666671</v>
      </c>
      <c r="AL31" s="146">
        <f t="shared" si="62"/>
        <v>-18.142548596112306</v>
      </c>
      <c r="AM31" s="146">
        <f t="shared" si="63"/>
        <v>-18.154246100519927</v>
      </c>
      <c r="AN31" s="146">
        <f t="shared" si="64"/>
        <v>-15.493421052631575</v>
      </c>
      <c r="AO31" s="146">
        <f t="shared" si="65"/>
        <v>-18.827160493827165</v>
      </c>
      <c r="AP31" s="146">
        <f t="shared" si="66"/>
        <v>-19.114688128772627</v>
      </c>
      <c r="AQ31" s="146">
        <f t="shared" si="67"/>
        <v>-19.531731361675909</v>
      </c>
      <c r="AR31" s="146">
        <f t="shared" si="68"/>
        <v>-14.391392064559511</v>
      </c>
      <c r="AS31" s="144">
        <f>100-(AS23%/((CF23%)/(100-CF31)+(CG23%)/(100-CG31)))</f>
        <v>-19.222851443449017</v>
      </c>
      <c r="AT31" s="146">
        <f>(AT23-AT24)/('2001'!AT23-'2001'!AT24)%-100</f>
        <v>-3.0612244897959187</v>
      </c>
      <c r="AU31" s="141">
        <f>(AU23-AU24)/('2001'!AU23-'2001'!AU24)%-100</f>
        <v>-19.11357340720221</v>
      </c>
      <c r="AV31" s="141">
        <f>(AV23-AV24)/('2001'!AV23-'2001'!AV24)%-100</f>
        <v>-16.388467374810318</v>
      </c>
      <c r="AW31" s="141">
        <f>(AW23-AW24)/('2001'!AW23-'2001'!AW24)%-100</f>
        <v>-14.871194379391099</v>
      </c>
      <c r="AX31" s="141">
        <f>(AX23-AX24)/('2001'!AX23-'2001'!AX24)%-100</f>
        <v>-12.636815920398021</v>
      </c>
      <c r="AY31" s="137">
        <f>(AY23-AY24)/('2001'!AY23-'2001'!AY24)%-100</f>
        <v>-14.36837029893924</v>
      </c>
      <c r="AZ31" s="137">
        <f>(AZ23-AZ24)/('2001'!AZ23-'2001'!AZ24)%-100</f>
        <v>-16.666666666666671</v>
      </c>
      <c r="BA31" s="137">
        <f>(BA23-BA24)/('2001'!BA23-'2001'!BA24)%-100</f>
        <v>-14.582023884349468</v>
      </c>
      <c r="BB31" s="137">
        <f>(BB23-BB24)/('2001'!BB23-'2001'!BB24)%-100</f>
        <v>-18.392581143740344</v>
      </c>
      <c r="BC31" s="137">
        <f>(BC23-BC24)/('2001'!BC23-'2001'!BC24)%-100</f>
        <v>-17.130365659777425</v>
      </c>
      <c r="BD31" s="137">
        <f>(BD23-BD24)/('2001'!BD23-'2001'!BD24)%-100</f>
        <v>-19.881145326850358</v>
      </c>
      <c r="BE31" s="137">
        <f>(BE23-BE24)/('2001'!BE23-'2001'!BE24)%-100</f>
        <v>-12.406576980568019</v>
      </c>
      <c r="BF31" s="139">
        <f>(BF23-BF24)/('2001'!BF23-'2001'!BF24)%-100</f>
        <v>-17.603160667251984</v>
      </c>
      <c r="BG31" s="137">
        <f>(BG23-BG24)/('2001'!BG23-'2001'!BG24)%-100</f>
        <v>-13.333333333333329</v>
      </c>
      <c r="BH31" s="137">
        <f>(BH23-BH24)/('2001'!BH23-'2001'!BH24)%-100</f>
        <v>-12.698412698412696</v>
      </c>
      <c r="BI31" s="137">
        <f>(BI23-BI24)/('2001'!BI23-'2001'!BI24)%-100</f>
        <v>-12.618724559023065</v>
      </c>
      <c r="BJ31" s="137">
        <f>(BJ23-BJ24)/('2001'!BJ23-'2001'!BJ24)%-100</f>
        <v>-5.6497175141242906</v>
      </c>
      <c r="BK31" s="137">
        <f>(BK23-BK24)/('2001'!BK23-'2001'!BK24)%-100</f>
        <v>-7.3529411764705941</v>
      </c>
      <c r="BL31" s="137">
        <f>(BL23-BL24)/('2001'!BL23-'2001'!BL24)%-100</f>
        <v>-24.324324324324323</v>
      </c>
      <c r="BM31" s="137">
        <f>(BM23-BM24)/('2001'!BM23-'2001'!BM24)%-100</f>
        <v>-15.727272727272734</v>
      </c>
      <c r="BN31" s="137">
        <f>(BN23-BN24)/('2001'!BN23-'2001'!BN24)%-100</f>
        <v>-15.392456676860348</v>
      </c>
      <c r="BO31" s="137">
        <f>(BO23-BO24)/('2001'!BO23-'2001'!BO24)%-100</f>
        <v>-19.047619047619051</v>
      </c>
      <c r="BP31" s="137">
        <f>(BP23-BP24)/('2001'!BP23-'2001'!BP24)%-100</f>
        <v>-18.641114982578401</v>
      </c>
      <c r="BQ31" s="137">
        <f>(BQ23-BQ24)/('2001'!BQ23-'2001'!BQ24)%-100</f>
        <v>-11.899313501144164</v>
      </c>
      <c r="BR31" s="139">
        <f>(BR23-BR24)/('2001'!BR23-'2001'!BR24)%-100</f>
        <v>-16.930379746835442</v>
      </c>
      <c r="BS31" s="137">
        <f>(BS23-BS24)/('2001'!BS23-'2001'!BS24)%-100</f>
        <v>-15.254237288135585</v>
      </c>
      <c r="BT31" s="137">
        <f>(BT23-BT24)/('2001'!BT23-'2001'!BT24)%-100</f>
        <v>-12.948593598448113</v>
      </c>
      <c r="BU31" s="137">
        <f>(BU23-BU24)/('2001'!BU23-'2001'!BU24)%-100</f>
        <v>-12.121212121212125</v>
      </c>
      <c r="BV31" s="137">
        <f>(BV23-BV24)/('2001'!BV23-'2001'!BV24)%-100</f>
        <v>-13.049853372434015</v>
      </c>
      <c r="BW31" s="137">
        <f>(BW23-BW24)/('2001'!BW23-'2001'!BW24)%-100</f>
        <v>-17.694641051567245</v>
      </c>
      <c r="BX31" s="137">
        <f>(BX23-BX24)/('2001'!BX23-'2001'!BX24)%-100</f>
        <v>-17.163009404388717</v>
      </c>
      <c r="BY31" s="137">
        <f>(BY23-BY24)/('2001'!BY23-'2001'!BY24)%-100</f>
        <v>-20</v>
      </c>
      <c r="BZ31" s="137">
        <f>(BZ23-BZ24)/('2001'!BZ23-'2001'!BZ24)%-100</f>
        <v>-17.083786724700758</v>
      </c>
      <c r="CA31" s="137">
        <f>(CA23-CA24)/('2001'!CA23-'2001'!CA24)%-100</f>
        <v>-15.843429636533088</v>
      </c>
      <c r="CB31" s="139">
        <f>(CB23-CB24)/('2001'!CB23-'2001'!CB24)%-100</f>
        <v>-19.166666666666671</v>
      </c>
      <c r="CC31" s="137">
        <f>(CC23-CC24)/('2001'!CC23-'2001'!CC24)%-100</f>
        <v>-18.827160493827165</v>
      </c>
      <c r="CD31" s="137">
        <f>(CD23-CD24)/('2001'!CD23-'2001'!CD24)%-100</f>
        <v>-19.114688128772627</v>
      </c>
      <c r="CE31" s="137">
        <f>(CE23-CE24)/('2001'!CE23-'2001'!CE24)%-100</f>
        <v>-18.142548596112306</v>
      </c>
      <c r="CF31" s="137">
        <f>(CF23-CF24)/('2001'!CF23-'2001'!CF24)%-100</f>
        <v>-19.565217391304344</v>
      </c>
      <c r="CG31" s="137">
        <f>(CG23-CG24)/('2001'!CG23-'2001'!CG24)%-100</f>
        <v>-19.200333194502292</v>
      </c>
      <c r="CH31" s="137">
        <f>(CH23-CH24)/('2001'!CH23-'2001'!CH24)%-100</f>
        <v>-18.154246100519927</v>
      </c>
      <c r="CI31" s="137">
        <f>(CI23-CI24)/('2001'!CI23-'2001'!CI24)%-100</f>
        <v>-14.391392064559511</v>
      </c>
      <c r="CJ31" s="137">
        <f>(CJ23-CJ24)/('2001'!CJ23-'2001'!CJ24)%-100</f>
        <v>-15.493421052631575</v>
      </c>
      <c r="CK31" s="138">
        <f>(CK23-CK24)/('2001'!CK23-'2001'!CK24)%-100</f>
        <v>-19.531731361675909</v>
      </c>
      <c r="CL31" s="140">
        <f>(CL23-CL24)/('2001'!CL23-'2001'!CL24)%-100</f>
        <v>-16.335286047170015</v>
      </c>
    </row>
    <row r="32" spans="1:90">
      <c r="A32" s="80">
        <f>ROWS($A$3:A30)</f>
        <v>28</v>
      </c>
      <c r="B32" s="53" t="s">
        <v>170</v>
      </c>
      <c r="C32" s="261"/>
      <c r="D32" s="268" t="s">
        <v>3</v>
      </c>
      <c r="E32" s="269"/>
      <c r="F32" s="116">
        <v>37</v>
      </c>
      <c r="G32" s="137">
        <v>31</v>
      </c>
      <c r="H32" s="137">
        <v>28</v>
      </c>
      <c r="I32" s="138">
        <v>42</v>
      </c>
      <c r="J32" s="141"/>
      <c r="K32" s="116">
        <f t="shared" si="37"/>
        <v>35</v>
      </c>
      <c r="L32" s="137">
        <f t="shared" si="38"/>
        <v>35</v>
      </c>
      <c r="M32" s="137">
        <f t="shared" si="39"/>
        <v>34</v>
      </c>
      <c r="N32" s="137">
        <f t="shared" si="40"/>
        <v>42</v>
      </c>
      <c r="O32" s="137">
        <f t="shared" si="41"/>
        <v>41</v>
      </c>
      <c r="P32" s="143">
        <f>(AZ23*AZ32+BA23*BA32)/P23</f>
        <v>40.539192399049881</v>
      </c>
      <c r="Q32" s="146">
        <f>'2009'!AU32</f>
        <v>30</v>
      </c>
      <c r="R32" s="143">
        <f>(AT23*AT32+AX23*AX32)/R23</f>
        <v>40.989820649539503</v>
      </c>
      <c r="S32" s="146">
        <f t="shared" si="43"/>
        <v>35</v>
      </c>
      <c r="T32" s="146">
        <f t="shared" si="44"/>
        <v>38</v>
      </c>
      <c r="U32" s="147">
        <f t="shared" si="45"/>
        <v>47</v>
      </c>
      <c r="V32" s="143">
        <f>(BG23*BG32+BJ23*BJ32)/V23</f>
        <v>16.819721115537849</v>
      </c>
      <c r="W32" s="146">
        <f t="shared" si="47"/>
        <v>25</v>
      </c>
      <c r="X32" s="143">
        <f>(BH23*BH32+BI23*BI32)/X23</f>
        <v>33.724611161939613</v>
      </c>
      <c r="Y32" s="143">
        <f>(BK23*BK32+BL23*BL32+BN23*BN32)/Y23</f>
        <v>43.571428571428569</v>
      </c>
      <c r="Z32" s="146">
        <f t="shared" si="50"/>
        <v>33</v>
      </c>
      <c r="AA32" s="143">
        <f>(BO23*BO32+BQ23*BQ32)/AA23</f>
        <v>32.18549747048904</v>
      </c>
      <c r="AB32" s="147">
        <f t="shared" si="52"/>
        <v>26</v>
      </c>
      <c r="AC32" s="146">
        <f t="shared" si="53"/>
        <v>36</v>
      </c>
      <c r="AD32" s="146">
        <f t="shared" si="54"/>
        <v>28</v>
      </c>
      <c r="AE32" s="143">
        <f>(BS23*BS32+BT23*BT32)/AE23</f>
        <v>32.132778049975499</v>
      </c>
      <c r="AF32" s="146">
        <f t="shared" si="56"/>
        <v>29</v>
      </c>
      <c r="AG32" s="146">
        <f t="shared" si="57"/>
        <v>30</v>
      </c>
      <c r="AH32" s="146">
        <f t="shared" si="58"/>
        <v>45</v>
      </c>
      <c r="AI32" s="146">
        <f t="shared" si="59"/>
        <v>26</v>
      </c>
      <c r="AJ32" s="146">
        <f t="shared" si="60"/>
        <v>26</v>
      </c>
      <c r="AK32" s="147">
        <f t="shared" si="61"/>
        <v>27</v>
      </c>
      <c r="AL32" s="146">
        <f t="shared" si="62"/>
        <v>23</v>
      </c>
      <c r="AM32" s="146">
        <f t="shared" si="63"/>
        <v>49</v>
      </c>
      <c r="AN32" s="146">
        <f t="shared" si="64"/>
        <v>59</v>
      </c>
      <c r="AO32" s="146">
        <f t="shared" si="65"/>
        <v>28</v>
      </c>
      <c r="AP32" s="146">
        <f t="shared" si="66"/>
        <v>24</v>
      </c>
      <c r="AQ32" s="146">
        <f t="shared" si="67"/>
        <v>34</v>
      </c>
      <c r="AR32" s="146">
        <f t="shared" si="68"/>
        <v>48</v>
      </c>
      <c r="AS32" s="144">
        <f>(CF23*CF32+CG23*CG32)/AS23</f>
        <v>41.433234421364986</v>
      </c>
      <c r="AT32" s="146">
        <v>62</v>
      </c>
      <c r="AU32" s="141">
        <v>30</v>
      </c>
      <c r="AV32" s="141">
        <v>35</v>
      </c>
      <c r="AW32" s="141">
        <v>42</v>
      </c>
      <c r="AX32" s="141">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c r="A33" s="80">
        <f>ROWS($A$3:A31)</f>
        <v>29</v>
      </c>
      <c r="B33" s="53" t="s">
        <v>68</v>
      </c>
      <c r="C33" s="261"/>
      <c r="D33" s="268" t="s">
        <v>3</v>
      </c>
      <c r="E33" s="269"/>
      <c r="F33" s="142">
        <f>100-F32</f>
        <v>63</v>
      </c>
      <c r="G33" s="143">
        <f>100-G32</f>
        <v>69</v>
      </c>
      <c r="H33" s="143">
        <f>100-H32</f>
        <v>72</v>
      </c>
      <c r="I33" s="144">
        <f>100-I32</f>
        <v>58</v>
      </c>
      <c r="J33" s="141"/>
      <c r="K33" s="145">
        <f t="shared" si="37"/>
        <v>65</v>
      </c>
      <c r="L33" s="146">
        <f t="shared" si="38"/>
        <v>65</v>
      </c>
      <c r="M33" s="146">
        <f t="shared" si="39"/>
        <v>66</v>
      </c>
      <c r="N33" s="146">
        <f t="shared" si="40"/>
        <v>58</v>
      </c>
      <c r="O33" s="146">
        <f t="shared" si="41"/>
        <v>59</v>
      </c>
      <c r="P33" s="143">
        <f>100-P32</f>
        <v>59.460807600950119</v>
      </c>
      <c r="Q33" s="146">
        <f>'2009'!AU33</f>
        <v>70</v>
      </c>
      <c r="R33" s="143">
        <f>100-R32</f>
        <v>59.010179350460497</v>
      </c>
      <c r="S33" s="146">
        <f t="shared" si="43"/>
        <v>65</v>
      </c>
      <c r="T33" s="146">
        <f t="shared" si="44"/>
        <v>62</v>
      </c>
      <c r="U33" s="147">
        <f t="shared" si="45"/>
        <v>53</v>
      </c>
      <c r="V33" s="143">
        <f>100-V32</f>
        <v>83.180278884462155</v>
      </c>
      <c r="W33" s="146">
        <f t="shared" si="47"/>
        <v>75</v>
      </c>
      <c r="X33" s="143">
        <f>100-X32</f>
        <v>66.275388838060394</v>
      </c>
      <c r="Y33" s="143">
        <f>100-Y32</f>
        <v>56.428571428571431</v>
      </c>
      <c r="Z33" s="146">
        <f t="shared" si="50"/>
        <v>67</v>
      </c>
      <c r="AA33" s="143">
        <f>100-AA32</f>
        <v>67.81450252951096</v>
      </c>
      <c r="AB33" s="147">
        <f t="shared" si="52"/>
        <v>74</v>
      </c>
      <c r="AC33" s="146">
        <f t="shared" si="53"/>
        <v>64</v>
      </c>
      <c r="AD33" s="146">
        <f t="shared" si="54"/>
        <v>72</v>
      </c>
      <c r="AE33" s="143">
        <f>100-AE32</f>
        <v>67.867221950024501</v>
      </c>
      <c r="AF33" s="146">
        <f t="shared" si="56"/>
        <v>71</v>
      </c>
      <c r="AG33" s="146">
        <f t="shared" si="57"/>
        <v>70</v>
      </c>
      <c r="AH33" s="146">
        <f t="shared" si="58"/>
        <v>55</v>
      </c>
      <c r="AI33" s="146">
        <f t="shared" si="59"/>
        <v>74</v>
      </c>
      <c r="AJ33" s="146">
        <f t="shared" si="60"/>
        <v>74</v>
      </c>
      <c r="AK33" s="147">
        <f t="shared" si="61"/>
        <v>73</v>
      </c>
      <c r="AL33" s="146">
        <f t="shared" si="62"/>
        <v>77</v>
      </c>
      <c r="AM33" s="146">
        <f t="shared" si="63"/>
        <v>51</v>
      </c>
      <c r="AN33" s="146">
        <f t="shared" si="64"/>
        <v>41</v>
      </c>
      <c r="AO33" s="146">
        <f t="shared" si="65"/>
        <v>72</v>
      </c>
      <c r="AP33" s="146">
        <f t="shared" si="66"/>
        <v>76</v>
      </c>
      <c r="AQ33" s="146">
        <f t="shared" si="67"/>
        <v>66</v>
      </c>
      <c r="AR33" s="146">
        <f t="shared" si="68"/>
        <v>52</v>
      </c>
      <c r="AS33" s="144">
        <f t="shared" ref="AS33:CL33" si="71">100-AS32</f>
        <v>58.566765578635014</v>
      </c>
      <c r="AT33" s="143">
        <f t="shared" si="71"/>
        <v>38</v>
      </c>
      <c r="AU33" s="143">
        <f t="shared" si="71"/>
        <v>70</v>
      </c>
      <c r="AV33" s="143">
        <f t="shared" si="71"/>
        <v>65</v>
      </c>
      <c r="AW33" s="143">
        <f t="shared" si="71"/>
        <v>58</v>
      </c>
      <c r="AX33" s="143">
        <f t="shared" si="71"/>
        <v>62</v>
      </c>
      <c r="AY33" s="143">
        <f t="shared" si="71"/>
        <v>65</v>
      </c>
      <c r="AZ33" s="143">
        <f t="shared" si="71"/>
        <v>40</v>
      </c>
      <c r="BA33" s="143">
        <f t="shared" si="71"/>
        <v>61</v>
      </c>
      <c r="BB33" s="143">
        <f t="shared" si="71"/>
        <v>62</v>
      </c>
      <c r="BC33" s="143">
        <f t="shared" si="71"/>
        <v>53</v>
      </c>
      <c r="BD33" s="143">
        <f t="shared" si="71"/>
        <v>66</v>
      </c>
      <c r="BE33" s="143">
        <f t="shared" si="71"/>
        <v>59</v>
      </c>
      <c r="BF33" s="148">
        <f t="shared" si="71"/>
        <v>65</v>
      </c>
      <c r="BG33" s="143">
        <f t="shared" si="71"/>
        <v>84</v>
      </c>
      <c r="BH33" s="143">
        <f t="shared" si="71"/>
        <v>58</v>
      </c>
      <c r="BI33" s="143">
        <f t="shared" si="71"/>
        <v>67</v>
      </c>
      <c r="BJ33" s="143">
        <f t="shared" si="71"/>
        <v>83</v>
      </c>
      <c r="BK33" s="143">
        <f t="shared" si="71"/>
        <v>42</v>
      </c>
      <c r="BL33" s="143">
        <f t="shared" si="71"/>
        <v>37</v>
      </c>
      <c r="BM33" s="143">
        <f t="shared" si="71"/>
        <v>67</v>
      </c>
      <c r="BN33" s="143">
        <f t="shared" si="71"/>
        <v>59</v>
      </c>
      <c r="BO33" s="143">
        <f t="shared" si="71"/>
        <v>50</v>
      </c>
      <c r="BP33" s="143">
        <f t="shared" si="71"/>
        <v>74</v>
      </c>
      <c r="BQ33" s="143">
        <f t="shared" si="71"/>
        <v>69</v>
      </c>
      <c r="BR33" s="148">
        <f t="shared" si="71"/>
        <v>75</v>
      </c>
      <c r="BS33" s="143">
        <f t="shared" si="71"/>
        <v>66</v>
      </c>
      <c r="BT33" s="143">
        <f t="shared" si="71"/>
        <v>68</v>
      </c>
      <c r="BU33" s="143">
        <f t="shared" si="71"/>
        <v>72</v>
      </c>
      <c r="BV33" s="143">
        <f t="shared" si="71"/>
        <v>70</v>
      </c>
      <c r="BW33" s="143">
        <f t="shared" si="71"/>
        <v>74</v>
      </c>
      <c r="BX33" s="143">
        <f t="shared" si="71"/>
        <v>64</v>
      </c>
      <c r="BY33" s="143">
        <f t="shared" si="71"/>
        <v>74</v>
      </c>
      <c r="BZ33" s="143">
        <f t="shared" si="71"/>
        <v>55</v>
      </c>
      <c r="CA33" s="143">
        <f t="shared" si="71"/>
        <v>71</v>
      </c>
      <c r="CB33" s="148">
        <f t="shared" si="71"/>
        <v>73</v>
      </c>
      <c r="CC33" s="143">
        <f t="shared" si="71"/>
        <v>72</v>
      </c>
      <c r="CD33" s="143">
        <f t="shared" si="71"/>
        <v>76</v>
      </c>
      <c r="CE33" s="143">
        <f t="shared" si="71"/>
        <v>77</v>
      </c>
      <c r="CF33" s="143">
        <f t="shared" si="71"/>
        <v>52</v>
      </c>
      <c r="CG33" s="143">
        <f t="shared" si="71"/>
        <v>59</v>
      </c>
      <c r="CH33" s="143">
        <f t="shared" si="71"/>
        <v>51</v>
      </c>
      <c r="CI33" s="143">
        <f t="shared" si="71"/>
        <v>52</v>
      </c>
      <c r="CJ33" s="143">
        <f t="shared" si="71"/>
        <v>41</v>
      </c>
      <c r="CK33" s="144">
        <f t="shared" si="71"/>
        <v>66</v>
      </c>
      <c r="CL33" s="149">
        <f t="shared" si="71"/>
        <v>64</v>
      </c>
    </row>
    <row r="34" spans="1:90">
      <c r="A34" s="80">
        <f>ROWS($A$3:A32)</f>
        <v>30</v>
      </c>
      <c r="B34" s="59" t="s">
        <v>69</v>
      </c>
      <c r="C34" s="201"/>
      <c r="D34" s="268"/>
      <c r="E34" s="269"/>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92" t="s">
        <v>71</v>
      </c>
      <c r="C35" s="202">
        <v>2007</v>
      </c>
      <c r="D35" s="254" t="s">
        <v>1</v>
      </c>
      <c r="E35" s="256">
        <v>40652</v>
      </c>
      <c r="F35" s="116">
        <v>472458</v>
      </c>
      <c r="G35" s="137">
        <v>203805</v>
      </c>
      <c r="H35" s="137">
        <v>327298</v>
      </c>
      <c r="I35" s="138">
        <v>432124</v>
      </c>
      <c r="J35" s="141"/>
      <c r="K35" s="116">
        <f>BF35</f>
        <v>66103</v>
      </c>
      <c r="L35" s="137">
        <f>AY35</f>
        <v>26231</v>
      </c>
      <c r="M35" s="137">
        <f>BD35</f>
        <v>69254</v>
      </c>
      <c r="N35" s="137">
        <f>AW35</f>
        <v>28454</v>
      </c>
      <c r="O35" s="137">
        <f>BE35</f>
        <v>26360</v>
      </c>
      <c r="P35" s="137">
        <f>'2009'!AZ35+'2009'!BA35</f>
        <v>58983</v>
      </c>
      <c r="Q35" s="137">
        <f>'2009'!AU35</f>
        <v>22578</v>
      </c>
      <c r="R35" s="137">
        <f>AT35+AX35</f>
        <v>35087</v>
      </c>
      <c r="S35" s="137">
        <f>AV35</f>
        <v>19929</v>
      </c>
      <c r="T35" s="137">
        <f t="shared" ref="T35:U39" si="72">BB35</f>
        <v>41956</v>
      </c>
      <c r="U35" s="139">
        <f t="shared" si="72"/>
        <v>77523</v>
      </c>
      <c r="V35" s="137">
        <f>BG35+BJ35</f>
        <v>16620</v>
      </c>
      <c r="W35" s="137">
        <f>BR35</f>
        <v>19529</v>
      </c>
      <c r="X35" s="137">
        <f>BH35+BI35</f>
        <v>40032</v>
      </c>
      <c r="Y35" s="137">
        <f>BK35+BL35+BN35</f>
        <v>43078</v>
      </c>
      <c r="Z35" s="137">
        <f>BM35</f>
        <v>46854</v>
      </c>
      <c r="AA35" s="137">
        <f>BO35+BQ35</f>
        <v>20148</v>
      </c>
      <c r="AB35" s="139">
        <f>BP35</f>
        <v>17544</v>
      </c>
      <c r="AC35" s="137">
        <f>BX35</f>
        <v>39470</v>
      </c>
      <c r="AD35" s="137">
        <f>BU35</f>
        <v>22931</v>
      </c>
      <c r="AE35" s="137">
        <f>BS35+BT35</f>
        <v>53336</v>
      </c>
      <c r="AF35" s="137">
        <f>CA35</f>
        <v>23906</v>
      </c>
      <c r="AG35" s="137">
        <f>BV35</f>
        <v>58801</v>
      </c>
      <c r="AH35" s="137">
        <f>BZ35</f>
        <v>34508</v>
      </c>
      <c r="AI35" s="137">
        <f>BW35</f>
        <v>30854</v>
      </c>
      <c r="AJ35" s="137">
        <f>BY35</f>
        <v>24325</v>
      </c>
      <c r="AK35" s="139">
        <f>CB35</f>
        <v>39167</v>
      </c>
      <c r="AL35" s="137">
        <f>CE35</f>
        <v>34109</v>
      </c>
      <c r="AM35" s="137">
        <f>CH35</f>
        <v>77582</v>
      </c>
      <c r="AN35" s="137">
        <f>CJ35</f>
        <v>87784</v>
      </c>
      <c r="AO35" s="137">
        <f t="shared" ref="AO35:AP39" si="73">CC35</f>
        <v>43348</v>
      </c>
      <c r="AP35" s="137">
        <f t="shared" si="73"/>
        <v>19868</v>
      </c>
      <c r="AQ35" s="137">
        <f>CK35</f>
        <v>55181</v>
      </c>
      <c r="AR35" s="137">
        <f>CI35</f>
        <v>34059</v>
      </c>
      <c r="AS35" s="138">
        <f>CF35+CG35</f>
        <v>80193</v>
      </c>
      <c r="AT35" s="137">
        <v>2542</v>
      </c>
      <c r="AU35" s="137">
        <v>22578</v>
      </c>
      <c r="AV35" s="137">
        <v>19929</v>
      </c>
      <c r="AW35" s="141">
        <v>28454</v>
      </c>
      <c r="AX35" s="137">
        <v>32545</v>
      </c>
      <c r="AY35" s="137">
        <v>26231</v>
      </c>
      <c r="AZ35" s="137">
        <v>4181</v>
      </c>
      <c r="BA35" s="137">
        <v>54802</v>
      </c>
      <c r="BB35" s="137">
        <v>41956</v>
      </c>
      <c r="BC35" s="137">
        <v>77523</v>
      </c>
      <c r="BD35" s="137">
        <v>69254</v>
      </c>
      <c r="BE35" s="137">
        <v>26360</v>
      </c>
      <c r="BF35" s="139">
        <v>66103</v>
      </c>
      <c r="BG35" s="137">
        <v>1745</v>
      </c>
      <c r="BH35" s="137">
        <v>2635</v>
      </c>
      <c r="BI35" s="137">
        <v>37397</v>
      </c>
      <c r="BJ35" s="137">
        <v>14875</v>
      </c>
      <c r="BK35" s="137">
        <v>1838</v>
      </c>
      <c r="BL35" s="137">
        <v>2756</v>
      </c>
      <c r="BM35" s="137">
        <v>46854</v>
      </c>
      <c r="BN35" s="137">
        <v>38484</v>
      </c>
      <c r="BO35" s="137">
        <v>991</v>
      </c>
      <c r="BP35" s="137">
        <v>17544</v>
      </c>
      <c r="BQ35" s="137">
        <v>19157</v>
      </c>
      <c r="BR35" s="139">
        <v>19529</v>
      </c>
      <c r="BS35" s="137">
        <v>3566</v>
      </c>
      <c r="BT35" s="137">
        <v>49770</v>
      </c>
      <c r="BU35" s="137">
        <v>22931</v>
      </c>
      <c r="BV35" s="137">
        <v>58801</v>
      </c>
      <c r="BW35" s="137">
        <v>30854</v>
      </c>
      <c r="BX35" s="137">
        <v>39470</v>
      </c>
      <c r="BY35" s="137">
        <v>24325</v>
      </c>
      <c r="BZ35" s="137">
        <v>34508</v>
      </c>
      <c r="CA35" s="137">
        <v>23906</v>
      </c>
      <c r="CB35" s="139">
        <v>39167</v>
      </c>
      <c r="CC35" s="137">
        <v>43348</v>
      </c>
      <c r="CD35" s="137">
        <v>19868</v>
      </c>
      <c r="CE35" s="137">
        <v>34109</v>
      </c>
      <c r="CF35" s="137">
        <v>4780</v>
      </c>
      <c r="CG35" s="137">
        <v>75413</v>
      </c>
      <c r="CH35" s="137">
        <v>77582</v>
      </c>
      <c r="CI35" s="137">
        <v>34059</v>
      </c>
      <c r="CJ35" s="137">
        <v>87784</v>
      </c>
      <c r="CK35" s="138">
        <v>55181</v>
      </c>
      <c r="CL35" s="140">
        <v>1435682</v>
      </c>
    </row>
    <row r="36" spans="1:90">
      <c r="A36" s="80">
        <f>ROWS($A$3:A34)</f>
        <v>32</v>
      </c>
      <c r="B36" s="92" t="s">
        <v>72</v>
      </c>
      <c r="C36" s="203"/>
      <c r="D36" s="254" t="s">
        <v>1</v>
      </c>
      <c r="E36" s="256">
        <v>40652</v>
      </c>
      <c r="F36" s="116">
        <v>314753</v>
      </c>
      <c r="G36" s="137">
        <v>142086</v>
      </c>
      <c r="H36" s="137">
        <v>144079</v>
      </c>
      <c r="I36" s="138">
        <v>233617</v>
      </c>
      <c r="J36" s="141"/>
      <c r="K36" s="116">
        <f>BF36</f>
        <v>34747</v>
      </c>
      <c r="L36" s="137">
        <f>AY36</f>
        <v>11937</v>
      </c>
      <c r="M36" s="137">
        <f>BD36</f>
        <v>60037</v>
      </c>
      <c r="N36" s="137">
        <f>AW36</f>
        <v>12710</v>
      </c>
      <c r="O36" s="137">
        <f>BE36</f>
        <v>16952</v>
      </c>
      <c r="P36" s="137">
        <f>'2009'!AZ36+'2009'!BA36</f>
        <v>44854</v>
      </c>
      <c r="Q36" s="137">
        <f>'2009'!AU36</f>
        <v>15628</v>
      </c>
      <c r="R36" s="137">
        <f>AT36+AX36</f>
        <v>26155</v>
      </c>
      <c r="S36" s="137">
        <f>AV36</f>
        <v>10216</v>
      </c>
      <c r="T36" s="137">
        <f t="shared" si="72"/>
        <v>30934</v>
      </c>
      <c r="U36" s="139">
        <f t="shared" si="72"/>
        <v>50583</v>
      </c>
      <c r="V36" s="137">
        <f>BG36+BJ36</f>
        <v>10522</v>
      </c>
      <c r="W36" s="137">
        <f>BR36</f>
        <v>9607</v>
      </c>
      <c r="X36" s="137">
        <f>BH36+BI36</f>
        <v>31786</v>
      </c>
      <c r="Y36" s="137">
        <f>BK36+BL36+BN36</f>
        <v>34032</v>
      </c>
      <c r="Z36" s="137">
        <f>BM36</f>
        <v>35126</v>
      </c>
      <c r="AA36" s="137">
        <f>BO36+BQ36</f>
        <v>12405</v>
      </c>
      <c r="AB36" s="139">
        <f>BP36</f>
        <v>8608</v>
      </c>
      <c r="AC36" s="137">
        <f>BX36</f>
        <v>15635</v>
      </c>
      <c r="AD36" s="137">
        <f>BU36</f>
        <v>10322</v>
      </c>
      <c r="AE36" s="137">
        <f>BS36+BT36</f>
        <v>21260</v>
      </c>
      <c r="AF36" s="137">
        <f>CA36</f>
        <v>7458</v>
      </c>
      <c r="AG36" s="137">
        <f>BV36</f>
        <v>28247</v>
      </c>
      <c r="AH36" s="137">
        <f>BZ36</f>
        <v>19618</v>
      </c>
      <c r="AI36" s="137">
        <f>BW36</f>
        <v>16995</v>
      </c>
      <c r="AJ36" s="137">
        <f>BY36</f>
        <v>9013</v>
      </c>
      <c r="AK36" s="139">
        <f>CB36</f>
        <v>15531</v>
      </c>
      <c r="AL36" s="137">
        <f>CE36</f>
        <v>13452</v>
      </c>
      <c r="AM36" s="137">
        <f>CH36</f>
        <v>51712</v>
      </c>
      <c r="AN36" s="137">
        <f>CJ36</f>
        <v>25547</v>
      </c>
      <c r="AO36" s="137">
        <f t="shared" si="73"/>
        <v>20487</v>
      </c>
      <c r="AP36" s="137">
        <f t="shared" si="73"/>
        <v>13585</v>
      </c>
      <c r="AQ36" s="137">
        <f>CK36</f>
        <v>34998</v>
      </c>
      <c r="AR36" s="137">
        <f>CI36</f>
        <v>13793</v>
      </c>
      <c r="AS36" s="138">
        <f>CF36+CG36</f>
        <v>60043</v>
      </c>
      <c r="AT36" s="137">
        <v>1538</v>
      </c>
      <c r="AU36" s="141">
        <v>15628</v>
      </c>
      <c r="AV36" s="141">
        <v>10216</v>
      </c>
      <c r="AW36" s="141">
        <v>12710</v>
      </c>
      <c r="AX36" s="141">
        <v>24617</v>
      </c>
      <c r="AY36" s="137">
        <v>11937</v>
      </c>
      <c r="AZ36" s="137">
        <v>3237</v>
      </c>
      <c r="BA36" s="137">
        <v>41617</v>
      </c>
      <c r="BB36" s="137">
        <v>30934</v>
      </c>
      <c r="BC36" s="137">
        <v>50583</v>
      </c>
      <c r="BD36" s="137">
        <v>60037</v>
      </c>
      <c r="BE36" s="137">
        <v>16952</v>
      </c>
      <c r="BF36" s="139">
        <v>34747</v>
      </c>
      <c r="BG36" s="137">
        <v>616</v>
      </c>
      <c r="BH36" s="137">
        <v>2065</v>
      </c>
      <c r="BI36" s="137">
        <v>29721</v>
      </c>
      <c r="BJ36" s="137">
        <v>9906</v>
      </c>
      <c r="BK36" s="137">
        <v>1524</v>
      </c>
      <c r="BL36" s="137">
        <v>2382</v>
      </c>
      <c r="BM36" s="137">
        <v>35126</v>
      </c>
      <c r="BN36" s="137">
        <v>30126</v>
      </c>
      <c r="BO36" s="137">
        <v>497</v>
      </c>
      <c r="BP36" s="137">
        <v>8608</v>
      </c>
      <c r="BQ36" s="137">
        <v>11908</v>
      </c>
      <c r="BR36" s="139">
        <v>9607</v>
      </c>
      <c r="BS36" s="137">
        <v>1630</v>
      </c>
      <c r="BT36" s="137">
        <v>19630</v>
      </c>
      <c r="BU36" s="137">
        <v>10322</v>
      </c>
      <c r="BV36" s="137">
        <v>28247</v>
      </c>
      <c r="BW36" s="137">
        <v>16995</v>
      </c>
      <c r="BX36" s="137">
        <v>15635</v>
      </c>
      <c r="BY36" s="137">
        <v>9013</v>
      </c>
      <c r="BZ36" s="137">
        <v>19618</v>
      </c>
      <c r="CA36" s="137">
        <v>7458</v>
      </c>
      <c r="CB36" s="139">
        <v>15531</v>
      </c>
      <c r="CC36" s="137">
        <v>20487</v>
      </c>
      <c r="CD36" s="137">
        <v>13585</v>
      </c>
      <c r="CE36" s="137">
        <v>13452</v>
      </c>
      <c r="CF36" s="137">
        <v>4083</v>
      </c>
      <c r="CG36" s="137">
        <v>55960</v>
      </c>
      <c r="CH36" s="137">
        <v>51712</v>
      </c>
      <c r="CI36" s="137">
        <v>13793</v>
      </c>
      <c r="CJ36" s="137">
        <v>25547</v>
      </c>
      <c r="CK36" s="138">
        <v>34998</v>
      </c>
      <c r="CL36" s="140">
        <v>834535</v>
      </c>
    </row>
    <row r="37" spans="1:90">
      <c r="A37" s="80">
        <f>ROWS($A$3:A35)</f>
        <v>33</v>
      </c>
      <c r="B37" s="92" t="s">
        <v>6</v>
      </c>
      <c r="C37" s="203"/>
      <c r="D37" s="254" t="s">
        <v>1</v>
      </c>
      <c r="E37" s="256">
        <v>40652</v>
      </c>
      <c r="F37" s="116">
        <v>142250</v>
      </c>
      <c r="G37" s="137">
        <v>57320</v>
      </c>
      <c r="H37" s="137">
        <v>163299</v>
      </c>
      <c r="I37" s="138">
        <v>188526</v>
      </c>
      <c r="J37" s="141"/>
      <c r="K37" s="116">
        <f>BF37</f>
        <v>30937</v>
      </c>
      <c r="L37" s="137">
        <f>AY37</f>
        <v>12581</v>
      </c>
      <c r="M37" s="137">
        <f>BD37</f>
        <v>8233</v>
      </c>
      <c r="N37" s="137">
        <f>AW37</f>
        <v>15586</v>
      </c>
      <c r="O37" s="137">
        <f>BE37</f>
        <v>9380</v>
      </c>
      <c r="P37" s="137">
        <f>'2009'!AZ37+'2009'!BA37</f>
        <v>7091</v>
      </c>
      <c r="Q37" s="137">
        <f>'2009'!AU37</f>
        <v>6801</v>
      </c>
      <c r="R37" s="137">
        <f>AT37+AX37</f>
        <v>6194</v>
      </c>
      <c r="S37" s="137">
        <f>AV37</f>
        <v>9319</v>
      </c>
      <c r="T37" s="137">
        <f t="shared" si="72"/>
        <v>9393</v>
      </c>
      <c r="U37" s="139">
        <f t="shared" si="72"/>
        <v>26735</v>
      </c>
      <c r="V37" s="137">
        <f>BG37+BJ37</f>
        <v>4915</v>
      </c>
      <c r="W37" s="137">
        <f>BR37</f>
        <v>9893</v>
      </c>
      <c r="X37" s="137">
        <f>BH37+BI37</f>
        <v>7208</v>
      </c>
      <c r="Y37" s="137">
        <f>BK37+BL37+BN37</f>
        <v>7791</v>
      </c>
      <c r="Z37" s="137">
        <f>BM37</f>
        <v>11151</v>
      </c>
      <c r="AA37" s="137">
        <f>BO37+BQ37</f>
        <v>7491</v>
      </c>
      <c r="AB37" s="139">
        <f>BP37</f>
        <v>8871</v>
      </c>
      <c r="AC37" s="137">
        <f>BX37</f>
        <v>23796</v>
      </c>
      <c r="AD37" s="137">
        <f>BU37</f>
        <v>10031</v>
      </c>
      <c r="AE37" s="137">
        <f>BS37+BT37</f>
        <v>25230</v>
      </c>
      <c r="AF37" s="137">
        <f>CA37</f>
        <v>14975</v>
      </c>
      <c r="AG37" s="137">
        <f>BV37</f>
        <v>23031</v>
      </c>
      <c r="AH37" s="137">
        <f>BZ37</f>
        <v>13778</v>
      </c>
      <c r="AI37" s="137">
        <f>BW37</f>
        <v>13818</v>
      </c>
      <c r="AJ37" s="137">
        <f>BY37</f>
        <v>15288</v>
      </c>
      <c r="AK37" s="139">
        <f>CB37</f>
        <v>23352</v>
      </c>
      <c r="AL37" s="137">
        <f>CE37</f>
        <v>20487</v>
      </c>
      <c r="AM37" s="137">
        <f>CH37</f>
        <v>25695</v>
      </c>
      <c r="AN37" s="137">
        <f>CJ37</f>
        <v>60769</v>
      </c>
      <c r="AO37" s="137">
        <f t="shared" si="73"/>
        <v>22679</v>
      </c>
      <c r="AP37" s="137">
        <f t="shared" si="73"/>
        <v>6198</v>
      </c>
      <c r="AQ37" s="137">
        <f>CK37</f>
        <v>20091</v>
      </c>
      <c r="AR37" s="137">
        <f>CI37</f>
        <v>12616</v>
      </c>
      <c r="AS37" s="138">
        <f>CF37+CG37</f>
        <v>19991</v>
      </c>
      <c r="AT37" s="141">
        <v>540</v>
      </c>
      <c r="AU37" s="141">
        <v>6801</v>
      </c>
      <c r="AV37" s="141">
        <v>9319</v>
      </c>
      <c r="AW37" s="141">
        <v>15586</v>
      </c>
      <c r="AX37" s="141">
        <v>5654</v>
      </c>
      <c r="AY37" s="137">
        <v>12581</v>
      </c>
      <c r="AZ37" s="137">
        <v>217</v>
      </c>
      <c r="BA37" s="137">
        <v>6874</v>
      </c>
      <c r="BB37" s="137">
        <v>9393</v>
      </c>
      <c r="BC37" s="137">
        <v>26735</v>
      </c>
      <c r="BD37" s="137">
        <v>8233</v>
      </c>
      <c r="BE37" s="137">
        <v>9380</v>
      </c>
      <c r="BF37" s="139">
        <v>30937</v>
      </c>
      <c r="BG37" s="137">
        <v>828</v>
      </c>
      <c r="BH37" s="137">
        <v>497</v>
      </c>
      <c r="BI37" s="137">
        <v>6711</v>
      </c>
      <c r="BJ37" s="137">
        <v>4087</v>
      </c>
      <c r="BK37" s="137">
        <v>230</v>
      </c>
      <c r="BL37" s="137">
        <v>363</v>
      </c>
      <c r="BM37" s="137">
        <v>11151</v>
      </c>
      <c r="BN37" s="137">
        <v>7198</v>
      </c>
      <c r="BO37" s="137">
        <v>493</v>
      </c>
      <c r="BP37" s="137">
        <v>8871</v>
      </c>
      <c r="BQ37" s="137">
        <v>6998</v>
      </c>
      <c r="BR37" s="139">
        <v>9893</v>
      </c>
      <c r="BS37" s="137">
        <v>1108</v>
      </c>
      <c r="BT37" s="137">
        <v>24122</v>
      </c>
      <c r="BU37" s="137">
        <v>10031</v>
      </c>
      <c r="BV37" s="137">
        <v>23031</v>
      </c>
      <c r="BW37" s="137">
        <v>13818</v>
      </c>
      <c r="BX37" s="137">
        <v>23796</v>
      </c>
      <c r="BY37" s="137">
        <v>15288</v>
      </c>
      <c r="BZ37" s="137">
        <v>13778</v>
      </c>
      <c r="CA37" s="137">
        <v>14975</v>
      </c>
      <c r="CB37" s="139">
        <v>23352</v>
      </c>
      <c r="CC37" s="137">
        <v>22679</v>
      </c>
      <c r="CD37" s="137">
        <v>6198</v>
      </c>
      <c r="CE37" s="137">
        <v>20487</v>
      </c>
      <c r="CF37" s="137">
        <v>674</v>
      </c>
      <c r="CG37" s="137">
        <v>19317</v>
      </c>
      <c r="CH37" s="137">
        <v>25695</v>
      </c>
      <c r="CI37" s="137">
        <v>12616</v>
      </c>
      <c r="CJ37" s="137">
        <v>60769</v>
      </c>
      <c r="CK37" s="138">
        <v>20091</v>
      </c>
      <c r="CL37" s="140">
        <v>551397</v>
      </c>
    </row>
    <row r="38" spans="1:90">
      <c r="A38" s="80">
        <f>ROWS($A$3:A36)</f>
        <v>34</v>
      </c>
      <c r="B38" s="92" t="s">
        <v>244</v>
      </c>
      <c r="C38" s="203"/>
      <c r="D38" s="254" t="s">
        <v>1</v>
      </c>
      <c r="E38" s="256">
        <v>40652</v>
      </c>
      <c r="F38" s="116">
        <v>3377</v>
      </c>
      <c r="G38" s="137">
        <v>1335</v>
      </c>
      <c r="H38" s="137">
        <v>7922</v>
      </c>
      <c r="I38" s="138">
        <v>8701</v>
      </c>
      <c r="J38" s="141"/>
      <c r="K38" s="116">
        <f>BF38</f>
        <v>18</v>
      </c>
      <c r="L38" s="137">
        <f>AY38</f>
        <v>524</v>
      </c>
      <c r="M38" s="137">
        <f>BD38</f>
        <v>86</v>
      </c>
      <c r="N38" s="137">
        <f>AW38</f>
        <v>100</v>
      </c>
      <c r="O38" s="137">
        <f>BE38</f>
        <v>2</v>
      </c>
      <c r="P38" s="137">
        <f>'2009'!AZ38+'2009'!BA38</f>
        <v>1022</v>
      </c>
      <c r="Q38" s="137">
        <f>'2009'!AU38</f>
        <v>96</v>
      </c>
      <c r="R38" s="137">
        <f>AT38+AX38</f>
        <v>501</v>
      </c>
      <c r="S38" s="137">
        <f>AV38</f>
        <v>167</v>
      </c>
      <c r="T38" s="137">
        <f t="shared" si="72"/>
        <v>738</v>
      </c>
      <c r="U38" s="139">
        <f t="shared" si="72"/>
        <v>123</v>
      </c>
      <c r="V38" s="137">
        <f>BG38+BJ38</f>
        <v>507</v>
      </c>
      <c r="W38" s="137">
        <f>BR38</f>
        <v>2</v>
      </c>
      <c r="X38" s="137">
        <f>BH38+BI38</f>
        <v>249</v>
      </c>
      <c r="Y38" s="137">
        <f>BK38+BN38</f>
        <v>424</v>
      </c>
      <c r="Z38" s="137">
        <f>BM38</f>
        <v>121</v>
      </c>
      <c r="AA38" s="137">
        <f>BQ38</f>
        <v>30</v>
      </c>
      <c r="AB38" s="139">
        <f>BP38</f>
        <v>2</v>
      </c>
      <c r="AC38" s="137">
        <f>BX38</f>
        <v>17</v>
      </c>
      <c r="AD38" s="137">
        <f>BU38</f>
        <v>668</v>
      </c>
      <c r="AE38" s="137">
        <f>BS38+BT38</f>
        <v>942</v>
      </c>
      <c r="AF38" s="137">
        <f>CA38</f>
        <v>675</v>
      </c>
      <c r="AG38" s="137">
        <f>BV38</f>
        <v>4487</v>
      </c>
      <c r="AH38" s="137">
        <f>BZ38</f>
        <v>960</v>
      </c>
      <c r="AI38" s="137">
        <f>BW38</f>
        <v>12</v>
      </c>
      <c r="AJ38" s="137">
        <f>BY38</f>
        <v>1</v>
      </c>
      <c r="AK38" s="139">
        <f>CB38</f>
        <v>160</v>
      </c>
      <c r="AL38" s="137">
        <f>CE38</f>
        <v>24</v>
      </c>
      <c r="AM38" s="137">
        <f>CH38</f>
        <v>43</v>
      </c>
      <c r="AN38" s="137">
        <f>CJ38</f>
        <v>1312</v>
      </c>
      <c r="AO38" s="137">
        <f t="shared" si="73"/>
        <v>88</v>
      </c>
      <c r="AP38" s="137">
        <f t="shared" si="73"/>
        <v>63</v>
      </c>
      <c r="AQ38" s="137">
        <f>CK38</f>
        <v>34</v>
      </c>
      <c r="AR38" s="137">
        <f>CI38</f>
        <v>7070</v>
      </c>
      <c r="AS38" s="138">
        <f>CF38+CG38</f>
        <v>67</v>
      </c>
      <c r="AT38" s="141">
        <v>71</v>
      </c>
      <c r="AU38" s="141">
        <v>96</v>
      </c>
      <c r="AV38" s="141">
        <v>167</v>
      </c>
      <c r="AW38" s="141">
        <v>100</v>
      </c>
      <c r="AX38" s="141">
        <v>430</v>
      </c>
      <c r="AY38" s="137">
        <v>524</v>
      </c>
      <c r="AZ38" s="137">
        <v>53</v>
      </c>
      <c r="BA38" s="137">
        <v>969</v>
      </c>
      <c r="BB38" s="137">
        <v>738</v>
      </c>
      <c r="BC38" s="137">
        <v>123</v>
      </c>
      <c r="BD38" s="137">
        <v>86</v>
      </c>
      <c r="BE38" s="137">
        <v>2</v>
      </c>
      <c r="BF38" s="139">
        <v>18</v>
      </c>
      <c r="BG38" s="137">
        <v>45</v>
      </c>
      <c r="BH38" s="137">
        <v>46</v>
      </c>
      <c r="BI38" s="137">
        <v>203</v>
      </c>
      <c r="BJ38" s="137">
        <v>462</v>
      </c>
      <c r="BK38" s="137">
        <v>23</v>
      </c>
      <c r="BL38" s="137" t="s">
        <v>233</v>
      </c>
      <c r="BM38" s="137">
        <v>121</v>
      </c>
      <c r="BN38" s="137">
        <v>401</v>
      </c>
      <c r="BO38" s="137" t="s">
        <v>233</v>
      </c>
      <c r="BP38" s="137">
        <v>2</v>
      </c>
      <c r="BQ38" s="137">
        <v>30</v>
      </c>
      <c r="BR38" s="139">
        <v>2</v>
      </c>
      <c r="BS38" s="137">
        <v>92</v>
      </c>
      <c r="BT38" s="137">
        <v>850</v>
      </c>
      <c r="BU38" s="137">
        <v>668</v>
      </c>
      <c r="BV38" s="137">
        <v>4487</v>
      </c>
      <c r="BW38" s="137">
        <v>12</v>
      </c>
      <c r="BX38" s="137">
        <v>17</v>
      </c>
      <c r="BY38" s="137">
        <v>1</v>
      </c>
      <c r="BZ38" s="137">
        <v>960</v>
      </c>
      <c r="CA38" s="137">
        <v>675</v>
      </c>
      <c r="CB38" s="139">
        <v>160</v>
      </c>
      <c r="CC38" s="137">
        <v>88</v>
      </c>
      <c r="CD38" s="137">
        <v>63</v>
      </c>
      <c r="CE38" s="137">
        <v>24</v>
      </c>
      <c r="CF38" s="137">
        <v>7</v>
      </c>
      <c r="CG38" s="137">
        <v>60</v>
      </c>
      <c r="CH38" s="137">
        <v>43</v>
      </c>
      <c r="CI38" s="137">
        <v>7070</v>
      </c>
      <c r="CJ38" s="137">
        <v>1312</v>
      </c>
      <c r="CK38" s="138">
        <v>34</v>
      </c>
      <c r="CL38" s="140">
        <v>21343</v>
      </c>
    </row>
    <row r="39" spans="1:90">
      <c r="A39" s="80">
        <f>ROWS($A$3:A37)</f>
        <v>35</v>
      </c>
      <c r="B39" s="92" t="s">
        <v>245</v>
      </c>
      <c r="C39" s="203"/>
      <c r="D39" s="254" t="s">
        <v>1</v>
      </c>
      <c r="E39" s="256">
        <v>40652</v>
      </c>
      <c r="F39" s="116">
        <v>10436</v>
      </c>
      <c r="G39" s="137">
        <v>2082</v>
      </c>
      <c r="H39" s="137">
        <v>10864</v>
      </c>
      <c r="I39" s="138">
        <v>537</v>
      </c>
      <c r="J39" s="141"/>
      <c r="K39" s="116" t="str">
        <f>BF39</f>
        <v>*</v>
      </c>
      <c r="L39" s="137">
        <f>AY39</f>
        <v>1049</v>
      </c>
      <c r="M39" s="137">
        <f>BD39</f>
        <v>762</v>
      </c>
      <c r="N39" s="137" t="str">
        <f>AW39</f>
        <v>*</v>
      </c>
      <c r="O39" s="137">
        <f>BE39</f>
        <v>0</v>
      </c>
      <c r="P39" s="137">
        <f>'2009'!AZ39+'2009'!BA39</f>
        <v>5675</v>
      </c>
      <c r="Q39" s="137">
        <f>'2009'!AU39</f>
        <v>3</v>
      </c>
      <c r="R39" s="137">
        <f>AT39+AX39</f>
        <v>2049</v>
      </c>
      <c r="S39" s="137">
        <f>AV39</f>
        <v>118</v>
      </c>
      <c r="T39" s="137">
        <f t="shared" si="72"/>
        <v>780</v>
      </c>
      <c r="U39" s="139" t="str">
        <f t="shared" si="72"/>
        <v>*</v>
      </c>
      <c r="V39" s="137">
        <f>BG39+BJ39</f>
        <v>530</v>
      </c>
      <c r="W39" s="137" t="str">
        <f>BR39</f>
        <v>*</v>
      </c>
      <c r="X39" s="137">
        <f>BH39+BI39</f>
        <v>712</v>
      </c>
      <c r="Y39" s="137">
        <f>BK39+BN39</f>
        <v>643</v>
      </c>
      <c r="Z39" s="137">
        <f>BM39</f>
        <v>10</v>
      </c>
      <c r="AA39" s="137">
        <f>BQ39</f>
        <v>187</v>
      </c>
      <c r="AB39" s="139">
        <f>BP39</f>
        <v>0</v>
      </c>
      <c r="AC39" s="137">
        <f>BX39</f>
        <v>0</v>
      </c>
      <c r="AD39" s="137">
        <f>BU39</f>
        <v>1793</v>
      </c>
      <c r="AE39" s="137">
        <f>BS39+BT39</f>
        <v>5790</v>
      </c>
      <c r="AF39" s="137">
        <f>CA39</f>
        <v>723</v>
      </c>
      <c r="AG39" s="137">
        <f>BV39</f>
        <v>2448</v>
      </c>
      <c r="AH39" s="137">
        <f>BZ39</f>
        <v>54</v>
      </c>
      <c r="AI39" s="137">
        <f>BW39</f>
        <v>0</v>
      </c>
      <c r="AJ39" s="137">
        <f>BY39</f>
        <v>0</v>
      </c>
      <c r="AK39" s="139">
        <f>CB39</f>
        <v>56</v>
      </c>
      <c r="AL39" s="137">
        <f>CE39</f>
        <v>0</v>
      </c>
      <c r="AM39" s="137">
        <f>CH39</f>
        <v>0</v>
      </c>
      <c r="AN39" s="137" t="str">
        <f>CJ39</f>
        <v>*</v>
      </c>
      <c r="AO39" s="137">
        <f t="shared" si="73"/>
        <v>18</v>
      </c>
      <c r="AP39" s="137">
        <f t="shared" si="73"/>
        <v>9</v>
      </c>
      <c r="AQ39" s="137">
        <f>CK39</f>
        <v>0</v>
      </c>
      <c r="AR39" s="137">
        <f>CI39</f>
        <v>510</v>
      </c>
      <c r="AS39" s="138" t="str">
        <f>CG39</f>
        <v>*</v>
      </c>
      <c r="AT39" s="141">
        <v>358</v>
      </c>
      <c r="AU39" s="141">
        <v>3</v>
      </c>
      <c r="AV39" s="141">
        <v>118</v>
      </c>
      <c r="AW39" s="137" t="s">
        <v>233</v>
      </c>
      <c r="AX39" s="141">
        <v>1691</v>
      </c>
      <c r="AY39" s="137">
        <v>1049</v>
      </c>
      <c r="AZ39" s="137">
        <v>626</v>
      </c>
      <c r="BA39" s="137">
        <v>5049</v>
      </c>
      <c r="BB39" s="137">
        <v>780</v>
      </c>
      <c r="BC39" s="137" t="s">
        <v>233</v>
      </c>
      <c r="BD39" s="137">
        <v>762</v>
      </c>
      <c r="BE39" s="137">
        <v>0</v>
      </c>
      <c r="BF39" s="139" t="s">
        <v>233</v>
      </c>
      <c r="BG39" s="137">
        <v>195</v>
      </c>
      <c r="BH39" s="137">
        <v>9</v>
      </c>
      <c r="BI39" s="137">
        <v>703</v>
      </c>
      <c r="BJ39" s="137">
        <v>335</v>
      </c>
      <c r="BK39" s="137">
        <v>53</v>
      </c>
      <c r="BL39" s="137" t="s">
        <v>233</v>
      </c>
      <c r="BM39" s="137">
        <v>10</v>
      </c>
      <c r="BN39" s="137">
        <v>590</v>
      </c>
      <c r="BO39" s="137">
        <v>0</v>
      </c>
      <c r="BP39" s="137">
        <v>0</v>
      </c>
      <c r="BQ39" s="137">
        <v>187</v>
      </c>
      <c r="BR39" s="139" t="s">
        <v>233</v>
      </c>
      <c r="BS39" s="137">
        <v>712</v>
      </c>
      <c r="BT39" s="137">
        <v>5078</v>
      </c>
      <c r="BU39" s="137">
        <v>1793</v>
      </c>
      <c r="BV39" s="137">
        <v>2448</v>
      </c>
      <c r="BW39" s="137">
        <v>0</v>
      </c>
      <c r="BX39" s="137">
        <v>0</v>
      </c>
      <c r="BY39" s="137">
        <v>0</v>
      </c>
      <c r="BZ39" s="137">
        <v>54</v>
      </c>
      <c r="CA39" s="137">
        <v>723</v>
      </c>
      <c r="CB39" s="139">
        <v>56</v>
      </c>
      <c r="CC39" s="137">
        <v>18</v>
      </c>
      <c r="CD39" s="137">
        <v>9</v>
      </c>
      <c r="CE39" s="137">
        <v>0</v>
      </c>
      <c r="CF39" s="137" t="s">
        <v>233</v>
      </c>
      <c r="CG39" s="137" t="s">
        <v>233</v>
      </c>
      <c r="CH39" s="137">
        <v>0</v>
      </c>
      <c r="CI39" s="137">
        <v>510</v>
      </c>
      <c r="CJ39" s="137" t="s">
        <v>233</v>
      </c>
      <c r="CK39" s="138">
        <v>0</v>
      </c>
      <c r="CL39" s="140">
        <v>23923</v>
      </c>
    </row>
    <row r="40" spans="1:90">
      <c r="A40" s="80">
        <f>ROWS($A$3:A38)</f>
        <v>36</v>
      </c>
      <c r="B40" s="59" t="s">
        <v>98</v>
      </c>
      <c r="C40" s="203"/>
      <c r="D40" s="254"/>
      <c r="E40" s="269"/>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202">
        <v>2009</v>
      </c>
      <c r="D41" s="254" t="s">
        <v>7</v>
      </c>
      <c r="E41" s="256">
        <v>40648</v>
      </c>
      <c r="F41" s="116">
        <v>312276</v>
      </c>
      <c r="G41" s="137">
        <v>84148</v>
      </c>
      <c r="H41" s="137">
        <v>228548</v>
      </c>
      <c r="I41" s="138">
        <v>414108</v>
      </c>
      <c r="J41" s="141"/>
      <c r="K41" s="116">
        <f t="shared" ref="K41:K54" si="74">BF41</f>
        <v>76295</v>
      </c>
      <c r="L41" s="137">
        <f t="shared" ref="L41:L54" si="75">AY41</f>
        <v>21893</v>
      </c>
      <c r="M41" s="137">
        <f t="shared" ref="M41:M54" si="76">BD41</f>
        <v>21078</v>
      </c>
      <c r="N41" s="137">
        <f t="shared" ref="N41:N54" si="77">AW41</f>
        <v>31188</v>
      </c>
      <c r="O41" s="137">
        <f t="shared" ref="O41:O54" si="78">BE41</f>
        <v>23454</v>
      </c>
      <c r="P41" s="137">
        <f>AZ41+BA41</f>
        <v>13479</v>
      </c>
      <c r="Q41" s="137">
        <f>'2009'!AU41</f>
        <v>9278</v>
      </c>
      <c r="R41" s="137">
        <f>AT41+AX41</f>
        <v>14522</v>
      </c>
      <c r="S41" s="137">
        <f t="shared" ref="S41:S54" si="79">AV41</f>
        <v>9770</v>
      </c>
      <c r="T41" s="137">
        <f t="shared" ref="T41:T54" si="80">BB41</f>
        <v>23060</v>
      </c>
      <c r="U41" s="139">
        <f t="shared" ref="U41:U54" si="81">BC41</f>
        <v>68259</v>
      </c>
      <c r="V41" s="137">
        <f>BG41+BJ41</f>
        <v>3128</v>
      </c>
      <c r="W41" s="137">
        <f t="shared" ref="W41:W54" si="82">BR41</f>
        <v>12916</v>
      </c>
      <c r="X41" s="137">
        <f>BH41+BI41</f>
        <v>6257</v>
      </c>
      <c r="Y41" s="137">
        <f>BK41+BL41+BN41</f>
        <v>13340</v>
      </c>
      <c r="Z41" s="137">
        <f t="shared" ref="Z41:Z54" si="83">BM41</f>
        <v>24873</v>
      </c>
      <c r="AA41" s="137">
        <f>BO41+BQ41</f>
        <v>10889</v>
      </c>
      <c r="AB41" s="139">
        <f t="shared" ref="AB41:AB54" si="84">BP41</f>
        <v>12745</v>
      </c>
      <c r="AC41" s="137">
        <f t="shared" ref="AC41:AC54" si="85">BX41</f>
        <v>33327</v>
      </c>
      <c r="AD41" s="137">
        <f t="shared" ref="AD41:AD54" si="86">BU41</f>
        <v>16005</v>
      </c>
      <c r="AE41" s="137">
        <f>BS41+BT41</f>
        <v>30975</v>
      </c>
      <c r="AF41" s="137">
        <f t="shared" ref="AF41:AF54" si="87">CA41</f>
        <v>16463</v>
      </c>
      <c r="AG41" s="137">
        <f t="shared" ref="AG41:AG54" si="88">BV41</f>
        <v>32751</v>
      </c>
      <c r="AH41" s="137">
        <f t="shared" ref="AH41:AH54" si="89">BZ41</f>
        <v>26148</v>
      </c>
      <c r="AI41" s="137">
        <f t="shared" ref="AI41:AI54" si="90">BW41</f>
        <v>19994</v>
      </c>
      <c r="AJ41" s="137">
        <f t="shared" ref="AJ41:AJ54" si="91">BY41</f>
        <v>16493</v>
      </c>
      <c r="AK41" s="139">
        <f t="shared" ref="AK41:AK54" si="92">CB41</f>
        <v>36392</v>
      </c>
      <c r="AL41" s="137">
        <f t="shared" ref="AL41:AL54" si="93">CE41</f>
        <v>14484</v>
      </c>
      <c r="AM41" s="137">
        <f t="shared" ref="AM41:AM54" si="94">CH41</f>
        <v>94685</v>
      </c>
      <c r="AN41" s="137">
        <f t="shared" ref="AN41:AN54" si="95">CJ41</f>
        <v>149348</v>
      </c>
      <c r="AO41" s="137">
        <f t="shared" ref="AO41:AO54" si="96">CC41</f>
        <v>29859</v>
      </c>
      <c r="AP41" s="137">
        <f t="shared" ref="AP41:AP54" si="97">CD41</f>
        <v>6406</v>
      </c>
      <c r="AQ41" s="137">
        <f t="shared" ref="AQ41:AQ54" si="98">CK41</f>
        <v>38022</v>
      </c>
      <c r="AR41" s="137">
        <f t="shared" ref="AR41:AR54" si="99">CI41</f>
        <v>25828</v>
      </c>
      <c r="AS41" s="138">
        <f>CF41+CG41</f>
        <v>55476</v>
      </c>
      <c r="AT41" s="141">
        <v>936</v>
      </c>
      <c r="AU41" s="141">
        <v>9278</v>
      </c>
      <c r="AV41" s="141">
        <v>9770</v>
      </c>
      <c r="AW41" s="141">
        <v>31188</v>
      </c>
      <c r="AX41" s="141">
        <v>13586</v>
      </c>
      <c r="AY41" s="137">
        <v>21893</v>
      </c>
      <c r="AZ41" s="137">
        <v>179</v>
      </c>
      <c r="BA41" s="137">
        <v>13300</v>
      </c>
      <c r="BB41" s="137">
        <v>23060</v>
      </c>
      <c r="BC41" s="137">
        <v>68259</v>
      </c>
      <c r="BD41" s="137">
        <v>21078</v>
      </c>
      <c r="BE41" s="137">
        <v>23454</v>
      </c>
      <c r="BF41" s="139">
        <v>76295</v>
      </c>
      <c r="BG41" s="137">
        <v>231</v>
      </c>
      <c r="BH41" s="137">
        <v>330</v>
      </c>
      <c r="BI41" s="137">
        <v>5927</v>
      </c>
      <c r="BJ41" s="137">
        <v>2897</v>
      </c>
      <c r="BK41" s="137">
        <v>489</v>
      </c>
      <c r="BL41" s="137">
        <v>102</v>
      </c>
      <c r="BM41" s="137">
        <v>24873</v>
      </c>
      <c r="BN41" s="137">
        <v>12749</v>
      </c>
      <c r="BO41" s="137">
        <v>247</v>
      </c>
      <c r="BP41" s="137">
        <v>12745</v>
      </c>
      <c r="BQ41" s="137">
        <v>10642</v>
      </c>
      <c r="BR41" s="139">
        <v>12916</v>
      </c>
      <c r="BS41" s="137">
        <v>708</v>
      </c>
      <c r="BT41" s="137">
        <v>30267</v>
      </c>
      <c r="BU41" s="137">
        <v>16005</v>
      </c>
      <c r="BV41" s="137">
        <v>32751</v>
      </c>
      <c r="BW41" s="137">
        <v>19994</v>
      </c>
      <c r="BX41" s="137">
        <v>33327</v>
      </c>
      <c r="BY41" s="137">
        <v>16493</v>
      </c>
      <c r="BZ41" s="137">
        <v>26148</v>
      </c>
      <c r="CA41" s="137">
        <v>16463</v>
      </c>
      <c r="CB41" s="139">
        <v>36392</v>
      </c>
      <c r="CC41" s="137">
        <v>29859</v>
      </c>
      <c r="CD41" s="137">
        <v>6406</v>
      </c>
      <c r="CE41" s="137">
        <v>14484</v>
      </c>
      <c r="CF41" s="137">
        <v>2072</v>
      </c>
      <c r="CG41" s="137">
        <v>53404</v>
      </c>
      <c r="CH41" s="137">
        <v>94685</v>
      </c>
      <c r="CI41" s="137">
        <v>25828</v>
      </c>
      <c r="CJ41" s="137">
        <v>149348</v>
      </c>
      <c r="CK41" s="138">
        <v>38022</v>
      </c>
      <c r="CL41" s="140">
        <v>1039080</v>
      </c>
    </row>
    <row r="42" spans="1:90">
      <c r="A42" s="80">
        <f>ROWS($A$3:A40)</f>
        <v>38</v>
      </c>
      <c r="B42" s="92" t="s">
        <v>305</v>
      </c>
      <c r="C42" s="203"/>
      <c r="D42" s="254" t="s">
        <v>7</v>
      </c>
      <c r="E42" s="256">
        <v>40648</v>
      </c>
      <c r="F42" s="116">
        <v>117928</v>
      </c>
      <c r="G42" s="137">
        <v>31065</v>
      </c>
      <c r="H42" s="137">
        <v>91492</v>
      </c>
      <c r="I42" s="138">
        <v>174839</v>
      </c>
      <c r="J42" s="141"/>
      <c r="K42" s="116">
        <f t="shared" si="74"/>
        <v>29211</v>
      </c>
      <c r="L42" s="137">
        <f t="shared" si="75"/>
        <v>8509</v>
      </c>
      <c r="M42" s="137">
        <f t="shared" si="76"/>
        <v>7704</v>
      </c>
      <c r="N42" s="137">
        <f t="shared" si="77"/>
        <v>12263</v>
      </c>
      <c r="O42" s="137">
        <f t="shared" si="78"/>
        <v>8607</v>
      </c>
      <c r="P42" s="137">
        <f>AZ42+BA42</f>
        <v>5092</v>
      </c>
      <c r="Q42" s="137">
        <f>'2009'!AU42</f>
        <v>3743</v>
      </c>
      <c r="R42" s="137">
        <f>AT42+AX42</f>
        <v>5182</v>
      </c>
      <c r="S42" s="137">
        <f t="shared" si="79"/>
        <v>3435</v>
      </c>
      <c r="T42" s="137">
        <f t="shared" si="80"/>
        <v>8766</v>
      </c>
      <c r="U42" s="139">
        <f t="shared" si="81"/>
        <v>25416</v>
      </c>
      <c r="V42" s="137">
        <f>BJ42</f>
        <v>1095</v>
      </c>
      <c r="W42" s="137">
        <f t="shared" si="82"/>
        <v>5146</v>
      </c>
      <c r="X42" s="137">
        <f>BI42</f>
        <v>2102</v>
      </c>
      <c r="Y42" s="137">
        <f>BK42+BN42</f>
        <v>4769</v>
      </c>
      <c r="Z42" s="137">
        <f t="shared" si="83"/>
        <v>8994</v>
      </c>
      <c r="AA42" s="137">
        <f>BQ42</f>
        <v>3939</v>
      </c>
      <c r="AB42" s="139">
        <f t="shared" si="84"/>
        <v>4765</v>
      </c>
      <c r="AC42" s="137">
        <f t="shared" si="85"/>
        <v>14474</v>
      </c>
      <c r="AD42" s="137">
        <f t="shared" si="86"/>
        <v>5901</v>
      </c>
      <c r="AE42" s="137">
        <f>BS42+BT42</f>
        <v>13765</v>
      </c>
      <c r="AF42" s="137">
        <f t="shared" si="87"/>
        <v>6595</v>
      </c>
      <c r="AG42" s="137">
        <f t="shared" si="88"/>
        <v>12486</v>
      </c>
      <c r="AH42" s="137">
        <f t="shared" si="89"/>
        <v>10356</v>
      </c>
      <c r="AI42" s="137">
        <f t="shared" si="90"/>
        <v>7152</v>
      </c>
      <c r="AJ42" s="137">
        <f t="shared" si="91"/>
        <v>6645</v>
      </c>
      <c r="AK42" s="139">
        <f t="shared" si="92"/>
        <v>14118</v>
      </c>
      <c r="AL42" s="137">
        <f t="shared" si="93"/>
        <v>5313</v>
      </c>
      <c r="AM42" s="137">
        <f t="shared" si="94"/>
        <v>37318</v>
      </c>
      <c r="AN42" s="137">
        <f t="shared" si="95"/>
        <v>72466</v>
      </c>
      <c r="AO42" s="137">
        <f t="shared" si="96"/>
        <v>9840</v>
      </c>
      <c r="AP42" s="137">
        <f t="shared" si="97"/>
        <v>2252</v>
      </c>
      <c r="AQ42" s="137">
        <f t="shared" si="98"/>
        <v>14876</v>
      </c>
      <c r="AR42" s="137">
        <f t="shared" si="99"/>
        <v>11560</v>
      </c>
      <c r="AS42" s="138">
        <f>CF42+CG42</f>
        <v>21214</v>
      </c>
      <c r="AT42" s="141">
        <v>461</v>
      </c>
      <c r="AU42" s="141">
        <v>3743</v>
      </c>
      <c r="AV42" s="141">
        <v>3435</v>
      </c>
      <c r="AW42" s="141">
        <v>12263</v>
      </c>
      <c r="AX42" s="141">
        <v>4721</v>
      </c>
      <c r="AY42" s="137">
        <v>8509</v>
      </c>
      <c r="AZ42" s="137">
        <v>87</v>
      </c>
      <c r="BA42" s="137">
        <v>5005</v>
      </c>
      <c r="BB42" s="137">
        <v>8766</v>
      </c>
      <c r="BC42" s="137">
        <v>25416</v>
      </c>
      <c r="BD42" s="137">
        <v>7704</v>
      </c>
      <c r="BE42" s="137">
        <v>8607</v>
      </c>
      <c r="BF42" s="139">
        <v>29211</v>
      </c>
      <c r="BG42" s="137">
        <v>73</v>
      </c>
      <c r="BH42" s="137">
        <v>64</v>
      </c>
      <c r="BI42" s="137">
        <v>2102</v>
      </c>
      <c r="BJ42" s="137">
        <v>1095</v>
      </c>
      <c r="BK42" s="137">
        <v>243</v>
      </c>
      <c r="BL42" s="137">
        <v>34</v>
      </c>
      <c r="BM42" s="137">
        <v>8994</v>
      </c>
      <c r="BN42" s="137">
        <v>4526</v>
      </c>
      <c r="BO42" s="137">
        <v>84</v>
      </c>
      <c r="BP42" s="137">
        <v>4765</v>
      </c>
      <c r="BQ42" s="137">
        <v>3939</v>
      </c>
      <c r="BR42" s="139">
        <v>5146</v>
      </c>
      <c r="BS42" s="137">
        <v>218</v>
      </c>
      <c r="BT42" s="137">
        <v>13547</v>
      </c>
      <c r="BU42" s="137">
        <v>5901</v>
      </c>
      <c r="BV42" s="137">
        <v>12486</v>
      </c>
      <c r="BW42" s="137">
        <v>7152</v>
      </c>
      <c r="BX42" s="137">
        <v>14474</v>
      </c>
      <c r="BY42" s="137">
        <v>6645</v>
      </c>
      <c r="BZ42" s="137">
        <v>10356</v>
      </c>
      <c r="CA42" s="137">
        <v>6595</v>
      </c>
      <c r="CB42" s="139">
        <v>14118</v>
      </c>
      <c r="CC42" s="137">
        <v>9840</v>
      </c>
      <c r="CD42" s="137">
        <v>2252</v>
      </c>
      <c r="CE42" s="137">
        <v>5313</v>
      </c>
      <c r="CF42" s="137">
        <v>851</v>
      </c>
      <c r="CG42" s="137">
        <v>20363</v>
      </c>
      <c r="CH42" s="137">
        <v>37318</v>
      </c>
      <c r="CI42" s="137">
        <v>11560</v>
      </c>
      <c r="CJ42" s="137">
        <v>72466</v>
      </c>
      <c r="CK42" s="138">
        <v>14876</v>
      </c>
      <c r="CL42" s="140">
        <v>415324</v>
      </c>
    </row>
    <row r="43" spans="1:90">
      <c r="A43" s="80">
        <f>ROWS($A$3:A41)</f>
        <v>39</v>
      </c>
      <c r="B43" s="92" t="s">
        <v>14</v>
      </c>
      <c r="C43" s="203"/>
      <c r="D43" s="254" t="s">
        <v>7</v>
      </c>
      <c r="E43" s="256">
        <v>40648</v>
      </c>
      <c r="F43" s="116">
        <v>100362</v>
      </c>
      <c r="G43" s="137">
        <v>22883</v>
      </c>
      <c r="H43" s="137">
        <v>67417</v>
      </c>
      <c r="I43" s="138">
        <v>159770</v>
      </c>
      <c r="J43" s="141"/>
      <c r="K43" s="116">
        <f>BF43</f>
        <v>24844</v>
      </c>
      <c r="L43" s="137">
        <f>AY43</f>
        <v>6619</v>
      </c>
      <c r="M43" s="137">
        <f>BD43</f>
        <v>6935</v>
      </c>
      <c r="N43" s="137">
        <f>AW43</f>
        <v>10314</v>
      </c>
      <c r="O43" s="137">
        <f>BE43</f>
        <v>7610</v>
      </c>
      <c r="P43" s="137">
        <f>AZ43+BA43</f>
        <v>4358</v>
      </c>
      <c r="Q43" s="137">
        <f>'2009'!AU43</f>
        <v>3088</v>
      </c>
      <c r="R43" s="137">
        <f>AT43+AX43</f>
        <v>4837</v>
      </c>
      <c r="S43" s="137">
        <f>AV43</f>
        <v>2580</v>
      </c>
      <c r="T43" s="137">
        <f>BB43</f>
        <v>7460</v>
      </c>
      <c r="U43" s="139">
        <f>BC43</f>
        <v>21717</v>
      </c>
      <c r="V43" s="137">
        <f>BJ43</f>
        <v>401</v>
      </c>
      <c r="W43" s="137">
        <f>BR43</f>
        <v>3813</v>
      </c>
      <c r="X43" s="137">
        <f>BI43</f>
        <v>1200</v>
      </c>
      <c r="Y43" s="137">
        <f>BK43+BN43</f>
        <v>3549</v>
      </c>
      <c r="Z43" s="137">
        <f>BM43</f>
        <v>7506</v>
      </c>
      <c r="AA43" s="137">
        <f>BQ43</f>
        <v>2898</v>
      </c>
      <c r="AB43" s="139">
        <f>BP43</f>
        <v>3429</v>
      </c>
      <c r="AC43" s="137">
        <f>BX43</f>
        <v>12248</v>
      </c>
      <c r="AD43" s="137">
        <f>BU43</f>
        <v>3626</v>
      </c>
      <c r="AE43" s="137">
        <f>BS43+BT43</f>
        <v>10243</v>
      </c>
      <c r="AF43" s="137">
        <f>CA43</f>
        <v>3714</v>
      </c>
      <c r="AG43" s="137">
        <f>BV43</f>
        <v>8229</v>
      </c>
      <c r="AH43" s="137">
        <f>BZ43</f>
        <v>8991</v>
      </c>
      <c r="AI43" s="137">
        <f>BW43</f>
        <v>5094</v>
      </c>
      <c r="AJ43" s="137">
        <f>BY43</f>
        <v>5091</v>
      </c>
      <c r="AK43" s="139">
        <f>CB43</f>
        <v>10181</v>
      </c>
      <c r="AL43" s="137">
        <f>CE43</f>
        <v>3360</v>
      </c>
      <c r="AM43" s="137">
        <f>CH43</f>
        <v>34784</v>
      </c>
      <c r="AN43" s="137">
        <f>CJ43</f>
        <v>69429</v>
      </c>
      <c r="AO43" s="137">
        <f>CC43</f>
        <v>8389</v>
      </c>
      <c r="AP43" s="137">
        <f>CD43</f>
        <v>1613</v>
      </c>
      <c r="AQ43" s="137">
        <f>CK43</f>
        <v>12488</v>
      </c>
      <c r="AR43" s="137">
        <f>CI43</f>
        <v>10545</v>
      </c>
      <c r="AS43" s="138">
        <f>CF43+CG43</f>
        <v>19162</v>
      </c>
      <c r="AT43" s="141">
        <v>432</v>
      </c>
      <c r="AU43" s="141">
        <v>3088</v>
      </c>
      <c r="AV43" s="141">
        <v>2580</v>
      </c>
      <c r="AW43" s="141">
        <v>10314</v>
      </c>
      <c r="AX43" s="141">
        <v>4405</v>
      </c>
      <c r="AY43" s="137">
        <v>6619</v>
      </c>
      <c r="AZ43" s="137">
        <v>71</v>
      </c>
      <c r="BA43" s="137">
        <v>4287</v>
      </c>
      <c r="BB43" s="137">
        <v>7460</v>
      </c>
      <c r="BC43" s="137">
        <v>21717</v>
      </c>
      <c r="BD43" s="137">
        <v>6935</v>
      </c>
      <c r="BE43" s="137">
        <v>7610</v>
      </c>
      <c r="BF43" s="139">
        <v>24844</v>
      </c>
      <c r="BG43" s="137" t="s">
        <v>58</v>
      </c>
      <c r="BH43" s="137" t="s">
        <v>233</v>
      </c>
      <c r="BI43" s="137">
        <v>1200</v>
      </c>
      <c r="BJ43" s="137">
        <v>401</v>
      </c>
      <c r="BK43" s="137">
        <v>131</v>
      </c>
      <c r="BL43" s="137" t="s">
        <v>233</v>
      </c>
      <c r="BM43" s="137">
        <v>7506</v>
      </c>
      <c r="BN43" s="137">
        <v>3418</v>
      </c>
      <c r="BO43" s="137" t="s">
        <v>233</v>
      </c>
      <c r="BP43" s="137">
        <v>3429</v>
      </c>
      <c r="BQ43" s="137">
        <v>2898</v>
      </c>
      <c r="BR43" s="139">
        <v>3813</v>
      </c>
      <c r="BS43" s="137">
        <v>94</v>
      </c>
      <c r="BT43" s="137">
        <v>10149</v>
      </c>
      <c r="BU43" s="137">
        <v>3626</v>
      </c>
      <c r="BV43" s="137">
        <v>8229</v>
      </c>
      <c r="BW43" s="137">
        <v>5094</v>
      </c>
      <c r="BX43" s="137">
        <v>12248</v>
      </c>
      <c r="BY43" s="137">
        <v>5091</v>
      </c>
      <c r="BZ43" s="137">
        <v>8991</v>
      </c>
      <c r="CA43" s="137">
        <v>3714</v>
      </c>
      <c r="CB43" s="139">
        <v>10181</v>
      </c>
      <c r="CC43" s="137">
        <v>8389</v>
      </c>
      <c r="CD43" s="137">
        <v>1613</v>
      </c>
      <c r="CE43" s="137">
        <v>3360</v>
      </c>
      <c r="CF43" s="137">
        <v>815</v>
      </c>
      <c r="CG43" s="137">
        <v>18347</v>
      </c>
      <c r="CH43" s="137">
        <v>34784</v>
      </c>
      <c r="CI43" s="137">
        <v>10545</v>
      </c>
      <c r="CJ43" s="137">
        <v>69429</v>
      </c>
      <c r="CK43" s="138">
        <v>12488</v>
      </c>
      <c r="CL43" s="140">
        <v>350432</v>
      </c>
    </row>
    <row r="44" spans="1:90">
      <c r="A44" s="80">
        <f>ROWS($A$3:A42)</f>
        <v>40</v>
      </c>
      <c r="B44" s="54" t="s">
        <v>20</v>
      </c>
      <c r="C44" s="252"/>
      <c r="D44" s="254" t="s">
        <v>241</v>
      </c>
      <c r="E44" s="256">
        <v>40648</v>
      </c>
      <c r="F44" s="116">
        <f>F42/F124</f>
        <v>36.107777097366807</v>
      </c>
      <c r="G44" s="137">
        <f>G42/G124</f>
        <v>43.145833333333336</v>
      </c>
      <c r="H44" s="137">
        <f>H42/H124</f>
        <v>31.614374568071874</v>
      </c>
      <c r="I44" s="138">
        <f>I42/I124</f>
        <v>39.529504860954106</v>
      </c>
      <c r="J44" s="141"/>
      <c r="K44" s="116">
        <f t="shared" si="74"/>
        <v>37.450000000000003</v>
      </c>
      <c r="L44" s="137">
        <f t="shared" si="75"/>
        <v>33.23828125</v>
      </c>
      <c r="M44" s="137">
        <f t="shared" si="76"/>
        <v>29.071698113207546</v>
      </c>
      <c r="N44" s="137">
        <f t="shared" si="77"/>
        <v>39.054140127388536</v>
      </c>
      <c r="O44" s="137">
        <f t="shared" si="78"/>
        <v>40.408450704225352</v>
      </c>
      <c r="P44" s="143">
        <f>(AZ42*AZ44+BA42*BA44)/P42</f>
        <v>38.213815789473685</v>
      </c>
      <c r="Q44" s="137">
        <f>'2009'!AU44</f>
        <v>41.588888888888889</v>
      </c>
      <c r="R44" s="143">
        <f>(AT42*AT44+AX42*AX44)/R42</f>
        <v>31.992673225214443</v>
      </c>
      <c r="S44" s="137">
        <f t="shared" si="79"/>
        <v>35.051020408163268</v>
      </c>
      <c r="T44" s="137">
        <f t="shared" si="80"/>
        <v>37.78448275862069</v>
      </c>
      <c r="U44" s="139">
        <f t="shared" si="81"/>
        <v>35.202216066481995</v>
      </c>
      <c r="V44" s="143">
        <f>(BJ42*BJ44)/V42</f>
        <v>47.608695652173914</v>
      </c>
      <c r="W44" s="137">
        <f t="shared" si="82"/>
        <v>36.75714285714286</v>
      </c>
      <c r="X44" s="143">
        <f>(BI42*BI44)/X42</f>
        <v>61.823529411764703</v>
      </c>
      <c r="Y44" s="143">
        <f>(BK42*BK44+BN42*BN44)/Y42</f>
        <v>44.722652847257578</v>
      </c>
      <c r="Z44" s="137">
        <f t="shared" si="83"/>
        <v>42.028037383177569</v>
      </c>
      <c r="AA44" s="143">
        <f>(BQ42*BQ44)/AA42</f>
        <v>56.271428571428572</v>
      </c>
      <c r="AB44" s="139">
        <f t="shared" si="84"/>
        <v>37.817460317460316</v>
      </c>
      <c r="AC44" s="137">
        <f t="shared" si="85"/>
        <v>30.091476091476093</v>
      </c>
      <c r="AD44" s="137">
        <f t="shared" si="86"/>
        <v>29.504999999999999</v>
      </c>
      <c r="AE44" s="143">
        <f>(BS42*BS44+BT42*BT44)/AE42</f>
        <v>28.877508126825319</v>
      </c>
      <c r="AF44" s="137">
        <f t="shared" si="87"/>
        <v>32.810945273631837</v>
      </c>
      <c r="AG44" s="137">
        <f t="shared" si="88"/>
        <v>23.873804971319313</v>
      </c>
      <c r="AH44" s="137">
        <f t="shared" si="89"/>
        <v>41.590361445783131</v>
      </c>
      <c r="AI44" s="137">
        <f t="shared" si="90"/>
        <v>30.305084745762713</v>
      </c>
      <c r="AJ44" s="137">
        <f t="shared" si="91"/>
        <v>48.860294117647058</v>
      </c>
      <c r="AK44" s="139">
        <f t="shared" si="92"/>
        <v>36.200000000000003</v>
      </c>
      <c r="AL44" s="137">
        <f t="shared" si="93"/>
        <v>66.412499999999994</v>
      </c>
      <c r="AM44" s="137">
        <f t="shared" si="94"/>
        <v>40.213362068965516</v>
      </c>
      <c r="AN44" s="137">
        <f t="shared" si="95"/>
        <v>41.575444635685599</v>
      </c>
      <c r="AO44" s="137">
        <f t="shared" si="96"/>
        <v>37.132075471698116</v>
      </c>
      <c r="AP44" s="137">
        <f t="shared" si="97"/>
        <v>52.372093023255815</v>
      </c>
      <c r="AQ44" s="137">
        <f t="shared" si="98"/>
        <v>36.64039408866995</v>
      </c>
      <c r="AR44" s="137">
        <f t="shared" si="99"/>
        <v>32.38095238095238</v>
      </c>
      <c r="AS44" s="144">
        <f>(CF42*CF44+CG42*CG44)/AS42</f>
        <v>35.325851089290573</v>
      </c>
      <c r="AT44" s="137">
        <f t="shared" ref="AT44:BF44" si="100">AT42/AT124</f>
        <v>30.733333333333334</v>
      </c>
      <c r="AU44" s="137">
        <f t="shared" si="100"/>
        <v>41.588888888888889</v>
      </c>
      <c r="AV44" s="137">
        <f t="shared" si="100"/>
        <v>35.051020408163268</v>
      </c>
      <c r="AW44" s="137">
        <f t="shared" si="100"/>
        <v>39.054140127388536</v>
      </c>
      <c r="AX44" s="137">
        <f t="shared" si="100"/>
        <v>32.115646258503403</v>
      </c>
      <c r="AY44" s="137">
        <f t="shared" si="100"/>
        <v>33.23828125</v>
      </c>
      <c r="AZ44" s="137">
        <f t="shared" si="100"/>
        <v>21.75</v>
      </c>
      <c r="BA44" s="137">
        <f t="shared" si="100"/>
        <v>38.5</v>
      </c>
      <c r="BB44" s="137">
        <f t="shared" si="100"/>
        <v>37.78448275862069</v>
      </c>
      <c r="BC44" s="137">
        <f t="shared" si="100"/>
        <v>35.202216066481995</v>
      </c>
      <c r="BD44" s="137">
        <f t="shared" si="100"/>
        <v>29.071698113207546</v>
      </c>
      <c r="BE44" s="137">
        <f t="shared" si="100"/>
        <v>40.408450704225352</v>
      </c>
      <c r="BF44" s="139">
        <f t="shared" si="100"/>
        <v>37.450000000000003</v>
      </c>
      <c r="BG44" s="137" t="s">
        <v>233</v>
      </c>
      <c r="BH44" s="137" t="s">
        <v>233</v>
      </c>
      <c r="BI44" s="137">
        <f>BI42/BI124</f>
        <v>61.823529411764703</v>
      </c>
      <c r="BJ44" s="137">
        <f>BJ42/BJ124</f>
        <v>47.608695652173914</v>
      </c>
      <c r="BK44" s="137">
        <f>BK42/BK124</f>
        <v>34.714285714285715</v>
      </c>
      <c r="BL44" s="137" t="s">
        <v>233</v>
      </c>
      <c r="BM44" s="137">
        <f>BM42/BM124</f>
        <v>42.028037383177569</v>
      </c>
      <c r="BN44" s="137">
        <f>BN42/BN124</f>
        <v>45.26</v>
      </c>
      <c r="BO44" s="137" t="s">
        <v>233</v>
      </c>
      <c r="BP44" s="137">
        <f t="shared" ref="BP44:CL44" si="101">BP42/BP124</f>
        <v>37.817460317460316</v>
      </c>
      <c r="BQ44" s="137">
        <f t="shared" si="101"/>
        <v>56.271428571428572</v>
      </c>
      <c r="BR44" s="139">
        <f t="shared" si="101"/>
        <v>36.75714285714286</v>
      </c>
      <c r="BS44" s="137">
        <f t="shared" si="101"/>
        <v>43.6</v>
      </c>
      <c r="BT44" s="137">
        <f t="shared" si="101"/>
        <v>28.640591966173361</v>
      </c>
      <c r="BU44" s="137">
        <f t="shared" si="101"/>
        <v>29.504999999999999</v>
      </c>
      <c r="BV44" s="137">
        <f t="shared" si="101"/>
        <v>23.873804971319313</v>
      </c>
      <c r="BW44" s="137">
        <f t="shared" si="101"/>
        <v>30.305084745762713</v>
      </c>
      <c r="BX44" s="137">
        <f t="shared" si="101"/>
        <v>30.091476091476093</v>
      </c>
      <c r="BY44" s="137">
        <f t="shared" si="101"/>
        <v>48.860294117647058</v>
      </c>
      <c r="BZ44" s="137">
        <f t="shared" si="101"/>
        <v>41.590361445783131</v>
      </c>
      <c r="CA44" s="137">
        <f t="shared" si="101"/>
        <v>32.810945273631837</v>
      </c>
      <c r="CB44" s="139">
        <f t="shared" si="101"/>
        <v>36.200000000000003</v>
      </c>
      <c r="CC44" s="137">
        <f t="shared" si="101"/>
        <v>37.132075471698116</v>
      </c>
      <c r="CD44" s="137">
        <f t="shared" si="101"/>
        <v>52.372093023255815</v>
      </c>
      <c r="CE44" s="137">
        <f t="shared" si="101"/>
        <v>66.412499999999994</v>
      </c>
      <c r="CF44" s="137">
        <f t="shared" si="101"/>
        <v>40.523809523809526</v>
      </c>
      <c r="CG44" s="137">
        <f t="shared" si="101"/>
        <v>35.108620689655176</v>
      </c>
      <c r="CH44" s="137">
        <f t="shared" si="101"/>
        <v>40.213362068965516</v>
      </c>
      <c r="CI44" s="137">
        <f t="shared" si="101"/>
        <v>32.38095238095238</v>
      </c>
      <c r="CJ44" s="137">
        <f t="shared" si="101"/>
        <v>41.575444635685599</v>
      </c>
      <c r="CK44" s="138">
        <f t="shared" si="101"/>
        <v>36.64039408866995</v>
      </c>
      <c r="CL44" s="140">
        <f t="shared" si="101"/>
        <v>36.744581084667786</v>
      </c>
    </row>
    <row r="45" spans="1:90">
      <c r="A45" s="80">
        <f>ROWS($A$3:A43)</f>
        <v>41</v>
      </c>
      <c r="B45" s="92" t="s">
        <v>74</v>
      </c>
      <c r="C45" s="202">
        <v>2007</v>
      </c>
      <c r="D45" s="254" t="s">
        <v>7</v>
      </c>
      <c r="E45" s="256">
        <v>40652</v>
      </c>
      <c r="F45" s="116">
        <v>1180197</v>
      </c>
      <c r="G45" s="137">
        <v>127805</v>
      </c>
      <c r="H45" s="137">
        <v>180992</v>
      </c>
      <c r="I45" s="138">
        <v>746925</v>
      </c>
      <c r="J45" s="141"/>
      <c r="K45" s="116">
        <f t="shared" si="74"/>
        <v>140592</v>
      </c>
      <c r="L45" s="137">
        <f t="shared" si="75"/>
        <v>19474</v>
      </c>
      <c r="M45" s="137">
        <f t="shared" si="76"/>
        <v>160206</v>
      </c>
      <c r="N45" s="137">
        <f t="shared" si="77"/>
        <v>28195</v>
      </c>
      <c r="O45" s="137">
        <f t="shared" si="78"/>
        <v>50959</v>
      </c>
      <c r="P45" s="808">
        <f>IF(ISERROR(AZ45+BA45),BA45,AZ45+BA45)</f>
        <v>36359</v>
      </c>
      <c r="Q45" s="137">
        <f>'2009'!AU45</f>
        <v>20889</v>
      </c>
      <c r="R45" s="808">
        <f>IF(ISERROR(AT45+AX45),AX45,AT45+AX45)</f>
        <v>42918</v>
      </c>
      <c r="S45" s="137">
        <f t="shared" si="79"/>
        <v>8426</v>
      </c>
      <c r="T45" s="137">
        <f t="shared" si="80"/>
        <v>194362</v>
      </c>
      <c r="U45" s="139">
        <f t="shared" si="81"/>
        <v>477817</v>
      </c>
      <c r="V45" s="808">
        <f>IF(ISERROR(BG45+BJ45),BJ45,(BG45+BJ45))</f>
        <v>7440</v>
      </c>
      <c r="W45" s="137">
        <f t="shared" si="82"/>
        <v>14753</v>
      </c>
      <c r="X45" s="808">
        <f>IF(ISERROR(BH45+BI45),BI45,(BH45+BI45))</f>
        <v>13037</v>
      </c>
      <c r="Y45" s="808">
        <f>IF(ISERROR(BK45+BL45+BN45),BK45+BN45,(BK45+BL45+BN45))</f>
        <v>33131</v>
      </c>
      <c r="Z45" s="137">
        <f t="shared" si="83"/>
        <v>43654</v>
      </c>
      <c r="AA45" s="808">
        <f>IF(ISERROR(BO45+BQ45),BQ45,(BO45+BQ45))</f>
        <v>8295</v>
      </c>
      <c r="AB45" s="139">
        <f t="shared" si="84"/>
        <v>8817</v>
      </c>
      <c r="AC45" s="137">
        <f t="shared" si="85"/>
        <v>24208</v>
      </c>
      <c r="AD45" s="137">
        <f t="shared" si="86"/>
        <v>7935</v>
      </c>
      <c r="AE45" s="808">
        <f>BS45+BT45</f>
        <v>10268</v>
      </c>
      <c r="AF45" s="137">
        <f t="shared" si="87"/>
        <v>4880</v>
      </c>
      <c r="AG45" s="137">
        <f t="shared" si="88"/>
        <v>38468</v>
      </c>
      <c r="AH45" s="137">
        <f t="shared" si="89"/>
        <v>22788</v>
      </c>
      <c r="AI45" s="137">
        <f t="shared" si="90"/>
        <v>39860</v>
      </c>
      <c r="AJ45" s="137">
        <f t="shared" si="91"/>
        <v>12198</v>
      </c>
      <c r="AK45" s="139">
        <f t="shared" si="92"/>
        <v>20387</v>
      </c>
      <c r="AL45" s="137">
        <f t="shared" si="93"/>
        <v>11586</v>
      </c>
      <c r="AM45" s="137">
        <f t="shared" si="94"/>
        <v>174636</v>
      </c>
      <c r="AN45" s="137">
        <f t="shared" si="95"/>
        <v>64349</v>
      </c>
      <c r="AO45" s="137">
        <f t="shared" si="96"/>
        <v>35347</v>
      </c>
      <c r="AP45" s="137">
        <f t="shared" si="97"/>
        <v>15667</v>
      </c>
      <c r="AQ45" s="137">
        <f t="shared" si="98"/>
        <v>109636</v>
      </c>
      <c r="AR45" s="137">
        <f t="shared" si="99"/>
        <v>21765</v>
      </c>
      <c r="AS45" s="138">
        <f>CF45+CG45</f>
        <v>313939</v>
      </c>
      <c r="AT45" s="137" t="s">
        <v>233</v>
      </c>
      <c r="AU45" s="141">
        <v>20889</v>
      </c>
      <c r="AV45" s="141">
        <v>8426</v>
      </c>
      <c r="AW45" s="141">
        <v>28195</v>
      </c>
      <c r="AX45" s="141">
        <v>42918</v>
      </c>
      <c r="AY45" s="137">
        <v>19474</v>
      </c>
      <c r="AZ45" s="137" t="s">
        <v>233</v>
      </c>
      <c r="BA45" s="137">
        <v>36359</v>
      </c>
      <c r="BB45" s="137">
        <v>194362</v>
      </c>
      <c r="BC45" s="137">
        <v>477817</v>
      </c>
      <c r="BD45" s="137">
        <v>160206</v>
      </c>
      <c r="BE45" s="137">
        <v>50959</v>
      </c>
      <c r="BF45" s="139">
        <v>140592</v>
      </c>
      <c r="BG45" s="137" t="s">
        <v>233</v>
      </c>
      <c r="BH45" s="137">
        <v>1322</v>
      </c>
      <c r="BI45" s="137">
        <v>11715</v>
      </c>
      <c r="BJ45" s="137">
        <v>7440</v>
      </c>
      <c r="BK45" s="137">
        <v>792</v>
      </c>
      <c r="BL45" s="137">
        <v>841</v>
      </c>
      <c r="BM45" s="137">
        <v>43654</v>
      </c>
      <c r="BN45" s="137">
        <v>31498</v>
      </c>
      <c r="BO45" s="137" t="s">
        <v>233</v>
      </c>
      <c r="BP45" s="137">
        <v>8817</v>
      </c>
      <c r="BQ45" s="137">
        <v>8295</v>
      </c>
      <c r="BR45" s="139">
        <v>14753</v>
      </c>
      <c r="BS45" s="137">
        <v>411</v>
      </c>
      <c r="BT45" s="137">
        <v>9857</v>
      </c>
      <c r="BU45" s="137">
        <v>7935</v>
      </c>
      <c r="BV45" s="137">
        <v>38468</v>
      </c>
      <c r="BW45" s="137">
        <v>39860</v>
      </c>
      <c r="BX45" s="137">
        <v>24208</v>
      </c>
      <c r="BY45" s="137">
        <v>12198</v>
      </c>
      <c r="BZ45" s="137">
        <v>22788</v>
      </c>
      <c r="CA45" s="137">
        <v>4880</v>
      </c>
      <c r="CB45" s="139">
        <v>20387</v>
      </c>
      <c r="CC45" s="137">
        <v>35347</v>
      </c>
      <c r="CD45" s="137">
        <v>15667</v>
      </c>
      <c r="CE45" s="137">
        <v>11586</v>
      </c>
      <c r="CF45" s="137">
        <v>21147</v>
      </c>
      <c r="CG45" s="137">
        <v>292792</v>
      </c>
      <c r="CH45" s="137">
        <v>174636</v>
      </c>
      <c r="CI45" s="137">
        <v>21765</v>
      </c>
      <c r="CJ45" s="137">
        <v>64349</v>
      </c>
      <c r="CK45" s="138">
        <v>109636</v>
      </c>
      <c r="CL45" s="140">
        <v>2238322</v>
      </c>
    </row>
    <row r="46" spans="1:90">
      <c r="A46" s="80">
        <f>ROWS($A$3:A44)</f>
        <v>42</v>
      </c>
      <c r="B46" s="92" t="s">
        <v>8</v>
      </c>
      <c r="C46" s="203"/>
      <c r="D46" s="254" t="s">
        <v>7</v>
      </c>
      <c r="E46" s="256">
        <v>40652</v>
      </c>
      <c r="F46" s="116">
        <v>161288</v>
      </c>
      <c r="G46" s="137">
        <v>11514</v>
      </c>
      <c r="H46" s="137">
        <v>15185</v>
      </c>
      <c r="I46" s="138">
        <v>83191</v>
      </c>
      <c r="J46" s="141"/>
      <c r="K46" s="116">
        <f t="shared" si="74"/>
        <v>20873</v>
      </c>
      <c r="L46" s="137">
        <f t="shared" si="75"/>
        <v>1661</v>
      </c>
      <c r="M46" s="137">
        <f t="shared" si="76"/>
        <v>23900</v>
      </c>
      <c r="N46" s="137">
        <f t="shared" si="77"/>
        <v>1821</v>
      </c>
      <c r="O46" s="137">
        <f t="shared" si="78"/>
        <v>5178</v>
      </c>
      <c r="P46" s="808">
        <f>IF(ISERROR(AZ46+BA46),BA46,AZ46+BA46)</f>
        <v>3905</v>
      </c>
      <c r="Q46" s="137">
        <f>'2009'!AU46</f>
        <v>2440</v>
      </c>
      <c r="R46" s="808">
        <f>IF(ISERROR(AT46+AX46),AX46,AT46+AX46)</f>
        <v>3610</v>
      </c>
      <c r="S46" s="137">
        <f t="shared" si="79"/>
        <v>545</v>
      </c>
      <c r="T46" s="137">
        <f t="shared" si="80"/>
        <v>29758</v>
      </c>
      <c r="U46" s="139">
        <f t="shared" si="81"/>
        <v>67597</v>
      </c>
      <c r="V46" s="808">
        <f>IF(ISERROR(BG46+BJ46),BJ46,(BG46+BJ46))</f>
        <v>615</v>
      </c>
      <c r="W46" s="137">
        <f t="shared" si="82"/>
        <v>1828</v>
      </c>
      <c r="X46" s="808">
        <f>IF(ISERROR(BH46+BI46),BI46,(BH46+BI46))</f>
        <v>1240</v>
      </c>
      <c r="Y46" s="808">
        <f>IF(ISERROR(BK46+BL46+BN46),BN46,(BK46+BL46+BN46))</f>
        <v>2582</v>
      </c>
      <c r="Z46" s="137">
        <f t="shared" si="83"/>
        <v>4450</v>
      </c>
      <c r="AA46" s="808">
        <f>IF(ISERROR(BO46+BQ46),BQ46,(BO46+BQ46))</f>
        <v>408</v>
      </c>
      <c r="AB46" s="139">
        <f t="shared" si="84"/>
        <v>554</v>
      </c>
      <c r="AC46" s="137">
        <f t="shared" si="85"/>
        <v>1807</v>
      </c>
      <c r="AD46" s="137">
        <f t="shared" si="86"/>
        <v>614</v>
      </c>
      <c r="AE46" s="808">
        <f>IF(ISERROR(BS46+BT46),BT46,(BS46+BT46))</f>
        <v>745</v>
      </c>
      <c r="AF46" s="137" t="str">
        <f t="shared" si="87"/>
        <v>*</v>
      </c>
      <c r="AG46" s="137">
        <f t="shared" si="88"/>
        <v>4152</v>
      </c>
      <c r="AH46" s="137">
        <f t="shared" si="89"/>
        <v>1541</v>
      </c>
      <c r="AI46" s="137">
        <f t="shared" si="90"/>
        <v>3227</v>
      </c>
      <c r="AJ46" s="137">
        <f t="shared" si="91"/>
        <v>1096</v>
      </c>
      <c r="AK46" s="139">
        <f t="shared" si="92"/>
        <v>2003</v>
      </c>
      <c r="AL46" s="137">
        <f t="shared" si="93"/>
        <v>850</v>
      </c>
      <c r="AM46" s="137">
        <f t="shared" si="94"/>
        <v>19510</v>
      </c>
      <c r="AN46" s="137">
        <f t="shared" si="95"/>
        <v>7843</v>
      </c>
      <c r="AO46" s="137">
        <f t="shared" si="96"/>
        <v>4324</v>
      </c>
      <c r="AP46" s="137">
        <f t="shared" si="97"/>
        <v>988</v>
      </c>
      <c r="AQ46" s="137">
        <f t="shared" si="98"/>
        <v>12657</v>
      </c>
      <c r="AR46" s="137">
        <f t="shared" si="99"/>
        <v>1948</v>
      </c>
      <c r="AS46" s="138">
        <f>CF46+CG46</f>
        <v>35071</v>
      </c>
      <c r="AT46" s="137" t="s">
        <v>233</v>
      </c>
      <c r="AU46" s="141">
        <v>2440</v>
      </c>
      <c r="AV46" s="141">
        <v>545</v>
      </c>
      <c r="AW46" s="141">
        <v>1821</v>
      </c>
      <c r="AX46" s="141">
        <v>3610</v>
      </c>
      <c r="AY46" s="137">
        <v>1661</v>
      </c>
      <c r="AZ46" s="137" t="s">
        <v>233</v>
      </c>
      <c r="BA46" s="137">
        <v>3905</v>
      </c>
      <c r="BB46" s="137">
        <v>29758</v>
      </c>
      <c r="BC46" s="137">
        <v>67597</v>
      </c>
      <c r="BD46" s="137">
        <v>23900</v>
      </c>
      <c r="BE46" s="137">
        <v>5178</v>
      </c>
      <c r="BF46" s="139">
        <v>20873</v>
      </c>
      <c r="BG46" s="137" t="s">
        <v>233</v>
      </c>
      <c r="BH46" s="137">
        <v>163</v>
      </c>
      <c r="BI46" s="137">
        <v>1077</v>
      </c>
      <c r="BJ46" s="137">
        <v>615</v>
      </c>
      <c r="BK46" s="137" t="s">
        <v>233</v>
      </c>
      <c r="BL46" s="137">
        <v>0</v>
      </c>
      <c r="BM46" s="137">
        <v>4450</v>
      </c>
      <c r="BN46" s="137">
        <v>2582</v>
      </c>
      <c r="BO46" s="137" t="s">
        <v>233</v>
      </c>
      <c r="BP46" s="137">
        <v>554</v>
      </c>
      <c r="BQ46" s="137">
        <v>408</v>
      </c>
      <c r="BR46" s="139">
        <v>1828</v>
      </c>
      <c r="BS46" s="137" t="s">
        <v>233</v>
      </c>
      <c r="BT46" s="137">
        <v>745</v>
      </c>
      <c r="BU46" s="137">
        <v>614</v>
      </c>
      <c r="BV46" s="137">
        <v>4152</v>
      </c>
      <c r="BW46" s="137">
        <v>3227</v>
      </c>
      <c r="BX46" s="137">
        <v>1807</v>
      </c>
      <c r="BY46" s="137">
        <v>1096</v>
      </c>
      <c r="BZ46" s="137">
        <v>1541</v>
      </c>
      <c r="CA46" s="137" t="s">
        <v>233</v>
      </c>
      <c r="CB46" s="139">
        <v>2003</v>
      </c>
      <c r="CC46" s="137">
        <v>4324</v>
      </c>
      <c r="CD46" s="137">
        <v>988</v>
      </c>
      <c r="CE46" s="137">
        <v>850</v>
      </c>
      <c r="CF46" s="137">
        <v>1599</v>
      </c>
      <c r="CG46" s="137">
        <v>33472</v>
      </c>
      <c r="CH46" s="137">
        <v>19510</v>
      </c>
      <c r="CI46" s="137">
        <v>1948</v>
      </c>
      <c r="CJ46" s="137">
        <v>7843</v>
      </c>
      <c r="CK46" s="138">
        <v>12657</v>
      </c>
      <c r="CL46" s="140">
        <v>271854</v>
      </c>
    </row>
    <row r="47" spans="1:90">
      <c r="A47" s="80">
        <f>ROWS($A$3:A45)</f>
        <v>43</v>
      </c>
      <c r="B47" s="54" t="s">
        <v>19</v>
      </c>
      <c r="C47" s="252"/>
      <c r="D47" s="254" t="s">
        <v>241</v>
      </c>
      <c r="E47" s="256">
        <v>40652</v>
      </c>
      <c r="F47" s="116">
        <v>95</v>
      </c>
      <c r="G47" s="137">
        <v>57</v>
      </c>
      <c r="H47" s="137">
        <v>30</v>
      </c>
      <c r="I47" s="138">
        <v>92</v>
      </c>
      <c r="J47" s="141"/>
      <c r="K47" s="116">
        <f t="shared" si="74"/>
        <v>57</v>
      </c>
      <c r="L47" s="137">
        <f t="shared" si="75"/>
        <v>45</v>
      </c>
      <c r="M47" s="137">
        <f t="shared" si="76"/>
        <v>70</v>
      </c>
      <c r="N47" s="137">
        <f t="shared" si="77"/>
        <v>61</v>
      </c>
      <c r="O47" s="137">
        <f t="shared" si="78"/>
        <v>98</v>
      </c>
      <c r="P47" s="808">
        <f>IF(ISERROR((BA45*BA47+AZ45*AZ47)/P45),BA47,(BA45*BA47+AZ45*AZ47)/P45)</f>
        <v>100</v>
      </c>
      <c r="Q47" s="137">
        <f>'2009'!AU47</f>
        <v>85</v>
      </c>
      <c r="R47" s="808">
        <f>IF(ISERROR((AT47*AT45+AX45*AX47)/R45),AX47,(AT47*AT45+AX45*AX47)/R45)</f>
        <v>123</v>
      </c>
      <c r="S47" s="137">
        <f t="shared" si="79"/>
        <v>38</v>
      </c>
      <c r="T47" s="137">
        <f t="shared" si="80"/>
        <v>134</v>
      </c>
      <c r="U47" s="139">
        <f t="shared" si="81"/>
        <v>132</v>
      </c>
      <c r="V47" s="808">
        <f>IF(ISERROR((BG47*BG45+BJ45*BJ47)/V45),BJ47,(BG47*BG45+BJ45*BJ47)/V45)</f>
        <v>60</v>
      </c>
      <c r="W47" s="137">
        <f t="shared" si="82"/>
        <v>32</v>
      </c>
      <c r="X47" s="808">
        <f>(BH45*BH47+BI45*BI47)/X45</f>
        <v>57.23088133773107</v>
      </c>
      <c r="Y47" s="808">
        <f>IF(ISERROR((BK47*BK45+BL47*BL45+BN47*BN45)/Y45),(BL47*BL45+BN47*BN45)/(BL45+BN45),(BK47*BK45+BL47*BL45+BN47*BN45)/Y45)</f>
        <v>88.895976993722755</v>
      </c>
      <c r="Z47" s="137">
        <f t="shared" si="83"/>
        <v>72</v>
      </c>
      <c r="AA47" s="808">
        <f>IF(ISERROR((BO47*BO45+BQ47*BQ45)/AA45),BQ47,(BO47*BO45+BQ47*BQ45)/AA45)</f>
        <v>49</v>
      </c>
      <c r="AB47" s="139">
        <f t="shared" si="84"/>
        <v>26</v>
      </c>
      <c r="AC47" s="137">
        <f t="shared" si="85"/>
        <v>30</v>
      </c>
      <c r="AD47" s="137">
        <f t="shared" si="86"/>
        <v>16</v>
      </c>
      <c r="AE47" s="808">
        <f>(BS45*BS47+BT45*BT47)/AE45</f>
        <v>13.87991819244254</v>
      </c>
      <c r="AF47" s="137">
        <f t="shared" si="87"/>
        <v>24</v>
      </c>
      <c r="AG47" s="137">
        <f t="shared" si="88"/>
        <v>20</v>
      </c>
      <c r="AH47" s="137">
        <f t="shared" si="89"/>
        <v>70</v>
      </c>
      <c r="AI47" s="137">
        <f t="shared" si="90"/>
        <v>54</v>
      </c>
      <c r="AJ47" s="137">
        <f t="shared" si="91"/>
        <v>44</v>
      </c>
      <c r="AK47" s="139">
        <f t="shared" si="92"/>
        <v>27</v>
      </c>
      <c r="AL47" s="137">
        <f t="shared" si="93"/>
        <v>47</v>
      </c>
      <c r="AM47" s="137">
        <f t="shared" si="94"/>
        <v>103</v>
      </c>
      <c r="AN47" s="137">
        <f t="shared" si="95"/>
        <v>88</v>
      </c>
      <c r="AO47" s="137">
        <f t="shared" si="96"/>
        <v>36</v>
      </c>
      <c r="AP47" s="137">
        <f t="shared" si="97"/>
        <v>66</v>
      </c>
      <c r="AQ47" s="137">
        <f t="shared" si="98"/>
        <v>81</v>
      </c>
      <c r="AR47" s="137">
        <f t="shared" si="99"/>
        <v>68</v>
      </c>
      <c r="AS47" s="144">
        <f>(CF45*CF47+CG45*CG47)/AS45</f>
        <v>124.44577449759348</v>
      </c>
      <c r="AT47" s="137" t="s">
        <v>233</v>
      </c>
      <c r="AU47" s="137">
        <v>85</v>
      </c>
      <c r="AV47" s="137">
        <v>38</v>
      </c>
      <c r="AW47" s="137">
        <v>61</v>
      </c>
      <c r="AX47" s="137">
        <v>123</v>
      </c>
      <c r="AY47" s="137">
        <v>45</v>
      </c>
      <c r="AZ47" s="137" t="s">
        <v>233</v>
      </c>
      <c r="BA47" s="137">
        <v>100</v>
      </c>
      <c r="BB47" s="137">
        <v>134</v>
      </c>
      <c r="BC47" s="137">
        <v>132</v>
      </c>
      <c r="BD47" s="137">
        <v>70</v>
      </c>
      <c r="BE47" s="137">
        <v>98</v>
      </c>
      <c r="BF47" s="139">
        <v>57</v>
      </c>
      <c r="BG47" s="137">
        <v>0</v>
      </c>
      <c r="BH47" s="137">
        <v>77</v>
      </c>
      <c r="BI47" s="137">
        <v>55</v>
      </c>
      <c r="BJ47" s="137">
        <v>60</v>
      </c>
      <c r="BK47" s="137" t="s">
        <v>233</v>
      </c>
      <c r="BL47" s="137">
        <v>85</v>
      </c>
      <c r="BM47" s="137">
        <v>72</v>
      </c>
      <c r="BN47" s="137">
        <v>89</v>
      </c>
      <c r="BO47" s="137" t="s">
        <v>233</v>
      </c>
      <c r="BP47" s="137">
        <v>26</v>
      </c>
      <c r="BQ47" s="137">
        <v>49</v>
      </c>
      <c r="BR47" s="139">
        <v>32</v>
      </c>
      <c r="BS47" s="137">
        <v>11</v>
      </c>
      <c r="BT47" s="137">
        <v>14</v>
      </c>
      <c r="BU47" s="137">
        <v>16</v>
      </c>
      <c r="BV47" s="137">
        <v>20</v>
      </c>
      <c r="BW47" s="137">
        <v>54</v>
      </c>
      <c r="BX47" s="137">
        <v>30</v>
      </c>
      <c r="BY47" s="137">
        <v>44</v>
      </c>
      <c r="BZ47" s="137">
        <v>70</v>
      </c>
      <c r="CA47" s="137">
        <v>24</v>
      </c>
      <c r="CB47" s="139">
        <v>27</v>
      </c>
      <c r="CC47" s="137">
        <v>36</v>
      </c>
      <c r="CD47" s="137">
        <v>66</v>
      </c>
      <c r="CE47" s="137">
        <v>47</v>
      </c>
      <c r="CF47" s="137">
        <v>186</v>
      </c>
      <c r="CG47" s="137">
        <v>120</v>
      </c>
      <c r="CH47" s="137">
        <v>103</v>
      </c>
      <c r="CI47" s="137">
        <v>68</v>
      </c>
      <c r="CJ47" s="137">
        <v>88</v>
      </c>
      <c r="CK47" s="138">
        <v>81</v>
      </c>
      <c r="CL47" s="140">
        <v>74</v>
      </c>
    </row>
    <row r="48" spans="1:90">
      <c r="A48" s="80">
        <f>ROWS($A$3:A46)</f>
        <v>44</v>
      </c>
      <c r="B48" s="196" t="s">
        <v>239</v>
      </c>
      <c r="C48" s="202">
        <v>2007</v>
      </c>
      <c r="D48" s="254" t="s">
        <v>7</v>
      </c>
      <c r="E48" s="256">
        <v>40652</v>
      </c>
      <c r="F48" s="116">
        <v>21010</v>
      </c>
      <c r="G48" s="137">
        <v>12940</v>
      </c>
      <c r="H48" s="137">
        <v>15249</v>
      </c>
      <c r="I48" s="138">
        <v>18617</v>
      </c>
      <c r="J48" s="141"/>
      <c r="K48" s="116">
        <f t="shared" si="74"/>
        <v>3648</v>
      </c>
      <c r="L48" s="137">
        <f t="shared" si="75"/>
        <v>2101</v>
      </c>
      <c r="M48" s="137">
        <f t="shared" si="76"/>
        <v>973</v>
      </c>
      <c r="N48" s="137">
        <f t="shared" si="77"/>
        <v>1831</v>
      </c>
      <c r="O48" s="137">
        <f t="shared" si="78"/>
        <v>931</v>
      </c>
      <c r="P48" s="137">
        <f>AZ48+BA48</f>
        <v>1659</v>
      </c>
      <c r="Q48" s="137">
        <f>'2009'!AU48</f>
        <v>2372</v>
      </c>
      <c r="R48" s="137">
        <f>AT48+AX48</f>
        <v>2573</v>
      </c>
      <c r="S48" s="137">
        <f t="shared" si="79"/>
        <v>2186</v>
      </c>
      <c r="T48" s="137">
        <f t="shared" si="80"/>
        <v>917</v>
      </c>
      <c r="U48" s="139">
        <f t="shared" si="81"/>
        <v>1819</v>
      </c>
      <c r="V48" s="137">
        <f>BG48+BJ48</f>
        <v>839</v>
      </c>
      <c r="W48" s="137">
        <f t="shared" si="82"/>
        <v>1202</v>
      </c>
      <c r="X48" s="137">
        <f>BH48+BI48</f>
        <v>2766</v>
      </c>
      <c r="Y48" s="137">
        <f>BK48+BL48+BN48</f>
        <v>3143</v>
      </c>
      <c r="Z48" s="137">
        <f t="shared" si="83"/>
        <v>1855</v>
      </c>
      <c r="AA48" s="137">
        <f>BO48+BQ48</f>
        <v>1630</v>
      </c>
      <c r="AB48" s="139">
        <f t="shared" si="84"/>
        <v>1505</v>
      </c>
      <c r="AC48" s="137">
        <f t="shared" si="85"/>
        <v>1374</v>
      </c>
      <c r="AD48" s="137">
        <f t="shared" si="86"/>
        <v>1092</v>
      </c>
      <c r="AE48" s="137">
        <f>BS48+BT48</f>
        <v>2820</v>
      </c>
      <c r="AF48" s="137">
        <f t="shared" si="87"/>
        <v>1822</v>
      </c>
      <c r="AG48" s="137">
        <f t="shared" si="88"/>
        <v>1978</v>
      </c>
      <c r="AH48" s="137">
        <f t="shared" si="89"/>
        <v>1799</v>
      </c>
      <c r="AI48" s="137">
        <f t="shared" si="90"/>
        <v>1100</v>
      </c>
      <c r="AJ48" s="137">
        <f t="shared" si="91"/>
        <v>908</v>
      </c>
      <c r="AK48" s="139">
        <f t="shared" si="92"/>
        <v>2356</v>
      </c>
      <c r="AL48" s="137">
        <f t="shared" si="93"/>
        <v>1861</v>
      </c>
      <c r="AM48" s="137">
        <f t="shared" si="94"/>
        <v>2346</v>
      </c>
      <c r="AN48" s="137">
        <f t="shared" si="95"/>
        <v>4253</v>
      </c>
      <c r="AO48" s="137">
        <f t="shared" si="96"/>
        <v>2871</v>
      </c>
      <c r="AP48" s="137">
        <f t="shared" si="97"/>
        <v>986</v>
      </c>
      <c r="AQ48" s="137">
        <f t="shared" si="98"/>
        <v>1856</v>
      </c>
      <c r="AR48" s="137">
        <f t="shared" si="99"/>
        <v>1984</v>
      </c>
      <c r="AS48" s="138">
        <f>CF48+CG48</f>
        <v>2460</v>
      </c>
      <c r="AT48" s="137">
        <v>255</v>
      </c>
      <c r="AU48" s="141">
        <v>2372</v>
      </c>
      <c r="AV48" s="141">
        <v>2186</v>
      </c>
      <c r="AW48" s="141">
        <v>1831</v>
      </c>
      <c r="AX48" s="141">
        <v>2318</v>
      </c>
      <c r="AY48" s="137">
        <v>2101</v>
      </c>
      <c r="AZ48" s="137">
        <v>41</v>
      </c>
      <c r="BA48" s="137">
        <v>1618</v>
      </c>
      <c r="BB48" s="137">
        <v>917</v>
      </c>
      <c r="BC48" s="137">
        <v>1819</v>
      </c>
      <c r="BD48" s="137">
        <v>973</v>
      </c>
      <c r="BE48" s="137">
        <v>931</v>
      </c>
      <c r="BF48" s="139">
        <v>3648</v>
      </c>
      <c r="BG48" s="137">
        <v>61</v>
      </c>
      <c r="BH48" s="137">
        <v>171</v>
      </c>
      <c r="BI48" s="137">
        <v>2595</v>
      </c>
      <c r="BJ48" s="137">
        <v>778</v>
      </c>
      <c r="BK48" s="137">
        <v>176</v>
      </c>
      <c r="BL48" s="137">
        <v>444</v>
      </c>
      <c r="BM48" s="137">
        <v>1855</v>
      </c>
      <c r="BN48" s="137">
        <v>2523</v>
      </c>
      <c r="BO48" s="137">
        <v>173</v>
      </c>
      <c r="BP48" s="137">
        <v>1505</v>
      </c>
      <c r="BQ48" s="137">
        <v>1457</v>
      </c>
      <c r="BR48" s="139">
        <v>1202</v>
      </c>
      <c r="BS48" s="137">
        <v>214</v>
      </c>
      <c r="BT48" s="137">
        <v>2606</v>
      </c>
      <c r="BU48" s="137">
        <v>1092</v>
      </c>
      <c r="BV48" s="137">
        <v>1978</v>
      </c>
      <c r="BW48" s="137">
        <v>1100</v>
      </c>
      <c r="BX48" s="137">
        <v>1374</v>
      </c>
      <c r="BY48" s="137">
        <v>908</v>
      </c>
      <c r="BZ48" s="137">
        <v>1799</v>
      </c>
      <c r="CA48" s="137">
        <v>1822</v>
      </c>
      <c r="CB48" s="139">
        <v>2356</v>
      </c>
      <c r="CC48" s="137">
        <v>2871</v>
      </c>
      <c r="CD48" s="137">
        <v>986</v>
      </c>
      <c r="CE48" s="137">
        <v>1861</v>
      </c>
      <c r="CF48" s="137">
        <v>249</v>
      </c>
      <c r="CG48" s="137">
        <v>2211</v>
      </c>
      <c r="CH48" s="137">
        <v>2346</v>
      </c>
      <c r="CI48" s="137">
        <v>1984</v>
      </c>
      <c r="CJ48" s="137">
        <v>4253</v>
      </c>
      <c r="CK48" s="138">
        <v>1856</v>
      </c>
      <c r="CL48" s="140">
        <v>67816</v>
      </c>
    </row>
    <row r="49" spans="1:90">
      <c r="A49" s="80">
        <f>ROWS($A$3:A47)</f>
        <v>45</v>
      </c>
      <c r="B49" s="92" t="s">
        <v>75</v>
      </c>
      <c r="C49" s="202">
        <v>2007</v>
      </c>
      <c r="D49" s="254" t="s">
        <v>7</v>
      </c>
      <c r="E49" s="256">
        <v>40652</v>
      </c>
      <c r="F49" s="116">
        <v>89942</v>
      </c>
      <c r="G49" s="137">
        <v>37333</v>
      </c>
      <c r="H49" s="137">
        <v>58301</v>
      </c>
      <c r="I49" s="138">
        <v>80552</v>
      </c>
      <c r="J49" s="141"/>
      <c r="K49" s="116">
        <f t="shared" si="74"/>
        <v>11991</v>
      </c>
      <c r="L49" s="137">
        <f t="shared" si="75"/>
        <v>7878</v>
      </c>
      <c r="M49" s="137">
        <f t="shared" si="76"/>
        <v>5265</v>
      </c>
      <c r="N49" s="137">
        <f t="shared" si="77"/>
        <v>10904</v>
      </c>
      <c r="O49" s="137">
        <f t="shared" si="78"/>
        <v>9890</v>
      </c>
      <c r="P49" s="137">
        <f>AZ49+BA49</f>
        <v>8353</v>
      </c>
      <c r="Q49" s="137" t="str">
        <f>'2009'!AU49</f>
        <v>*</v>
      </c>
      <c r="R49" s="137">
        <f>AX49</f>
        <v>3392</v>
      </c>
      <c r="S49" s="137">
        <f t="shared" si="79"/>
        <v>15210</v>
      </c>
      <c r="T49" s="137">
        <f t="shared" si="80"/>
        <v>5129</v>
      </c>
      <c r="U49" s="139">
        <f t="shared" si="81"/>
        <v>11930</v>
      </c>
      <c r="V49" s="137">
        <f>BG49+BJ49</f>
        <v>4810</v>
      </c>
      <c r="W49" s="137">
        <f t="shared" si="82"/>
        <v>8680</v>
      </c>
      <c r="X49" s="137">
        <f>BI49</f>
        <v>4163</v>
      </c>
      <c r="Y49" s="137">
        <f>BK49+BN49</f>
        <v>5602</v>
      </c>
      <c r="Z49" s="137">
        <f t="shared" si="83"/>
        <v>3542</v>
      </c>
      <c r="AA49" s="137">
        <f>BQ49</f>
        <v>1825</v>
      </c>
      <c r="AB49" s="139">
        <f t="shared" si="84"/>
        <v>8711</v>
      </c>
      <c r="AC49" s="137">
        <f t="shared" si="85"/>
        <v>4487</v>
      </c>
      <c r="AD49" s="137">
        <f t="shared" si="86"/>
        <v>2542</v>
      </c>
      <c r="AE49" s="137">
        <f>BS49+BT49</f>
        <v>10824</v>
      </c>
      <c r="AF49" s="137">
        <f t="shared" si="87"/>
        <v>6289</v>
      </c>
      <c r="AG49" s="137">
        <f t="shared" si="88"/>
        <v>8615</v>
      </c>
      <c r="AH49" s="137">
        <f t="shared" si="89"/>
        <v>4780</v>
      </c>
      <c r="AI49" s="137">
        <f t="shared" si="90"/>
        <v>8579</v>
      </c>
      <c r="AJ49" s="137">
        <f t="shared" si="91"/>
        <v>5877</v>
      </c>
      <c r="AK49" s="139">
        <f t="shared" si="92"/>
        <v>6308</v>
      </c>
      <c r="AL49" s="137">
        <f t="shared" si="93"/>
        <v>16954</v>
      </c>
      <c r="AM49" s="137">
        <f t="shared" si="94"/>
        <v>6344</v>
      </c>
      <c r="AN49" s="137">
        <f t="shared" si="95"/>
        <v>5993</v>
      </c>
      <c r="AO49" s="137">
        <f t="shared" si="96"/>
        <v>21478</v>
      </c>
      <c r="AP49" s="137">
        <f t="shared" si="97"/>
        <v>6610</v>
      </c>
      <c r="AQ49" s="137">
        <f t="shared" si="98"/>
        <v>5780</v>
      </c>
      <c r="AR49" s="137">
        <f t="shared" si="99"/>
        <v>5166</v>
      </c>
      <c r="AS49" s="138">
        <f>CF49+CG49</f>
        <v>12227</v>
      </c>
      <c r="AT49" s="141" t="s">
        <v>233</v>
      </c>
      <c r="AU49" s="137" t="s">
        <v>233</v>
      </c>
      <c r="AV49" s="141">
        <v>15210</v>
      </c>
      <c r="AW49" s="141">
        <v>10904</v>
      </c>
      <c r="AX49" s="141">
        <v>3392</v>
      </c>
      <c r="AY49" s="137">
        <v>7878</v>
      </c>
      <c r="AZ49" s="137">
        <v>0</v>
      </c>
      <c r="BA49" s="137">
        <v>8353</v>
      </c>
      <c r="BB49" s="137">
        <v>5129</v>
      </c>
      <c r="BC49" s="137">
        <v>11930</v>
      </c>
      <c r="BD49" s="137">
        <v>5265</v>
      </c>
      <c r="BE49" s="137">
        <v>9890</v>
      </c>
      <c r="BF49" s="139">
        <v>11991</v>
      </c>
      <c r="BG49" s="137">
        <v>1814</v>
      </c>
      <c r="BH49" s="137" t="s">
        <v>233</v>
      </c>
      <c r="BI49" s="137">
        <v>4163</v>
      </c>
      <c r="BJ49" s="137">
        <v>2996</v>
      </c>
      <c r="BK49" s="137">
        <v>107</v>
      </c>
      <c r="BL49" s="137" t="s">
        <v>233</v>
      </c>
      <c r="BM49" s="137">
        <v>3542</v>
      </c>
      <c r="BN49" s="137">
        <v>5495</v>
      </c>
      <c r="BO49" s="137" t="s">
        <v>233</v>
      </c>
      <c r="BP49" s="137">
        <v>8711</v>
      </c>
      <c r="BQ49" s="137">
        <v>1825</v>
      </c>
      <c r="BR49" s="139">
        <v>8680</v>
      </c>
      <c r="BS49" s="137">
        <v>3705</v>
      </c>
      <c r="BT49" s="137">
        <v>7119</v>
      </c>
      <c r="BU49" s="137">
        <v>2542</v>
      </c>
      <c r="BV49" s="137">
        <v>8615</v>
      </c>
      <c r="BW49" s="137">
        <v>8579</v>
      </c>
      <c r="BX49" s="137">
        <v>4487</v>
      </c>
      <c r="BY49" s="137">
        <v>5877</v>
      </c>
      <c r="BZ49" s="137">
        <v>4780</v>
      </c>
      <c r="CA49" s="137">
        <v>6289</v>
      </c>
      <c r="CB49" s="139">
        <v>6308</v>
      </c>
      <c r="CC49" s="137">
        <v>21478</v>
      </c>
      <c r="CD49" s="137">
        <v>6610</v>
      </c>
      <c r="CE49" s="137">
        <v>16954</v>
      </c>
      <c r="CF49" s="137">
        <v>372</v>
      </c>
      <c r="CG49" s="137">
        <v>11855</v>
      </c>
      <c r="CH49" s="137">
        <v>6344</v>
      </c>
      <c r="CI49" s="137">
        <v>5166</v>
      </c>
      <c r="CJ49" s="137">
        <v>5993</v>
      </c>
      <c r="CK49" s="138">
        <v>5780</v>
      </c>
      <c r="CL49" s="140">
        <v>274311</v>
      </c>
    </row>
    <row r="50" spans="1:90">
      <c r="A50" s="80">
        <f>ROWS($A$3:A48)</f>
        <v>46</v>
      </c>
      <c r="B50" s="92" t="s">
        <v>76</v>
      </c>
      <c r="C50" s="202">
        <v>2007</v>
      </c>
      <c r="D50" s="254" t="s">
        <v>21</v>
      </c>
      <c r="E50" s="269"/>
      <c r="F50" s="116">
        <v>81</v>
      </c>
      <c r="G50" s="137">
        <v>45</v>
      </c>
      <c r="H50" s="137">
        <v>63</v>
      </c>
      <c r="I50" s="138">
        <v>95</v>
      </c>
      <c r="J50" s="141"/>
      <c r="K50" s="116">
        <f t="shared" si="74"/>
        <v>111</v>
      </c>
      <c r="L50" s="137">
        <f t="shared" si="75"/>
        <v>81</v>
      </c>
      <c r="M50" s="137">
        <f t="shared" si="76"/>
        <v>48</v>
      </c>
      <c r="N50" s="137">
        <f t="shared" si="77"/>
        <v>98</v>
      </c>
      <c r="O50" s="137">
        <f t="shared" si="78"/>
        <v>91</v>
      </c>
      <c r="P50" s="143">
        <f>(AZ50*AZ35+BA50*BA35)/P35</f>
        <v>30.653188206771443</v>
      </c>
      <c r="Q50" s="137">
        <f>'2009'!AU50</f>
        <v>53</v>
      </c>
      <c r="R50" s="143">
        <f>(AT50*AT35+AX50*AX35)/R35</f>
        <v>53.913272722090802</v>
      </c>
      <c r="S50" s="137">
        <f t="shared" si="79"/>
        <v>58</v>
      </c>
      <c r="T50" s="137">
        <f t="shared" si="80"/>
        <v>94</v>
      </c>
      <c r="U50" s="139">
        <f t="shared" si="81"/>
        <v>130</v>
      </c>
      <c r="V50" s="143">
        <f>(BG50*BG35+BJ50*BJ35)/V35</f>
        <v>23.895006016847173</v>
      </c>
      <c r="W50" s="137">
        <f t="shared" si="82"/>
        <v>66</v>
      </c>
      <c r="X50" s="143">
        <f>(BH50*BH35+BI50*BI35)/X35</f>
        <v>23</v>
      </c>
      <c r="Y50" s="143">
        <f>(BK50*BK35+BL50*BL35+BN50*BN35)/Y35</f>
        <v>41.784437531918847</v>
      </c>
      <c r="Z50" s="137">
        <f t="shared" si="83"/>
        <v>55</v>
      </c>
      <c r="AA50" s="143">
        <f>(BO50*BO35+BQ50*BQ35)/AA35</f>
        <v>51.704883859440145</v>
      </c>
      <c r="AB50" s="139">
        <f t="shared" si="84"/>
        <v>67</v>
      </c>
      <c r="AC50" s="137">
        <f t="shared" si="85"/>
        <v>73</v>
      </c>
      <c r="AD50" s="137">
        <f t="shared" si="86"/>
        <v>61</v>
      </c>
      <c r="AE50" s="143">
        <f>(BS50*BS35+BT50*BT35)/AE35</f>
        <v>54.127943602819862</v>
      </c>
      <c r="AF50" s="137">
        <f t="shared" si="87"/>
        <v>64</v>
      </c>
      <c r="AG50" s="137">
        <f t="shared" si="88"/>
        <v>52</v>
      </c>
      <c r="AH50" s="137">
        <f t="shared" si="89"/>
        <v>69</v>
      </c>
      <c r="AI50" s="137">
        <f t="shared" si="90"/>
        <v>65</v>
      </c>
      <c r="AJ50" s="137">
        <f t="shared" si="91"/>
        <v>60</v>
      </c>
      <c r="AK50" s="139">
        <f t="shared" si="92"/>
        <v>80</v>
      </c>
      <c r="AL50" s="137">
        <f t="shared" si="93"/>
        <v>42</v>
      </c>
      <c r="AM50" s="137">
        <f t="shared" si="94"/>
        <v>115</v>
      </c>
      <c r="AN50" s="137">
        <f t="shared" si="95"/>
        <v>142</v>
      </c>
      <c r="AO50" s="137">
        <f t="shared" si="96"/>
        <v>67</v>
      </c>
      <c r="AP50" s="137">
        <f t="shared" si="97"/>
        <v>39</v>
      </c>
      <c r="AQ50" s="137">
        <f t="shared" si="98"/>
        <v>79</v>
      </c>
      <c r="AR50" s="137">
        <f t="shared" si="99"/>
        <v>72</v>
      </c>
      <c r="AS50" s="144">
        <f>(CF50*CF35+CG50*CG35)/AS35</f>
        <v>98.34433179953362</v>
      </c>
      <c r="AT50" s="137">
        <v>40</v>
      </c>
      <c r="AU50" s="141">
        <v>53</v>
      </c>
      <c r="AV50" s="141">
        <v>58</v>
      </c>
      <c r="AW50" s="141">
        <v>98</v>
      </c>
      <c r="AX50" s="141">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c r="A51" s="80">
        <f>ROWS($A$3:A49)</f>
        <v>47</v>
      </c>
      <c r="B51" s="54" t="s">
        <v>92</v>
      </c>
      <c r="C51" s="252">
        <f>C95</f>
        <v>2009</v>
      </c>
      <c r="D51" s="254" t="s">
        <v>9</v>
      </c>
      <c r="E51" s="256">
        <v>40441</v>
      </c>
      <c r="F51" s="142">
        <f>ROUND(F96/F95*1000,0)</f>
        <v>6203</v>
      </c>
      <c r="G51" s="143">
        <f>ROUND(G96/G95*1000,0)</f>
        <v>5987</v>
      </c>
      <c r="H51" s="143">
        <f>ROUND(H96/H95*1000,0)</f>
        <v>5661</v>
      </c>
      <c r="I51" s="144">
        <f>ROUND(I96/I95*1000,0)</f>
        <v>6452</v>
      </c>
      <c r="J51" s="141"/>
      <c r="K51" s="145">
        <f t="shared" si="74"/>
        <v>6664</v>
      </c>
      <c r="L51" s="146">
        <f t="shared" si="75"/>
        <v>6321</v>
      </c>
      <c r="M51" s="146">
        <f t="shared" si="76"/>
        <v>6100</v>
      </c>
      <c r="N51" s="146">
        <f t="shared" si="77"/>
        <v>5644</v>
      </c>
      <c r="O51" s="146">
        <f t="shared" si="78"/>
        <v>5777</v>
      </c>
      <c r="P51" s="143">
        <f>ROUND(P96/P95*1000,0)</f>
        <v>6006</v>
      </c>
      <c r="Q51" s="146">
        <f>'2009'!AU51</f>
        <v>5930</v>
      </c>
      <c r="R51" s="143">
        <f>ROUND(R96/R95*1000,0)</f>
        <v>6248</v>
      </c>
      <c r="S51" s="146">
        <f t="shared" si="79"/>
        <v>4699</v>
      </c>
      <c r="T51" s="146">
        <f t="shared" si="80"/>
        <v>6104</v>
      </c>
      <c r="U51" s="147">
        <f t="shared" si="81"/>
        <v>6389</v>
      </c>
      <c r="V51" s="143">
        <f>ROUND(V96/V95*1000,0)</f>
        <v>4306</v>
      </c>
      <c r="W51" s="146">
        <f t="shared" si="82"/>
        <v>5861</v>
      </c>
      <c r="X51" s="143">
        <f>ROUND(X96/X95*1000,0)</f>
        <v>5207</v>
      </c>
      <c r="Y51" s="143">
        <f>ROUND(Y96/Y95*1000,0)</f>
        <v>6010</v>
      </c>
      <c r="Z51" s="146">
        <f t="shared" si="83"/>
        <v>6156</v>
      </c>
      <c r="AA51" s="143">
        <f>ROUND(AA96/AA95*1000,0)</f>
        <v>6299</v>
      </c>
      <c r="AB51" s="147">
        <f t="shared" si="84"/>
        <v>5953</v>
      </c>
      <c r="AC51" s="146">
        <f t="shared" si="85"/>
        <v>5545</v>
      </c>
      <c r="AD51" s="146">
        <f t="shared" si="86"/>
        <v>5161</v>
      </c>
      <c r="AE51" s="143">
        <f>ROUND(AE96/AE95*1000,0)</f>
        <v>5628</v>
      </c>
      <c r="AF51" s="146">
        <f t="shared" si="87"/>
        <v>5036</v>
      </c>
      <c r="AG51" s="146">
        <f t="shared" si="88"/>
        <v>4802</v>
      </c>
      <c r="AH51" s="146">
        <f t="shared" si="89"/>
        <v>6494</v>
      </c>
      <c r="AI51" s="146">
        <f t="shared" si="90"/>
        <v>5401</v>
      </c>
      <c r="AJ51" s="146">
        <f t="shared" si="91"/>
        <v>6324</v>
      </c>
      <c r="AK51" s="147">
        <f t="shared" si="92"/>
        <v>6036</v>
      </c>
      <c r="AL51" s="146">
        <f t="shared" si="93"/>
        <v>6842</v>
      </c>
      <c r="AM51" s="146">
        <f t="shared" si="94"/>
        <v>6406</v>
      </c>
      <c r="AN51" s="146">
        <f t="shared" si="95"/>
        <v>6680</v>
      </c>
      <c r="AO51" s="146">
        <f t="shared" si="96"/>
        <v>6045</v>
      </c>
      <c r="AP51" s="146">
        <f t="shared" si="97"/>
        <v>5638</v>
      </c>
      <c r="AQ51" s="146">
        <f t="shared" si="98"/>
        <v>6140</v>
      </c>
      <c r="AR51" s="146">
        <f t="shared" si="99"/>
        <v>6147</v>
      </c>
      <c r="AS51" s="144">
        <f>ROUND(AS96/AS95*1000,0)</f>
        <v>6291</v>
      </c>
      <c r="AT51" s="143">
        <f>IF(ISERROR(AT96/AT95)=TRUE,0,ROUND(AT96/AT95*1000,0))</f>
        <v>0</v>
      </c>
      <c r="AU51" s="143">
        <f t="shared" ref="AU51:CL51" si="102">IF(ISERROR(AU96/AU95)=TRUE,0,ROUND(AU96/AU95*1000,0))</f>
        <v>5930</v>
      </c>
      <c r="AV51" s="143">
        <f t="shared" si="102"/>
        <v>4699</v>
      </c>
      <c r="AW51" s="143">
        <f t="shared" si="102"/>
        <v>5644</v>
      </c>
      <c r="AX51" s="143">
        <f t="shared" si="102"/>
        <v>6248</v>
      </c>
      <c r="AY51" s="143">
        <f t="shared" si="102"/>
        <v>6321</v>
      </c>
      <c r="AZ51" s="143">
        <f t="shared" si="102"/>
        <v>0</v>
      </c>
      <c r="BA51" s="143">
        <f t="shared" si="102"/>
        <v>6006</v>
      </c>
      <c r="BB51" s="143">
        <f t="shared" si="102"/>
        <v>6104</v>
      </c>
      <c r="BC51" s="143">
        <f t="shared" si="102"/>
        <v>6389</v>
      </c>
      <c r="BD51" s="143">
        <f t="shared" si="102"/>
        <v>6100</v>
      </c>
      <c r="BE51" s="143">
        <f t="shared" si="102"/>
        <v>5777</v>
      </c>
      <c r="BF51" s="148">
        <f t="shared" si="102"/>
        <v>6664</v>
      </c>
      <c r="BG51" s="143">
        <f t="shared" si="102"/>
        <v>0</v>
      </c>
      <c r="BH51" s="143">
        <f t="shared" si="102"/>
        <v>0</v>
      </c>
      <c r="BI51" s="143">
        <f t="shared" si="102"/>
        <v>5207</v>
      </c>
      <c r="BJ51" s="143">
        <f t="shared" si="102"/>
        <v>4306</v>
      </c>
      <c r="BK51" s="143">
        <f t="shared" si="102"/>
        <v>0</v>
      </c>
      <c r="BL51" s="143">
        <f t="shared" si="102"/>
        <v>0</v>
      </c>
      <c r="BM51" s="143">
        <f t="shared" si="102"/>
        <v>6156</v>
      </c>
      <c r="BN51" s="143">
        <f t="shared" si="102"/>
        <v>6010</v>
      </c>
      <c r="BO51" s="143">
        <f t="shared" si="102"/>
        <v>0</v>
      </c>
      <c r="BP51" s="143">
        <f t="shared" si="102"/>
        <v>5953</v>
      </c>
      <c r="BQ51" s="143">
        <f t="shared" si="102"/>
        <v>6299</v>
      </c>
      <c r="BR51" s="148">
        <f t="shared" si="102"/>
        <v>5861</v>
      </c>
      <c r="BS51" s="143">
        <f t="shared" si="102"/>
        <v>0</v>
      </c>
      <c r="BT51" s="143">
        <f t="shared" si="102"/>
        <v>5628</v>
      </c>
      <c r="BU51" s="143">
        <f t="shared" si="102"/>
        <v>5161</v>
      </c>
      <c r="BV51" s="143">
        <f t="shared" si="102"/>
        <v>4802</v>
      </c>
      <c r="BW51" s="143">
        <f t="shared" si="102"/>
        <v>5401</v>
      </c>
      <c r="BX51" s="143">
        <f t="shared" si="102"/>
        <v>5545</v>
      </c>
      <c r="BY51" s="143">
        <f t="shared" si="102"/>
        <v>6324</v>
      </c>
      <c r="BZ51" s="143">
        <f t="shared" si="102"/>
        <v>6494</v>
      </c>
      <c r="CA51" s="143">
        <f t="shared" si="102"/>
        <v>5036</v>
      </c>
      <c r="CB51" s="148">
        <f t="shared" si="102"/>
        <v>6036</v>
      </c>
      <c r="CC51" s="143">
        <f t="shared" si="102"/>
        <v>6045</v>
      </c>
      <c r="CD51" s="143">
        <f t="shared" si="102"/>
        <v>5638</v>
      </c>
      <c r="CE51" s="143">
        <f t="shared" si="102"/>
        <v>6842</v>
      </c>
      <c r="CF51" s="143">
        <f t="shared" si="102"/>
        <v>0</v>
      </c>
      <c r="CG51" s="143">
        <f t="shared" si="102"/>
        <v>6291</v>
      </c>
      <c r="CH51" s="143">
        <f t="shared" si="102"/>
        <v>6406</v>
      </c>
      <c r="CI51" s="143">
        <f t="shared" si="102"/>
        <v>6147</v>
      </c>
      <c r="CJ51" s="143">
        <f t="shared" si="102"/>
        <v>6680</v>
      </c>
      <c r="CK51" s="144">
        <f t="shared" si="102"/>
        <v>6140</v>
      </c>
      <c r="CL51" s="143">
        <f t="shared" si="102"/>
        <v>6198</v>
      </c>
    </row>
    <row r="52" spans="1:90">
      <c r="A52" s="80">
        <f>ROWS($A$3:A50)</f>
        <v>48</v>
      </c>
      <c r="B52" s="388" t="str">
        <f>'Stand der Daten'!B53</f>
        <v>Milcherzeugung</v>
      </c>
      <c r="C52" s="204">
        <v>2008</v>
      </c>
      <c r="D52" s="259" t="s">
        <v>358</v>
      </c>
      <c r="E52" s="437">
        <v>42919</v>
      </c>
      <c r="F52" s="389">
        <v>645.1</v>
      </c>
      <c r="G52" s="390">
        <v>146.1</v>
      </c>
      <c r="H52" s="390">
        <v>380.1</v>
      </c>
      <c r="I52" s="391">
        <v>1026.2</v>
      </c>
      <c r="J52" s="390"/>
      <c r="K52" s="389">
        <f t="shared" si="74"/>
        <v>165.2</v>
      </c>
      <c r="L52" s="390">
        <f t="shared" si="75"/>
        <v>43.9</v>
      </c>
      <c r="M52" s="390">
        <f t="shared" si="76"/>
        <v>46.5</v>
      </c>
      <c r="N52" s="390">
        <f t="shared" si="77"/>
        <v>59.4</v>
      </c>
      <c r="O52" s="390">
        <f t="shared" si="78"/>
        <v>46.9</v>
      </c>
      <c r="P52" s="390">
        <f>AZ52+BA52</f>
        <v>30.8</v>
      </c>
      <c r="Q52" s="390">
        <f>'2009'!AU52</f>
        <v>18.2</v>
      </c>
      <c r="R52" s="390">
        <f>AT52+AX52</f>
        <v>31.5</v>
      </c>
      <c r="S52" s="390">
        <f t="shared" si="79"/>
        <v>13.9</v>
      </c>
      <c r="T52" s="390">
        <f t="shared" si="80"/>
        <v>46.6</v>
      </c>
      <c r="U52" s="514">
        <f t="shared" si="81"/>
        <v>142.30000000000001</v>
      </c>
      <c r="V52" s="390">
        <f>BG52+BJ52</f>
        <v>2.1</v>
      </c>
      <c r="W52" s="390">
        <f t="shared" si="82"/>
        <v>22.7</v>
      </c>
      <c r="X52" s="390">
        <f>BH52+BI52</f>
        <v>7.4</v>
      </c>
      <c r="Y52" s="390">
        <f>BK52+BL52+BN52</f>
        <v>24.1</v>
      </c>
      <c r="Z52" s="390">
        <f t="shared" si="83"/>
        <v>50.9</v>
      </c>
      <c r="AA52" s="390">
        <f>BO52+BQ52</f>
        <v>17.600000000000001</v>
      </c>
      <c r="AB52" s="514">
        <f t="shared" si="84"/>
        <v>21.1</v>
      </c>
      <c r="AC52" s="390">
        <f t="shared" si="85"/>
        <v>63.4</v>
      </c>
      <c r="AD52" s="390">
        <f t="shared" si="86"/>
        <v>19.100000000000001</v>
      </c>
      <c r="AE52" s="390">
        <f>BS52+BT52</f>
        <v>57.8</v>
      </c>
      <c r="AF52" s="390">
        <f t="shared" si="87"/>
        <v>19.2</v>
      </c>
      <c r="AG52" s="390">
        <f t="shared" si="88"/>
        <v>41.8</v>
      </c>
      <c r="AH52" s="390">
        <f t="shared" si="89"/>
        <v>58.2</v>
      </c>
      <c r="AI52" s="390">
        <f t="shared" si="90"/>
        <v>28.9</v>
      </c>
      <c r="AJ52" s="390">
        <f t="shared" si="91"/>
        <v>32.1</v>
      </c>
      <c r="AK52" s="514">
        <f t="shared" si="92"/>
        <v>59.8</v>
      </c>
      <c r="AL52" s="390">
        <f t="shared" si="93"/>
        <v>20.7</v>
      </c>
      <c r="AM52" s="390">
        <f t="shared" si="94"/>
        <v>222</v>
      </c>
      <c r="AN52" s="390">
        <f t="shared" si="95"/>
        <v>454.6</v>
      </c>
      <c r="AO52" s="390">
        <f t="shared" si="96"/>
        <v>51.4</v>
      </c>
      <c r="AP52" s="390">
        <f t="shared" si="97"/>
        <v>9.6999999999999993</v>
      </c>
      <c r="AQ52" s="390">
        <f t="shared" si="98"/>
        <v>79.599999999999994</v>
      </c>
      <c r="AR52" s="390">
        <f t="shared" si="99"/>
        <v>66.900000000000006</v>
      </c>
      <c r="AS52" s="391">
        <f>CF52+CG52</f>
        <v>121.3</v>
      </c>
      <c r="AT52" s="390">
        <v>2.2000000000000002</v>
      </c>
      <c r="AU52" s="390">
        <v>18.2</v>
      </c>
      <c r="AV52" s="390">
        <v>13.9</v>
      </c>
      <c r="AW52" s="390">
        <v>59.4</v>
      </c>
      <c r="AX52" s="390">
        <v>29.3</v>
      </c>
      <c r="AY52" s="390">
        <v>43.9</v>
      </c>
      <c r="AZ52" s="390">
        <v>0</v>
      </c>
      <c r="BA52" s="390">
        <v>30.8</v>
      </c>
      <c r="BB52" s="390">
        <v>46.6</v>
      </c>
      <c r="BC52" s="390">
        <v>142.30000000000001</v>
      </c>
      <c r="BD52" s="390">
        <v>46.5</v>
      </c>
      <c r="BE52" s="390">
        <v>46.9</v>
      </c>
      <c r="BF52" s="514">
        <v>165.2</v>
      </c>
      <c r="BG52" s="390">
        <v>0</v>
      </c>
      <c r="BH52" s="390">
        <f>BH96</f>
        <v>0</v>
      </c>
      <c r="BI52" s="390">
        <v>7.4</v>
      </c>
      <c r="BJ52" s="390">
        <v>2.1</v>
      </c>
      <c r="BK52" s="390">
        <v>0</v>
      </c>
      <c r="BL52" s="390">
        <v>0</v>
      </c>
      <c r="BM52" s="390">
        <v>50.9</v>
      </c>
      <c r="BN52" s="390">
        <v>24.1</v>
      </c>
      <c r="BO52" s="390">
        <v>0</v>
      </c>
      <c r="BP52" s="390">
        <v>21.1</v>
      </c>
      <c r="BQ52" s="390">
        <v>17.600000000000001</v>
      </c>
      <c r="BR52" s="514">
        <v>22.7</v>
      </c>
      <c r="BS52" s="390">
        <v>0</v>
      </c>
      <c r="BT52" s="390">
        <v>57.8</v>
      </c>
      <c r="BU52" s="390">
        <v>19.100000000000001</v>
      </c>
      <c r="BV52" s="390">
        <v>41.8</v>
      </c>
      <c r="BW52" s="390">
        <v>28.9</v>
      </c>
      <c r="BX52" s="390">
        <v>63.4</v>
      </c>
      <c r="BY52" s="390">
        <v>32.1</v>
      </c>
      <c r="BZ52" s="390">
        <v>58.2</v>
      </c>
      <c r="CA52" s="390">
        <v>19.2</v>
      </c>
      <c r="CB52" s="514">
        <v>59.8</v>
      </c>
      <c r="CC52" s="390">
        <v>51.4</v>
      </c>
      <c r="CD52" s="390">
        <v>9.6999999999999993</v>
      </c>
      <c r="CE52" s="390">
        <v>20.7</v>
      </c>
      <c r="CF52" s="390">
        <v>0</v>
      </c>
      <c r="CG52" s="390">
        <v>121.3</v>
      </c>
      <c r="CH52" s="390">
        <v>222</v>
      </c>
      <c r="CI52" s="390">
        <v>66.900000000000006</v>
      </c>
      <c r="CJ52" s="390">
        <v>454.6</v>
      </c>
      <c r="CK52" s="391">
        <v>79.599999999999994</v>
      </c>
      <c r="CL52" s="515">
        <v>2197.5</v>
      </c>
    </row>
    <row r="53" spans="1:90">
      <c r="A53" s="80">
        <f>ROWS($A$3:A51)</f>
        <v>49</v>
      </c>
      <c r="B53" s="54" t="str">
        <f>"Änderung der Milcherzeugung "&amp;C95&amp;"/"&amp;C98</f>
        <v>Änderung der Milcherzeugung 2009/2001</v>
      </c>
      <c r="C53" s="252"/>
      <c r="D53" s="254" t="s">
        <v>3</v>
      </c>
      <c r="E53" s="483">
        <v>42919</v>
      </c>
      <c r="F53" s="167">
        <f>F52/'2001'!F52%-100</f>
        <v>-2.9625674079979518</v>
      </c>
      <c r="G53" s="168">
        <f>G52/'2001'!G52%-100</f>
        <v>-6.9124365239663916</v>
      </c>
      <c r="H53" s="168">
        <f>H52/'2001'!H52%-100</f>
        <v>-4.2860991989846724</v>
      </c>
      <c r="I53" s="169">
        <f>I52/'2001'!I52%-100</f>
        <v>-3.430921866751234</v>
      </c>
      <c r="J53" s="173"/>
      <c r="K53" s="178">
        <f>K52/'2001'!K52%-100</f>
        <v>2.2720237726738048</v>
      </c>
      <c r="L53" s="179">
        <f>L52/'2001'!L52%-100</f>
        <v>-4.8011449885067492</v>
      </c>
      <c r="M53" s="179">
        <f>M52/'2001'!M52%-100</f>
        <v>-6.3104448742746513</v>
      </c>
      <c r="N53" s="179">
        <f>N52/'2001'!N52%-100</f>
        <v>-4.3724644214051267</v>
      </c>
      <c r="O53" s="179">
        <f>O52/'2001'!O52%-100</f>
        <v>3.4452335788962927</v>
      </c>
      <c r="P53" s="168">
        <f>P52/'2001'!P52%-100</f>
        <v>-16.456451569153984</v>
      </c>
      <c r="Q53" s="179">
        <f>Q52/'2001'!Q52%-100</f>
        <v>0</v>
      </c>
      <c r="R53" s="168">
        <f>R52/'2001'!R52%-100</f>
        <v>-7.4291759727283306</v>
      </c>
      <c r="S53" s="179">
        <f>S52/'2001'!S52%-100</f>
        <v>-12.765156269612135</v>
      </c>
      <c r="T53" s="179">
        <f>T52/'2001'!T52%-100</f>
        <v>-3.7528140942230976</v>
      </c>
      <c r="U53" s="180">
        <f>U52/'2001'!U52%-100</f>
        <v>-1.8864281971372634</v>
      </c>
      <c r="V53" s="168">
        <f>V52/'2001'!V52%-100</f>
        <v>-30.2557289936898</v>
      </c>
      <c r="W53" s="179">
        <f>W52/'2001'!W52%-100</f>
        <v>-2.7212341975573224</v>
      </c>
      <c r="X53" s="168">
        <f>X52/'2001'!X52%-100</f>
        <v>-21.024546424759862</v>
      </c>
      <c r="Y53" s="168">
        <f>Y52/'2001'!Y52%-100</f>
        <v>-11.514172418857385</v>
      </c>
      <c r="Z53" s="179">
        <f>Z52/'2001'!Z52%-100</f>
        <v>-6.2131485849056531</v>
      </c>
      <c r="AA53" s="168">
        <f>AA52/'2001'!AA52%-100</f>
        <v>3.1592520954223033</v>
      </c>
      <c r="AB53" s="180">
        <f>AB52/'2001'!AB52%-100</f>
        <v>-6.9008118602188517</v>
      </c>
      <c r="AC53" s="179">
        <f>AC52/'2001'!AC52%-100</f>
        <v>-5.067081935793027</v>
      </c>
      <c r="AD53" s="179">
        <f>AD52/'2001'!AD52%-100</f>
        <v>-10.007538635506975</v>
      </c>
      <c r="AE53" s="168">
        <f>AE52/'2001'!AE52%-100</f>
        <v>-3.5042321240755285</v>
      </c>
      <c r="AF53" s="179">
        <f>AF52/'2001'!AF52%-100</f>
        <v>-12.631962140516919</v>
      </c>
      <c r="AG53" s="179">
        <f>AG52/'2001'!AG52%-100</f>
        <v>-14.466953140986291</v>
      </c>
      <c r="AH53" s="179">
        <f>AH52/'2001'!AH52%-100</f>
        <v>1.7180208679238831</v>
      </c>
      <c r="AI53" s="179">
        <f>AI52/'2001'!AI52%-100</f>
        <v>-9.8677644710578818</v>
      </c>
      <c r="AJ53" s="179">
        <f>AJ52/'2001'!AJ52%-100</f>
        <v>4.9431149470380689</v>
      </c>
      <c r="AK53" s="180">
        <f>AK52/'2001'!AK52%-100</f>
        <v>2.2239696405066667</v>
      </c>
      <c r="AL53" s="179">
        <f>AL52/'2001'!AL52%-100</f>
        <v>3.0414654786201396</v>
      </c>
      <c r="AM53" s="179">
        <f>AM52/'2001'!AM52%-100</f>
        <v>-4.0564251942641363</v>
      </c>
      <c r="AN53" s="179">
        <f>AN52/'2001'!AN52%-100</f>
        <v>-1.0340698813540996</v>
      </c>
      <c r="AO53" s="179">
        <f>AO52/'2001'!AO52%-100</f>
        <v>-6.6845793544170533</v>
      </c>
      <c r="AP53" s="179">
        <f>AP52/'2001'!AP52%-100</f>
        <v>-3.8461538461538538</v>
      </c>
      <c r="AQ53" s="179">
        <f>AQ52/'2001'!AQ52%-100</f>
        <v>-6.198444496818297</v>
      </c>
      <c r="AR53" s="179">
        <f>AR52/'2001'!AR52%-100</f>
        <v>-11.266148499880629</v>
      </c>
      <c r="AS53" s="169">
        <f>AS52/'2001'!AS52%-100</f>
        <v>-4.0424017087255777</v>
      </c>
      <c r="AT53" s="168">
        <f>AT52/'2001'!AT52%-100</f>
        <v>-5.3763440860215042</v>
      </c>
      <c r="AU53" s="168">
        <f>AU52/'2001'!AU52%-100</f>
        <v>-8.0018197442248464</v>
      </c>
      <c r="AV53" s="168">
        <f>AV52/'2001'!AV52%-100</f>
        <v>-12.765156269612135</v>
      </c>
      <c r="AW53" s="168">
        <f>AW52/'2001'!AW52%-100</f>
        <v>-4.3724644214051267</v>
      </c>
      <c r="AX53" s="168">
        <f>AX52/'2001'!AX52%-100</f>
        <v>-7.5797243163107453</v>
      </c>
      <c r="AY53" s="168">
        <f>AY52/'2001'!AY52%-100</f>
        <v>-4.8011449885067492</v>
      </c>
      <c r="AZ53" s="521" t="s">
        <v>233</v>
      </c>
      <c r="BA53" s="168">
        <f>BA52/'2001'!BA52%-100</f>
        <v>-16.456451569153984</v>
      </c>
      <c r="BB53" s="168">
        <f>BB52/'2001'!BB52%-100</f>
        <v>-3.7528140942230976</v>
      </c>
      <c r="BC53" s="168">
        <f>BC52/'2001'!BC52%-100</f>
        <v>-1.8864281971372634</v>
      </c>
      <c r="BD53" s="168">
        <f>BD52/'2001'!BD52%-100</f>
        <v>-6.3104448742746513</v>
      </c>
      <c r="BE53" s="168">
        <f>BE52/'2001'!BE52%-100</f>
        <v>3.4452335788962927</v>
      </c>
      <c r="BF53" s="176">
        <f>BF52/'2001'!BF52%-100</f>
        <v>2.2720237726738048</v>
      </c>
      <c r="BG53" s="521" t="s">
        <v>233</v>
      </c>
      <c r="BH53" s="521" t="s">
        <v>233</v>
      </c>
      <c r="BI53" s="168">
        <f>BI52/'2001'!BI52%-100</f>
        <v>-21.024546424759862</v>
      </c>
      <c r="BJ53" s="168">
        <f>BJ52/'2001'!BJ52%-100</f>
        <v>-30.2557289936898</v>
      </c>
      <c r="BK53" s="521" t="s">
        <v>233</v>
      </c>
      <c r="BL53" s="521" t="s">
        <v>233</v>
      </c>
      <c r="BM53" s="168">
        <f>BM52/'2001'!BM52%-100</f>
        <v>-6.2131485849056531</v>
      </c>
      <c r="BN53" s="168">
        <f>BN52/'2001'!BN52%-100</f>
        <v>-11.514172418857385</v>
      </c>
      <c r="BO53" s="521" t="s">
        <v>233</v>
      </c>
      <c r="BP53" s="168">
        <f>BP52/'2001'!BP52%-100</f>
        <v>-6.9008118602188517</v>
      </c>
      <c r="BQ53" s="168">
        <f>BQ52/'2001'!BQ52%-100</f>
        <v>3.1592520954223033</v>
      </c>
      <c r="BR53" s="176">
        <f>BR52/'2001'!BR52%-100</f>
        <v>-2.7212341975573224</v>
      </c>
      <c r="BS53" s="521" t="s">
        <v>233</v>
      </c>
      <c r="BT53" s="168">
        <f>BT52/'2001'!BT52%-100</f>
        <v>-3.5042321240755285</v>
      </c>
      <c r="BU53" s="168">
        <f>BU52/'2001'!BU52%-100</f>
        <v>-10.007538635506975</v>
      </c>
      <c r="BV53" s="168">
        <f>BV52/'2001'!BV52%-100</f>
        <v>-14.466953140986291</v>
      </c>
      <c r="BW53" s="168">
        <f>BW52/'2001'!BW52%-100</f>
        <v>-9.8677644710578818</v>
      </c>
      <c r="BX53" s="168">
        <f>BX52/'2001'!BX52%-100</f>
        <v>-5.067081935793027</v>
      </c>
      <c r="BY53" s="168">
        <f>BY52/'2001'!BY52%-100</f>
        <v>4.9431149470380689</v>
      </c>
      <c r="BZ53" s="168">
        <f>BZ52/'2001'!BZ52%-100</f>
        <v>1.7180208679238831</v>
      </c>
      <c r="CA53" s="168">
        <f>CA52/'2001'!CA52%-100</f>
        <v>-12.631962140516919</v>
      </c>
      <c r="CB53" s="176">
        <f>CB52/'2001'!CB52%-100</f>
        <v>2.2239696405066667</v>
      </c>
      <c r="CC53" s="168">
        <f>CC52/'2001'!CC52%-100</f>
        <v>-6.6845793544170533</v>
      </c>
      <c r="CD53" s="168">
        <f>CD52/'2001'!CD52%-100</f>
        <v>-3.8461538461538538</v>
      </c>
      <c r="CE53" s="168">
        <f>CE52/'2001'!CE52%-100</f>
        <v>3.0414654786201396</v>
      </c>
      <c r="CF53" s="521" t="s">
        <v>233</v>
      </c>
      <c r="CG53" s="168">
        <f>CG52/'2001'!CG52%-100</f>
        <v>-4.0424017087255777</v>
      </c>
      <c r="CH53" s="168">
        <f>CH52/'2001'!CH52%-100</f>
        <v>-4.0564251942641363</v>
      </c>
      <c r="CI53" s="168">
        <f>CI52/'2001'!CI52%-100</f>
        <v>-11.266148499880629</v>
      </c>
      <c r="CJ53" s="168">
        <f>CJ52/'2001'!CJ52%-100</f>
        <v>-1.0340698813540996</v>
      </c>
      <c r="CK53" s="169">
        <f>CK52/'2001'!CK52%-100</f>
        <v>-6.198444496818297</v>
      </c>
      <c r="CL53" s="177">
        <f>CL52/'2001'!CL52%-100</f>
        <v>-3.6828014958422557</v>
      </c>
    </row>
    <row r="54" spans="1:90">
      <c r="A54" s="80">
        <f>ROWS($A$3:A52)</f>
        <v>50</v>
      </c>
      <c r="B54" s="93" t="str">
        <f>"Änderung der Milchkühe "&amp;C95&amp;"/"&amp;C98</f>
        <v>Änderung der Milchkühe 2009/2001</v>
      </c>
      <c r="C54" s="253"/>
      <c r="D54" s="255" t="s">
        <v>3</v>
      </c>
      <c r="E54" s="257">
        <v>40441</v>
      </c>
      <c r="F54" s="181">
        <f>ROUND((F95-F98)/F98%,3)</f>
        <v>-15.917</v>
      </c>
      <c r="G54" s="182">
        <f>ROUND((G95-G98)/G98%,3)</f>
        <v>-19.088000000000001</v>
      </c>
      <c r="H54" s="182">
        <f>ROUND((H95-H98)/H98%,3)</f>
        <v>-17.045000000000002</v>
      </c>
      <c r="I54" s="183">
        <f>ROUND((I95-I98)/I98%,3)</f>
        <v>-13.340999999999999</v>
      </c>
      <c r="J54" s="279"/>
      <c r="K54" s="184">
        <f t="shared" si="74"/>
        <v>-13.298</v>
      </c>
      <c r="L54" s="185">
        <f t="shared" si="75"/>
        <v>-19.547999999999998</v>
      </c>
      <c r="M54" s="185">
        <f t="shared" si="76"/>
        <v>-23.675999999999998</v>
      </c>
      <c r="N54" s="185">
        <f t="shared" si="77"/>
        <v>-13.772</v>
      </c>
      <c r="O54" s="185">
        <f t="shared" si="78"/>
        <v>-10.02</v>
      </c>
      <c r="P54" s="182">
        <f>ROUND((P95-P98)/P98%,3)</f>
        <v>-26.948</v>
      </c>
      <c r="Q54" s="185">
        <f>'2009'!AU54</f>
        <v>-16.463000000000001</v>
      </c>
      <c r="R54" s="182">
        <f>ROUND((R95-R98)/R98%,3)</f>
        <v>-20.9</v>
      </c>
      <c r="S54" s="185">
        <f t="shared" si="79"/>
        <v>-22.63</v>
      </c>
      <c r="T54" s="185">
        <f t="shared" si="80"/>
        <v>-18.158999999999999</v>
      </c>
      <c r="U54" s="186">
        <f t="shared" si="81"/>
        <v>-11.811</v>
      </c>
      <c r="V54" s="182">
        <f>ROUND((V95-V98)/V98%,3)</f>
        <v>-41.61</v>
      </c>
      <c r="W54" s="185">
        <f t="shared" si="82"/>
        <v>-17.263999999999999</v>
      </c>
      <c r="X54" s="182">
        <f>ROUND((X95-X98)/X98%,3)</f>
        <v>-35.061999999999998</v>
      </c>
      <c r="Y54" s="182">
        <f>ROUND((Y95-Y98)/Y98%,3)</f>
        <v>-22.841000000000001</v>
      </c>
      <c r="Z54" s="185">
        <f t="shared" si="83"/>
        <v>-14.784000000000001</v>
      </c>
      <c r="AA54" s="182">
        <f>ROUND((AA95-AA98)/AA98%,3)</f>
        <v>-11.993</v>
      </c>
      <c r="AB54" s="186">
        <f t="shared" si="84"/>
        <v>-20.021999999999998</v>
      </c>
      <c r="AC54" s="185">
        <f t="shared" si="85"/>
        <v>-12.535</v>
      </c>
      <c r="AD54" s="185">
        <f t="shared" si="86"/>
        <v>-18.178000000000001</v>
      </c>
      <c r="AE54" s="182">
        <f>ROUND((AE95-AE98)/AE98%,3)</f>
        <v>-18.425000000000001</v>
      </c>
      <c r="AF54" s="185">
        <f t="shared" si="87"/>
        <v>-25.202000000000002</v>
      </c>
      <c r="AG54" s="185">
        <f t="shared" si="88"/>
        <v>-24.033000000000001</v>
      </c>
      <c r="AH54" s="185">
        <f t="shared" si="89"/>
        <v>-11.946</v>
      </c>
      <c r="AI54" s="185">
        <f t="shared" si="90"/>
        <v>-23.457000000000001</v>
      </c>
      <c r="AJ54" s="185">
        <f t="shared" si="91"/>
        <v>-8.2379999999999995</v>
      </c>
      <c r="AK54" s="186">
        <f t="shared" si="92"/>
        <v>-15.026</v>
      </c>
      <c r="AL54" s="185">
        <f t="shared" si="93"/>
        <v>-14.666</v>
      </c>
      <c r="AM54" s="185">
        <f t="shared" si="94"/>
        <v>-11.901</v>
      </c>
      <c r="AN54" s="185">
        <f t="shared" si="95"/>
        <v>-10.782</v>
      </c>
      <c r="AO54" s="185">
        <f t="shared" si="96"/>
        <v>-17.986999999999998</v>
      </c>
      <c r="AP54" s="185">
        <f t="shared" si="97"/>
        <v>-21.297999999999998</v>
      </c>
      <c r="AQ54" s="185">
        <f t="shared" si="98"/>
        <v>-17.332999999999998</v>
      </c>
      <c r="AR54" s="185">
        <f t="shared" si="99"/>
        <v>-17.306000000000001</v>
      </c>
      <c r="AS54" s="183">
        <f>ROUND((AS95-AS98)/AS98%,3)</f>
        <v>-16.324000000000002</v>
      </c>
      <c r="AT54" s="182">
        <f t="shared" ref="AT54:CJ54" si="103">IF(AT95=0,0,ROUND((AT95-AT98)/AT98%,3))</f>
        <v>0</v>
      </c>
      <c r="AU54" s="182">
        <f t="shared" si="103"/>
        <v>-16.463000000000001</v>
      </c>
      <c r="AV54" s="182">
        <f t="shared" si="103"/>
        <v>-22.63</v>
      </c>
      <c r="AW54" s="182">
        <f t="shared" si="103"/>
        <v>-13.772</v>
      </c>
      <c r="AX54" s="182">
        <f t="shared" si="103"/>
        <v>-14.324999999999999</v>
      </c>
      <c r="AY54" s="182">
        <f t="shared" si="103"/>
        <v>-19.547999999999998</v>
      </c>
      <c r="AZ54" s="182">
        <f t="shared" si="103"/>
        <v>0</v>
      </c>
      <c r="BA54" s="182">
        <f t="shared" si="103"/>
        <v>-23.951000000000001</v>
      </c>
      <c r="BB54" s="182">
        <f t="shared" si="103"/>
        <v>-18.158999999999999</v>
      </c>
      <c r="BC54" s="182">
        <f t="shared" si="103"/>
        <v>-11.811</v>
      </c>
      <c r="BD54" s="182">
        <f t="shared" si="103"/>
        <v>-23.675999999999998</v>
      </c>
      <c r="BE54" s="182">
        <f t="shared" si="103"/>
        <v>-10.02</v>
      </c>
      <c r="BF54" s="187">
        <f t="shared" si="103"/>
        <v>-13.298</v>
      </c>
      <c r="BG54" s="182">
        <f t="shared" si="103"/>
        <v>0</v>
      </c>
      <c r="BH54" s="182">
        <f t="shared" si="103"/>
        <v>0</v>
      </c>
      <c r="BI54" s="182">
        <f t="shared" si="103"/>
        <v>-31.373000000000001</v>
      </c>
      <c r="BJ54" s="182">
        <f t="shared" si="103"/>
        <v>-41.61</v>
      </c>
      <c r="BK54" s="182">
        <f t="shared" si="103"/>
        <v>0</v>
      </c>
      <c r="BL54" s="182">
        <f t="shared" si="103"/>
        <v>0</v>
      </c>
      <c r="BM54" s="182">
        <f t="shared" si="103"/>
        <v>-14.784000000000001</v>
      </c>
      <c r="BN54" s="182">
        <f t="shared" si="103"/>
        <v>-18.175999999999998</v>
      </c>
      <c r="BO54" s="182">
        <f t="shared" si="103"/>
        <v>0</v>
      </c>
      <c r="BP54" s="182">
        <f t="shared" si="103"/>
        <v>-20.021999999999998</v>
      </c>
      <c r="BQ54" s="182">
        <f t="shared" si="103"/>
        <v>-8.8740000000000006</v>
      </c>
      <c r="BR54" s="187">
        <f t="shared" si="103"/>
        <v>-17.263999999999999</v>
      </c>
      <c r="BS54" s="182">
        <f t="shared" si="103"/>
        <v>0</v>
      </c>
      <c r="BT54" s="182">
        <f t="shared" si="103"/>
        <v>-18.425000000000001</v>
      </c>
      <c r="BU54" s="182">
        <f t="shared" si="103"/>
        <v>-18.178000000000001</v>
      </c>
      <c r="BV54" s="182">
        <f t="shared" si="103"/>
        <v>-24.033000000000001</v>
      </c>
      <c r="BW54" s="182">
        <f t="shared" si="103"/>
        <v>-23.457000000000001</v>
      </c>
      <c r="BX54" s="182">
        <f t="shared" si="103"/>
        <v>-12.535</v>
      </c>
      <c r="BY54" s="182">
        <f t="shared" si="103"/>
        <v>-8.2379999999999995</v>
      </c>
      <c r="BZ54" s="182">
        <f t="shared" si="103"/>
        <v>-11.946</v>
      </c>
      <c r="CA54" s="182">
        <f t="shared" si="103"/>
        <v>-25.202000000000002</v>
      </c>
      <c r="CB54" s="187">
        <f t="shared" si="103"/>
        <v>-15.026</v>
      </c>
      <c r="CC54" s="182">
        <f t="shared" si="103"/>
        <v>-17.986999999999998</v>
      </c>
      <c r="CD54" s="182">
        <f t="shared" si="103"/>
        <v>-21.297999999999998</v>
      </c>
      <c r="CE54" s="182">
        <f t="shared" si="103"/>
        <v>-14.666</v>
      </c>
      <c r="CF54" s="182">
        <f t="shared" si="103"/>
        <v>0</v>
      </c>
      <c r="CG54" s="182">
        <f t="shared" si="103"/>
        <v>-12.563000000000001</v>
      </c>
      <c r="CH54" s="182">
        <f t="shared" si="103"/>
        <v>-11.901</v>
      </c>
      <c r="CI54" s="182">
        <f t="shared" si="103"/>
        <v>-17.306000000000001</v>
      </c>
      <c r="CJ54" s="182">
        <f t="shared" si="103"/>
        <v>-10.782</v>
      </c>
      <c r="CK54" s="183">
        <f>IF(CK95=0,0,ROUND((CK95-CK98)/CK98%,3))</f>
        <v>-17.332999999999998</v>
      </c>
      <c r="CL54" s="188">
        <f>ROUND((CL95-CL98)/CL98%,3)</f>
        <v>-15.223000000000001</v>
      </c>
    </row>
    <row r="55" spans="1:90" ht="14.25">
      <c r="A55" s="80">
        <f>ROWS($A$3:A53)</f>
        <v>51</v>
      </c>
      <c r="B55" s="59" t="s">
        <v>208</v>
      </c>
      <c r="C55" s="203"/>
      <c r="D55" s="254"/>
      <c r="E55" s="269"/>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2">
        <v>2008</v>
      </c>
      <c r="D56" s="254" t="s">
        <v>13</v>
      </c>
      <c r="E56" s="256">
        <v>40441</v>
      </c>
      <c r="F56" s="116">
        <v>268</v>
      </c>
      <c r="G56" s="137">
        <v>238</v>
      </c>
      <c r="H56" s="137">
        <v>272</v>
      </c>
      <c r="I56" s="138">
        <v>316</v>
      </c>
      <c r="J56" s="141"/>
      <c r="K56" s="116">
        <f t="shared" ref="K56:K63" si="104">BF56</f>
        <v>41</v>
      </c>
      <c r="L56" s="137">
        <f t="shared" ref="L56:L63" si="105">AY56</f>
        <v>25</v>
      </c>
      <c r="M56" s="137">
        <f t="shared" ref="M56:M63" si="106">BD56</f>
        <v>35</v>
      </c>
      <c r="N56" s="137">
        <f t="shared" ref="N56:N63" si="107">AW56</f>
        <v>19</v>
      </c>
      <c r="O56" s="137">
        <f t="shared" ref="O56:O63" si="108">BE56</f>
        <v>11</v>
      </c>
      <c r="P56" s="137">
        <f t="shared" ref="P56:P63" si="109">AZ56+BA56</f>
        <v>24</v>
      </c>
      <c r="Q56" s="137">
        <f>'2009'!AU56</f>
        <v>19</v>
      </c>
      <c r="R56" s="137">
        <f t="shared" ref="R56:R63" si="110">AT56+AX56</f>
        <v>27</v>
      </c>
      <c r="S56" s="137">
        <f t="shared" ref="S56:S63" si="111">AV56</f>
        <v>28</v>
      </c>
      <c r="T56" s="137">
        <f t="shared" ref="T56:U59" si="112">BB56</f>
        <v>21</v>
      </c>
      <c r="U56" s="139">
        <f t="shared" si="112"/>
        <v>18</v>
      </c>
      <c r="V56" s="137">
        <f t="shared" ref="V56:V63" si="113">BG56+BJ56</f>
        <v>32</v>
      </c>
      <c r="W56" s="137">
        <f t="shared" ref="W56:W63" si="114">BR56</f>
        <v>18</v>
      </c>
      <c r="X56" s="137">
        <f t="shared" ref="X56:X63" si="115">BH56+BI56</f>
        <v>47</v>
      </c>
      <c r="Y56" s="137">
        <f t="shared" ref="Y56:Y63" si="116">BK56+BL56+BN56</f>
        <v>61</v>
      </c>
      <c r="Z56" s="137">
        <f t="shared" ref="Z56:Z63" si="117">BM56</f>
        <v>25</v>
      </c>
      <c r="AA56" s="137">
        <f t="shared" ref="AA56:AA63" si="118">BO56+BQ56</f>
        <v>29</v>
      </c>
      <c r="AB56" s="139">
        <f t="shared" ref="AB56:AB63" si="119">BP56</f>
        <v>26</v>
      </c>
      <c r="AC56" s="137">
        <f t="shared" ref="AC56:AC63" si="120">BX56</f>
        <v>24</v>
      </c>
      <c r="AD56" s="137">
        <f t="shared" ref="AD56:AD63" si="121">BU56</f>
        <v>20</v>
      </c>
      <c r="AE56" s="137">
        <f t="shared" ref="AE56:AE63" si="122">BS56+BT56</f>
        <v>51</v>
      </c>
      <c r="AF56" s="137">
        <f t="shared" ref="AF56:AF63" si="123">CA56</f>
        <v>25</v>
      </c>
      <c r="AG56" s="137">
        <f t="shared" ref="AG56:AG63" si="124">BV56</f>
        <v>23</v>
      </c>
      <c r="AH56" s="137">
        <f t="shared" ref="AH56:AH63" si="125">BZ56</f>
        <v>59</v>
      </c>
      <c r="AI56" s="137">
        <f t="shared" ref="AI56:AI63" si="126">BW56</f>
        <v>10</v>
      </c>
      <c r="AJ56" s="137">
        <f t="shared" ref="AJ56:AJ63" si="127">BY56</f>
        <v>23</v>
      </c>
      <c r="AK56" s="139">
        <f t="shared" ref="AK56:AK63" si="128">CB56</f>
        <v>37</v>
      </c>
      <c r="AL56" s="137">
        <f t="shared" ref="AL56:AL63" si="129">CE56</f>
        <v>53</v>
      </c>
      <c r="AM56" s="137">
        <f t="shared" ref="AM56:AM63" si="130">CH56</f>
        <v>31</v>
      </c>
      <c r="AN56" s="137">
        <f t="shared" ref="AN56:AN63" si="131">CJ56</f>
        <v>76</v>
      </c>
      <c r="AO56" s="137">
        <f t="shared" ref="AO56:AP63" si="132">CC56</f>
        <v>42</v>
      </c>
      <c r="AP56" s="137">
        <f t="shared" si="132"/>
        <v>22</v>
      </c>
      <c r="AQ56" s="137">
        <f t="shared" ref="AQ56:AQ63" si="133">CK56</f>
        <v>25</v>
      </c>
      <c r="AR56" s="137">
        <f t="shared" ref="AR56:AR63" si="134">CI56</f>
        <v>33</v>
      </c>
      <c r="AS56" s="138">
        <f t="shared" ref="AS56:AS63" si="135">CF56+CG56</f>
        <v>34</v>
      </c>
      <c r="AT56" s="146">
        <v>7</v>
      </c>
      <c r="AU56" s="137">
        <v>19</v>
      </c>
      <c r="AV56" s="137">
        <v>28</v>
      </c>
      <c r="AW56" s="141">
        <v>19</v>
      </c>
      <c r="AX56" s="137">
        <v>20</v>
      </c>
      <c r="AY56" s="137">
        <v>25</v>
      </c>
      <c r="AZ56" s="137">
        <v>4</v>
      </c>
      <c r="BA56" s="137">
        <v>20</v>
      </c>
      <c r="BB56" s="137">
        <v>21</v>
      </c>
      <c r="BC56" s="137">
        <v>18</v>
      </c>
      <c r="BD56" s="137">
        <v>35</v>
      </c>
      <c r="BE56" s="137">
        <v>11</v>
      </c>
      <c r="BF56" s="139">
        <v>41</v>
      </c>
      <c r="BG56" s="137">
        <v>5</v>
      </c>
      <c r="BH56" s="137">
        <v>7</v>
      </c>
      <c r="BI56" s="137">
        <v>40</v>
      </c>
      <c r="BJ56" s="137">
        <v>27</v>
      </c>
      <c r="BK56" s="137">
        <v>5</v>
      </c>
      <c r="BL56" s="137">
        <v>9</v>
      </c>
      <c r="BM56" s="137">
        <v>25</v>
      </c>
      <c r="BN56" s="137">
        <v>47</v>
      </c>
      <c r="BO56" s="137">
        <v>3</v>
      </c>
      <c r="BP56" s="137">
        <v>26</v>
      </c>
      <c r="BQ56" s="137">
        <v>26</v>
      </c>
      <c r="BR56" s="139">
        <v>18</v>
      </c>
      <c r="BS56" s="137">
        <v>6</v>
      </c>
      <c r="BT56" s="137">
        <v>45</v>
      </c>
      <c r="BU56" s="137">
        <v>20</v>
      </c>
      <c r="BV56" s="137">
        <v>23</v>
      </c>
      <c r="BW56" s="137">
        <v>10</v>
      </c>
      <c r="BX56" s="137">
        <v>24</v>
      </c>
      <c r="BY56" s="137">
        <v>23</v>
      </c>
      <c r="BZ56" s="137">
        <v>59</v>
      </c>
      <c r="CA56" s="137">
        <v>25</v>
      </c>
      <c r="CB56" s="139">
        <v>37</v>
      </c>
      <c r="CC56" s="137">
        <v>42</v>
      </c>
      <c r="CD56" s="137">
        <v>22</v>
      </c>
      <c r="CE56" s="137">
        <v>53</v>
      </c>
      <c r="CF56" s="137">
        <v>1</v>
      </c>
      <c r="CG56" s="137">
        <v>33</v>
      </c>
      <c r="CH56" s="137">
        <v>31</v>
      </c>
      <c r="CI56" s="137">
        <v>33</v>
      </c>
      <c r="CJ56" s="137">
        <v>76</v>
      </c>
      <c r="CK56" s="138">
        <v>25</v>
      </c>
      <c r="CL56" s="140">
        <v>1094</v>
      </c>
    </row>
    <row r="57" spans="1:90">
      <c r="A57" s="80">
        <f>ROWS($A$3:A55)</f>
        <v>53</v>
      </c>
      <c r="B57" s="92"/>
      <c r="C57" s="203"/>
      <c r="D57" s="254" t="s">
        <v>1</v>
      </c>
      <c r="E57" s="269"/>
      <c r="F57" s="116">
        <v>14335</v>
      </c>
      <c r="G57" s="137">
        <v>19519</v>
      </c>
      <c r="H57" s="137">
        <v>31216</v>
      </c>
      <c r="I57" s="138">
        <v>18974</v>
      </c>
      <c r="J57" s="141"/>
      <c r="K57" s="116">
        <f t="shared" si="104"/>
        <v>1872</v>
      </c>
      <c r="L57" s="137">
        <f t="shared" si="105"/>
        <v>776</v>
      </c>
      <c r="M57" s="137">
        <f t="shared" si="106"/>
        <v>1042</v>
      </c>
      <c r="N57" s="137">
        <f t="shared" si="107"/>
        <v>2872</v>
      </c>
      <c r="O57" s="137">
        <f t="shared" si="108"/>
        <v>504</v>
      </c>
      <c r="P57" s="137">
        <f t="shared" si="109"/>
        <v>489</v>
      </c>
      <c r="Q57" s="137">
        <f>'2009'!AU57</f>
        <v>709</v>
      </c>
      <c r="R57" s="137">
        <f t="shared" si="110"/>
        <v>1904</v>
      </c>
      <c r="S57" s="137">
        <f t="shared" si="111"/>
        <v>2283</v>
      </c>
      <c r="T57" s="137">
        <f t="shared" si="112"/>
        <v>487</v>
      </c>
      <c r="U57" s="139">
        <f t="shared" si="112"/>
        <v>1397</v>
      </c>
      <c r="V57" s="137">
        <f t="shared" si="113"/>
        <v>4371</v>
      </c>
      <c r="W57" s="137">
        <f t="shared" si="114"/>
        <v>2885</v>
      </c>
      <c r="X57" s="137">
        <f t="shared" si="115"/>
        <v>3858</v>
      </c>
      <c r="Y57" s="137">
        <f t="shared" si="116"/>
        <v>3679</v>
      </c>
      <c r="Z57" s="137">
        <f t="shared" si="117"/>
        <v>903</v>
      </c>
      <c r="AA57" s="137">
        <f t="shared" si="118"/>
        <v>1545</v>
      </c>
      <c r="AB57" s="139">
        <f t="shared" si="119"/>
        <v>2278</v>
      </c>
      <c r="AC57" s="137">
        <f t="shared" si="120"/>
        <v>1949</v>
      </c>
      <c r="AD57" s="137">
        <f t="shared" si="121"/>
        <v>3809</v>
      </c>
      <c r="AE57" s="137">
        <f t="shared" si="122"/>
        <v>6157</v>
      </c>
      <c r="AF57" s="137">
        <f t="shared" si="123"/>
        <v>5582</v>
      </c>
      <c r="AG57" s="137">
        <f t="shared" si="124"/>
        <v>3514</v>
      </c>
      <c r="AH57" s="137">
        <f t="shared" si="125"/>
        <v>4251</v>
      </c>
      <c r="AI57" s="137">
        <f t="shared" si="126"/>
        <v>436</v>
      </c>
      <c r="AJ57" s="137">
        <f t="shared" si="127"/>
        <v>1880</v>
      </c>
      <c r="AK57" s="139">
        <f t="shared" si="128"/>
        <v>3638</v>
      </c>
      <c r="AL57" s="137">
        <f t="shared" si="129"/>
        <v>1545</v>
      </c>
      <c r="AM57" s="137">
        <f t="shared" si="130"/>
        <v>3578</v>
      </c>
      <c r="AN57" s="137">
        <f t="shared" si="131"/>
        <v>5915</v>
      </c>
      <c r="AO57" s="137">
        <f t="shared" si="132"/>
        <v>1979</v>
      </c>
      <c r="AP57" s="137">
        <f t="shared" si="132"/>
        <v>1184</v>
      </c>
      <c r="AQ57" s="137">
        <f t="shared" si="133"/>
        <v>2011</v>
      </c>
      <c r="AR57" s="137">
        <f t="shared" si="134"/>
        <v>1514</v>
      </c>
      <c r="AS57" s="138">
        <f t="shared" si="135"/>
        <v>1248</v>
      </c>
      <c r="AT57" s="137">
        <v>1360</v>
      </c>
      <c r="AU57" s="137">
        <v>709</v>
      </c>
      <c r="AV57" s="137">
        <v>2283</v>
      </c>
      <c r="AW57" s="137">
        <v>2872</v>
      </c>
      <c r="AX57" s="137">
        <v>544</v>
      </c>
      <c r="AY57" s="137">
        <v>776</v>
      </c>
      <c r="AZ57" s="137">
        <v>93</v>
      </c>
      <c r="BA57" s="137">
        <v>396</v>
      </c>
      <c r="BB57" s="137">
        <v>487</v>
      </c>
      <c r="BC57" s="137">
        <v>1397</v>
      </c>
      <c r="BD57" s="137">
        <v>1042</v>
      </c>
      <c r="BE57" s="137">
        <v>504</v>
      </c>
      <c r="BF57" s="139">
        <v>1872</v>
      </c>
      <c r="BG57" s="137">
        <v>438</v>
      </c>
      <c r="BH57" s="137">
        <v>646</v>
      </c>
      <c r="BI57" s="137">
        <v>3212</v>
      </c>
      <c r="BJ57" s="137">
        <v>3933</v>
      </c>
      <c r="BK57" s="137">
        <v>84</v>
      </c>
      <c r="BL57" s="137">
        <v>691</v>
      </c>
      <c r="BM57" s="137">
        <v>903</v>
      </c>
      <c r="BN57" s="137">
        <v>2904</v>
      </c>
      <c r="BO57" s="137">
        <v>197</v>
      </c>
      <c r="BP57" s="137">
        <v>2278</v>
      </c>
      <c r="BQ57" s="137">
        <v>1348</v>
      </c>
      <c r="BR57" s="139">
        <v>2885</v>
      </c>
      <c r="BS57" s="137">
        <v>655</v>
      </c>
      <c r="BT57" s="137">
        <v>5502</v>
      </c>
      <c r="BU57" s="137">
        <v>3809</v>
      </c>
      <c r="BV57" s="137">
        <v>3514</v>
      </c>
      <c r="BW57" s="137">
        <v>436</v>
      </c>
      <c r="BX57" s="137">
        <v>1949</v>
      </c>
      <c r="BY57" s="137">
        <v>1880</v>
      </c>
      <c r="BZ57" s="137">
        <v>4251</v>
      </c>
      <c r="CA57" s="137">
        <v>5582</v>
      </c>
      <c r="CB57" s="139">
        <v>3638</v>
      </c>
      <c r="CC57" s="137">
        <v>1979</v>
      </c>
      <c r="CD57" s="137">
        <v>1184</v>
      </c>
      <c r="CE57" s="137">
        <v>1545</v>
      </c>
      <c r="CF57" s="137">
        <v>39</v>
      </c>
      <c r="CG57" s="137">
        <v>1209</v>
      </c>
      <c r="CH57" s="137">
        <v>3578</v>
      </c>
      <c r="CI57" s="137">
        <v>1514</v>
      </c>
      <c r="CJ57" s="137">
        <v>5915</v>
      </c>
      <c r="CK57" s="138">
        <v>2011</v>
      </c>
      <c r="CL57" s="140">
        <v>84044</v>
      </c>
    </row>
    <row r="58" spans="1:90">
      <c r="A58" s="80">
        <f>ROWS($A$3:A56)</f>
        <v>54</v>
      </c>
      <c r="B58" s="92" t="s">
        <v>231</v>
      </c>
      <c r="C58" s="203"/>
      <c r="D58" s="254" t="s">
        <v>13</v>
      </c>
      <c r="E58" s="256">
        <v>40477</v>
      </c>
      <c r="F58" s="116"/>
      <c r="G58" s="137"/>
      <c r="H58" s="137"/>
      <c r="I58" s="138"/>
      <c r="J58" s="141"/>
      <c r="K58" s="116">
        <f t="shared" si="104"/>
        <v>0</v>
      </c>
      <c r="L58" s="137">
        <f t="shared" si="105"/>
        <v>0</v>
      </c>
      <c r="M58" s="137">
        <f t="shared" si="106"/>
        <v>0</v>
      </c>
      <c r="N58" s="137">
        <f t="shared" si="107"/>
        <v>0</v>
      </c>
      <c r="O58" s="137">
        <f t="shared" si="108"/>
        <v>0</v>
      </c>
      <c r="P58" s="137">
        <f t="shared" si="109"/>
        <v>0</v>
      </c>
      <c r="Q58" s="137">
        <f>'2009'!AU58</f>
        <v>0</v>
      </c>
      <c r="R58" s="137">
        <f t="shared" si="110"/>
        <v>0</v>
      </c>
      <c r="S58" s="137">
        <f t="shared" si="111"/>
        <v>0</v>
      </c>
      <c r="T58" s="137">
        <f t="shared" si="112"/>
        <v>0</v>
      </c>
      <c r="U58" s="139">
        <f t="shared" si="112"/>
        <v>0</v>
      </c>
      <c r="V58" s="137">
        <f t="shared" si="113"/>
        <v>0</v>
      </c>
      <c r="W58" s="137">
        <f t="shared" si="114"/>
        <v>0</v>
      </c>
      <c r="X58" s="137">
        <f t="shared" si="115"/>
        <v>0</v>
      </c>
      <c r="Y58" s="137">
        <f t="shared" si="116"/>
        <v>0</v>
      </c>
      <c r="Z58" s="137">
        <f t="shared" si="117"/>
        <v>0</v>
      </c>
      <c r="AA58" s="137">
        <f t="shared" si="118"/>
        <v>0</v>
      </c>
      <c r="AB58" s="139">
        <f t="shared" si="119"/>
        <v>0</v>
      </c>
      <c r="AC58" s="137">
        <f t="shared" si="120"/>
        <v>0</v>
      </c>
      <c r="AD58" s="137">
        <f t="shared" si="121"/>
        <v>0</v>
      </c>
      <c r="AE58" s="137">
        <f t="shared" si="122"/>
        <v>0</v>
      </c>
      <c r="AF58" s="137">
        <f t="shared" si="123"/>
        <v>0</v>
      </c>
      <c r="AG58" s="137">
        <f t="shared" si="124"/>
        <v>0</v>
      </c>
      <c r="AH58" s="137">
        <f t="shared" si="125"/>
        <v>0</v>
      </c>
      <c r="AI58" s="137">
        <f t="shared" si="126"/>
        <v>0</v>
      </c>
      <c r="AJ58" s="137">
        <f t="shared" si="127"/>
        <v>0</v>
      </c>
      <c r="AK58" s="139">
        <f t="shared" si="128"/>
        <v>0</v>
      </c>
      <c r="AL58" s="137">
        <f t="shared" si="129"/>
        <v>0</v>
      </c>
      <c r="AM58" s="137">
        <f t="shared" si="130"/>
        <v>0</v>
      </c>
      <c r="AN58" s="137">
        <f t="shared" si="131"/>
        <v>0</v>
      </c>
      <c r="AO58" s="137">
        <f t="shared" si="132"/>
        <v>0</v>
      </c>
      <c r="AP58" s="137">
        <f t="shared" si="132"/>
        <v>0</v>
      </c>
      <c r="AQ58" s="137">
        <f t="shared" si="133"/>
        <v>0</v>
      </c>
      <c r="AR58" s="137">
        <f t="shared" si="134"/>
        <v>0</v>
      </c>
      <c r="AS58" s="138">
        <f t="shared" si="135"/>
        <v>0</v>
      </c>
      <c r="AT58" s="146"/>
      <c r="AU58" s="137"/>
      <c r="AV58" s="141"/>
      <c r="AW58" s="141"/>
      <c r="AX58" s="141"/>
      <c r="AY58" s="141"/>
      <c r="AZ58" s="141"/>
      <c r="BA58" s="141"/>
      <c r="BB58" s="141"/>
      <c r="BC58" s="141"/>
      <c r="BD58" s="141"/>
      <c r="BE58" s="141"/>
      <c r="BF58" s="139"/>
      <c r="BG58" s="141"/>
      <c r="BH58" s="141"/>
      <c r="BI58" s="141"/>
      <c r="BJ58" s="141"/>
      <c r="BK58" s="141"/>
      <c r="BL58" s="141"/>
      <c r="BM58" s="141"/>
      <c r="BN58" s="141"/>
      <c r="BO58" s="141"/>
      <c r="BP58" s="141"/>
      <c r="BQ58" s="141"/>
      <c r="BR58" s="139"/>
      <c r="BS58" s="141"/>
      <c r="BT58" s="141"/>
      <c r="BU58" s="141"/>
      <c r="BV58" s="141"/>
      <c r="BW58" s="141"/>
      <c r="BX58" s="141"/>
      <c r="BY58" s="141"/>
      <c r="BZ58" s="141"/>
      <c r="CA58" s="141"/>
      <c r="CB58" s="139"/>
      <c r="CC58" s="141"/>
      <c r="CD58" s="141"/>
      <c r="CE58" s="141"/>
      <c r="CF58" s="141"/>
      <c r="CG58" s="141"/>
      <c r="CH58" s="141"/>
      <c r="CI58" s="141"/>
      <c r="CJ58" s="141"/>
      <c r="CK58" s="138"/>
      <c r="CL58" s="140">
        <v>1446</v>
      </c>
    </row>
    <row r="59" spans="1:90">
      <c r="A59" s="80">
        <f>ROWS($A$3:A57)</f>
        <v>55</v>
      </c>
      <c r="B59" s="92"/>
      <c r="C59" s="203"/>
      <c r="D59" s="254" t="s">
        <v>1</v>
      </c>
      <c r="E59" s="269"/>
      <c r="F59" s="116"/>
      <c r="G59" s="137"/>
      <c r="H59" s="137"/>
      <c r="I59" s="138"/>
      <c r="J59" s="141"/>
      <c r="K59" s="116">
        <f t="shared" si="104"/>
        <v>0</v>
      </c>
      <c r="L59" s="137">
        <f t="shared" si="105"/>
        <v>0</v>
      </c>
      <c r="M59" s="137">
        <f t="shared" si="106"/>
        <v>0</v>
      </c>
      <c r="N59" s="137">
        <f t="shared" si="107"/>
        <v>0</v>
      </c>
      <c r="O59" s="137">
        <f t="shared" si="108"/>
        <v>0</v>
      </c>
      <c r="P59" s="137">
        <f t="shared" si="109"/>
        <v>0</v>
      </c>
      <c r="Q59" s="137">
        <f>'2009'!AU59</f>
        <v>0</v>
      </c>
      <c r="R59" s="137">
        <f t="shared" si="110"/>
        <v>0</v>
      </c>
      <c r="S59" s="137">
        <f t="shared" si="111"/>
        <v>0</v>
      </c>
      <c r="T59" s="137">
        <f t="shared" si="112"/>
        <v>0</v>
      </c>
      <c r="U59" s="139">
        <f t="shared" si="112"/>
        <v>0</v>
      </c>
      <c r="V59" s="137">
        <f t="shared" si="113"/>
        <v>0</v>
      </c>
      <c r="W59" s="137">
        <f t="shared" si="114"/>
        <v>0</v>
      </c>
      <c r="X59" s="137">
        <f t="shared" si="115"/>
        <v>0</v>
      </c>
      <c r="Y59" s="137">
        <f t="shared" si="116"/>
        <v>0</v>
      </c>
      <c r="Z59" s="137">
        <f t="shared" si="117"/>
        <v>0</v>
      </c>
      <c r="AA59" s="137">
        <f t="shared" si="118"/>
        <v>0</v>
      </c>
      <c r="AB59" s="139">
        <f t="shared" si="119"/>
        <v>0</v>
      </c>
      <c r="AC59" s="137">
        <f t="shared" si="120"/>
        <v>0</v>
      </c>
      <c r="AD59" s="137">
        <f t="shared" si="121"/>
        <v>0</v>
      </c>
      <c r="AE59" s="137">
        <f t="shared" si="122"/>
        <v>0</v>
      </c>
      <c r="AF59" s="137">
        <f t="shared" si="123"/>
        <v>0</v>
      </c>
      <c r="AG59" s="137">
        <f t="shared" si="124"/>
        <v>0</v>
      </c>
      <c r="AH59" s="137">
        <f t="shared" si="125"/>
        <v>0</v>
      </c>
      <c r="AI59" s="137">
        <f t="shared" si="126"/>
        <v>0</v>
      </c>
      <c r="AJ59" s="137">
        <f t="shared" si="127"/>
        <v>0</v>
      </c>
      <c r="AK59" s="139">
        <f t="shared" si="128"/>
        <v>0</v>
      </c>
      <c r="AL59" s="137">
        <f t="shared" si="129"/>
        <v>0</v>
      </c>
      <c r="AM59" s="137">
        <f t="shared" si="130"/>
        <v>0</v>
      </c>
      <c r="AN59" s="137">
        <f t="shared" si="131"/>
        <v>0</v>
      </c>
      <c r="AO59" s="137">
        <f t="shared" si="132"/>
        <v>0</v>
      </c>
      <c r="AP59" s="137">
        <f t="shared" si="132"/>
        <v>0</v>
      </c>
      <c r="AQ59" s="137">
        <f t="shared" si="133"/>
        <v>0</v>
      </c>
      <c r="AR59" s="137">
        <f t="shared" si="134"/>
        <v>0</v>
      </c>
      <c r="AS59" s="138">
        <f t="shared" si="135"/>
        <v>0</v>
      </c>
      <c r="AT59" s="137"/>
      <c r="AU59" s="137"/>
      <c r="AV59" s="137"/>
      <c r="AW59" s="137"/>
      <c r="AX59" s="137"/>
      <c r="AY59" s="137"/>
      <c r="AZ59" s="137"/>
      <c r="BA59" s="137"/>
      <c r="BB59" s="137"/>
      <c r="BC59" s="137"/>
      <c r="BD59" s="137"/>
      <c r="BE59" s="137"/>
      <c r="BF59" s="139"/>
      <c r="BG59" s="137"/>
      <c r="BH59" s="137"/>
      <c r="BI59" s="137"/>
      <c r="BJ59" s="137"/>
      <c r="BK59" s="137"/>
      <c r="BL59" s="137"/>
      <c r="BM59" s="137"/>
      <c r="BN59" s="137"/>
      <c r="BO59" s="137"/>
      <c r="BP59" s="137"/>
      <c r="BQ59" s="137"/>
      <c r="BR59" s="139"/>
      <c r="BS59" s="137"/>
      <c r="BT59" s="137"/>
      <c r="BU59" s="137"/>
      <c r="BV59" s="137"/>
      <c r="BW59" s="137"/>
      <c r="BX59" s="137"/>
      <c r="BY59" s="137"/>
      <c r="BZ59" s="137"/>
      <c r="CA59" s="137"/>
      <c r="CB59" s="139"/>
      <c r="CC59" s="137"/>
      <c r="CD59" s="137"/>
      <c r="CE59" s="137"/>
      <c r="CF59" s="137"/>
      <c r="CG59" s="137"/>
      <c r="CH59" s="137"/>
      <c r="CI59" s="137"/>
      <c r="CJ59" s="137"/>
      <c r="CK59" s="138"/>
      <c r="CL59" s="140">
        <v>807059</v>
      </c>
    </row>
    <row r="60" spans="1:90">
      <c r="A60" s="80">
        <f>ROWS($A$3:A58)</f>
        <v>56</v>
      </c>
      <c r="B60" s="92" t="s">
        <v>232</v>
      </c>
      <c r="C60" s="203"/>
      <c r="D60" s="254" t="s">
        <v>13</v>
      </c>
      <c r="E60" s="256">
        <v>40477</v>
      </c>
      <c r="F60" s="116"/>
      <c r="G60" s="141"/>
      <c r="H60" s="141"/>
      <c r="I60" s="138"/>
      <c r="J60" s="141"/>
      <c r="K60" s="116">
        <f t="shared" si="104"/>
        <v>0</v>
      </c>
      <c r="L60" s="137">
        <f t="shared" si="105"/>
        <v>0</v>
      </c>
      <c r="M60" s="137">
        <f t="shared" si="106"/>
        <v>0</v>
      </c>
      <c r="N60" s="137">
        <f t="shared" si="107"/>
        <v>0</v>
      </c>
      <c r="O60" s="137">
        <f t="shared" si="108"/>
        <v>0</v>
      </c>
      <c r="P60" s="137">
        <f t="shared" si="109"/>
        <v>0</v>
      </c>
      <c r="Q60" s="137">
        <f>'2009'!AU60</f>
        <v>0</v>
      </c>
      <c r="R60" s="137">
        <f t="shared" si="110"/>
        <v>0</v>
      </c>
      <c r="S60" s="137">
        <f t="shared" si="111"/>
        <v>0</v>
      </c>
      <c r="T60" s="137">
        <f t="shared" ref="T60:U63" si="136">BB60</f>
        <v>0</v>
      </c>
      <c r="U60" s="139">
        <f t="shared" si="136"/>
        <v>0</v>
      </c>
      <c r="V60" s="137">
        <f t="shared" si="113"/>
        <v>0</v>
      </c>
      <c r="W60" s="137">
        <f t="shared" si="114"/>
        <v>0</v>
      </c>
      <c r="X60" s="137">
        <f t="shared" si="115"/>
        <v>0</v>
      </c>
      <c r="Y60" s="137">
        <f t="shared" si="116"/>
        <v>0</v>
      </c>
      <c r="Z60" s="137">
        <f t="shared" si="117"/>
        <v>0</v>
      </c>
      <c r="AA60" s="137">
        <f t="shared" si="118"/>
        <v>0</v>
      </c>
      <c r="AB60" s="139">
        <f t="shared" si="119"/>
        <v>0</v>
      </c>
      <c r="AC60" s="137">
        <f t="shared" si="120"/>
        <v>0</v>
      </c>
      <c r="AD60" s="137">
        <f t="shared" si="121"/>
        <v>0</v>
      </c>
      <c r="AE60" s="137">
        <f t="shared" si="122"/>
        <v>0</v>
      </c>
      <c r="AF60" s="137">
        <f t="shared" si="123"/>
        <v>0</v>
      </c>
      <c r="AG60" s="137">
        <f t="shared" si="124"/>
        <v>0</v>
      </c>
      <c r="AH60" s="137">
        <f t="shared" si="125"/>
        <v>0</v>
      </c>
      <c r="AI60" s="137">
        <f t="shared" si="126"/>
        <v>0</v>
      </c>
      <c r="AJ60" s="137">
        <f t="shared" si="127"/>
        <v>0</v>
      </c>
      <c r="AK60" s="139">
        <f t="shared" si="128"/>
        <v>0</v>
      </c>
      <c r="AL60" s="137">
        <f t="shared" si="129"/>
        <v>0</v>
      </c>
      <c r="AM60" s="137">
        <f t="shared" si="130"/>
        <v>0</v>
      </c>
      <c r="AN60" s="137">
        <f t="shared" si="131"/>
        <v>0</v>
      </c>
      <c r="AO60" s="137">
        <f t="shared" si="132"/>
        <v>0</v>
      </c>
      <c r="AP60" s="137">
        <f t="shared" si="132"/>
        <v>0</v>
      </c>
      <c r="AQ60" s="137">
        <f t="shared" si="133"/>
        <v>0</v>
      </c>
      <c r="AR60" s="137">
        <f t="shared" si="134"/>
        <v>0</v>
      </c>
      <c r="AS60" s="138">
        <f t="shared" si="135"/>
        <v>0</v>
      </c>
      <c r="AT60" s="137"/>
      <c r="AU60" s="141"/>
      <c r="AV60" s="141"/>
      <c r="AW60" s="141"/>
      <c r="AX60" s="141"/>
      <c r="AY60" s="141"/>
      <c r="AZ60" s="141"/>
      <c r="BA60" s="141"/>
      <c r="BB60" s="141"/>
      <c r="BC60" s="141"/>
      <c r="BD60" s="141"/>
      <c r="BE60" s="141"/>
      <c r="BF60" s="139"/>
      <c r="BG60" s="141"/>
      <c r="BH60" s="141"/>
      <c r="BI60" s="141"/>
      <c r="BJ60" s="141"/>
      <c r="BK60" s="141"/>
      <c r="BL60" s="141"/>
      <c r="BM60" s="141"/>
      <c r="BN60" s="141"/>
      <c r="BO60" s="141"/>
      <c r="BP60" s="141"/>
      <c r="BQ60" s="141"/>
      <c r="BR60" s="139"/>
      <c r="BS60" s="141"/>
      <c r="BT60" s="141"/>
      <c r="BU60" s="141"/>
      <c r="BV60" s="141"/>
      <c r="BW60" s="141"/>
      <c r="BX60" s="141"/>
      <c r="BY60" s="141"/>
      <c r="BZ60" s="141"/>
      <c r="CA60" s="141"/>
      <c r="CB60" s="139"/>
      <c r="CC60" s="141"/>
      <c r="CD60" s="141"/>
      <c r="CE60" s="141"/>
      <c r="CF60" s="141"/>
      <c r="CG60" s="141"/>
      <c r="CH60" s="141"/>
      <c r="CI60" s="141"/>
      <c r="CJ60" s="141"/>
      <c r="CK60" s="138"/>
      <c r="CL60" s="140">
        <v>2627</v>
      </c>
    </row>
    <row r="61" spans="1:90">
      <c r="A61" s="80">
        <f>ROWS($A$3:A59)</f>
        <v>57</v>
      </c>
      <c r="B61" s="92"/>
      <c r="C61" s="203"/>
      <c r="D61" s="254" t="s">
        <v>1</v>
      </c>
      <c r="E61" s="269"/>
      <c r="F61" s="116"/>
      <c r="G61" s="137"/>
      <c r="H61" s="137"/>
      <c r="I61" s="138"/>
      <c r="J61" s="141"/>
      <c r="K61" s="116">
        <f t="shared" si="104"/>
        <v>0</v>
      </c>
      <c r="L61" s="137">
        <f t="shared" si="105"/>
        <v>0</v>
      </c>
      <c r="M61" s="137">
        <f t="shared" si="106"/>
        <v>0</v>
      </c>
      <c r="N61" s="137">
        <f t="shared" si="107"/>
        <v>0</v>
      </c>
      <c r="O61" s="137">
        <f t="shared" si="108"/>
        <v>0</v>
      </c>
      <c r="P61" s="137">
        <f t="shared" si="109"/>
        <v>0</v>
      </c>
      <c r="Q61" s="137">
        <f>'2009'!AU61</f>
        <v>0</v>
      </c>
      <c r="R61" s="137">
        <f t="shared" si="110"/>
        <v>0</v>
      </c>
      <c r="S61" s="137">
        <f t="shared" si="111"/>
        <v>0</v>
      </c>
      <c r="T61" s="137">
        <f t="shared" si="136"/>
        <v>0</v>
      </c>
      <c r="U61" s="139">
        <f t="shared" si="136"/>
        <v>0</v>
      </c>
      <c r="V61" s="137">
        <f t="shared" si="113"/>
        <v>0</v>
      </c>
      <c r="W61" s="137">
        <f t="shared" si="114"/>
        <v>0</v>
      </c>
      <c r="X61" s="137">
        <f t="shared" si="115"/>
        <v>0</v>
      </c>
      <c r="Y61" s="137">
        <f t="shared" si="116"/>
        <v>0</v>
      </c>
      <c r="Z61" s="137">
        <f t="shared" si="117"/>
        <v>0</v>
      </c>
      <c r="AA61" s="137">
        <f t="shared" si="118"/>
        <v>0</v>
      </c>
      <c r="AB61" s="139">
        <f t="shared" si="119"/>
        <v>0</v>
      </c>
      <c r="AC61" s="137">
        <f t="shared" si="120"/>
        <v>0</v>
      </c>
      <c r="AD61" s="137">
        <f t="shared" si="121"/>
        <v>0</v>
      </c>
      <c r="AE61" s="137">
        <f t="shared" si="122"/>
        <v>0</v>
      </c>
      <c r="AF61" s="137">
        <f t="shared" si="123"/>
        <v>0</v>
      </c>
      <c r="AG61" s="137">
        <f t="shared" si="124"/>
        <v>0</v>
      </c>
      <c r="AH61" s="137">
        <f t="shared" si="125"/>
        <v>0</v>
      </c>
      <c r="AI61" s="137">
        <f t="shared" si="126"/>
        <v>0</v>
      </c>
      <c r="AJ61" s="137">
        <f t="shared" si="127"/>
        <v>0</v>
      </c>
      <c r="AK61" s="139">
        <f t="shared" si="128"/>
        <v>0</v>
      </c>
      <c r="AL61" s="137">
        <f t="shared" si="129"/>
        <v>0</v>
      </c>
      <c r="AM61" s="137">
        <f t="shared" si="130"/>
        <v>0</v>
      </c>
      <c r="AN61" s="137">
        <f t="shared" si="131"/>
        <v>0</v>
      </c>
      <c r="AO61" s="137">
        <f t="shared" si="132"/>
        <v>0</v>
      </c>
      <c r="AP61" s="137">
        <f t="shared" si="132"/>
        <v>0</v>
      </c>
      <c r="AQ61" s="137">
        <f t="shared" si="133"/>
        <v>0</v>
      </c>
      <c r="AR61" s="137">
        <f t="shared" si="134"/>
        <v>0</v>
      </c>
      <c r="AS61" s="138">
        <f t="shared" si="135"/>
        <v>0</v>
      </c>
      <c r="AT61" s="137"/>
      <c r="AU61" s="137"/>
      <c r="AV61" s="137"/>
      <c r="AW61" s="137"/>
      <c r="AX61" s="137"/>
      <c r="AY61" s="137"/>
      <c r="AZ61" s="137"/>
      <c r="BA61" s="137"/>
      <c r="BB61" s="137"/>
      <c r="BC61" s="137"/>
      <c r="BD61" s="137"/>
      <c r="BE61" s="137"/>
      <c r="BF61" s="139"/>
      <c r="BG61" s="137"/>
      <c r="BH61" s="137"/>
      <c r="BI61" s="137"/>
      <c r="BJ61" s="137"/>
      <c r="BK61" s="137"/>
      <c r="BL61" s="137"/>
      <c r="BM61" s="137"/>
      <c r="BN61" s="137"/>
      <c r="BO61" s="137"/>
      <c r="BP61" s="137"/>
      <c r="BQ61" s="137"/>
      <c r="BR61" s="139"/>
      <c r="BS61" s="137"/>
      <c r="BT61" s="137"/>
      <c r="BU61" s="137"/>
      <c r="BV61" s="137"/>
      <c r="BW61" s="137"/>
      <c r="BX61" s="137"/>
      <c r="BY61" s="137"/>
      <c r="BZ61" s="137"/>
      <c r="CA61" s="137"/>
      <c r="CB61" s="139"/>
      <c r="CC61" s="137"/>
      <c r="CD61" s="137"/>
      <c r="CE61" s="137"/>
      <c r="CF61" s="137"/>
      <c r="CG61" s="137"/>
      <c r="CH61" s="137"/>
      <c r="CI61" s="137"/>
      <c r="CJ61" s="137"/>
      <c r="CK61" s="138"/>
      <c r="CL61" s="140">
        <v>907545</v>
      </c>
    </row>
    <row r="62" spans="1:90">
      <c r="A62" s="80">
        <f>ROWS($A$3:A60)</f>
        <v>58</v>
      </c>
      <c r="B62" s="92" t="s">
        <v>56</v>
      </c>
      <c r="C62" s="202">
        <v>2008</v>
      </c>
      <c r="D62" s="254" t="s">
        <v>13</v>
      </c>
      <c r="E62" s="256">
        <v>40442</v>
      </c>
      <c r="F62" s="116">
        <v>791</v>
      </c>
      <c r="G62" s="137">
        <v>406</v>
      </c>
      <c r="H62" s="137">
        <v>1015</v>
      </c>
      <c r="I62" s="138">
        <v>385</v>
      </c>
      <c r="J62" s="141"/>
      <c r="K62" s="116">
        <f t="shared" si="104"/>
        <v>87</v>
      </c>
      <c r="L62" s="137">
        <f t="shared" si="105"/>
        <v>179</v>
      </c>
      <c r="M62" s="137">
        <f t="shared" si="106"/>
        <v>51</v>
      </c>
      <c r="N62" s="137">
        <f t="shared" si="107"/>
        <v>41</v>
      </c>
      <c r="O62" s="137">
        <f t="shared" si="108"/>
        <v>16</v>
      </c>
      <c r="P62" s="137">
        <f t="shared" si="109"/>
        <v>122</v>
      </c>
      <c r="Q62" s="137">
        <f>'2009'!AU62</f>
        <v>29</v>
      </c>
      <c r="R62" s="137">
        <f t="shared" si="110"/>
        <v>52</v>
      </c>
      <c r="S62" s="137">
        <f t="shared" si="111"/>
        <v>41</v>
      </c>
      <c r="T62" s="137">
        <f t="shared" si="136"/>
        <v>80</v>
      </c>
      <c r="U62" s="139">
        <f t="shared" si="136"/>
        <v>93</v>
      </c>
      <c r="V62" s="137">
        <f t="shared" si="113"/>
        <v>78</v>
      </c>
      <c r="W62" s="137">
        <f t="shared" si="114"/>
        <v>51</v>
      </c>
      <c r="X62" s="137">
        <f t="shared" si="115"/>
        <v>54</v>
      </c>
      <c r="Y62" s="137">
        <f t="shared" si="116"/>
        <v>66</v>
      </c>
      <c r="Z62" s="137">
        <f t="shared" si="117"/>
        <v>42</v>
      </c>
      <c r="AA62" s="137">
        <f t="shared" si="118"/>
        <v>51</v>
      </c>
      <c r="AB62" s="139">
        <f t="shared" si="119"/>
        <v>64</v>
      </c>
      <c r="AC62" s="137">
        <f t="shared" si="120"/>
        <v>123</v>
      </c>
      <c r="AD62" s="137">
        <f t="shared" si="121"/>
        <v>78</v>
      </c>
      <c r="AE62" s="137">
        <f t="shared" si="122"/>
        <v>127</v>
      </c>
      <c r="AF62" s="137">
        <f t="shared" si="123"/>
        <v>132</v>
      </c>
      <c r="AG62" s="137">
        <f t="shared" si="124"/>
        <v>146</v>
      </c>
      <c r="AH62" s="137">
        <f t="shared" si="125"/>
        <v>101</v>
      </c>
      <c r="AI62" s="137">
        <f t="shared" si="126"/>
        <v>44</v>
      </c>
      <c r="AJ62" s="137">
        <f t="shared" si="127"/>
        <v>71</v>
      </c>
      <c r="AK62" s="139">
        <f t="shared" si="128"/>
        <v>193</v>
      </c>
      <c r="AL62" s="137">
        <f t="shared" si="129"/>
        <v>42</v>
      </c>
      <c r="AM62" s="137">
        <f t="shared" si="130"/>
        <v>52</v>
      </c>
      <c r="AN62" s="137">
        <f t="shared" si="131"/>
        <v>81</v>
      </c>
      <c r="AO62" s="137">
        <f t="shared" si="132"/>
        <v>45</v>
      </c>
      <c r="AP62" s="137">
        <f t="shared" si="132"/>
        <v>14</v>
      </c>
      <c r="AQ62" s="137">
        <f t="shared" si="133"/>
        <v>66</v>
      </c>
      <c r="AR62" s="137">
        <f t="shared" si="134"/>
        <v>42</v>
      </c>
      <c r="AS62" s="138">
        <f t="shared" si="135"/>
        <v>43</v>
      </c>
      <c r="AT62" s="141">
        <v>4</v>
      </c>
      <c r="AU62" s="141">
        <v>29</v>
      </c>
      <c r="AV62" s="141">
        <v>41</v>
      </c>
      <c r="AW62" s="141">
        <v>41</v>
      </c>
      <c r="AX62" s="141">
        <v>48</v>
      </c>
      <c r="AY62" s="137">
        <v>179</v>
      </c>
      <c r="AZ62" s="137">
        <v>8</v>
      </c>
      <c r="BA62" s="137">
        <v>114</v>
      </c>
      <c r="BB62" s="137">
        <v>80</v>
      </c>
      <c r="BC62" s="137">
        <v>93</v>
      </c>
      <c r="BD62" s="137">
        <v>51</v>
      </c>
      <c r="BE62" s="137">
        <v>16</v>
      </c>
      <c r="BF62" s="139">
        <v>87</v>
      </c>
      <c r="BG62" s="137">
        <v>9</v>
      </c>
      <c r="BH62" s="137">
        <v>4</v>
      </c>
      <c r="BI62" s="137">
        <v>50</v>
      </c>
      <c r="BJ62" s="137">
        <v>69</v>
      </c>
      <c r="BK62" s="137">
        <v>9</v>
      </c>
      <c r="BL62" s="137">
        <v>3</v>
      </c>
      <c r="BM62" s="137">
        <v>42</v>
      </c>
      <c r="BN62" s="137">
        <v>54</v>
      </c>
      <c r="BO62" s="137">
        <v>7</v>
      </c>
      <c r="BP62" s="137">
        <v>64</v>
      </c>
      <c r="BQ62" s="137">
        <v>44</v>
      </c>
      <c r="BR62" s="139">
        <v>51</v>
      </c>
      <c r="BS62" s="137">
        <v>9</v>
      </c>
      <c r="BT62" s="137">
        <v>118</v>
      </c>
      <c r="BU62" s="137">
        <v>78</v>
      </c>
      <c r="BV62" s="137">
        <v>146</v>
      </c>
      <c r="BW62" s="137">
        <v>44</v>
      </c>
      <c r="BX62" s="137">
        <v>123</v>
      </c>
      <c r="BY62" s="137">
        <v>71</v>
      </c>
      <c r="BZ62" s="137">
        <v>101</v>
      </c>
      <c r="CA62" s="137">
        <v>132</v>
      </c>
      <c r="CB62" s="139">
        <v>193</v>
      </c>
      <c r="CC62" s="137">
        <v>45</v>
      </c>
      <c r="CD62" s="137">
        <v>14</v>
      </c>
      <c r="CE62" s="137">
        <v>42</v>
      </c>
      <c r="CF62" s="137">
        <v>3</v>
      </c>
      <c r="CG62" s="137">
        <v>40</v>
      </c>
      <c r="CH62" s="137">
        <v>52</v>
      </c>
      <c r="CI62" s="137">
        <v>42</v>
      </c>
      <c r="CJ62" s="137">
        <v>81</v>
      </c>
      <c r="CK62" s="138">
        <v>66</v>
      </c>
      <c r="CL62" s="140">
        <v>2597</v>
      </c>
    </row>
    <row r="63" spans="1:90">
      <c r="A63" s="80">
        <f>ROWS($A$3:A61)</f>
        <v>59</v>
      </c>
      <c r="B63" s="92"/>
      <c r="C63" s="203"/>
      <c r="D63" s="254" t="s">
        <v>1</v>
      </c>
      <c r="E63" s="269"/>
      <c r="F63" s="116">
        <v>279632</v>
      </c>
      <c r="G63" s="137">
        <v>195662</v>
      </c>
      <c r="H63" s="137">
        <v>147874</v>
      </c>
      <c r="I63" s="138">
        <v>295189</v>
      </c>
      <c r="J63" s="141"/>
      <c r="K63" s="116">
        <f t="shared" si="104"/>
        <v>40281</v>
      </c>
      <c r="L63" s="137">
        <f t="shared" si="105"/>
        <v>7673</v>
      </c>
      <c r="M63" s="137">
        <f t="shared" si="106"/>
        <v>51742</v>
      </c>
      <c r="N63" s="137">
        <f t="shared" si="107"/>
        <v>21225</v>
      </c>
      <c r="O63" s="137">
        <f t="shared" si="108"/>
        <v>59207</v>
      </c>
      <c r="P63" s="137">
        <f t="shared" si="109"/>
        <v>27456</v>
      </c>
      <c r="Q63" s="137">
        <f>'2009'!AU63</f>
        <v>26417</v>
      </c>
      <c r="R63" s="137">
        <f t="shared" si="110"/>
        <v>16873</v>
      </c>
      <c r="S63" s="137">
        <f t="shared" si="111"/>
        <v>9075</v>
      </c>
      <c r="T63" s="137">
        <f t="shared" si="136"/>
        <v>13640</v>
      </c>
      <c r="U63" s="139">
        <f t="shared" si="136"/>
        <v>6042</v>
      </c>
      <c r="V63" s="137">
        <f t="shared" si="113"/>
        <v>17344</v>
      </c>
      <c r="W63" s="137">
        <f t="shared" si="114"/>
        <v>16949</v>
      </c>
      <c r="X63" s="137">
        <f t="shared" si="115"/>
        <v>41890</v>
      </c>
      <c r="Y63" s="137">
        <f t="shared" si="116"/>
        <v>40175</v>
      </c>
      <c r="Z63" s="137">
        <f t="shared" si="117"/>
        <v>29657</v>
      </c>
      <c r="AA63" s="137">
        <f t="shared" si="118"/>
        <v>27461</v>
      </c>
      <c r="AB63" s="139">
        <f t="shared" si="119"/>
        <v>22186</v>
      </c>
      <c r="AC63" s="137">
        <f t="shared" si="120"/>
        <v>17138</v>
      </c>
      <c r="AD63" s="137">
        <f t="shared" si="121"/>
        <v>8052</v>
      </c>
      <c r="AE63" s="137">
        <f t="shared" si="122"/>
        <v>18998</v>
      </c>
      <c r="AF63" s="137">
        <f t="shared" si="123"/>
        <v>9538</v>
      </c>
      <c r="AG63" s="137">
        <f t="shared" si="124"/>
        <v>19314</v>
      </c>
      <c r="AH63" s="137">
        <f t="shared" si="125"/>
        <v>20918</v>
      </c>
      <c r="AI63" s="137">
        <f t="shared" si="126"/>
        <v>18038</v>
      </c>
      <c r="AJ63" s="137">
        <f t="shared" si="127"/>
        <v>14778</v>
      </c>
      <c r="AK63" s="139">
        <f t="shared" si="128"/>
        <v>21098</v>
      </c>
      <c r="AL63" s="137">
        <f t="shared" si="129"/>
        <v>27350</v>
      </c>
      <c r="AM63" s="137">
        <f t="shared" si="130"/>
        <v>26428</v>
      </c>
      <c r="AN63" s="137">
        <f t="shared" si="131"/>
        <v>20580</v>
      </c>
      <c r="AO63" s="137">
        <f t="shared" si="132"/>
        <v>65812</v>
      </c>
      <c r="AP63" s="137">
        <f t="shared" si="132"/>
        <v>12118</v>
      </c>
      <c r="AQ63" s="137">
        <f t="shared" si="133"/>
        <v>40540</v>
      </c>
      <c r="AR63" s="137">
        <f t="shared" si="134"/>
        <v>8313</v>
      </c>
      <c r="AS63" s="138">
        <f t="shared" si="135"/>
        <v>94048</v>
      </c>
      <c r="AT63" s="137">
        <v>1262</v>
      </c>
      <c r="AU63" s="137">
        <v>26417</v>
      </c>
      <c r="AV63" s="137">
        <v>9075</v>
      </c>
      <c r="AW63" s="137">
        <v>21225</v>
      </c>
      <c r="AX63" s="137">
        <v>15611</v>
      </c>
      <c r="AY63" s="137">
        <v>7673</v>
      </c>
      <c r="AZ63" s="137">
        <v>2749</v>
      </c>
      <c r="BA63" s="137">
        <v>24707</v>
      </c>
      <c r="BB63" s="137">
        <v>13640</v>
      </c>
      <c r="BC63" s="137">
        <v>6042</v>
      </c>
      <c r="BD63" s="137">
        <v>51742</v>
      </c>
      <c r="BE63" s="137">
        <v>59207</v>
      </c>
      <c r="BF63" s="139">
        <v>40281</v>
      </c>
      <c r="BG63" s="137">
        <v>2570</v>
      </c>
      <c r="BH63" s="137">
        <v>6757</v>
      </c>
      <c r="BI63" s="137">
        <v>35133</v>
      </c>
      <c r="BJ63" s="137">
        <v>14774</v>
      </c>
      <c r="BK63" s="137">
        <v>4213</v>
      </c>
      <c r="BL63" s="137">
        <v>2956</v>
      </c>
      <c r="BM63" s="137">
        <v>29657</v>
      </c>
      <c r="BN63" s="137">
        <v>33006</v>
      </c>
      <c r="BO63" s="137">
        <v>3968</v>
      </c>
      <c r="BP63" s="137">
        <v>22186</v>
      </c>
      <c r="BQ63" s="137">
        <v>23493</v>
      </c>
      <c r="BR63" s="139">
        <v>16949</v>
      </c>
      <c r="BS63" s="137">
        <v>2004</v>
      </c>
      <c r="BT63" s="137">
        <v>16994</v>
      </c>
      <c r="BU63" s="137">
        <v>8052</v>
      </c>
      <c r="BV63" s="137">
        <v>19314</v>
      </c>
      <c r="BW63" s="137">
        <v>18038</v>
      </c>
      <c r="BX63" s="137">
        <v>17138</v>
      </c>
      <c r="BY63" s="137">
        <v>14778</v>
      </c>
      <c r="BZ63" s="137">
        <v>20918</v>
      </c>
      <c r="CA63" s="137">
        <v>9538</v>
      </c>
      <c r="CB63" s="139">
        <v>21098</v>
      </c>
      <c r="CC63" s="137">
        <v>65812</v>
      </c>
      <c r="CD63" s="137">
        <v>12118</v>
      </c>
      <c r="CE63" s="137">
        <v>27350</v>
      </c>
      <c r="CF63" s="137">
        <v>827</v>
      </c>
      <c r="CG63" s="137">
        <v>93221</v>
      </c>
      <c r="CH63" s="137">
        <v>26428</v>
      </c>
      <c r="CI63" s="137">
        <v>8313</v>
      </c>
      <c r="CJ63" s="137">
        <v>20580</v>
      </c>
      <c r="CK63" s="138">
        <v>40540</v>
      </c>
      <c r="CL63" s="140">
        <v>918358</v>
      </c>
    </row>
    <row r="64" spans="1:90">
      <c r="A64" s="80">
        <f>ROWS($A$3:A62)</f>
        <v>60</v>
      </c>
      <c r="B64" s="59" t="s">
        <v>80</v>
      </c>
      <c r="C64" s="203"/>
      <c r="D64" s="254"/>
      <c r="E64" s="269"/>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v>11660</v>
      </c>
      <c r="AW65" s="493">
        <v>21550</v>
      </c>
      <c r="AX65" s="493">
        <v>184</v>
      </c>
      <c r="AY65" s="493">
        <v>17583</v>
      </c>
      <c r="AZ65" s="493">
        <v>0</v>
      </c>
      <c r="BA65" s="493">
        <v>4301</v>
      </c>
      <c r="BB65" s="493">
        <v>20868</v>
      </c>
      <c r="BC65" s="493">
        <v>72802</v>
      </c>
      <c r="BD65" s="493">
        <v>44936</v>
      </c>
      <c r="BE65" s="493">
        <v>13465</v>
      </c>
      <c r="BF65" s="510">
        <v>64713</v>
      </c>
      <c r="BG65" s="493">
        <v>0</v>
      </c>
      <c r="BH65" s="493">
        <v>0</v>
      </c>
      <c r="BI65" s="493">
        <v>1416</v>
      </c>
      <c r="BJ65" s="493">
        <v>1994</v>
      </c>
      <c r="BK65" s="493">
        <v>0</v>
      </c>
      <c r="BL65" s="493">
        <v>0</v>
      </c>
      <c r="BM65" s="493">
        <v>29776</v>
      </c>
      <c r="BN65" s="493">
        <v>2994</v>
      </c>
      <c r="BO65" s="493">
        <v>0</v>
      </c>
      <c r="BP65" s="493">
        <v>11776</v>
      </c>
      <c r="BQ65" s="493">
        <v>7224</v>
      </c>
      <c r="BR65" s="510">
        <v>16365</v>
      </c>
      <c r="BS65" s="493">
        <v>0</v>
      </c>
      <c r="BT65" s="493">
        <v>25848</v>
      </c>
      <c r="BU65" s="493">
        <v>10282</v>
      </c>
      <c r="BV65" s="493">
        <v>23805</v>
      </c>
      <c r="BW65" s="493">
        <v>31285</v>
      </c>
      <c r="BX65" s="493">
        <v>38054</v>
      </c>
      <c r="BY65" s="493">
        <v>24640</v>
      </c>
      <c r="BZ65" s="493">
        <v>19530</v>
      </c>
      <c r="CA65" s="493">
        <v>14169</v>
      </c>
      <c r="CB65" s="510">
        <v>40181</v>
      </c>
      <c r="CC65" s="493">
        <v>40988</v>
      </c>
      <c r="CD65" s="493">
        <v>10760</v>
      </c>
      <c r="CE65" s="493">
        <v>33810</v>
      </c>
      <c r="CF65" s="493">
        <v>0</v>
      </c>
      <c r="CG65" s="493">
        <v>34239</v>
      </c>
      <c r="CH65" s="493">
        <v>10710</v>
      </c>
      <c r="CI65" s="493">
        <v>8198</v>
      </c>
      <c r="CJ65" s="493">
        <v>52208</v>
      </c>
      <c r="CK65" s="509">
        <v>40571</v>
      </c>
      <c r="CL65" s="511">
        <v>815447</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2009</v>
      </c>
      <c r="D67" s="260" t="s">
        <v>3</v>
      </c>
      <c r="E67" s="483">
        <v>42909</v>
      </c>
      <c r="F67" s="526">
        <f>IF(F65/F35%&gt;100,100,F65/F35%)</f>
        <v>60.085129260167044</v>
      </c>
      <c r="G67" s="523">
        <f t="shared" ref="G67:BR67" si="137">IF(G65/G35%&gt;100,100,G65/G35%)</f>
        <v>35.104634331836806</v>
      </c>
      <c r="H67" s="523">
        <f t="shared" si="137"/>
        <v>69.598347683151133</v>
      </c>
      <c r="I67" s="525">
        <f t="shared" si="137"/>
        <v>53.56888300580389</v>
      </c>
      <c r="J67" s="173"/>
      <c r="K67" s="170">
        <f t="shared" si="137"/>
        <v>97.897221003585315</v>
      </c>
      <c r="L67" s="171">
        <f t="shared" si="137"/>
        <v>67.031375090541729</v>
      </c>
      <c r="M67" s="171">
        <f t="shared" si="137"/>
        <v>64.885782770670289</v>
      </c>
      <c r="N67" s="171">
        <f t="shared" si="137"/>
        <v>75.736276094749414</v>
      </c>
      <c r="O67" s="171">
        <f t="shared" si="137"/>
        <v>51.081183611532623</v>
      </c>
      <c r="P67" s="171">
        <f t="shared" si="137"/>
        <v>12.344771652792836</v>
      </c>
      <c r="Q67" s="171">
        <f t="shared" si="137"/>
        <v>58.64742265353398</v>
      </c>
      <c r="R67" s="171">
        <f t="shared" si="137"/>
        <v>0.52441075042038365</v>
      </c>
      <c r="S67" s="171">
        <f t="shared" si="137"/>
        <v>58.507702343318783</v>
      </c>
      <c r="T67" s="171">
        <f t="shared" si="137"/>
        <v>49.737820573934599</v>
      </c>
      <c r="U67" s="172">
        <f t="shared" si="137"/>
        <v>93.910194393921799</v>
      </c>
      <c r="V67" s="171">
        <f t="shared" si="137"/>
        <v>11.997593261131168</v>
      </c>
      <c r="W67" s="171">
        <f t="shared" si="137"/>
        <v>83.798453581852627</v>
      </c>
      <c r="X67" s="171">
        <f t="shared" si="137"/>
        <v>3.537170263788969</v>
      </c>
      <c r="Y67" s="171">
        <f t="shared" si="137"/>
        <v>6.9501833882724364</v>
      </c>
      <c r="Z67" s="171">
        <f t="shared" si="137"/>
        <v>63.550604003927091</v>
      </c>
      <c r="AA67" s="171">
        <f t="shared" si="137"/>
        <v>35.854675402025016</v>
      </c>
      <c r="AB67" s="172">
        <f t="shared" si="137"/>
        <v>67.122663018695846</v>
      </c>
      <c r="AC67" s="171">
        <f t="shared" si="137"/>
        <v>96.412465163415249</v>
      </c>
      <c r="AD67" s="171">
        <f t="shared" si="137"/>
        <v>44.838864419344993</v>
      </c>
      <c r="AE67" s="171">
        <f t="shared" si="137"/>
        <v>48.462576871156443</v>
      </c>
      <c r="AF67" s="171">
        <f t="shared" si="137"/>
        <v>59.26963942106584</v>
      </c>
      <c r="AG67" s="171">
        <f t="shared" si="137"/>
        <v>40.484005374058263</v>
      </c>
      <c r="AH67" s="171">
        <f t="shared" si="137"/>
        <v>56.595572041265797</v>
      </c>
      <c r="AI67" s="171">
        <f t="shared" si="137"/>
        <v>100</v>
      </c>
      <c r="AJ67" s="171">
        <f t="shared" si="137"/>
        <v>100</v>
      </c>
      <c r="AK67" s="172">
        <f t="shared" si="137"/>
        <v>100</v>
      </c>
      <c r="AL67" s="171">
        <f t="shared" si="137"/>
        <v>99.123398516520567</v>
      </c>
      <c r="AM67" s="171">
        <f t="shared" si="137"/>
        <v>13.804748524142196</v>
      </c>
      <c r="AN67" s="171">
        <f t="shared" si="137"/>
        <v>59.473252528934658</v>
      </c>
      <c r="AO67" s="171">
        <f t="shared" si="137"/>
        <v>94.555688843775954</v>
      </c>
      <c r="AP67" s="171">
        <f t="shared" si="137"/>
        <v>54.157439098047107</v>
      </c>
      <c r="AQ67" s="171">
        <f t="shared" si="137"/>
        <v>73.52349540602745</v>
      </c>
      <c r="AR67" s="171">
        <f t="shared" si="137"/>
        <v>24.069996183094045</v>
      </c>
      <c r="AS67" s="174">
        <f t="shared" si="137"/>
        <v>42.695746511540911</v>
      </c>
      <c r="AT67" s="523">
        <f t="shared" si="137"/>
        <v>0</v>
      </c>
      <c r="AU67" s="523">
        <f t="shared" si="137"/>
        <v>52.329701479316149</v>
      </c>
      <c r="AV67" s="523">
        <f t="shared" si="137"/>
        <v>58.507702343318783</v>
      </c>
      <c r="AW67" s="523">
        <f t="shared" si="137"/>
        <v>75.736276094749414</v>
      </c>
      <c r="AX67" s="523">
        <f t="shared" si="137"/>
        <v>0.56537102473498235</v>
      </c>
      <c r="AY67" s="523">
        <f t="shared" si="137"/>
        <v>67.031375090541729</v>
      </c>
      <c r="AZ67" s="523">
        <f t="shared" si="137"/>
        <v>0</v>
      </c>
      <c r="BA67" s="523">
        <f t="shared" si="137"/>
        <v>7.8482537133681252</v>
      </c>
      <c r="BB67" s="523">
        <f t="shared" si="137"/>
        <v>49.737820573934599</v>
      </c>
      <c r="BC67" s="523">
        <f t="shared" si="137"/>
        <v>93.910194393921799</v>
      </c>
      <c r="BD67" s="523">
        <f t="shared" si="137"/>
        <v>64.885782770670289</v>
      </c>
      <c r="BE67" s="523">
        <f t="shared" si="137"/>
        <v>51.081183611532623</v>
      </c>
      <c r="BF67" s="524">
        <f t="shared" si="137"/>
        <v>97.897221003585315</v>
      </c>
      <c r="BG67" s="523">
        <f t="shared" si="137"/>
        <v>0</v>
      </c>
      <c r="BH67" s="523">
        <f t="shared" si="137"/>
        <v>0</v>
      </c>
      <c r="BI67" s="523">
        <f t="shared" si="137"/>
        <v>3.7863999786079097</v>
      </c>
      <c r="BJ67" s="523">
        <f t="shared" si="137"/>
        <v>13.405042016806723</v>
      </c>
      <c r="BK67" s="523">
        <f t="shared" si="137"/>
        <v>0</v>
      </c>
      <c r="BL67" s="523">
        <f t="shared" si="137"/>
        <v>0</v>
      </c>
      <c r="BM67" s="523">
        <f t="shared" si="137"/>
        <v>63.550604003927091</v>
      </c>
      <c r="BN67" s="523">
        <f t="shared" si="137"/>
        <v>7.7798565637667609</v>
      </c>
      <c r="BO67" s="523">
        <f t="shared" si="137"/>
        <v>0</v>
      </c>
      <c r="BP67" s="523">
        <f t="shared" si="137"/>
        <v>67.122663018695846</v>
      </c>
      <c r="BQ67" s="523">
        <f t="shared" si="137"/>
        <v>37.709453463485936</v>
      </c>
      <c r="BR67" s="524">
        <f t="shared" si="137"/>
        <v>83.798453581852627</v>
      </c>
      <c r="BS67" s="523">
        <f t="shared" ref="BS67:CL67" si="138">IF(BS65/BS35%&gt;100,100,BS65/BS35%)</f>
        <v>0</v>
      </c>
      <c r="BT67" s="523">
        <f t="shared" si="138"/>
        <v>51.934900542495484</v>
      </c>
      <c r="BU67" s="523">
        <f t="shared" si="138"/>
        <v>44.838864419344993</v>
      </c>
      <c r="BV67" s="523">
        <f t="shared" si="138"/>
        <v>40.484005374058263</v>
      </c>
      <c r="BW67" s="523">
        <f t="shared" si="138"/>
        <v>100</v>
      </c>
      <c r="BX67" s="523">
        <f t="shared" si="138"/>
        <v>96.412465163415249</v>
      </c>
      <c r="BY67" s="523">
        <f t="shared" si="138"/>
        <v>100</v>
      </c>
      <c r="BZ67" s="523">
        <f t="shared" si="138"/>
        <v>56.595572041265797</v>
      </c>
      <c r="CA67" s="523">
        <f t="shared" si="138"/>
        <v>59.26963942106584</v>
      </c>
      <c r="CB67" s="524">
        <f t="shared" si="138"/>
        <v>100</v>
      </c>
      <c r="CC67" s="523">
        <f t="shared" si="138"/>
        <v>94.555688843775954</v>
      </c>
      <c r="CD67" s="523">
        <f t="shared" si="138"/>
        <v>54.157439098047107</v>
      </c>
      <c r="CE67" s="523">
        <f t="shared" si="138"/>
        <v>99.123398516520567</v>
      </c>
      <c r="CF67" s="523">
        <f t="shared" si="138"/>
        <v>0</v>
      </c>
      <c r="CG67" s="523">
        <f t="shared" si="138"/>
        <v>45.401986394918652</v>
      </c>
      <c r="CH67" s="523">
        <f t="shared" si="138"/>
        <v>13.804748524142196</v>
      </c>
      <c r="CI67" s="523">
        <f t="shared" si="138"/>
        <v>24.069996183094045</v>
      </c>
      <c r="CJ67" s="523">
        <f t="shared" si="138"/>
        <v>59.473252528934658</v>
      </c>
      <c r="CK67" s="525">
        <f t="shared" si="138"/>
        <v>73.52349540602745</v>
      </c>
      <c r="CL67" s="478">
        <f t="shared" si="138"/>
        <v>56.798580744203804</v>
      </c>
    </row>
    <row r="68" spans="1:90">
      <c r="A68" s="80">
        <f>ROWS($A$3:A66)</f>
        <v>64</v>
      </c>
      <c r="B68" s="59" t="s">
        <v>81</v>
      </c>
      <c r="C68" s="203"/>
      <c r="D68" s="254"/>
      <c r="E68" s="269"/>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82</v>
      </c>
      <c r="C69" s="202">
        <v>2007</v>
      </c>
      <c r="D69" s="254" t="s">
        <v>13</v>
      </c>
      <c r="E69" s="269"/>
      <c r="F69" s="116">
        <v>756</v>
      </c>
      <c r="G69" s="137">
        <v>221</v>
      </c>
      <c r="H69" s="137">
        <v>1049</v>
      </c>
      <c r="I69" s="138">
        <v>870</v>
      </c>
      <c r="J69" s="141"/>
      <c r="K69" s="116">
        <f>BF69</f>
        <v>91</v>
      </c>
      <c r="L69" s="137">
        <f>AY69</f>
        <v>119</v>
      </c>
      <c r="M69" s="137">
        <f>BD69</f>
        <v>104</v>
      </c>
      <c r="N69" s="137">
        <f>AW69</f>
        <v>40</v>
      </c>
      <c r="O69" s="137">
        <f>BE69</f>
        <v>40</v>
      </c>
      <c r="P69" s="137">
        <f>'2009'!AZ69+'2009'!BA69</f>
        <v>60</v>
      </c>
      <c r="Q69" s="137">
        <f>'2009'!AU69</f>
        <v>26</v>
      </c>
      <c r="R69" s="137">
        <f>AT69+AX69</f>
        <v>52</v>
      </c>
      <c r="S69" s="137">
        <f>AV69</f>
        <v>40</v>
      </c>
      <c r="T69" s="137">
        <f t="shared" ref="T69:U71" si="139">BB69</f>
        <v>64</v>
      </c>
      <c r="U69" s="139">
        <f t="shared" si="139"/>
        <v>120</v>
      </c>
      <c r="V69" s="137">
        <f>BG69+BJ69</f>
        <v>18</v>
      </c>
      <c r="W69" s="137">
        <f>BR69</f>
        <v>35</v>
      </c>
      <c r="X69" s="137">
        <f>BH69+BI69</f>
        <v>38</v>
      </c>
      <c r="Y69" s="137">
        <f>BK69+BL69+BN69</f>
        <v>35</v>
      </c>
      <c r="Z69" s="137">
        <f>BM69</f>
        <v>35</v>
      </c>
      <c r="AA69" s="137">
        <f>BO69+BQ69</f>
        <v>35</v>
      </c>
      <c r="AB69" s="139">
        <f>BP69</f>
        <v>25</v>
      </c>
      <c r="AC69" s="137">
        <f>BX69</f>
        <v>98</v>
      </c>
      <c r="AD69" s="137">
        <f>BU69</f>
        <v>77</v>
      </c>
      <c r="AE69" s="137">
        <f>BS69+BT69</f>
        <v>261</v>
      </c>
      <c r="AF69" s="137">
        <f>CA69</f>
        <v>101</v>
      </c>
      <c r="AG69" s="137">
        <f>BV69</f>
        <v>137</v>
      </c>
      <c r="AH69" s="137">
        <f>BZ69</f>
        <v>98</v>
      </c>
      <c r="AI69" s="137">
        <f>BW69</f>
        <v>46</v>
      </c>
      <c r="AJ69" s="137">
        <f>BY69</f>
        <v>40</v>
      </c>
      <c r="AK69" s="139">
        <f>CB69</f>
        <v>191</v>
      </c>
      <c r="AL69" s="137">
        <f>CE69</f>
        <v>55</v>
      </c>
      <c r="AM69" s="137">
        <f>CH69</f>
        <v>60</v>
      </c>
      <c r="AN69" s="137">
        <f>CJ69</f>
        <v>325</v>
      </c>
      <c r="AO69" s="137">
        <f t="shared" ref="AO69:AP71" si="140">CC69</f>
        <v>66</v>
      </c>
      <c r="AP69" s="137">
        <f t="shared" si="140"/>
        <v>40</v>
      </c>
      <c r="AQ69" s="137">
        <f>CK69</f>
        <v>77</v>
      </c>
      <c r="AR69" s="137">
        <f>CI69</f>
        <v>178</v>
      </c>
      <c r="AS69" s="138">
        <f>CF69+CG69</f>
        <v>69</v>
      </c>
      <c r="AT69" s="137">
        <v>7</v>
      </c>
      <c r="AU69" s="137">
        <v>26</v>
      </c>
      <c r="AV69" s="137">
        <v>40</v>
      </c>
      <c r="AW69" s="141">
        <v>40</v>
      </c>
      <c r="AX69" s="137">
        <v>45</v>
      </c>
      <c r="AY69" s="137">
        <v>119</v>
      </c>
      <c r="AZ69" s="137">
        <v>7</v>
      </c>
      <c r="BA69" s="137">
        <v>53</v>
      </c>
      <c r="BB69" s="137">
        <v>64</v>
      </c>
      <c r="BC69" s="137">
        <v>120</v>
      </c>
      <c r="BD69" s="137">
        <v>104</v>
      </c>
      <c r="BE69" s="137">
        <v>40</v>
      </c>
      <c r="BF69" s="139">
        <v>91</v>
      </c>
      <c r="BG69" s="137">
        <v>4</v>
      </c>
      <c r="BH69" s="137">
        <v>6</v>
      </c>
      <c r="BI69" s="137">
        <v>32</v>
      </c>
      <c r="BJ69" s="137">
        <v>14</v>
      </c>
      <c r="BK69" s="137">
        <v>3</v>
      </c>
      <c r="BL69" s="137">
        <v>0</v>
      </c>
      <c r="BM69" s="137">
        <v>35</v>
      </c>
      <c r="BN69" s="137">
        <v>32</v>
      </c>
      <c r="BO69" s="137">
        <v>2</v>
      </c>
      <c r="BP69" s="137">
        <v>25</v>
      </c>
      <c r="BQ69" s="137">
        <v>33</v>
      </c>
      <c r="BR69" s="139">
        <v>35</v>
      </c>
      <c r="BS69" s="137">
        <v>15</v>
      </c>
      <c r="BT69" s="137">
        <v>246</v>
      </c>
      <c r="BU69" s="137">
        <v>77</v>
      </c>
      <c r="BV69" s="137">
        <v>137</v>
      </c>
      <c r="BW69" s="137">
        <v>46</v>
      </c>
      <c r="BX69" s="137">
        <v>98</v>
      </c>
      <c r="BY69" s="137">
        <v>40</v>
      </c>
      <c r="BZ69" s="137">
        <v>98</v>
      </c>
      <c r="CA69" s="137">
        <v>101</v>
      </c>
      <c r="CB69" s="139">
        <v>191</v>
      </c>
      <c r="CC69" s="137">
        <v>66</v>
      </c>
      <c r="CD69" s="137">
        <v>40</v>
      </c>
      <c r="CE69" s="137">
        <v>55</v>
      </c>
      <c r="CF69" s="137">
        <v>1</v>
      </c>
      <c r="CG69" s="137">
        <v>68</v>
      </c>
      <c r="CH69" s="137">
        <v>60</v>
      </c>
      <c r="CI69" s="137">
        <v>178</v>
      </c>
      <c r="CJ69" s="137">
        <v>325</v>
      </c>
      <c r="CK69" s="138">
        <v>77</v>
      </c>
      <c r="CL69" s="140">
        <v>2896</v>
      </c>
    </row>
    <row r="70" spans="1:90">
      <c r="A70" s="80">
        <f>ROWS($A$3:A68)</f>
        <v>66</v>
      </c>
      <c r="B70" s="92" t="s">
        <v>70</v>
      </c>
      <c r="C70" s="203"/>
      <c r="D70" s="254" t="s">
        <v>1</v>
      </c>
      <c r="E70" s="269"/>
      <c r="F70" s="116">
        <v>24805</v>
      </c>
      <c r="G70" s="137">
        <v>8359</v>
      </c>
      <c r="H70" s="137">
        <v>31034</v>
      </c>
      <c r="I70" s="138">
        <v>30108</v>
      </c>
      <c r="J70" s="141"/>
      <c r="K70" s="116">
        <f>BF70</f>
        <v>2642</v>
      </c>
      <c r="L70" s="137">
        <f>AY70</f>
        <v>3591</v>
      </c>
      <c r="M70" s="137">
        <f>BD70</f>
        <v>3673</v>
      </c>
      <c r="N70" s="137">
        <f>AW70</f>
        <v>1503</v>
      </c>
      <c r="O70" s="137">
        <f>BE70</f>
        <v>2148</v>
      </c>
      <c r="P70" s="137">
        <f>'2009'!AZ70+'2009'!BA70</f>
        <v>1599</v>
      </c>
      <c r="Q70" s="137">
        <f>'2009'!AU70</f>
        <v>1022</v>
      </c>
      <c r="R70" s="137">
        <f>AT70+AX70</f>
        <v>1365</v>
      </c>
      <c r="S70" s="137">
        <f>AV70</f>
        <v>1181</v>
      </c>
      <c r="T70" s="137">
        <f t="shared" si="139"/>
        <v>2074</v>
      </c>
      <c r="U70" s="139">
        <f t="shared" si="139"/>
        <v>4007</v>
      </c>
      <c r="V70" s="137">
        <f>BG70+BJ70</f>
        <v>559</v>
      </c>
      <c r="W70" s="137">
        <f>BR70</f>
        <v>1270</v>
      </c>
      <c r="X70" s="137">
        <f>BH70+BI70</f>
        <v>1145</v>
      </c>
      <c r="Y70" s="137">
        <f>BL70+BN70</f>
        <v>1278</v>
      </c>
      <c r="Z70" s="137">
        <f>BM70</f>
        <v>1872</v>
      </c>
      <c r="AA70" s="137">
        <f>BQ70</f>
        <v>1486</v>
      </c>
      <c r="AB70" s="139">
        <f>BP70</f>
        <v>749</v>
      </c>
      <c r="AC70" s="137">
        <f>BX70</f>
        <v>3007</v>
      </c>
      <c r="AD70" s="137">
        <f>BU70</f>
        <v>1334</v>
      </c>
      <c r="AE70" s="137">
        <f>BS70+BT70</f>
        <v>5979</v>
      </c>
      <c r="AF70" s="137">
        <f>CA70</f>
        <v>2677</v>
      </c>
      <c r="AG70" s="137">
        <f>BV70</f>
        <v>2883</v>
      </c>
      <c r="AH70" s="137">
        <f>BZ70</f>
        <v>4133</v>
      </c>
      <c r="AI70" s="137">
        <f>BW70</f>
        <v>1627</v>
      </c>
      <c r="AJ70" s="137">
        <f>BY70</f>
        <v>2784</v>
      </c>
      <c r="AK70" s="139">
        <f>CB70</f>
        <v>6610</v>
      </c>
      <c r="AL70" s="137">
        <f>CE70</f>
        <v>3211</v>
      </c>
      <c r="AM70" s="137">
        <f>CH70</f>
        <v>2501</v>
      </c>
      <c r="AN70" s="137">
        <f>CJ70</f>
        <v>9892</v>
      </c>
      <c r="AO70" s="137">
        <f t="shared" si="140"/>
        <v>2429</v>
      </c>
      <c r="AP70" s="137">
        <f t="shared" si="140"/>
        <v>2971</v>
      </c>
      <c r="AQ70" s="137">
        <f>CK70</f>
        <v>3153</v>
      </c>
      <c r="AR70" s="137">
        <f>CI70</f>
        <v>3609</v>
      </c>
      <c r="AS70" s="138">
        <f>CG70</f>
        <v>2342</v>
      </c>
      <c r="AT70" s="137">
        <v>266</v>
      </c>
      <c r="AU70" s="141">
        <v>1022</v>
      </c>
      <c r="AV70" s="141">
        <v>1181</v>
      </c>
      <c r="AW70" s="141">
        <v>1503</v>
      </c>
      <c r="AX70" s="141">
        <v>1099</v>
      </c>
      <c r="AY70" s="137">
        <v>3591</v>
      </c>
      <c r="AZ70" s="137">
        <v>87</v>
      </c>
      <c r="BA70" s="137">
        <v>1512</v>
      </c>
      <c r="BB70" s="137">
        <v>2074</v>
      </c>
      <c r="BC70" s="137">
        <v>4007</v>
      </c>
      <c r="BD70" s="137">
        <v>3673</v>
      </c>
      <c r="BE70" s="137">
        <v>2148</v>
      </c>
      <c r="BF70" s="139">
        <v>2642</v>
      </c>
      <c r="BG70" s="137">
        <v>217</v>
      </c>
      <c r="BH70" s="137">
        <v>147</v>
      </c>
      <c r="BI70" s="137">
        <v>998</v>
      </c>
      <c r="BJ70" s="137">
        <v>342</v>
      </c>
      <c r="BK70" s="137" t="s">
        <v>233</v>
      </c>
      <c r="BL70" s="137">
        <v>0</v>
      </c>
      <c r="BM70" s="137">
        <v>1872</v>
      </c>
      <c r="BN70" s="137">
        <v>1278</v>
      </c>
      <c r="BO70" s="137" t="s">
        <v>233</v>
      </c>
      <c r="BP70" s="137">
        <v>749</v>
      </c>
      <c r="BQ70" s="137">
        <v>1486</v>
      </c>
      <c r="BR70" s="139">
        <v>1270</v>
      </c>
      <c r="BS70" s="137">
        <v>215</v>
      </c>
      <c r="BT70" s="137">
        <v>5764</v>
      </c>
      <c r="BU70" s="137">
        <v>1334</v>
      </c>
      <c r="BV70" s="137">
        <v>2883</v>
      </c>
      <c r="BW70" s="137">
        <v>1627</v>
      </c>
      <c r="BX70" s="137">
        <v>3007</v>
      </c>
      <c r="BY70" s="137">
        <v>2784</v>
      </c>
      <c r="BZ70" s="137">
        <v>4133</v>
      </c>
      <c r="CA70" s="137">
        <v>2677</v>
      </c>
      <c r="CB70" s="139">
        <v>6610</v>
      </c>
      <c r="CC70" s="137">
        <v>2429</v>
      </c>
      <c r="CD70" s="137">
        <v>2971</v>
      </c>
      <c r="CE70" s="137">
        <v>3211</v>
      </c>
      <c r="CF70" s="137" t="s">
        <v>233</v>
      </c>
      <c r="CG70" s="137">
        <v>2342</v>
      </c>
      <c r="CH70" s="137">
        <v>2501</v>
      </c>
      <c r="CI70" s="137">
        <v>3609</v>
      </c>
      <c r="CJ70" s="137">
        <v>9892</v>
      </c>
      <c r="CK70" s="138">
        <v>3153</v>
      </c>
      <c r="CL70" s="140">
        <v>94593</v>
      </c>
    </row>
    <row r="71" spans="1:90">
      <c r="A71" s="80">
        <f>ROWS($A$3:A69)</f>
        <v>67</v>
      </c>
      <c r="B71" s="54" t="s">
        <v>67</v>
      </c>
      <c r="C71" s="252"/>
      <c r="D71" s="254" t="s">
        <v>1</v>
      </c>
      <c r="E71" s="269"/>
      <c r="F71" s="167">
        <f>IF(OR(F69&lt;0.1,F70&lt;0.1),0,F70/F69)</f>
        <v>32.810846560846564</v>
      </c>
      <c r="G71" s="168">
        <f>IF(OR(G69&lt;0.1,G70&lt;0.1),0,G70/G69)</f>
        <v>37.823529411764703</v>
      </c>
      <c r="H71" s="168">
        <f>IF(OR(H69&lt;0.1,H70&lt;0.1),0,H70/H69)</f>
        <v>29.584366062917063</v>
      </c>
      <c r="I71" s="169">
        <f>IF(OR(I69&lt;0.1,I70&lt;0.1),0,I70/I69)</f>
        <v>34.606896551724141</v>
      </c>
      <c r="J71" s="173"/>
      <c r="K71" s="178">
        <f>BF71</f>
        <v>29.032967032967033</v>
      </c>
      <c r="L71" s="179">
        <f>AY71</f>
        <v>30.176470588235293</v>
      </c>
      <c r="M71" s="179">
        <f>BD71</f>
        <v>35.317307692307693</v>
      </c>
      <c r="N71" s="179">
        <f>AW71</f>
        <v>37.575000000000003</v>
      </c>
      <c r="O71" s="179">
        <f>BE71</f>
        <v>53.7</v>
      </c>
      <c r="P71" s="168">
        <f>IF(OR(P69&lt;0.1,P70&lt;0.1),0,P70/P69)</f>
        <v>26.65</v>
      </c>
      <c r="Q71" s="179">
        <f>'2009'!AU71</f>
        <v>39.307692307692307</v>
      </c>
      <c r="R71" s="168">
        <f>IF(OR(R69&lt;0.1,R70&lt;0.1),0,R70/R69)</f>
        <v>26.25</v>
      </c>
      <c r="S71" s="179">
        <f>AV71</f>
        <v>29.524999999999999</v>
      </c>
      <c r="T71" s="179">
        <f t="shared" si="139"/>
        <v>32.40625</v>
      </c>
      <c r="U71" s="180">
        <f t="shared" si="139"/>
        <v>33.391666666666666</v>
      </c>
      <c r="V71" s="168">
        <f>IF(OR(V69&lt;0.1,V70&lt;0.1),0,V70/V69)</f>
        <v>31.055555555555557</v>
      </c>
      <c r="W71" s="179">
        <f>BR71</f>
        <v>36.285714285714285</v>
      </c>
      <c r="X71" s="168">
        <f>IF(OR(X69&lt;0.1,X70&lt;0.1),0,X70/X69)</f>
        <v>30.131578947368421</v>
      </c>
      <c r="Y71" s="168">
        <f>IF(OR(Y69&lt;0.1,Y70&lt;0.1),0,Y70/Y69)</f>
        <v>36.514285714285712</v>
      </c>
      <c r="Z71" s="179">
        <f>BM71</f>
        <v>53.485714285714288</v>
      </c>
      <c r="AA71" s="168">
        <f>IF(OR(AA69&lt;0.1,AA70&lt;0.1),0,AA70/AA69)</f>
        <v>42.457142857142856</v>
      </c>
      <c r="AB71" s="180">
        <f>BP71</f>
        <v>29.96</v>
      </c>
      <c r="AC71" s="179">
        <f>BX71</f>
        <v>30.683673469387756</v>
      </c>
      <c r="AD71" s="179">
        <f>BU71</f>
        <v>17.324675324675326</v>
      </c>
      <c r="AE71" s="168">
        <f>IF(OR(AE69&lt;0.1,AE70&lt;0.1),0,AE70/AE69)</f>
        <v>22.908045977011493</v>
      </c>
      <c r="AF71" s="179">
        <f>CA71</f>
        <v>26.504950495049506</v>
      </c>
      <c r="AG71" s="179">
        <f>BV71</f>
        <v>21.043795620437955</v>
      </c>
      <c r="AH71" s="179">
        <f>BZ71</f>
        <v>42.173469387755105</v>
      </c>
      <c r="AI71" s="179">
        <f>BW71</f>
        <v>35.369565217391305</v>
      </c>
      <c r="AJ71" s="179">
        <f>BY71</f>
        <v>69.599999999999994</v>
      </c>
      <c r="AK71" s="180">
        <f>CB71</f>
        <v>34.607329842931939</v>
      </c>
      <c r="AL71" s="179">
        <f>CE71</f>
        <v>58.381818181818183</v>
      </c>
      <c r="AM71" s="179">
        <f>CH71</f>
        <v>41.68333333333333</v>
      </c>
      <c r="AN71" s="179">
        <f>CJ71</f>
        <v>30.436923076923076</v>
      </c>
      <c r="AO71" s="179">
        <f t="shared" si="140"/>
        <v>36.803030303030305</v>
      </c>
      <c r="AP71" s="179">
        <f t="shared" si="140"/>
        <v>74.275000000000006</v>
      </c>
      <c r="AQ71" s="179">
        <f>CK71</f>
        <v>40.948051948051948</v>
      </c>
      <c r="AR71" s="179">
        <f>CI71</f>
        <v>20.275280898876403</v>
      </c>
      <c r="AS71" s="169">
        <f t="shared" ref="AS71:CL71" si="141">IF(OR(AS69&lt;0.1,AS70&lt;0.1),0,AS70/AS69)</f>
        <v>33.94202898550725</v>
      </c>
      <c r="AT71" s="168">
        <f t="shared" si="141"/>
        <v>38</v>
      </c>
      <c r="AU71" s="168">
        <f t="shared" si="141"/>
        <v>39.307692307692307</v>
      </c>
      <c r="AV71" s="168">
        <f t="shared" si="141"/>
        <v>29.524999999999999</v>
      </c>
      <c r="AW71" s="168">
        <f t="shared" si="141"/>
        <v>37.575000000000003</v>
      </c>
      <c r="AX71" s="168">
        <f t="shared" si="141"/>
        <v>24.422222222222221</v>
      </c>
      <c r="AY71" s="168">
        <f t="shared" si="141"/>
        <v>30.176470588235293</v>
      </c>
      <c r="AZ71" s="168">
        <f t="shared" si="141"/>
        <v>12.428571428571429</v>
      </c>
      <c r="BA71" s="168">
        <f t="shared" si="141"/>
        <v>28.528301886792452</v>
      </c>
      <c r="BB71" s="168">
        <f t="shared" si="141"/>
        <v>32.40625</v>
      </c>
      <c r="BC71" s="168">
        <f t="shared" si="141"/>
        <v>33.391666666666666</v>
      </c>
      <c r="BD71" s="168">
        <f t="shared" si="141"/>
        <v>35.317307692307693</v>
      </c>
      <c r="BE71" s="168">
        <f t="shared" si="141"/>
        <v>53.7</v>
      </c>
      <c r="BF71" s="176">
        <f t="shared" si="141"/>
        <v>29.032967032967033</v>
      </c>
      <c r="BG71" s="168">
        <f t="shared" si="141"/>
        <v>54.25</v>
      </c>
      <c r="BH71" s="168">
        <f t="shared" si="141"/>
        <v>24.5</v>
      </c>
      <c r="BI71" s="168">
        <f t="shared" si="141"/>
        <v>31.1875</v>
      </c>
      <c r="BJ71" s="168">
        <f t="shared" si="141"/>
        <v>24.428571428571427</v>
      </c>
      <c r="BK71" s="168">
        <v>0</v>
      </c>
      <c r="BL71" s="168">
        <f>IF(OR(BL69&lt;0.1,BL70&lt;0.1),0,BL70/BL69)</f>
        <v>0</v>
      </c>
      <c r="BM71" s="168">
        <f t="shared" si="141"/>
        <v>53.485714285714288</v>
      </c>
      <c r="BN71" s="168">
        <f t="shared" si="141"/>
        <v>39.9375</v>
      </c>
      <c r="BO71" s="168">
        <v>0</v>
      </c>
      <c r="BP71" s="168">
        <f t="shared" si="141"/>
        <v>29.96</v>
      </c>
      <c r="BQ71" s="168">
        <f t="shared" si="141"/>
        <v>45.030303030303031</v>
      </c>
      <c r="BR71" s="176">
        <f t="shared" si="141"/>
        <v>36.285714285714285</v>
      </c>
      <c r="BS71" s="168">
        <f t="shared" si="141"/>
        <v>14.333333333333334</v>
      </c>
      <c r="BT71" s="168">
        <f t="shared" si="141"/>
        <v>23.430894308943088</v>
      </c>
      <c r="BU71" s="168">
        <f t="shared" si="141"/>
        <v>17.324675324675326</v>
      </c>
      <c r="BV71" s="168">
        <f t="shared" si="141"/>
        <v>21.043795620437955</v>
      </c>
      <c r="BW71" s="168">
        <f t="shared" si="141"/>
        <v>35.369565217391305</v>
      </c>
      <c r="BX71" s="168">
        <f t="shared" si="141"/>
        <v>30.683673469387756</v>
      </c>
      <c r="BY71" s="168">
        <f t="shared" si="141"/>
        <v>69.599999999999994</v>
      </c>
      <c r="BZ71" s="168">
        <f t="shared" si="141"/>
        <v>42.173469387755105</v>
      </c>
      <c r="CA71" s="168">
        <f t="shared" si="141"/>
        <v>26.504950495049506</v>
      </c>
      <c r="CB71" s="176">
        <f t="shared" si="141"/>
        <v>34.607329842931939</v>
      </c>
      <c r="CC71" s="168">
        <f t="shared" si="141"/>
        <v>36.803030303030305</v>
      </c>
      <c r="CD71" s="168">
        <f t="shared" si="141"/>
        <v>74.275000000000006</v>
      </c>
      <c r="CE71" s="168">
        <f t="shared" si="141"/>
        <v>58.381818181818183</v>
      </c>
      <c r="CF71" s="168">
        <v>0</v>
      </c>
      <c r="CG71" s="168">
        <f t="shared" si="141"/>
        <v>34.441176470588232</v>
      </c>
      <c r="CH71" s="168">
        <f t="shared" si="141"/>
        <v>41.68333333333333</v>
      </c>
      <c r="CI71" s="168">
        <f t="shared" si="141"/>
        <v>20.275280898876403</v>
      </c>
      <c r="CJ71" s="168">
        <f t="shared" si="141"/>
        <v>30.436923076923076</v>
      </c>
      <c r="CK71" s="169">
        <f t="shared" si="141"/>
        <v>40.948051948051948</v>
      </c>
      <c r="CL71" s="177">
        <f t="shared" si="141"/>
        <v>32.663328729281766</v>
      </c>
    </row>
    <row r="72" spans="1:90">
      <c r="A72" s="80">
        <f>ROWS($A$3:A70)</f>
        <v>68</v>
      </c>
      <c r="B72" s="59" t="s">
        <v>83</v>
      </c>
      <c r="C72" s="203"/>
      <c r="D72" s="254"/>
      <c r="E72" s="269"/>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202">
        <v>2007</v>
      </c>
      <c r="D73" s="254" t="s">
        <v>13</v>
      </c>
      <c r="E73" s="269"/>
      <c r="F73" s="116">
        <v>3236</v>
      </c>
      <c r="G73" s="137">
        <v>1923</v>
      </c>
      <c r="H73" s="137">
        <v>1605</v>
      </c>
      <c r="I73" s="138">
        <v>2415</v>
      </c>
      <c r="J73" s="141"/>
      <c r="K73" s="116">
        <f t="shared" ref="K73:K78" si="142">BF73</f>
        <v>258</v>
      </c>
      <c r="L73" s="137">
        <f t="shared" ref="L73:L78" si="143">AY73</f>
        <v>124</v>
      </c>
      <c r="M73" s="137">
        <f t="shared" ref="M73:M78" si="144">BD73</f>
        <v>783</v>
      </c>
      <c r="N73" s="137">
        <f t="shared" ref="N73:N78" si="145">AW73</f>
        <v>78</v>
      </c>
      <c r="O73" s="137">
        <f t="shared" ref="O73:O78" si="146">BE73</f>
        <v>164</v>
      </c>
      <c r="P73" s="137">
        <f>'2009'!AZ73+'2009'!BA73</f>
        <v>528</v>
      </c>
      <c r="Q73" s="137">
        <f>'2009'!AU73</f>
        <v>343</v>
      </c>
      <c r="R73" s="137">
        <f t="shared" ref="R73:R78" si="147">AT73+AX73</f>
        <v>373</v>
      </c>
      <c r="S73" s="137">
        <f t="shared" ref="S73:S78" si="148">AV73</f>
        <v>189</v>
      </c>
      <c r="T73" s="137">
        <f t="shared" ref="T73:U78" si="149">BB73</f>
        <v>211</v>
      </c>
      <c r="U73" s="139">
        <f t="shared" si="149"/>
        <v>185</v>
      </c>
      <c r="V73" s="137">
        <f t="shared" ref="V73:V78" si="150">BG73+BJ73</f>
        <v>146</v>
      </c>
      <c r="W73" s="137">
        <f t="shared" ref="W73:W78" si="151">BR73</f>
        <v>159</v>
      </c>
      <c r="X73" s="137">
        <f t="shared" ref="X73:X78" si="152">BH73+BI73</f>
        <v>423</v>
      </c>
      <c r="Y73" s="137">
        <f t="shared" ref="Y73:Y78" si="153">BK73+BL73+BN73</f>
        <v>513</v>
      </c>
      <c r="Z73" s="137">
        <f t="shared" ref="Z73:Z78" si="154">BM73</f>
        <v>398</v>
      </c>
      <c r="AA73" s="137">
        <f t="shared" ref="AA73:AA78" si="155">BO73+BQ73</f>
        <v>148</v>
      </c>
      <c r="AB73" s="139">
        <f t="shared" ref="AB73:AB78" si="156">BP73</f>
        <v>136</v>
      </c>
      <c r="AC73" s="137">
        <f t="shared" ref="AC73:AC78" si="157">BX73</f>
        <v>124</v>
      </c>
      <c r="AD73" s="137">
        <f t="shared" ref="AD73:AD78" si="158">BU73</f>
        <v>143</v>
      </c>
      <c r="AE73" s="137">
        <f t="shared" ref="AE73:AE78" si="159">BS73+BT73</f>
        <v>261</v>
      </c>
      <c r="AF73" s="137">
        <f t="shared" ref="AF73:AF78" si="160">CA73</f>
        <v>54</v>
      </c>
      <c r="AG73" s="137">
        <f t="shared" ref="AG73:AG78" si="161">BV73</f>
        <v>438</v>
      </c>
      <c r="AH73" s="137">
        <f t="shared" ref="AH73:AH78" si="162">BZ73</f>
        <v>209</v>
      </c>
      <c r="AI73" s="137">
        <f t="shared" ref="AI73:AI78" si="163">BW73</f>
        <v>192</v>
      </c>
      <c r="AJ73" s="137">
        <f t="shared" ref="AJ73:AJ78" si="164">BY73</f>
        <v>58</v>
      </c>
      <c r="AK73" s="139">
        <f t="shared" ref="AK73:AK78" si="165">CB73</f>
        <v>126</v>
      </c>
      <c r="AL73" s="137">
        <f t="shared" ref="AL73:AL78" si="166">CE73</f>
        <v>213</v>
      </c>
      <c r="AM73" s="137">
        <f t="shared" ref="AM73:AM78" si="167">CH73</f>
        <v>407</v>
      </c>
      <c r="AN73" s="137">
        <f t="shared" ref="AN73:AN78" si="168">CJ73</f>
        <v>132</v>
      </c>
      <c r="AO73" s="137">
        <f t="shared" ref="AO73:AP78" si="169">CC73</f>
        <v>318</v>
      </c>
      <c r="AP73" s="137">
        <f t="shared" si="169"/>
        <v>233</v>
      </c>
      <c r="AQ73" s="137">
        <f t="shared" ref="AQ73:AQ78" si="170">CK73</f>
        <v>351</v>
      </c>
      <c r="AR73" s="137">
        <f t="shared" ref="AR73:AR78" si="171">CI73</f>
        <v>154</v>
      </c>
      <c r="AS73" s="138">
        <f t="shared" ref="AS73:AS78" si="172">CF73+CG73</f>
        <v>607</v>
      </c>
      <c r="AT73" s="137">
        <v>29</v>
      </c>
      <c r="AU73" s="137">
        <v>343</v>
      </c>
      <c r="AV73" s="137">
        <v>189</v>
      </c>
      <c r="AW73" s="141">
        <v>78</v>
      </c>
      <c r="AX73" s="137">
        <v>344</v>
      </c>
      <c r="AY73" s="137">
        <v>124</v>
      </c>
      <c r="AZ73" s="137">
        <v>63</v>
      </c>
      <c r="BA73" s="137">
        <v>465</v>
      </c>
      <c r="BB73" s="137">
        <v>211</v>
      </c>
      <c r="BC73" s="137">
        <v>185</v>
      </c>
      <c r="BD73" s="137">
        <v>783</v>
      </c>
      <c r="BE73" s="137">
        <v>164</v>
      </c>
      <c r="BF73" s="139">
        <v>258</v>
      </c>
      <c r="BG73" s="137">
        <v>5</v>
      </c>
      <c r="BH73" s="137">
        <v>30</v>
      </c>
      <c r="BI73" s="137">
        <v>393</v>
      </c>
      <c r="BJ73" s="137">
        <v>141</v>
      </c>
      <c r="BK73" s="137">
        <v>31</v>
      </c>
      <c r="BL73" s="137">
        <v>48</v>
      </c>
      <c r="BM73" s="137">
        <v>398</v>
      </c>
      <c r="BN73" s="137">
        <v>434</v>
      </c>
      <c r="BO73" s="137">
        <v>4</v>
      </c>
      <c r="BP73" s="137">
        <v>136</v>
      </c>
      <c r="BQ73" s="137">
        <v>144</v>
      </c>
      <c r="BR73" s="139">
        <v>159</v>
      </c>
      <c r="BS73" s="137">
        <v>16</v>
      </c>
      <c r="BT73" s="137">
        <v>245</v>
      </c>
      <c r="BU73" s="137">
        <v>143</v>
      </c>
      <c r="BV73" s="137">
        <v>438</v>
      </c>
      <c r="BW73" s="137">
        <v>192</v>
      </c>
      <c r="BX73" s="137">
        <v>124</v>
      </c>
      <c r="BY73" s="137">
        <v>58</v>
      </c>
      <c r="BZ73" s="137">
        <v>209</v>
      </c>
      <c r="CA73" s="137">
        <v>54</v>
      </c>
      <c r="CB73" s="139">
        <v>126</v>
      </c>
      <c r="CC73" s="137">
        <v>318</v>
      </c>
      <c r="CD73" s="137">
        <v>233</v>
      </c>
      <c r="CE73" s="137">
        <v>213</v>
      </c>
      <c r="CF73" s="137">
        <v>44</v>
      </c>
      <c r="CG73" s="137">
        <v>563</v>
      </c>
      <c r="CH73" s="137">
        <v>407</v>
      </c>
      <c r="CI73" s="137">
        <v>154</v>
      </c>
      <c r="CJ73" s="137">
        <v>132</v>
      </c>
      <c r="CK73" s="138">
        <v>351</v>
      </c>
      <c r="CL73" s="140">
        <v>9179</v>
      </c>
    </row>
    <row r="74" spans="1:90">
      <c r="A74" s="80">
        <f>ROWS($A$3:A72)</f>
        <v>70</v>
      </c>
      <c r="B74" s="92" t="s">
        <v>85</v>
      </c>
      <c r="C74" s="203"/>
      <c r="D74" s="254" t="s">
        <v>13</v>
      </c>
      <c r="E74" s="269"/>
      <c r="F74" s="116">
        <v>598</v>
      </c>
      <c r="G74" s="137">
        <v>342</v>
      </c>
      <c r="H74" s="137">
        <v>417</v>
      </c>
      <c r="I74" s="138">
        <v>243</v>
      </c>
      <c r="J74" s="141"/>
      <c r="K74" s="116">
        <f t="shared" si="142"/>
        <v>55</v>
      </c>
      <c r="L74" s="137">
        <f t="shared" si="143"/>
        <v>96</v>
      </c>
      <c r="M74" s="137">
        <f t="shared" si="144"/>
        <v>15</v>
      </c>
      <c r="N74" s="137">
        <f t="shared" si="145"/>
        <v>39</v>
      </c>
      <c r="O74" s="137">
        <f t="shared" si="146"/>
        <v>14</v>
      </c>
      <c r="P74" s="137">
        <f>'2009'!AZ74+'2009'!BA74</f>
        <v>64</v>
      </c>
      <c r="Q74" s="137">
        <f>'2009'!AU74</f>
        <v>30</v>
      </c>
      <c r="R74" s="137">
        <f t="shared" si="147"/>
        <v>172</v>
      </c>
      <c r="S74" s="137">
        <f t="shared" si="148"/>
        <v>71</v>
      </c>
      <c r="T74" s="137">
        <f t="shared" si="149"/>
        <v>18</v>
      </c>
      <c r="U74" s="139">
        <f t="shared" si="149"/>
        <v>24</v>
      </c>
      <c r="V74" s="137">
        <f t="shared" si="150"/>
        <v>39</v>
      </c>
      <c r="W74" s="137">
        <f t="shared" si="151"/>
        <v>18</v>
      </c>
      <c r="X74" s="137">
        <f t="shared" si="152"/>
        <v>78</v>
      </c>
      <c r="Y74" s="137">
        <f t="shared" si="153"/>
        <v>107</v>
      </c>
      <c r="Z74" s="137">
        <f t="shared" si="154"/>
        <v>24</v>
      </c>
      <c r="AA74" s="137">
        <f t="shared" si="155"/>
        <v>42</v>
      </c>
      <c r="AB74" s="139">
        <f t="shared" si="156"/>
        <v>34</v>
      </c>
      <c r="AC74" s="137">
        <f t="shared" si="157"/>
        <v>18</v>
      </c>
      <c r="AD74" s="137">
        <f t="shared" si="158"/>
        <v>39</v>
      </c>
      <c r="AE74" s="137">
        <f t="shared" si="159"/>
        <v>73</v>
      </c>
      <c r="AF74" s="137">
        <f t="shared" si="160"/>
        <v>35</v>
      </c>
      <c r="AG74" s="137">
        <f t="shared" si="161"/>
        <v>78</v>
      </c>
      <c r="AH74" s="137">
        <f t="shared" si="162"/>
        <v>133</v>
      </c>
      <c r="AI74" s="137">
        <f t="shared" si="163"/>
        <v>14</v>
      </c>
      <c r="AJ74" s="137">
        <f t="shared" si="164"/>
        <v>6</v>
      </c>
      <c r="AK74" s="139">
        <f t="shared" si="165"/>
        <v>21</v>
      </c>
      <c r="AL74" s="137">
        <f t="shared" si="166"/>
        <v>24</v>
      </c>
      <c r="AM74" s="137">
        <f t="shared" si="167"/>
        <v>35</v>
      </c>
      <c r="AN74" s="137">
        <f t="shared" si="168"/>
        <v>32</v>
      </c>
      <c r="AO74" s="137">
        <f t="shared" si="169"/>
        <v>38</v>
      </c>
      <c r="AP74" s="137">
        <f t="shared" si="169"/>
        <v>26</v>
      </c>
      <c r="AQ74" s="137">
        <f t="shared" si="170"/>
        <v>20</v>
      </c>
      <c r="AR74" s="137">
        <f t="shared" si="171"/>
        <v>32</v>
      </c>
      <c r="AS74" s="138">
        <f t="shared" si="172"/>
        <v>36</v>
      </c>
      <c r="AT74" s="141">
        <v>63</v>
      </c>
      <c r="AU74" s="141">
        <v>30</v>
      </c>
      <c r="AV74" s="141">
        <v>71</v>
      </c>
      <c r="AW74" s="141">
        <v>39</v>
      </c>
      <c r="AX74" s="141">
        <v>109</v>
      </c>
      <c r="AY74" s="137">
        <v>96</v>
      </c>
      <c r="AZ74" s="137">
        <v>14</v>
      </c>
      <c r="BA74" s="137">
        <v>50</v>
      </c>
      <c r="BB74" s="137">
        <v>18</v>
      </c>
      <c r="BC74" s="137">
        <v>24</v>
      </c>
      <c r="BD74" s="137">
        <v>15</v>
      </c>
      <c r="BE74" s="137">
        <v>14</v>
      </c>
      <c r="BF74" s="139">
        <v>55</v>
      </c>
      <c r="BG74" s="137">
        <v>12</v>
      </c>
      <c r="BH74" s="137">
        <v>22</v>
      </c>
      <c r="BI74" s="137">
        <v>56</v>
      </c>
      <c r="BJ74" s="137">
        <v>27</v>
      </c>
      <c r="BK74" s="137">
        <v>33</v>
      </c>
      <c r="BL74" s="137">
        <v>18</v>
      </c>
      <c r="BM74" s="137">
        <v>24</v>
      </c>
      <c r="BN74" s="137">
        <v>56</v>
      </c>
      <c r="BO74" s="137">
        <v>13</v>
      </c>
      <c r="BP74" s="137">
        <v>34</v>
      </c>
      <c r="BQ74" s="137">
        <v>29</v>
      </c>
      <c r="BR74" s="139">
        <v>18</v>
      </c>
      <c r="BS74" s="137">
        <v>14</v>
      </c>
      <c r="BT74" s="137">
        <v>59</v>
      </c>
      <c r="BU74" s="137">
        <v>39</v>
      </c>
      <c r="BV74" s="137">
        <v>78</v>
      </c>
      <c r="BW74" s="137">
        <v>14</v>
      </c>
      <c r="BX74" s="137">
        <v>18</v>
      </c>
      <c r="BY74" s="137">
        <v>6</v>
      </c>
      <c r="BZ74" s="137">
        <v>133</v>
      </c>
      <c r="CA74" s="137">
        <v>35</v>
      </c>
      <c r="CB74" s="139">
        <v>21</v>
      </c>
      <c r="CC74" s="137">
        <v>38</v>
      </c>
      <c r="CD74" s="137">
        <v>26</v>
      </c>
      <c r="CE74" s="137">
        <v>24</v>
      </c>
      <c r="CF74" s="137">
        <v>15</v>
      </c>
      <c r="CG74" s="137">
        <v>21</v>
      </c>
      <c r="CH74" s="137">
        <v>35</v>
      </c>
      <c r="CI74" s="137">
        <v>32</v>
      </c>
      <c r="CJ74" s="137">
        <v>32</v>
      </c>
      <c r="CK74" s="138">
        <v>20</v>
      </c>
      <c r="CL74" s="140">
        <v>1600</v>
      </c>
    </row>
    <row r="75" spans="1:90">
      <c r="A75" s="80">
        <f>ROWS($A$3:A73)</f>
        <v>71</v>
      </c>
      <c r="B75" s="92" t="s">
        <v>86</v>
      </c>
      <c r="C75" s="203"/>
      <c r="D75" s="254" t="s">
        <v>13</v>
      </c>
      <c r="E75" s="269"/>
      <c r="F75" s="116">
        <v>4333</v>
      </c>
      <c r="G75" s="137">
        <v>1187</v>
      </c>
      <c r="H75" s="137">
        <v>6063</v>
      </c>
      <c r="I75" s="138">
        <v>1239</v>
      </c>
      <c r="J75" s="141"/>
      <c r="K75" s="116">
        <f t="shared" si="142"/>
        <v>10</v>
      </c>
      <c r="L75" s="137">
        <f t="shared" si="143"/>
        <v>611</v>
      </c>
      <c r="M75" s="137">
        <f t="shared" si="144"/>
        <v>306</v>
      </c>
      <c r="N75" s="137">
        <f t="shared" si="145"/>
        <v>44</v>
      </c>
      <c r="O75" s="137">
        <f t="shared" si="146"/>
        <v>4</v>
      </c>
      <c r="P75" s="137">
        <f>'2009'!AZ75+'2009'!BA75</f>
        <v>1739</v>
      </c>
      <c r="Q75" s="137">
        <f>'2009'!AU75</f>
        <v>51</v>
      </c>
      <c r="R75" s="137">
        <f t="shared" si="147"/>
        <v>994</v>
      </c>
      <c r="S75" s="137">
        <f t="shared" si="148"/>
        <v>115</v>
      </c>
      <c r="T75" s="137">
        <f t="shared" si="149"/>
        <v>444</v>
      </c>
      <c r="U75" s="139">
        <f t="shared" si="149"/>
        <v>15</v>
      </c>
      <c r="V75" s="137">
        <f t="shared" si="150"/>
        <v>554</v>
      </c>
      <c r="W75" s="137">
        <f t="shared" si="151"/>
        <v>5</v>
      </c>
      <c r="X75" s="137">
        <f t="shared" si="152"/>
        <v>237</v>
      </c>
      <c r="Y75" s="137">
        <f t="shared" si="153"/>
        <v>248</v>
      </c>
      <c r="Z75" s="137">
        <f t="shared" si="154"/>
        <v>51</v>
      </c>
      <c r="AA75" s="137">
        <f t="shared" si="155"/>
        <v>87</v>
      </c>
      <c r="AB75" s="139">
        <f t="shared" si="156"/>
        <v>5</v>
      </c>
      <c r="AC75" s="137">
        <f t="shared" si="157"/>
        <v>3</v>
      </c>
      <c r="AD75" s="137">
        <f t="shared" si="158"/>
        <v>930</v>
      </c>
      <c r="AE75" s="137">
        <f t="shared" si="159"/>
        <v>2240</v>
      </c>
      <c r="AF75" s="137">
        <f t="shared" si="160"/>
        <v>335</v>
      </c>
      <c r="AG75" s="137">
        <f t="shared" si="161"/>
        <v>2339</v>
      </c>
      <c r="AH75" s="137">
        <f t="shared" si="162"/>
        <v>144</v>
      </c>
      <c r="AI75" s="137">
        <f t="shared" si="163"/>
        <v>9</v>
      </c>
      <c r="AJ75" s="137">
        <f t="shared" si="164"/>
        <v>3</v>
      </c>
      <c r="AK75" s="139">
        <f t="shared" si="165"/>
        <v>60</v>
      </c>
      <c r="AL75" s="137">
        <f t="shared" si="166"/>
        <v>5</v>
      </c>
      <c r="AM75" s="137">
        <f t="shared" si="167"/>
        <v>9</v>
      </c>
      <c r="AN75" s="137">
        <f t="shared" si="168"/>
        <v>155</v>
      </c>
      <c r="AO75" s="137">
        <f t="shared" si="169"/>
        <v>43</v>
      </c>
      <c r="AP75" s="137">
        <f t="shared" si="169"/>
        <v>25</v>
      </c>
      <c r="AQ75" s="137">
        <f t="shared" si="170"/>
        <v>13</v>
      </c>
      <c r="AR75" s="137">
        <f t="shared" si="171"/>
        <v>968</v>
      </c>
      <c r="AS75" s="138">
        <f t="shared" si="172"/>
        <v>21</v>
      </c>
      <c r="AT75" s="141">
        <v>119</v>
      </c>
      <c r="AU75" s="141">
        <v>51</v>
      </c>
      <c r="AV75" s="141">
        <v>115</v>
      </c>
      <c r="AW75" s="141">
        <v>44</v>
      </c>
      <c r="AX75" s="141">
        <v>875</v>
      </c>
      <c r="AY75" s="137">
        <v>611</v>
      </c>
      <c r="AZ75" s="137">
        <v>115</v>
      </c>
      <c r="BA75" s="137">
        <v>1624</v>
      </c>
      <c r="BB75" s="137">
        <v>444</v>
      </c>
      <c r="BC75" s="137">
        <v>15</v>
      </c>
      <c r="BD75" s="137">
        <v>306</v>
      </c>
      <c r="BE75" s="137">
        <v>4</v>
      </c>
      <c r="BF75" s="139">
        <v>10</v>
      </c>
      <c r="BG75" s="137">
        <v>130</v>
      </c>
      <c r="BH75" s="137">
        <v>6</v>
      </c>
      <c r="BI75" s="137">
        <v>231</v>
      </c>
      <c r="BJ75" s="137">
        <v>424</v>
      </c>
      <c r="BK75" s="137">
        <v>15</v>
      </c>
      <c r="BL75" s="137">
        <v>1</v>
      </c>
      <c r="BM75" s="137">
        <v>51</v>
      </c>
      <c r="BN75" s="137">
        <v>232</v>
      </c>
      <c r="BO75" s="137">
        <v>0</v>
      </c>
      <c r="BP75" s="137">
        <v>5</v>
      </c>
      <c r="BQ75" s="137">
        <v>87</v>
      </c>
      <c r="BR75" s="139">
        <v>5</v>
      </c>
      <c r="BS75" s="137">
        <v>190</v>
      </c>
      <c r="BT75" s="137">
        <v>2050</v>
      </c>
      <c r="BU75" s="137">
        <v>930</v>
      </c>
      <c r="BV75" s="137">
        <v>2339</v>
      </c>
      <c r="BW75" s="137">
        <v>9</v>
      </c>
      <c r="BX75" s="137">
        <v>3</v>
      </c>
      <c r="BY75" s="137">
        <v>3</v>
      </c>
      <c r="BZ75" s="137">
        <v>144</v>
      </c>
      <c r="CA75" s="137">
        <v>335</v>
      </c>
      <c r="CB75" s="139">
        <v>60</v>
      </c>
      <c r="CC75" s="137">
        <v>43</v>
      </c>
      <c r="CD75" s="137">
        <v>25</v>
      </c>
      <c r="CE75" s="137">
        <v>5</v>
      </c>
      <c r="CF75" s="137">
        <v>3</v>
      </c>
      <c r="CG75" s="137">
        <v>18</v>
      </c>
      <c r="CH75" s="137">
        <v>9</v>
      </c>
      <c r="CI75" s="137">
        <v>968</v>
      </c>
      <c r="CJ75" s="137">
        <v>155</v>
      </c>
      <c r="CK75" s="138">
        <v>13</v>
      </c>
      <c r="CL75" s="140">
        <v>12822</v>
      </c>
    </row>
    <row r="76" spans="1:90">
      <c r="A76" s="80">
        <f>ROWS($A$3:A74)</f>
        <v>72</v>
      </c>
      <c r="B76" s="92" t="s">
        <v>87</v>
      </c>
      <c r="C76" s="203"/>
      <c r="D76" s="254" t="s">
        <v>13</v>
      </c>
      <c r="E76" s="269"/>
      <c r="F76" s="116">
        <v>5370</v>
      </c>
      <c r="G76" s="137">
        <v>1872</v>
      </c>
      <c r="H76" s="137">
        <v>7638</v>
      </c>
      <c r="I76" s="138">
        <v>6768</v>
      </c>
      <c r="J76" s="141"/>
      <c r="K76" s="116">
        <f t="shared" si="142"/>
        <v>1438</v>
      </c>
      <c r="L76" s="137">
        <f t="shared" si="143"/>
        <v>584</v>
      </c>
      <c r="M76" s="137">
        <f t="shared" si="144"/>
        <v>220</v>
      </c>
      <c r="N76" s="137">
        <f t="shared" si="145"/>
        <v>573</v>
      </c>
      <c r="O76" s="137">
        <f t="shared" si="146"/>
        <v>270</v>
      </c>
      <c r="P76" s="137">
        <f>'2009'!AZ76+'2009'!BA76</f>
        <v>179</v>
      </c>
      <c r="Q76" s="137">
        <f>'2009'!AU76</f>
        <v>149</v>
      </c>
      <c r="R76" s="137">
        <f t="shared" si="147"/>
        <v>141</v>
      </c>
      <c r="S76" s="137">
        <f t="shared" si="148"/>
        <v>277</v>
      </c>
      <c r="T76" s="137">
        <f t="shared" si="149"/>
        <v>357</v>
      </c>
      <c r="U76" s="139">
        <f t="shared" si="149"/>
        <v>1182</v>
      </c>
      <c r="V76" s="137">
        <f t="shared" si="150"/>
        <v>157</v>
      </c>
      <c r="W76" s="137">
        <f t="shared" si="151"/>
        <v>441</v>
      </c>
      <c r="X76" s="137">
        <f t="shared" si="152"/>
        <v>171</v>
      </c>
      <c r="Y76" s="137">
        <f t="shared" si="153"/>
        <v>258</v>
      </c>
      <c r="Z76" s="137">
        <f t="shared" si="154"/>
        <v>335</v>
      </c>
      <c r="AA76" s="137">
        <f t="shared" si="155"/>
        <v>164</v>
      </c>
      <c r="AB76" s="139">
        <f t="shared" si="156"/>
        <v>346</v>
      </c>
      <c r="AC76" s="137">
        <f t="shared" si="157"/>
        <v>950</v>
      </c>
      <c r="AD76" s="137">
        <f t="shared" si="158"/>
        <v>717</v>
      </c>
      <c r="AE76" s="137">
        <f t="shared" si="159"/>
        <v>1214</v>
      </c>
      <c r="AF76" s="137">
        <f t="shared" si="160"/>
        <v>766</v>
      </c>
      <c r="AG76" s="137">
        <f t="shared" si="161"/>
        <v>1509</v>
      </c>
      <c r="AH76" s="137">
        <f t="shared" si="162"/>
        <v>384</v>
      </c>
      <c r="AI76" s="137">
        <f t="shared" si="163"/>
        <v>591</v>
      </c>
      <c r="AJ76" s="137">
        <f t="shared" si="164"/>
        <v>332</v>
      </c>
      <c r="AK76" s="139">
        <f t="shared" si="165"/>
        <v>1175</v>
      </c>
      <c r="AL76" s="137">
        <f t="shared" si="166"/>
        <v>493</v>
      </c>
      <c r="AM76" s="137">
        <f t="shared" si="167"/>
        <v>1206</v>
      </c>
      <c r="AN76" s="137">
        <f t="shared" si="168"/>
        <v>2488</v>
      </c>
      <c r="AO76" s="137">
        <f t="shared" si="169"/>
        <v>545</v>
      </c>
      <c r="AP76" s="137">
        <f t="shared" si="169"/>
        <v>122</v>
      </c>
      <c r="AQ76" s="137">
        <f t="shared" si="170"/>
        <v>655</v>
      </c>
      <c r="AR76" s="137">
        <f t="shared" si="171"/>
        <v>515</v>
      </c>
      <c r="AS76" s="138">
        <f t="shared" si="172"/>
        <v>744</v>
      </c>
      <c r="AT76" s="141">
        <v>16</v>
      </c>
      <c r="AU76" s="141">
        <v>149</v>
      </c>
      <c r="AV76" s="141">
        <v>277</v>
      </c>
      <c r="AW76" s="141">
        <v>573</v>
      </c>
      <c r="AX76" s="141">
        <v>125</v>
      </c>
      <c r="AY76" s="137">
        <v>584</v>
      </c>
      <c r="AZ76" s="137">
        <v>5</v>
      </c>
      <c r="BA76" s="137">
        <v>174</v>
      </c>
      <c r="BB76" s="137">
        <v>357</v>
      </c>
      <c r="BC76" s="137">
        <v>1182</v>
      </c>
      <c r="BD76" s="137">
        <v>220</v>
      </c>
      <c r="BE76" s="137">
        <v>270</v>
      </c>
      <c r="BF76" s="139">
        <v>1438</v>
      </c>
      <c r="BG76" s="137">
        <v>28</v>
      </c>
      <c r="BH76" s="137">
        <v>15</v>
      </c>
      <c r="BI76" s="137">
        <v>156</v>
      </c>
      <c r="BJ76" s="137">
        <v>129</v>
      </c>
      <c r="BK76" s="137">
        <v>6</v>
      </c>
      <c r="BL76" s="137">
        <v>8</v>
      </c>
      <c r="BM76" s="137">
        <v>335</v>
      </c>
      <c r="BN76" s="137">
        <v>244</v>
      </c>
      <c r="BO76" s="137">
        <v>13</v>
      </c>
      <c r="BP76" s="137">
        <v>346</v>
      </c>
      <c r="BQ76" s="137">
        <v>151</v>
      </c>
      <c r="BR76" s="139">
        <v>441</v>
      </c>
      <c r="BS76" s="137">
        <v>22</v>
      </c>
      <c r="BT76" s="137">
        <v>1192</v>
      </c>
      <c r="BU76" s="137">
        <v>717</v>
      </c>
      <c r="BV76" s="137">
        <v>1509</v>
      </c>
      <c r="BW76" s="137">
        <v>591</v>
      </c>
      <c r="BX76" s="137">
        <v>950</v>
      </c>
      <c r="BY76" s="137">
        <v>332</v>
      </c>
      <c r="BZ76" s="137">
        <v>384</v>
      </c>
      <c r="CA76" s="137">
        <v>766</v>
      </c>
      <c r="CB76" s="139">
        <v>1175</v>
      </c>
      <c r="CC76" s="137">
        <v>545</v>
      </c>
      <c r="CD76" s="137">
        <v>122</v>
      </c>
      <c r="CE76" s="137">
        <v>493</v>
      </c>
      <c r="CF76" s="137">
        <v>29</v>
      </c>
      <c r="CG76" s="137">
        <v>715</v>
      </c>
      <c r="CH76" s="137">
        <v>1206</v>
      </c>
      <c r="CI76" s="137">
        <v>515</v>
      </c>
      <c r="CJ76" s="137">
        <v>2488</v>
      </c>
      <c r="CK76" s="138">
        <v>655</v>
      </c>
      <c r="CL76" s="140">
        <v>21648</v>
      </c>
    </row>
    <row r="77" spans="1:90">
      <c r="A77" s="80">
        <f>ROWS($A$3:A75)</f>
        <v>73</v>
      </c>
      <c r="B77" s="92" t="s">
        <v>88</v>
      </c>
      <c r="C77" s="203"/>
      <c r="D77" s="254" t="s">
        <v>13</v>
      </c>
      <c r="E77" s="269"/>
      <c r="F77" s="116">
        <v>806</v>
      </c>
      <c r="G77" s="137">
        <v>55</v>
      </c>
      <c r="H77" s="137">
        <v>94</v>
      </c>
      <c r="I77" s="138">
        <v>392</v>
      </c>
      <c r="J77" s="141"/>
      <c r="K77" s="116">
        <f t="shared" si="142"/>
        <v>84</v>
      </c>
      <c r="L77" s="137">
        <f t="shared" si="143"/>
        <v>16</v>
      </c>
      <c r="M77" s="137">
        <f t="shared" si="144"/>
        <v>93</v>
      </c>
      <c r="N77" s="137">
        <f t="shared" si="145"/>
        <v>14</v>
      </c>
      <c r="O77" s="137">
        <f t="shared" si="146"/>
        <v>19</v>
      </c>
      <c r="P77" s="137">
        <f>'2009'!AZ77+'2009'!BA77</f>
        <v>14</v>
      </c>
      <c r="Q77" s="137">
        <f>'2009'!AU77</f>
        <v>8</v>
      </c>
      <c r="R77" s="137">
        <f t="shared" si="147"/>
        <v>14</v>
      </c>
      <c r="S77" s="137">
        <f t="shared" si="148"/>
        <v>7</v>
      </c>
      <c r="T77" s="137">
        <f t="shared" si="149"/>
        <v>119</v>
      </c>
      <c r="U77" s="139">
        <f t="shared" si="149"/>
        <v>418</v>
      </c>
      <c r="V77" s="137">
        <f t="shared" si="150"/>
        <v>3</v>
      </c>
      <c r="W77" s="137">
        <f t="shared" si="151"/>
        <v>8</v>
      </c>
      <c r="X77" s="137">
        <f t="shared" si="152"/>
        <v>3</v>
      </c>
      <c r="Y77" s="137">
        <f t="shared" si="153"/>
        <v>17</v>
      </c>
      <c r="Z77" s="137">
        <f t="shared" si="154"/>
        <v>13</v>
      </c>
      <c r="AA77" s="137">
        <f t="shared" si="155"/>
        <v>4</v>
      </c>
      <c r="AB77" s="139">
        <f t="shared" si="156"/>
        <v>7</v>
      </c>
      <c r="AC77" s="137">
        <f t="shared" si="157"/>
        <v>14</v>
      </c>
      <c r="AD77" s="137">
        <f t="shared" si="158"/>
        <v>6</v>
      </c>
      <c r="AE77" s="137">
        <f t="shared" si="159"/>
        <v>6</v>
      </c>
      <c r="AF77" s="137">
        <f t="shared" si="160"/>
        <v>2</v>
      </c>
      <c r="AG77" s="137">
        <f t="shared" si="161"/>
        <v>20</v>
      </c>
      <c r="AH77" s="137">
        <f t="shared" si="162"/>
        <v>14</v>
      </c>
      <c r="AI77" s="137">
        <f t="shared" si="163"/>
        <v>13</v>
      </c>
      <c r="AJ77" s="137">
        <f t="shared" si="164"/>
        <v>3</v>
      </c>
      <c r="AK77" s="139">
        <f t="shared" si="165"/>
        <v>16</v>
      </c>
      <c r="AL77" s="137">
        <f t="shared" si="166"/>
        <v>3</v>
      </c>
      <c r="AM77" s="137">
        <f t="shared" si="167"/>
        <v>92</v>
      </c>
      <c r="AN77" s="137">
        <f t="shared" si="168"/>
        <v>52</v>
      </c>
      <c r="AO77" s="137">
        <f t="shared" si="169"/>
        <v>26</v>
      </c>
      <c r="AP77" s="137">
        <f t="shared" si="169"/>
        <v>3</v>
      </c>
      <c r="AQ77" s="137">
        <f t="shared" si="170"/>
        <v>42</v>
      </c>
      <c r="AR77" s="137">
        <f t="shared" si="171"/>
        <v>10</v>
      </c>
      <c r="AS77" s="138">
        <f t="shared" si="172"/>
        <v>164</v>
      </c>
      <c r="AT77" s="141">
        <v>1</v>
      </c>
      <c r="AU77" s="141">
        <v>8</v>
      </c>
      <c r="AV77" s="141">
        <v>7</v>
      </c>
      <c r="AW77" s="141">
        <v>14</v>
      </c>
      <c r="AX77" s="141">
        <v>13</v>
      </c>
      <c r="AY77" s="137">
        <v>16</v>
      </c>
      <c r="AZ77" s="137">
        <v>1</v>
      </c>
      <c r="BA77" s="137">
        <v>13</v>
      </c>
      <c r="BB77" s="137">
        <v>119</v>
      </c>
      <c r="BC77" s="137">
        <v>418</v>
      </c>
      <c r="BD77" s="137">
        <v>93</v>
      </c>
      <c r="BE77" s="137">
        <v>19</v>
      </c>
      <c r="BF77" s="139">
        <v>84</v>
      </c>
      <c r="BG77" s="137">
        <v>0</v>
      </c>
      <c r="BH77" s="137">
        <v>0</v>
      </c>
      <c r="BI77" s="137">
        <v>3</v>
      </c>
      <c r="BJ77" s="137">
        <v>3</v>
      </c>
      <c r="BK77" s="137">
        <v>0</v>
      </c>
      <c r="BL77" s="137">
        <v>1</v>
      </c>
      <c r="BM77" s="137">
        <v>13</v>
      </c>
      <c r="BN77" s="137">
        <v>16</v>
      </c>
      <c r="BO77" s="137">
        <v>0</v>
      </c>
      <c r="BP77" s="137">
        <v>7</v>
      </c>
      <c r="BQ77" s="137">
        <v>4</v>
      </c>
      <c r="BR77" s="139">
        <v>8</v>
      </c>
      <c r="BS77" s="137">
        <v>0</v>
      </c>
      <c r="BT77" s="137">
        <v>6</v>
      </c>
      <c r="BU77" s="137">
        <v>6</v>
      </c>
      <c r="BV77" s="137">
        <v>20</v>
      </c>
      <c r="BW77" s="137">
        <v>13</v>
      </c>
      <c r="BX77" s="137">
        <v>14</v>
      </c>
      <c r="BY77" s="137">
        <v>3</v>
      </c>
      <c r="BZ77" s="137">
        <v>14</v>
      </c>
      <c r="CA77" s="137">
        <v>2</v>
      </c>
      <c r="CB77" s="139">
        <v>16</v>
      </c>
      <c r="CC77" s="137">
        <v>26</v>
      </c>
      <c r="CD77" s="137">
        <v>3</v>
      </c>
      <c r="CE77" s="137">
        <v>3</v>
      </c>
      <c r="CF77" s="137">
        <v>8</v>
      </c>
      <c r="CG77" s="137">
        <v>156</v>
      </c>
      <c r="CH77" s="137">
        <v>92</v>
      </c>
      <c r="CI77" s="137">
        <v>10</v>
      </c>
      <c r="CJ77" s="137">
        <v>52</v>
      </c>
      <c r="CK77" s="138">
        <v>42</v>
      </c>
      <c r="CL77" s="140">
        <v>1347</v>
      </c>
    </row>
    <row r="78" spans="1:90">
      <c r="A78" s="80">
        <f>ROWS($A$3:A76)</f>
        <v>74</v>
      </c>
      <c r="B78" s="92" t="s">
        <v>89</v>
      </c>
      <c r="C78" s="203"/>
      <c r="D78" s="254" t="s">
        <v>13</v>
      </c>
      <c r="E78" s="269"/>
      <c r="F78" s="116">
        <v>3870</v>
      </c>
      <c r="G78" s="137">
        <v>1268</v>
      </c>
      <c r="H78" s="137">
        <v>2311</v>
      </c>
      <c r="I78" s="138">
        <v>3004</v>
      </c>
      <c r="J78" s="141"/>
      <c r="K78" s="116">
        <f t="shared" si="142"/>
        <v>447</v>
      </c>
      <c r="L78" s="137">
        <f t="shared" si="143"/>
        <v>277</v>
      </c>
      <c r="M78" s="137">
        <f t="shared" si="144"/>
        <v>487</v>
      </c>
      <c r="N78" s="137">
        <f t="shared" si="145"/>
        <v>185</v>
      </c>
      <c r="O78" s="137">
        <f t="shared" si="146"/>
        <v>192</v>
      </c>
      <c r="P78" s="137">
        <f>'2009'!AZ78+'2009'!BA78</f>
        <v>423</v>
      </c>
      <c r="Q78" s="137">
        <f>'2009'!AU78</f>
        <v>202</v>
      </c>
      <c r="R78" s="137">
        <f t="shared" si="147"/>
        <v>369</v>
      </c>
      <c r="S78" s="137">
        <f t="shared" si="148"/>
        <v>192</v>
      </c>
      <c r="T78" s="137">
        <f t="shared" si="149"/>
        <v>435</v>
      </c>
      <c r="U78" s="139">
        <f t="shared" si="149"/>
        <v>661</v>
      </c>
      <c r="V78" s="137">
        <f t="shared" si="150"/>
        <v>105</v>
      </c>
      <c r="W78" s="137">
        <f t="shared" si="151"/>
        <v>115</v>
      </c>
      <c r="X78" s="137">
        <f t="shared" si="152"/>
        <v>181</v>
      </c>
      <c r="Y78" s="137">
        <f t="shared" si="153"/>
        <v>229</v>
      </c>
      <c r="Z78" s="137">
        <f t="shared" si="154"/>
        <v>330</v>
      </c>
      <c r="AA78" s="137">
        <f t="shared" si="155"/>
        <v>148</v>
      </c>
      <c r="AB78" s="139">
        <f t="shared" si="156"/>
        <v>160</v>
      </c>
      <c r="AC78" s="137">
        <f t="shared" si="157"/>
        <v>216</v>
      </c>
      <c r="AD78" s="137">
        <f t="shared" si="158"/>
        <v>160</v>
      </c>
      <c r="AE78" s="137">
        <f t="shared" si="159"/>
        <v>288</v>
      </c>
      <c r="AF78" s="137">
        <f t="shared" si="160"/>
        <v>179</v>
      </c>
      <c r="AG78" s="137">
        <f t="shared" si="161"/>
        <v>584</v>
      </c>
      <c r="AH78" s="137">
        <f t="shared" si="162"/>
        <v>239</v>
      </c>
      <c r="AI78" s="137">
        <f t="shared" si="163"/>
        <v>247</v>
      </c>
      <c r="AJ78" s="137">
        <f t="shared" si="164"/>
        <v>165</v>
      </c>
      <c r="AK78" s="139">
        <f t="shared" si="165"/>
        <v>233</v>
      </c>
      <c r="AL78" s="137">
        <f t="shared" si="166"/>
        <v>186</v>
      </c>
      <c r="AM78" s="137">
        <f t="shared" si="167"/>
        <v>458</v>
      </c>
      <c r="AN78" s="137">
        <f t="shared" si="168"/>
        <v>251</v>
      </c>
      <c r="AO78" s="137">
        <f t="shared" si="169"/>
        <v>366</v>
      </c>
      <c r="AP78" s="137">
        <f t="shared" si="169"/>
        <v>137</v>
      </c>
      <c r="AQ78" s="137">
        <f t="shared" si="170"/>
        <v>502</v>
      </c>
      <c r="AR78" s="137">
        <f t="shared" si="171"/>
        <v>317</v>
      </c>
      <c r="AS78" s="138">
        <f t="shared" si="172"/>
        <v>787</v>
      </c>
      <c r="AT78" s="141">
        <v>29</v>
      </c>
      <c r="AU78" s="141">
        <v>202</v>
      </c>
      <c r="AV78" s="141">
        <v>192</v>
      </c>
      <c r="AW78" s="141">
        <v>185</v>
      </c>
      <c r="AX78" s="141">
        <v>340</v>
      </c>
      <c r="AY78" s="137">
        <v>277</v>
      </c>
      <c r="AZ78" s="137">
        <v>18</v>
      </c>
      <c r="BA78" s="137">
        <v>405</v>
      </c>
      <c r="BB78" s="137">
        <v>435</v>
      </c>
      <c r="BC78" s="137">
        <v>661</v>
      </c>
      <c r="BD78" s="137">
        <v>487</v>
      </c>
      <c r="BE78" s="137">
        <v>192</v>
      </c>
      <c r="BF78" s="139">
        <v>447</v>
      </c>
      <c r="BG78" s="137">
        <v>6</v>
      </c>
      <c r="BH78" s="137">
        <v>15</v>
      </c>
      <c r="BI78" s="137">
        <v>166</v>
      </c>
      <c r="BJ78" s="137">
        <v>99</v>
      </c>
      <c r="BK78" s="137">
        <v>19</v>
      </c>
      <c r="BL78" s="137">
        <v>4</v>
      </c>
      <c r="BM78" s="137">
        <v>330</v>
      </c>
      <c r="BN78" s="137">
        <v>206</v>
      </c>
      <c r="BO78" s="137">
        <v>7</v>
      </c>
      <c r="BP78" s="137">
        <v>160</v>
      </c>
      <c r="BQ78" s="137">
        <v>141</v>
      </c>
      <c r="BR78" s="139">
        <v>115</v>
      </c>
      <c r="BS78" s="137">
        <v>29</v>
      </c>
      <c r="BT78" s="137">
        <v>259</v>
      </c>
      <c r="BU78" s="137">
        <v>160</v>
      </c>
      <c r="BV78" s="137">
        <v>584</v>
      </c>
      <c r="BW78" s="137">
        <v>247</v>
      </c>
      <c r="BX78" s="137">
        <v>216</v>
      </c>
      <c r="BY78" s="137">
        <v>165</v>
      </c>
      <c r="BZ78" s="137">
        <v>239</v>
      </c>
      <c r="CA78" s="137">
        <v>179</v>
      </c>
      <c r="CB78" s="139">
        <v>233</v>
      </c>
      <c r="CC78" s="137">
        <v>366</v>
      </c>
      <c r="CD78" s="137">
        <v>137</v>
      </c>
      <c r="CE78" s="137">
        <v>186</v>
      </c>
      <c r="CF78" s="137">
        <v>47</v>
      </c>
      <c r="CG78" s="137">
        <v>740</v>
      </c>
      <c r="CH78" s="137">
        <v>458</v>
      </c>
      <c r="CI78" s="137">
        <v>317</v>
      </c>
      <c r="CJ78" s="137">
        <v>251</v>
      </c>
      <c r="CK78" s="138">
        <v>502</v>
      </c>
      <c r="CL78" s="140">
        <v>10453</v>
      </c>
    </row>
    <row r="79" spans="1:90">
      <c r="A79" s="80">
        <f>ROWS($A$3:A77)</f>
        <v>75</v>
      </c>
      <c r="B79" s="59" t="s">
        <v>79</v>
      </c>
      <c r="C79" s="202">
        <v>2009</v>
      </c>
      <c r="D79" s="254"/>
      <c r="E79" s="269"/>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c r="A80" s="80">
        <f>ROWS($A$3:A78)</f>
        <v>76</v>
      </c>
      <c r="B80" s="92" t="s">
        <v>90</v>
      </c>
      <c r="C80" s="205">
        <v>2009</v>
      </c>
      <c r="D80" s="254" t="s">
        <v>13</v>
      </c>
      <c r="E80" s="270"/>
      <c r="F80" s="116">
        <v>16240</v>
      </c>
      <c r="G80" s="137">
        <v>5846</v>
      </c>
      <c r="H80" s="137">
        <v>14532</v>
      </c>
      <c r="I80" s="138">
        <v>14317</v>
      </c>
      <c r="J80" s="141"/>
      <c r="K80" s="116">
        <f>BF80</f>
        <v>2550</v>
      </c>
      <c r="L80" s="137">
        <f>AY80</f>
        <v>1166</v>
      </c>
      <c r="M80" s="137">
        <f>BD80</f>
        <v>1919</v>
      </c>
      <c r="N80" s="137">
        <f>AW80</f>
        <v>875</v>
      </c>
      <c r="O80" s="137">
        <f>BE80</f>
        <v>666</v>
      </c>
      <c r="P80" s="137">
        <f>'2009'!AZ80+'2009'!BA80</f>
        <v>1952</v>
      </c>
      <c r="Q80" s="137">
        <f>'2009'!AU80</f>
        <v>707</v>
      </c>
      <c r="R80" s="137">
        <f>AT80+AX80</f>
        <v>1203</v>
      </c>
      <c r="S80" s="137">
        <f>AV80</f>
        <v>644</v>
      </c>
      <c r="T80" s="137">
        <f>BB80</f>
        <v>1554</v>
      </c>
      <c r="U80" s="139">
        <f>BC80</f>
        <v>2734</v>
      </c>
      <c r="V80" s="137">
        <f>BG80+BJ80</f>
        <v>569</v>
      </c>
      <c r="W80" s="137">
        <f>BR80</f>
        <v>877</v>
      </c>
      <c r="X80" s="137">
        <f>BH80+BI80</f>
        <v>798</v>
      </c>
      <c r="Y80" s="137">
        <f>BK80+BL80+BN80</f>
        <v>1050</v>
      </c>
      <c r="Z80" s="137">
        <f>BM80</f>
        <v>1183</v>
      </c>
      <c r="AA80" s="137">
        <f>BO80+BQ80</f>
        <v>465</v>
      </c>
      <c r="AB80" s="139">
        <f>BP80</f>
        <v>661</v>
      </c>
      <c r="AC80" s="137">
        <f>BX80</f>
        <v>1347</v>
      </c>
      <c r="AD80" s="137">
        <f>BU80</f>
        <v>1246</v>
      </c>
      <c r="AE80" s="137">
        <f>BS80+BT80</f>
        <v>2310</v>
      </c>
      <c r="AF80" s="137">
        <f>CA80</f>
        <v>1170</v>
      </c>
      <c r="AG80" s="137">
        <f>BV80</f>
        <v>3563</v>
      </c>
      <c r="AH80" s="137">
        <f>BZ80</f>
        <v>1041</v>
      </c>
      <c r="AI80" s="137">
        <f>BW80</f>
        <v>1133</v>
      </c>
      <c r="AJ80" s="137">
        <f>BY80</f>
        <v>593</v>
      </c>
      <c r="AK80" s="139">
        <f>CB80</f>
        <v>1723</v>
      </c>
      <c r="AL80" s="137">
        <f>CE80</f>
        <v>986</v>
      </c>
      <c r="AM80" s="137">
        <f>CH80</f>
        <v>2301</v>
      </c>
      <c r="AN80" s="137">
        <f>CJ80</f>
        <v>3273</v>
      </c>
      <c r="AO80" s="137">
        <f>CC80</f>
        <v>1257</v>
      </c>
      <c r="AP80" s="137">
        <f>CD80</f>
        <v>496</v>
      </c>
      <c r="AQ80" s="137">
        <f>CK80</f>
        <v>1693</v>
      </c>
      <c r="AR80" s="137">
        <f>CI80</f>
        <v>1544</v>
      </c>
      <c r="AS80" s="138">
        <f>CF80+CG80</f>
        <v>2478</v>
      </c>
      <c r="AT80" s="141">
        <v>137</v>
      </c>
      <c r="AU80" s="141">
        <v>707</v>
      </c>
      <c r="AV80" s="141">
        <v>644</v>
      </c>
      <c r="AW80" s="141">
        <v>875</v>
      </c>
      <c r="AX80" s="141">
        <v>1066</v>
      </c>
      <c r="AY80" s="137">
        <v>1166</v>
      </c>
      <c r="AZ80" s="137">
        <v>168</v>
      </c>
      <c r="BA80" s="137">
        <v>1784</v>
      </c>
      <c r="BB80" s="137">
        <v>1554</v>
      </c>
      <c r="BC80" s="137">
        <v>2734</v>
      </c>
      <c r="BD80" s="137">
        <v>1919</v>
      </c>
      <c r="BE80" s="137">
        <v>666</v>
      </c>
      <c r="BF80" s="139">
        <v>2550</v>
      </c>
      <c r="BG80" s="137">
        <v>68</v>
      </c>
      <c r="BH80" s="137">
        <v>46</v>
      </c>
      <c r="BI80" s="137">
        <v>752</v>
      </c>
      <c r="BJ80" s="137">
        <v>501</v>
      </c>
      <c r="BK80" s="137">
        <v>71</v>
      </c>
      <c r="BL80" s="137">
        <v>66</v>
      </c>
      <c r="BM80" s="137">
        <v>1183</v>
      </c>
      <c r="BN80" s="137">
        <v>913</v>
      </c>
      <c r="BO80" s="137">
        <v>17</v>
      </c>
      <c r="BP80" s="137">
        <v>661</v>
      </c>
      <c r="BQ80" s="137">
        <v>448</v>
      </c>
      <c r="BR80" s="139">
        <v>877</v>
      </c>
      <c r="BS80" s="137">
        <v>138</v>
      </c>
      <c r="BT80" s="137">
        <v>2172</v>
      </c>
      <c r="BU80" s="137">
        <v>1246</v>
      </c>
      <c r="BV80" s="137">
        <v>3563</v>
      </c>
      <c r="BW80" s="137">
        <v>1133</v>
      </c>
      <c r="BX80" s="137">
        <v>1347</v>
      </c>
      <c r="BY80" s="137">
        <v>593</v>
      </c>
      <c r="BZ80" s="137">
        <v>1041</v>
      </c>
      <c r="CA80" s="137">
        <v>1170</v>
      </c>
      <c r="CB80" s="139">
        <v>1723</v>
      </c>
      <c r="CC80" s="137">
        <v>1257</v>
      </c>
      <c r="CD80" s="137">
        <v>496</v>
      </c>
      <c r="CE80" s="137">
        <v>986</v>
      </c>
      <c r="CF80" s="137">
        <v>136</v>
      </c>
      <c r="CG80" s="137">
        <v>2342</v>
      </c>
      <c r="CH80" s="137">
        <v>2301</v>
      </c>
      <c r="CI80" s="137">
        <v>1544</v>
      </c>
      <c r="CJ80" s="137">
        <v>3273</v>
      </c>
      <c r="CK80" s="138">
        <v>1693</v>
      </c>
      <c r="CL80" s="149">
        <f>SUM(AT80:CK80)</f>
        <v>49727</v>
      </c>
    </row>
    <row r="81" spans="1:90">
      <c r="A81" s="80">
        <f>ROWS($A$3:A79)</f>
        <v>77</v>
      </c>
      <c r="B81" s="602" t="s">
        <v>365</v>
      </c>
      <c r="C81" s="590">
        <v>2009</v>
      </c>
      <c r="D81" s="603" t="s">
        <v>13</v>
      </c>
      <c r="E81" s="522">
        <v>43320</v>
      </c>
      <c r="F81" s="154">
        <f>SUM(AT81:BF81)</f>
        <v>1004769</v>
      </c>
      <c r="G81" s="155">
        <f>SUM(BG81:BR81)</f>
        <v>651042</v>
      </c>
      <c r="H81" s="155">
        <f>SUM(BS81:CB81)</f>
        <v>647136</v>
      </c>
      <c r="I81" s="156">
        <f>SUM(CC81:CK81)</f>
        <v>584235</v>
      </c>
      <c r="J81" s="141"/>
      <c r="K81" s="154">
        <f>BF81</f>
        <v>81953</v>
      </c>
      <c r="L81" s="155">
        <f>AY81</f>
        <v>117286</v>
      </c>
      <c r="M81" s="155">
        <f>BD81</f>
        <v>98296</v>
      </c>
      <c r="N81" s="155">
        <f>AW81</f>
        <v>49828</v>
      </c>
      <c r="O81" s="155">
        <f>BE81</f>
        <v>28478</v>
      </c>
      <c r="P81" s="155">
        <f>AZ81+BA81</f>
        <v>151104</v>
      </c>
      <c r="Q81" s="155">
        <f>AU81</f>
        <v>99095</v>
      </c>
      <c r="R81" s="155">
        <f>AT81+AX81</f>
        <v>142840</v>
      </c>
      <c r="S81" s="155">
        <f>AV81</f>
        <v>99928</v>
      </c>
      <c r="T81" s="155">
        <f>BB81</f>
        <v>52552</v>
      </c>
      <c r="U81" s="552">
        <f>BC81</f>
        <v>83409</v>
      </c>
      <c r="V81" s="155">
        <f>BG81+BJ81</f>
        <v>88690</v>
      </c>
      <c r="W81" s="155">
        <f>BR81</f>
        <v>52600</v>
      </c>
      <c r="X81" s="155">
        <f>BH81+BI81</f>
        <v>171470</v>
      </c>
      <c r="Y81" s="155">
        <f>BK81+BL81+BN81</f>
        <v>98421</v>
      </c>
      <c r="Z81" s="155">
        <f>BM81</f>
        <v>78582</v>
      </c>
      <c r="AA81" s="155">
        <f>BO81+BQ81</f>
        <v>106110</v>
      </c>
      <c r="AB81" s="552">
        <f>BP81</f>
        <v>55169</v>
      </c>
      <c r="AC81" s="155">
        <f>BX81</f>
        <v>34877</v>
      </c>
      <c r="AD81" s="155">
        <f>BU81</f>
        <v>53850</v>
      </c>
      <c r="AE81" s="155">
        <f>BS81+BT81</f>
        <v>95474</v>
      </c>
      <c r="AF81" s="155">
        <f>CA81</f>
        <v>71770</v>
      </c>
      <c r="AG81" s="155">
        <f>BV81</f>
        <v>133684</v>
      </c>
      <c r="AH81" s="155">
        <f>BZ81</f>
        <v>56248</v>
      </c>
      <c r="AI81" s="155">
        <f>BW81</f>
        <v>60108</v>
      </c>
      <c r="AJ81" s="155">
        <f>BY81</f>
        <v>76265</v>
      </c>
      <c r="AK81" s="552">
        <f>CB81</f>
        <v>64860</v>
      </c>
      <c r="AL81" s="155">
        <f>CE81</f>
        <v>101103</v>
      </c>
      <c r="AM81" s="155">
        <f>CH81</f>
        <v>76072</v>
      </c>
      <c r="AN81" s="155">
        <f>CJ81</f>
        <v>31636</v>
      </c>
      <c r="AO81" s="155">
        <f>CC81</f>
        <v>81340</v>
      </c>
      <c r="AP81" s="155">
        <f>CD81</f>
        <v>93720</v>
      </c>
      <c r="AQ81" s="155">
        <f>CK81</f>
        <v>68623</v>
      </c>
      <c r="AR81" s="155">
        <f>CI81</f>
        <v>58028</v>
      </c>
      <c r="AS81" s="156">
        <f>CF81+CG81</f>
        <v>73713</v>
      </c>
      <c r="AT81" s="155">
        <v>12289</v>
      </c>
      <c r="AU81" s="155">
        <v>99095</v>
      </c>
      <c r="AV81" s="155">
        <v>99928</v>
      </c>
      <c r="AW81" s="155">
        <v>49828</v>
      </c>
      <c r="AX81" s="155">
        <v>130551</v>
      </c>
      <c r="AY81" s="155">
        <v>117286</v>
      </c>
      <c r="AZ81" s="155">
        <v>15591</v>
      </c>
      <c r="BA81" s="155">
        <v>135513</v>
      </c>
      <c r="BB81" s="155">
        <v>52552</v>
      </c>
      <c r="BC81" s="155">
        <v>83409</v>
      </c>
      <c r="BD81" s="155">
        <v>98296</v>
      </c>
      <c r="BE81" s="155">
        <v>28478</v>
      </c>
      <c r="BF81" s="552">
        <v>81953</v>
      </c>
      <c r="BG81" s="155">
        <v>10794</v>
      </c>
      <c r="BH81" s="155">
        <v>9015</v>
      </c>
      <c r="BI81" s="155">
        <v>162455</v>
      </c>
      <c r="BJ81" s="155">
        <v>77896</v>
      </c>
      <c r="BK81" s="155">
        <v>3324</v>
      </c>
      <c r="BL81" s="155">
        <v>5119</v>
      </c>
      <c r="BM81" s="155">
        <v>78582</v>
      </c>
      <c r="BN81" s="155">
        <v>89978</v>
      </c>
      <c r="BO81" s="155">
        <v>4188</v>
      </c>
      <c r="BP81" s="155">
        <v>55169</v>
      </c>
      <c r="BQ81" s="155">
        <v>101922</v>
      </c>
      <c r="BR81" s="552">
        <v>52600</v>
      </c>
      <c r="BS81" s="155">
        <v>8684</v>
      </c>
      <c r="BT81" s="155">
        <v>86790</v>
      </c>
      <c r="BU81" s="155">
        <v>53850</v>
      </c>
      <c r="BV81" s="155">
        <v>133684</v>
      </c>
      <c r="BW81" s="155">
        <v>60108</v>
      </c>
      <c r="BX81" s="155">
        <v>34877</v>
      </c>
      <c r="BY81" s="155">
        <v>76265</v>
      </c>
      <c r="BZ81" s="155">
        <v>56248</v>
      </c>
      <c r="CA81" s="155">
        <v>71770</v>
      </c>
      <c r="CB81" s="552">
        <v>64860</v>
      </c>
      <c r="CC81" s="155">
        <v>81340</v>
      </c>
      <c r="CD81" s="155">
        <v>93720</v>
      </c>
      <c r="CE81" s="155">
        <v>101103</v>
      </c>
      <c r="CF81" s="155">
        <v>5559</v>
      </c>
      <c r="CG81" s="155">
        <v>68154</v>
      </c>
      <c r="CH81" s="155">
        <v>76072</v>
      </c>
      <c r="CI81" s="155">
        <v>58028</v>
      </c>
      <c r="CJ81" s="155">
        <v>31636</v>
      </c>
      <c r="CK81" s="156">
        <v>68623</v>
      </c>
      <c r="CL81" s="553">
        <f>SUM(AT81:CK81)</f>
        <v>2887182</v>
      </c>
    </row>
    <row r="82" spans="1:90">
      <c r="A82" s="80">
        <f>ROWS($A$3:A80)</f>
        <v>78</v>
      </c>
      <c r="B82" s="610" t="s">
        <v>367</v>
      </c>
      <c r="C82" s="590">
        <v>2009</v>
      </c>
      <c r="D82" s="603" t="s">
        <v>13</v>
      </c>
      <c r="E82" s="522">
        <v>43320</v>
      </c>
      <c r="F82" s="530">
        <f t="shared" ref="F82:AQ82" si="173">F81/F80</f>
        <v>61.870012315270934</v>
      </c>
      <c r="G82" s="531">
        <f t="shared" si="173"/>
        <v>111.36537803626412</v>
      </c>
      <c r="H82" s="531">
        <f t="shared" si="173"/>
        <v>44.531791907514453</v>
      </c>
      <c r="I82" s="532">
        <f t="shared" si="173"/>
        <v>40.807082489348325</v>
      </c>
      <c r="J82" s="141"/>
      <c r="K82" s="530">
        <f t="shared" si="173"/>
        <v>32.138431372549022</v>
      </c>
      <c r="L82" s="531">
        <f t="shared" si="173"/>
        <v>100.58833619210978</v>
      </c>
      <c r="M82" s="531">
        <f t="shared" si="173"/>
        <v>51.222511724856695</v>
      </c>
      <c r="N82" s="531">
        <f t="shared" si="173"/>
        <v>56.946285714285715</v>
      </c>
      <c r="O82" s="531">
        <f t="shared" si="173"/>
        <v>42.75975975975976</v>
      </c>
      <c r="P82" s="531">
        <f t="shared" si="173"/>
        <v>77.409836065573771</v>
      </c>
      <c r="Q82" s="531">
        <f t="shared" si="173"/>
        <v>140.16265912305516</v>
      </c>
      <c r="R82" s="531">
        <f t="shared" si="173"/>
        <v>118.73649210307565</v>
      </c>
      <c r="S82" s="531">
        <f t="shared" si="173"/>
        <v>155.16770186335404</v>
      </c>
      <c r="T82" s="531">
        <f t="shared" si="173"/>
        <v>33.817245817245819</v>
      </c>
      <c r="U82" s="555">
        <f t="shared" si="173"/>
        <v>30.508046817849305</v>
      </c>
      <c r="V82" s="531">
        <f t="shared" si="173"/>
        <v>155.86994727592267</v>
      </c>
      <c r="W82" s="531">
        <f t="shared" si="173"/>
        <v>59.977194982896236</v>
      </c>
      <c r="X82" s="531">
        <f t="shared" si="173"/>
        <v>214.87468671679198</v>
      </c>
      <c r="Y82" s="531">
        <f t="shared" si="173"/>
        <v>93.734285714285718</v>
      </c>
      <c r="Z82" s="531">
        <f t="shared" si="173"/>
        <v>66.426035502958584</v>
      </c>
      <c r="AA82" s="531">
        <f t="shared" si="173"/>
        <v>228.19354838709677</v>
      </c>
      <c r="AB82" s="555">
        <f t="shared" si="173"/>
        <v>83.462934947049931</v>
      </c>
      <c r="AC82" s="531">
        <f t="shared" si="173"/>
        <v>25.892353377876763</v>
      </c>
      <c r="AD82" s="531">
        <f t="shared" si="173"/>
        <v>43.21829855537721</v>
      </c>
      <c r="AE82" s="531">
        <f t="shared" si="173"/>
        <v>41.330735930735933</v>
      </c>
      <c r="AF82" s="531">
        <f t="shared" si="173"/>
        <v>61.341880341880341</v>
      </c>
      <c r="AG82" s="531">
        <f t="shared" si="173"/>
        <v>37.520067358967161</v>
      </c>
      <c r="AH82" s="531">
        <f t="shared" si="173"/>
        <v>54.032660902977909</v>
      </c>
      <c r="AI82" s="531">
        <f t="shared" si="173"/>
        <v>53.052074139452778</v>
      </c>
      <c r="AJ82" s="531">
        <f t="shared" si="173"/>
        <v>128.60876897133221</v>
      </c>
      <c r="AK82" s="555">
        <f t="shared" si="173"/>
        <v>37.643644805571675</v>
      </c>
      <c r="AL82" s="531">
        <f t="shared" si="173"/>
        <v>102.53853955375254</v>
      </c>
      <c r="AM82" s="531">
        <f t="shared" si="173"/>
        <v>33.060408518035636</v>
      </c>
      <c r="AN82" s="531">
        <f t="shared" si="173"/>
        <v>9.6657500763825244</v>
      </c>
      <c r="AO82" s="531">
        <f t="shared" si="173"/>
        <v>64.709626093874306</v>
      </c>
      <c r="AP82" s="531">
        <f t="shared" si="173"/>
        <v>188.95161290322579</v>
      </c>
      <c r="AQ82" s="531">
        <f t="shared" si="173"/>
        <v>40.533372711163615</v>
      </c>
      <c r="AR82" s="531">
        <f>AR81/AR80</f>
        <v>37.582901554404145</v>
      </c>
      <c r="AS82" s="532">
        <f>AS81/AS80</f>
        <v>29.746973365617432</v>
      </c>
      <c r="AT82" s="531">
        <f>IF(OR(AT80&lt;0.1,AT81&lt;0.1),0,AT81/AT80)</f>
        <v>89.700729927007302</v>
      </c>
      <c r="AU82" s="531">
        <f>IF(OR(AU80&lt;0.1,AU81&lt;0.1),0,AU81/AU80)</f>
        <v>140.16265912305516</v>
      </c>
      <c r="AV82" s="531">
        <f t="shared" ref="AV82:CK82" si="174">IF(OR(AV80&lt;0.1,AV81&lt;0.1),0,AV81/AV80)</f>
        <v>155.16770186335404</v>
      </c>
      <c r="AW82" s="531">
        <f t="shared" si="174"/>
        <v>56.946285714285715</v>
      </c>
      <c r="AX82" s="531">
        <f>IF(OR(AX80&lt;0.1,AX81&lt;0.1),0,AX81/AX80)</f>
        <v>122.46810506566604</v>
      </c>
      <c r="AY82" s="531">
        <f t="shared" si="174"/>
        <v>100.58833619210978</v>
      </c>
      <c r="AZ82" s="531">
        <f t="shared" si="174"/>
        <v>92.803571428571431</v>
      </c>
      <c r="BA82" s="531">
        <f t="shared" si="174"/>
        <v>75.960201793721978</v>
      </c>
      <c r="BB82" s="531">
        <f t="shared" si="174"/>
        <v>33.817245817245819</v>
      </c>
      <c r="BC82" s="531">
        <f t="shared" si="174"/>
        <v>30.508046817849305</v>
      </c>
      <c r="BD82" s="531">
        <f t="shared" si="174"/>
        <v>51.222511724856695</v>
      </c>
      <c r="BE82" s="531">
        <f t="shared" si="174"/>
        <v>42.75975975975976</v>
      </c>
      <c r="BF82" s="555">
        <f t="shared" si="174"/>
        <v>32.138431372549022</v>
      </c>
      <c r="BG82" s="531">
        <f t="shared" si="174"/>
        <v>158.73529411764707</v>
      </c>
      <c r="BH82" s="531">
        <f>IF(OR(BH80&lt;0.1,BH81&lt;0.1),0,BH81/BH80)</f>
        <v>195.97826086956522</v>
      </c>
      <c r="BI82" s="531">
        <f>IF(OR(BI80&lt;0.1,BI81&lt;0.1),0,BI81/BI80)</f>
        <v>216.03058510638297</v>
      </c>
      <c r="BJ82" s="531">
        <f>IF(OR(BJ80&lt;0.1,BJ81&lt;0.1),0,BJ81/BJ80)</f>
        <v>155.48103792415171</v>
      </c>
      <c r="BK82" s="531">
        <f t="shared" si="174"/>
        <v>46.816901408450704</v>
      </c>
      <c r="BL82" s="531">
        <f t="shared" si="174"/>
        <v>77.560606060606062</v>
      </c>
      <c r="BM82" s="531">
        <f>IF(OR(BM80&lt;0.1,BM81&lt;0.1),0,BM81/BM80)</f>
        <v>66.426035502958584</v>
      </c>
      <c r="BN82" s="531">
        <f t="shared" si="174"/>
        <v>98.55202628696604</v>
      </c>
      <c r="BO82" s="531">
        <f t="shared" si="174"/>
        <v>246.35294117647058</v>
      </c>
      <c r="BP82" s="531">
        <f t="shared" si="174"/>
        <v>83.462934947049931</v>
      </c>
      <c r="BQ82" s="531">
        <f>IF(OR(BQ80&lt;0.1,BQ81&lt;0.1),0,BQ81/BQ80)</f>
        <v>227.50446428571428</v>
      </c>
      <c r="BR82" s="555">
        <f t="shared" si="174"/>
        <v>59.977194982896236</v>
      </c>
      <c r="BS82" s="531">
        <f t="shared" si="174"/>
        <v>62.927536231884055</v>
      </c>
      <c r="BT82" s="531">
        <f t="shared" si="174"/>
        <v>39.958563535911601</v>
      </c>
      <c r="BU82" s="531">
        <f t="shared" si="174"/>
        <v>43.21829855537721</v>
      </c>
      <c r="BV82" s="531">
        <f t="shared" si="174"/>
        <v>37.520067358967161</v>
      </c>
      <c r="BW82" s="531">
        <f t="shared" si="174"/>
        <v>53.052074139452778</v>
      </c>
      <c r="BX82" s="531">
        <f t="shared" si="174"/>
        <v>25.892353377876763</v>
      </c>
      <c r="BY82" s="531">
        <f t="shared" si="174"/>
        <v>128.60876897133221</v>
      </c>
      <c r="BZ82" s="531">
        <f t="shared" si="174"/>
        <v>54.032660902977909</v>
      </c>
      <c r="CA82" s="531">
        <f t="shared" si="174"/>
        <v>61.341880341880341</v>
      </c>
      <c r="CB82" s="555">
        <f t="shared" si="174"/>
        <v>37.643644805571675</v>
      </c>
      <c r="CC82" s="531">
        <f t="shared" si="174"/>
        <v>64.709626093874306</v>
      </c>
      <c r="CD82" s="531">
        <f t="shared" si="174"/>
        <v>188.95161290322579</v>
      </c>
      <c r="CE82" s="531">
        <f t="shared" si="174"/>
        <v>102.53853955375254</v>
      </c>
      <c r="CF82" s="531">
        <f t="shared" si="174"/>
        <v>40.875</v>
      </c>
      <c r="CG82" s="531">
        <f t="shared" si="174"/>
        <v>29.100768573868489</v>
      </c>
      <c r="CH82" s="531">
        <f t="shared" si="174"/>
        <v>33.060408518035636</v>
      </c>
      <c r="CI82" s="531">
        <f t="shared" si="174"/>
        <v>37.582901554404145</v>
      </c>
      <c r="CJ82" s="531">
        <f t="shared" si="174"/>
        <v>9.6657500763825244</v>
      </c>
      <c r="CK82" s="532">
        <f t="shared" si="174"/>
        <v>40.533372711163615</v>
      </c>
      <c r="CL82" s="556">
        <f>IF(OR(CL80&lt;0.1,CL81&lt;0.1),0,CL81/CL80)</f>
        <v>58.06065115530798</v>
      </c>
    </row>
    <row r="83" spans="1:90">
      <c r="A83" s="80">
        <f>ROWS($A$3:A81)</f>
        <v>79</v>
      </c>
      <c r="B83" s="602" t="s">
        <v>366</v>
      </c>
      <c r="C83" s="590">
        <v>2009</v>
      </c>
      <c r="D83" s="603" t="s">
        <v>13</v>
      </c>
      <c r="E83" s="522">
        <v>43320</v>
      </c>
      <c r="F83" s="154">
        <f>SUM(AT83:BF83)</f>
        <v>1162359</v>
      </c>
      <c r="G83" s="155">
        <f>SUM(BG83:BR83)</f>
        <v>729748</v>
      </c>
      <c r="H83" s="155">
        <f>SUM(BS83:CB83)</f>
        <v>834355</v>
      </c>
      <c r="I83" s="156">
        <f>SUM(CC83:CK83)</f>
        <v>731736</v>
      </c>
      <c r="J83" s="122"/>
      <c r="K83" s="154">
        <f>BF83</f>
        <v>104573</v>
      </c>
      <c r="L83" s="155">
        <f>AY83</f>
        <v>131020</v>
      </c>
      <c r="M83" s="155">
        <f>BD83</f>
        <v>116893</v>
      </c>
      <c r="N83" s="155">
        <f>AW83</f>
        <v>60458</v>
      </c>
      <c r="O83" s="155">
        <f>BE83</f>
        <v>34277</v>
      </c>
      <c r="P83" s="155">
        <f>AZ83+BA83</f>
        <v>168711</v>
      </c>
      <c r="Q83" s="155">
        <f>AU83</f>
        <v>105420</v>
      </c>
      <c r="R83" s="155">
        <f>AT83+AX83</f>
        <v>153711</v>
      </c>
      <c r="S83" s="155">
        <f>AV83</f>
        <v>106087</v>
      </c>
      <c r="T83" s="155">
        <f>BB83</f>
        <v>67875</v>
      </c>
      <c r="U83" s="552">
        <f>BC83</f>
        <v>113334</v>
      </c>
      <c r="V83" s="155">
        <f>BG83+BJ83</f>
        <v>95994</v>
      </c>
      <c r="W83" s="155">
        <f>BR83</f>
        <v>62020</v>
      </c>
      <c r="X83" s="155">
        <f>BH83+BI83</f>
        <v>185342</v>
      </c>
      <c r="Y83" s="155">
        <f>BK83+BL83+BN83</f>
        <v>111548</v>
      </c>
      <c r="Z83" s="155">
        <f>BM83</f>
        <v>96016</v>
      </c>
      <c r="AA83" s="155">
        <f>BO83+BQ83</f>
        <v>113515</v>
      </c>
      <c r="AB83" s="552">
        <f>BP83</f>
        <v>65313</v>
      </c>
      <c r="AC83" s="155">
        <f>BX83</f>
        <v>56344</v>
      </c>
      <c r="AD83" s="155">
        <f>BU83</f>
        <v>69112</v>
      </c>
      <c r="AE83" s="155">
        <f>BS83+BT83</f>
        <v>122907</v>
      </c>
      <c r="AF83" s="155">
        <f>CA83</f>
        <v>88890</v>
      </c>
      <c r="AG83" s="155">
        <f>BV83</f>
        <v>177663</v>
      </c>
      <c r="AH83" s="155">
        <f>BZ83</f>
        <v>73201</v>
      </c>
      <c r="AI83" s="155">
        <f>BW83</f>
        <v>76209</v>
      </c>
      <c r="AJ83" s="155">
        <f>BY83</f>
        <v>84708</v>
      </c>
      <c r="AK83" s="552">
        <f>CB83</f>
        <v>85321</v>
      </c>
      <c r="AL83" s="155">
        <f>CE83</f>
        <v>111049</v>
      </c>
      <c r="AM83" s="155">
        <f>CH83</f>
        <v>95470</v>
      </c>
      <c r="AN83" s="155">
        <f>CJ83</f>
        <v>49331</v>
      </c>
      <c r="AO83" s="155">
        <f>CC83</f>
        <v>98027</v>
      </c>
      <c r="AP83" s="155">
        <f>CD83</f>
        <v>100787</v>
      </c>
      <c r="AQ83" s="155">
        <f>CK83</f>
        <v>87137</v>
      </c>
      <c r="AR83" s="155">
        <f>CI83</f>
        <v>96255</v>
      </c>
      <c r="AS83" s="156">
        <f>CF83+CG83</f>
        <v>93680</v>
      </c>
      <c r="AT83">
        <v>13141</v>
      </c>
      <c r="AU83">
        <v>105420</v>
      </c>
      <c r="AV83">
        <v>106087</v>
      </c>
      <c r="AW83">
        <v>60458</v>
      </c>
      <c r="AX83">
        <v>140570</v>
      </c>
      <c r="AY83">
        <v>131020</v>
      </c>
      <c r="AZ83">
        <v>18488</v>
      </c>
      <c r="BA83">
        <v>150223</v>
      </c>
      <c r="BB83">
        <v>67875</v>
      </c>
      <c r="BC83">
        <v>113334</v>
      </c>
      <c r="BD83">
        <v>116893</v>
      </c>
      <c r="BE83">
        <v>34277</v>
      </c>
      <c r="BF83">
        <v>104573</v>
      </c>
      <c r="BG83">
        <v>11731</v>
      </c>
      <c r="BH83">
        <v>9702</v>
      </c>
      <c r="BI83">
        <v>175640</v>
      </c>
      <c r="BJ83">
        <v>84263</v>
      </c>
      <c r="BK83">
        <v>4078</v>
      </c>
      <c r="BL83">
        <v>6036</v>
      </c>
      <c r="BM83">
        <v>96016</v>
      </c>
      <c r="BN83">
        <v>101434</v>
      </c>
      <c r="BO83">
        <v>4729</v>
      </c>
      <c r="BP83">
        <v>65313</v>
      </c>
      <c r="BQ83">
        <v>108786</v>
      </c>
      <c r="BR83">
        <v>62020</v>
      </c>
      <c r="BS83">
        <v>9940</v>
      </c>
      <c r="BT83">
        <v>112967</v>
      </c>
      <c r="BU83">
        <v>69112</v>
      </c>
      <c r="BV83">
        <v>177663</v>
      </c>
      <c r="BW83">
        <v>76209</v>
      </c>
      <c r="BX83">
        <v>56344</v>
      </c>
      <c r="BY83">
        <v>84708</v>
      </c>
      <c r="BZ83">
        <v>73201</v>
      </c>
      <c r="CA83">
        <v>88890</v>
      </c>
      <c r="CB83">
        <v>85321</v>
      </c>
      <c r="CC83">
        <v>98027</v>
      </c>
      <c r="CD83">
        <v>100787</v>
      </c>
      <c r="CE83">
        <v>111049</v>
      </c>
      <c r="CF83">
        <v>6505</v>
      </c>
      <c r="CG83">
        <v>87175</v>
      </c>
      <c r="CH83">
        <v>95470</v>
      </c>
      <c r="CI83">
        <v>96255</v>
      </c>
      <c r="CJ83">
        <v>49331</v>
      </c>
      <c r="CK83">
        <v>87137</v>
      </c>
      <c r="CL83" s="320">
        <f>SUM(AT83:CK83)</f>
        <v>3458198</v>
      </c>
    </row>
    <row r="84" spans="1:90">
      <c r="A84" s="80">
        <f>ROWS($A$3:A82)</f>
        <v>80</v>
      </c>
      <c r="B84" s="610" t="s">
        <v>368</v>
      </c>
      <c r="C84" s="590">
        <v>2009</v>
      </c>
      <c r="D84" s="603" t="s">
        <v>13</v>
      </c>
      <c r="E84" s="522">
        <v>43320</v>
      </c>
      <c r="F84" s="530">
        <f>F83/F80</f>
        <v>71.57383004926109</v>
      </c>
      <c r="G84" s="531">
        <f>G83/G80</f>
        <v>124.82860075265138</v>
      </c>
      <c r="H84" s="531">
        <f>H83/H80</f>
        <v>57.415015139003579</v>
      </c>
      <c r="I84" s="532">
        <f>I83/I80</f>
        <v>51.109589997904592</v>
      </c>
      <c r="J84" s="122"/>
      <c r="K84" s="530">
        <f t="shared" ref="K84:BV84" si="175">K83/K80</f>
        <v>41.009019607843136</v>
      </c>
      <c r="L84" s="531">
        <f t="shared" si="175"/>
        <v>112.36706689536878</v>
      </c>
      <c r="M84" s="531">
        <f t="shared" si="175"/>
        <v>60.913496612819173</v>
      </c>
      <c r="N84" s="531">
        <f t="shared" si="175"/>
        <v>69.094857142857137</v>
      </c>
      <c r="O84" s="531">
        <f t="shared" si="175"/>
        <v>51.466966966966964</v>
      </c>
      <c r="P84" s="531">
        <f t="shared" si="175"/>
        <v>86.429815573770497</v>
      </c>
      <c r="Q84" s="531">
        <f t="shared" si="175"/>
        <v>149.1089108910891</v>
      </c>
      <c r="R84" s="531">
        <f t="shared" si="175"/>
        <v>127.77306733167082</v>
      </c>
      <c r="S84" s="531">
        <f t="shared" si="175"/>
        <v>164.73136645962734</v>
      </c>
      <c r="T84" s="531">
        <f t="shared" si="175"/>
        <v>43.677606177606179</v>
      </c>
      <c r="U84" s="555">
        <f t="shared" si="175"/>
        <v>41.45354791514265</v>
      </c>
      <c r="V84" s="531">
        <f t="shared" si="175"/>
        <v>168.70650263620388</v>
      </c>
      <c r="W84" s="531">
        <f t="shared" si="175"/>
        <v>70.718358038768528</v>
      </c>
      <c r="X84" s="531">
        <f t="shared" si="175"/>
        <v>232.25814536340852</v>
      </c>
      <c r="Y84" s="531">
        <f t="shared" si="175"/>
        <v>106.23619047619047</v>
      </c>
      <c r="Z84" s="531">
        <f t="shared" si="175"/>
        <v>81.163144547759927</v>
      </c>
      <c r="AA84" s="531">
        <f t="shared" si="175"/>
        <v>244.11827956989248</v>
      </c>
      <c r="AB84" s="555">
        <f t="shared" si="175"/>
        <v>98.809379727685325</v>
      </c>
      <c r="AC84" s="531">
        <f t="shared" si="175"/>
        <v>41.829250185597623</v>
      </c>
      <c r="AD84" s="531">
        <f t="shared" si="175"/>
        <v>55.46709470304976</v>
      </c>
      <c r="AE84" s="531">
        <f t="shared" si="175"/>
        <v>53.206493506493509</v>
      </c>
      <c r="AF84" s="531">
        <f t="shared" si="175"/>
        <v>75.974358974358978</v>
      </c>
      <c r="AG84" s="531">
        <f t="shared" si="175"/>
        <v>49.863317429132756</v>
      </c>
      <c r="AH84" s="531">
        <f t="shared" si="175"/>
        <v>70.317963496637844</v>
      </c>
      <c r="AI84" s="531">
        <f t="shared" si="175"/>
        <v>67.263018534863193</v>
      </c>
      <c r="AJ84" s="531">
        <f t="shared" si="175"/>
        <v>142.84654300168634</v>
      </c>
      <c r="AK84" s="555">
        <f t="shared" si="175"/>
        <v>49.518862449216485</v>
      </c>
      <c r="AL84" s="531">
        <f t="shared" si="175"/>
        <v>112.62576064908723</v>
      </c>
      <c r="AM84" s="531">
        <f t="shared" si="175"/>
        <v>41.49065623641895</v>
      </c>
      <c r="AN84" s="531">
        <f t="shared" si="175"/>
        <v>15.072105102352582</v>
      </c>
      <c r="AO84" s="531">
        <f t="shared" si="175"/>
        <v>77.984884645982504</v>
      </c>
      <c r="AP84" s="531">
        <f t="shared" si="175"/>
        <v>203.19959677419354</v>
      </c>
      <c r="AQ84" s="531">
        <f t="shared" si="175"/>
        <v>51.468989958653282</v>
      </c>
      <c r="AR84" s="531">
        <f t="shared" si="175"/>
        <v>62.341321243523318</v>
      </c>
      <c r="AS84" s="532">
        <f t="shared" si="175"/>
        <v>37.804681194511701</v>
      </c>
      <c r="AT84" s="531">
        <f t="shared" si="175"/>
        <v>95.919708029197082</v>
      </c>
      <c r="AU84" s="531">
        <f t="shared" si="175"/>
        <v>149.1089108910891</v>
      </c>
      <c r="AV84" s="531">
        <f t="shared" si="175"/>
        <v>164.73136645962734</v>
      </c>
      <c r="AW84" s="531">
        <f t="shared" si="175"/>
        <v>69.094857142857137</v>
      </c>
      <c r="AX84" s="531">
        <f t="shared" si="175"/>
        <v>131.86679174484053</v>
      </c>
      <c r="AY84" s="531">
        <f t="shared" si="175"/>
        <v>112.36706689536878</v>
      </c>
      <c r="AZ84" s="531">
        <f t="shared" si="175"/>
        <v>110.04761904761905</v>
      </c>
      <c r="BA84" s="531">
        <f t="shared" si="175"/>
        <v>84.205717488789233</v>
      </c>
      <c r="BB84" s="531">
        <f t="shared" si="175"/>
        <v>43.677606177606179</v>
      </c>
      <c r="BC84" s="531">
        <f t="shared" si="175"/>
        <v>41.45354791514265</v>
      </c>
      <c r="BD84" s="531">
        <f t="shared" si="175"/>
        <v>60.913496612819173</v>
      </c>
      <c r="BE84" s="531">
        <f t="shared" si="175"/>
        <v>51.466966966966964</v>
      </c>
      <c r="BF84" s="555">
        <f t="shared" si="175"/>
        <v>41.009019607843136</v>
      </c>
      <c r="BG84" s="531">
        <f t="shared" si="175"/>
        <v>172.51470588235293</v>
      </c>
      <c r="BH84" s="531">
        <f t="shared" si="175"/>
        <v>210.91304347826087</v>
      </c>
      <c r="BI84" s="531">
        <f t="shared" si="175"/>
        <v>233.56382978723406</v>
      </c>
      <c r="BJ84" s="531">
        <f t="shared" si="175"/>
        <v>168.18962075848304</v>
      </c>
      <c r="BK84" s="531">
        <f t="shared" si="175"/>
        <v>57.436619718309856</v>
      </c>
      <c r="BL84" s="531">
        <f t="shared" si="175"/>
        <v>91.454545454545453</v>
      </c>
      <c r="BM84" s="531">
        <f t="shared" si="175"/>
        <v>81.163144547759927</v>
      </c>
      <c r="BN84" s="531">
        <f t="shared" si="175"/>
        <v>111.09967141292442</v>
      </c>
      <c r="BO84" s="531">
        <f t="shared" si="175"/>
        <v>278.1764705882353</v>
      </c>
      <c r="BP84" s="531">
        <f t="shared" si="175"/>
        <v>98.809379727685325</v>
      </c>
      <c r="BQ84" s="531">
        <f t="shared" si="175"/>
        <v>242.82589285714286</v>
      </c>
      <c r="BR84" s="555">
        <f t="shared" si="175"/>
        <v>70.718358038768528</v>
      </c>
      <c r="BS84" s="531">
        <f t="shared" si="175"/>
        <v>72.028985507246375</v>
      </c>
      <c r="BT84" s="531">
        <f t="shared" si="175"/>
        <v>52.010589318600367</v>
      </c>
      <c r="BU84" s="531">
        <f t="shared" si="175"/>
        <v>55.46709470304976</v>
      </c>
      <c r="BV84" s="531">
        <f t="shared" si="175"/>
        <v>49.863317429132756</v>
      </c>
      <c r="BW84" s="531">
        <f t="shared" ref="BW84:CL84" si="176">BW83/BW80</f>
        <v>67.263018534863193</v>
      </c>
      <c r="BX84" s="531">
        <f t="shared" si="176"/>
        <v>41.829250185597623</v>
      </c>
      <c r="BY84" s="531">
        <f t="shared" si="176"/>
        <v>142.84654300168634</v>
      </c>
      <c r="BZ84" s="531">
        <f t="shared" si="176"/>
        <v>70.317963496637844</v>
      </c>
      <c r="CA84" s="531">
        <f t="shared" si="176"/>
        <v>75.974358974358978</v>
      </c>
      <c r="CB84" s="555">
        <f t="shared" si="176"/>
        <v>49.518862449216485</v>
      </c>
      <c r="CC84" s="531">
        <f t="shared" si="176"/>
        <v>77.984884645982504</v>
      </c>
      <c r="CD84" s="531">
        <f t="shared" si="176"/>
        <v>203.19959677419354</v>
      </c>
      <c r="CE84" s="531">
        <f t="shared" si="176"/>
        <v>112.62576064908723</v>
      </c>
      <c r="CF84" s="531">
        <f t="shared" si="176"/>
        <v>47.830882352941174</v>
      </c>
      <c r="CG84" s="531">
        <f t="shared" si="176"/>
        <v>37.222459436379161</v>
      </c>
      <c r="CH84" s="531">
        <f t="shared" si="176"/>
        <v>41.49065623641895</v>
      </c>
      <c r="CI84" s="531">
        <f t="shared" si="176"/>
        <v>62.341321243523318</v>
      </c>
      <c r="CJ84" s="531">
        <f t="shared" si="176"/>
        <v>15.072105102352582</v>
      </c>
      <c r="CK84" s="532">
        <f t="shared" si="176"/>
        <v>51.468989958653282</v>
      </c>
      <c r="CL84" s="556">
        <f t="shared" si="176"/>
        <v>69.543668429625754</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2">
        <v>2009</v>
      </c>
      <c r="D86" s="254"/>
      <c r="E86" s="269"/>
      <c r="F86" s="116"/>
      <c r="G86" s="137"/>
      <c r="H86" s="137"/>
      <c r="I86" s="138"/>
      <c r="J86" s="141"/>
      <c r="K86" s="116"/>
      <c r="L86" s="137"/>
      <c r="M86" s="137"/>
      <c r="N86" s="137"/>
      <c r="O86" s="137"/>
      <c r="P86" s="137"/>
      <c r="Q86" s="137"/>
      <c r="R86" s="141"/>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41"/>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4" t="s">
        <v>248</v>
      </c>
      <c r="E87" s="256">
        <v>40680</v>
      </c>
      <c r="F87" s="151">
        <v>21087</v>
      </c>
      <c r="G87" s="151">
        <v>18406</v>
      </c>
      <c r="H87" s="151">
        <v>16091</v>
      </c>
      <c r="I87" s="152">
        <v>18647</v>
      </c>
      <c r="J87" s="280"/>
      <c r="K87" s="116">
        <f>BF87</f>
        <v>16310</v>
      </c>
      <c r="L87" s="137">
        <f>AY87</f>
        <v>26262</v>
      </c>
      <c r="M87" s="137">
        <f>BD87</f>
        <v>11510</v>
      </c>
      <c r="N87" s="137">
        <f>AW87</f>
        <v>17418</v>
      </c>
      <c r="O87" s="137">
        <f>BE87</f>
        <v>21375</v>
      </c>
      <c r="P87" s="143">
        <f>(AZ101*AZ87+BA101*BA87)/(AZ101+BA101)</f>
        <v>22686.79179331307</v>
      </c>
      <c r="Q87" s="137">
        <f>'2008'!AU87</f>
        <v>31866</v>
      </c>
      <c r="R87" s="143">
        <f>(AT101*AT87+AX101*AX87)/(AT101+AX101)</f>
        <v>42154.443349753696</v>
      </c>
      <c r="S87" s="137">
        <f>AV87</f>
        <v>31387</v>
      </c>
      <c r="T87" s="137">
        <f>BB87</f>
        <v>22369</v>
      </c>
      <c r="U87" s="139">
        <f>BC87</f>
        <v>17850</v>
      </c>
      <c r="V87" s="143">
        <f>(BG101*BG87+BJ101*BJ87)/(BG101+BJ101)</f>
        <v>27234.023255813954</v>
      </c>
      <c r="W87" s="137">
        <f>BR87</f>
        <v>13090</v>
      </c>
      <c r="X87" s="143">
        <f>(BH101*BH87+BI101*BI87)/(BH101+BI101)</f>
        <v>23588.757369614512</v>
      </c>
      <c r="Y87" s="143">
        <f>(BK101*BK87+BL101*BL87+BN101*BN87)/(BK101+BL101+BN101)</f>
        <v>42533.041666666664</v>
      </c>
      <c r="Z87" s="137">
        <f>BM87</f>
        <v>10007</v>
      </c>
      <c r="AA87" s="143">
        <f>(BO101*BO87+BQ101*BQ87)/(BO101+BQ101)</f>
        <v>17473.470588235294</v>
      </c>
      <c r="AB87" s="139">
        <f>BP87</f>
        <v>14216</v>
      </c>
      <c r="AC87" s="137">
        <f>BX87</f>
        <v>10877</v>
      </c>
      <c r="AD87" s="137">
        <f>BU87</f>
        <v>23642</v>
      </c>
      <c r="AE87" s="143">
        <f>(BS101*BS87+BT101*BT87)/(BS101+BT101)</f>
        <v>22754.666666666668</v>
      </c>
      <c r="AF87" s="137">
        <f>CA87</f>
        <v>14014</v>
      </c>
      <c r="AG87" s="137">
        <f>BV87</f>
        <v>19121</v>
      </c>
      <c r="AH87" s="137">
        <f>BZ87</f>
        <v>17167</v>
      </c>
      <c r="AI87" s="137">
        <f>BW87</f>
        <v>13026</v>
      </c>
      <c r="AJ87" s="137">
        <f>BY87</f>
        <v>8813</v>
      </c>
      <c r="AK87" s="139">
        <f>CB87</f>
        <v>12355</v>
      </c>
      <c r="AL87" s="137">
        <f>CE87</f>
        <v>11323</v>
      </c>
      <c r="AM87" s="137">
        <f>CH87</f>
        <v>21046</v>
      </c>
      <c r="AN87" s="137">
        <f>CJ87</f>
        <v>16921</v>
      </c>
      <c r="AO87" s="137">
        <f>CC87</f>
        <v>12648</v>
      </c>
      <c r="AP87" s="137">
        <f>CD87</f>
        <v>19004</v>
      </c>
      <c r="AQ87" s="137">
        <f>CK87</f>
        <v>12993</v>
      </c>
      <c r="AR87" s="137">
        <f>CI87</f>
        <v>23933</v>
      </c>
      <c r="AS87" s="144">
        <f>(CF101*CF87+CG101*CG87)/(CF101+CG101)</f>
        <v>22570.024390243903</v>
      </c>
      <c r="AT87" s="141">
        <v>124027</v>
      </c>
      <c r="AU87" s="151">
        <v>32981</v>
      </c>
      <c r="AV87" s="151">
        <v>31387</v>
      </c>
      <c r="AW87" s="151">
        <v>17418</v>
      </c>
      <c r="AX87" s="151">
        <v>33945</v>
      </c>
      <c r="AY87" s="151">
        <v>26262</v>
      </c>
      <c r="AZ87" s="151">
        <v>37446</v>
      </c>
      <c r="BA87" s="151">
        <v>21287</v>
      </c>
      <c r="BB87" s="151">
        <v>22369</v>
      </c>
      <c r="BC87" s="151">
        <v>17850</v>
      </c>
      <c r="BD87" s="151">
        <v>11510</v>
      </c>
      <c r="BE87" s="151">
        <v>21375</v>
      </c>
      <c r="BF87" s="153">
        <v>16310</v>
      </c>
      <c r="BG87" s="151">
        <v>44951</v>
      </c>
      <c r="BH87" s="151">
        <v>38722</v>
      </c>
      <c r="BI87" s="151">
        <v>22982</v>
      </c>
      <c r="BJ87" s="151">
        <v>23491</v>
      </c>
      <c r="BK87" s="151">
        <v>160738</v>
      </c>
      <c r="BL87" s="151">
        <v>53848</v>
      </c>
      <c r="BM87" s="151">
        <v>10007</v>
      </c>
      <c r="BN87" s="151">
        <v>32517</v>
      </c>
      <c r="BO87" s="151">
        <v>20957</v>
      </c>
      <c r="BP87" s="151">
        <v>14216</v>
      </c>
      <c r="BQ87" s="151">
        <v>17009</v>
      </c>
      <c r="BR87" s="153">
        <v>13090</v>
      </c>
      <c r="BS87" s="151">
        <v>27751</v>
      </c>
      <c r="BT87" s="151">
        <v>20833</v>
      </c>
      <c r="BU87" s="151">
        <v>23642</v>
      </c>
      <c r="BV87" s="151">
        <v>19121</v>
      </c>
      <c r="BW87" s="151">
        <v>13026</v>
      </c>
      <c r="BX87" s="151">
        <v>10877</v>
      </c>
      <c r="BY87" s="151">
        <v>8813</v>
      </c>
      <c r="BZ87" s="151">
        <v>17167</v>
      </c>
      <c r="CA87" s="151">
        <v>14014</v>
      </c>
      <c r="CB87" s="153">
        <v>12355</v>
      </c>
      <c r="CC87" s="151">
        <v>12648</v>
      </c>
      <c r="CD87" s="151">
        <v>19004</v>
      </c>
      <c r="CE87" s="151">
        <v>11323</v>
      </c>
      <c r="CF87" s="151">
        <v>58537</v>
      </c>
      <c r="CG87" s="151">
        <v>21046</v>
      </c>
      <c r="CH87" s="151">
        <v>21046</v>
      </c>
      <c r="CI87" s="151">
        <v>23933</v>
      </c>
      <c r="CJ87" s="151">
        <v>16921</v>
      </c>
      <c r="CK87" s="151">
        <v>12993</v>
      </c>
      <c r="CL87" s="140">
        <v>19012</v>
      </c>
    </row>
    <row r="88" spans="1:90">
      <c r="A88" s="80">
        <f>ROWS($A$3:A86)</f>
        <v>84</v>
      </c>
      <c r="B88" s="59" t="s">
        <v>190</v>
      </c>
      <c r="C88" s="202">
        <v>2009</v>
      </c>
      <c r="D88" s="254"/>
      <c r="E88" s="269"/>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c r="A89" s="80">
        <f>ROWS($A$3:A87)</f>
        <v>85</v>
      </c>
      <c r="B89" s="92" t="str">
        <f>'2012'!B89</f>
        <v>Winterweizen (einschl. Dinkel u. Einkorn)</v>
      </c>
      <c r="C89" s="205"/>
      <c r="D89" s="254" t="s">
        <v>192</v>
      </c>
      <c r="E89" s="278">
        <v>41499</v>
      </c>
      <c r="F89" s="170">
        <v>76.099999999999994</v>
      </c>
      <c r="G89" s="173">
        <v>71.900000000000006</v>
      </c>
      <c r="H89" s="173">
        <v>69.099999999999994</v>
      </c>
      <c r="I89" s="174">
        <v>72.5</v>
      </c>
      <c r="J89" s="173"/>
      <c r="K89" s="170">
        <f>BF89</f>
        <v>73.900000000000006</v>
      </c>
      <c r="L89" s="171">
        <f>AY89</f>
        <v>66.3</v>
      </c>
      <c r="M89" s="171">
        <f>BD89</f>
        <v>75.2</v>
      </c>
      <c r="N89" s="171">
        <f>AW89</f>
        <v>69.5</v>
      </c>
      <c r="O89" s="171">
        <f>BE89</f>
        <v>70.900000000000006</v>
      </c>
      <c r="P89" s="171">
        <f>'2009'!BA89</f>
        <v>78.099999999999994</v>
      </c>
      <c r="Q89" s="171">
        <f>'2009'!AU89</f>
        <v>81.7</v>
      </c>
      <c r="R89" s="171">
        <f>AX89</f>
        <v>78.5</v>
      </c>
      <c r="S89" s="171">
        <f>AV89</f>
        <v>71.099999999999994</v>
      </c>
      <c r="T89" s="171">
        <f t="shared" ref="T89:U93" si="177">BB89</f>
        <v>80.5</v>
      </c>
      <c r="U89" s="172">
        <f t="shared" si="177"/>
        <v>75.8</v>
      </c>
      <c r="V89" s="171">
        <f>BJ89</f>
        <v>69</v>
      </c>
      <c r="W89" s="171">
        <f>BR89</f>
        <v>72.7</v>
      </c>
      <c r="X89" s="171">
        <f>BI89</f>
        <v>72.599999999999994</v>
      </c>
      <c r="Y89" s="171">
        <f>BN89</f>
        <v>72.599999999999994</v>
      </c>
      <c r="Z89" s="171">
        <f>BM89</f>
        <v>71.8</v>
      </c>
      <c r="AA89" s="171">
        <f>BQ89</f>
        <v>72.5</v>
      </c>
      <c r="AB89" s="172">
        <f>BP89</f>
        <v>69.099999999999994</v>
      </c>
      <c r="AC89" s="171">
        <f>BX89</f>
        <v>64.7</v>
      </c>
      <c r="AD89" s="171">
        <f>BU89</f>
        <v>63.1</v>
      </c>
      <c r="AE89" s="171">
        <f>BT89</f>
        <v>62.4</v>
      </c>
      <c r="AF89" s="171">
        <f>CA89</f>
        <v>66.099999999999994</v>
      </c>
      <c r="AG89" s="171">
        <f>BV89</f>
        <v>73</v>
      </c>
      <c r="AH89" s="171">
        <f>BZ89</f>
        <v>73.400000000000006</v>
      </c>
      <c r="AI89" s="171">
        <f>BW89</f>
        <v>73.3</v>
      </c>
      <c r="AJ89" s="171">
        <f>BY89</f>
        <v>67.3</v>
      </c>
      <c r="AK89" s="172">
        <f>CB89</f>
        <v>66.599999999999994</v>
      </c>
      <c r="AL89" s="171">
        <f>CE89</f>
        <v>69.2</v>
      </c>
      <c r="AM89" s="171">
        <f>CH89</f>
        <v>72.599999999999994</v>
      </c>
      <c r="AN89" s="171">
        <f>CJ89</f>
        <v>63</v>
      </c>
      <c r="AO89" s="171">
        <f t="shared" ref="AO89:AP93" si="178">CC89</f>
        <v>66.900000000000006</v>
      </c>
      <c r="AP89" s="171">
        <f t="shared" si="178"/>
        <v>73.900000000000006</v>
      </c>
      <c r="AQ89" s="171">
        <f>CK89</f>
        <v>72.3</v>
      </c>
      <c r="AR89" s="171">
        <f>CI89</f>
        <v>66.599999999999994</v>
      </c>
      <c r="AS89" s="174">
        <f>CG89</f>
        <v>77</v>
      </c>
      <c r="AT89" s="173">
        <v>0</v>
      </c>
      <c r="AU89" s="173">
        <v>81.7</v>
      </c>
      <c r="AV89" s="173">
        <v>71.099999999999994</v>
      </c>
      <c r="AW89" s="173">
        <v>69.5</v>
      </c>
      <c r="AX89" s="173">
        <v>78.5</v>
      </c>
      <c r="AY89" s="173">
        <v>66.3</v>
      </c>
      <c r="AZ89" s="171">
        <v>0</v>
      </c>
      <c r="BA89" s="173">
        <v>78.099999999999994</v>
      </c>
      <c r="BB89" s="173">
        <v>80.5</v>
      </c>
      <c r="BC89" s="173">
        <v>75.8</v>
      </c>
      <c r="BD89" s="173">
        <v>75.2</v>
      </c>
      <c r="BE89" s="173">
        <v>70.900000000000006</v>
      </c>
      <c r="BF89" s="172">
        <v>73.900000000000006</v>
      </c>
      <c r="BG89" s="171">
        <v>0</v>
      </c>
      <c r="BH89" s="171">
        <v>0</v>
      </c>
      <c r="BI89" s="173">
        <v>72.599999999999994</v>
      </c>
      <c r="BJ89" s="173">
        <v>69</v>
      </c>
      <c r="BK89" s="171">
        <v>0</v>
      </c>
      <c r="BL89" s="173">
        <v>0</v>
      </c>
      <c r="BM89" s="173">
        <v>71.8</v>
      </c>
      <c r="BN89" s="173">
        <v>72.599999999999994</v>
      </c>
      <c r="BO89" s="171">
        <v>0</v>
      </c>
      <c r="BP89" s="173">
        <v>69.099999999999994</v>
      </c>
      <c r="BQ89" s="173">
        <v>72.5</v>
      </c>
      <c r="BR89" s="172">
        <v>72.7</v>
      </c>
      <c r="BS89" s="171">
        <v>0</v>
      </c>
      <c r="BT89" s="173">
        <v>62.4</v>
      </c>
      <c r="BU89" s="173">
        <v>63.1</v>
      </c>
      <c r="BV89" s="173">
        <v>73</v>
      </c>
      <c r="BW89" s="173">
        <v>73.3</v>
      </c>
      <c r="BX89" s="173">
        <v>64.7</v>
      </c>
      <c r="BY89" s="173">
        <v>67.3</v>
      </c>
      <c r="BZ89" s="173">
        <v>73.400000000000006</v>
      </c>
      <c r="CA89" s="173">
        <v>66.099999999999994</v>
      </c>
      <c r="CB89" s="172">
        <v>66.599999999999994</v>
      </c>
      <c r="CC89" s="173">
        <v>66.900000000000006</v>
      </c>
      <c r="CD89" s="173">
        <v>73.900000000000006</v>
      </c>
      <c r="CE89" s="173">
        <v>69.2</v>
      </c>
      <c r="CF89" s="171">
        <v>0</v>
      </c>
      <c r="CG89" s="173">
        <v>77</v>
      </c>
      <c r="CH89" s="173">
        <v>72.599999999999994</v>
      </c>
      <c r="CI89" s="173">
        <v>66.599999999999994</v>
      </c>
      <c r="CJ89" s="173">
        <v>63</v>
      </c>
      <c r="CK89" s="174">
        <v>72.3</v>
      </c>
      <c r="CL89" s="175">
        <v>73.5</v>
      </c>
    </row>
    <row r="90" spans="1:90">
      <c r="A90" s="80">
        <f>ROWS($A$3:A88)</f>
        <v>86</v>
      </c>
      <c r="B90" s="92" t="s">
        <v>193</v>
      </c>
      <c r="C90" s="203"/>
      <c r="D90" s="254" t="s">
        <v>192</v>
      </c>
      <c r="E90" s="256">
        <v>40680</v>
      </c>
      <c r="F90" s="170">
        <v>741.2</v>
      </c>
      <c r="G90" s="173">
        <v>681.7</v>
      </c>
      <c r="H90" s="173">
        <v>628.1</v>
      </c>
      <c r="I90" s="174">
        <v>693.7</v>
      </c>
      <c r="J90" s="173"/>
      <c r="K90" s="170">
        <f>BF90</f>
        <v>0</v>
      </c>
      <c r="L90" s="171">
        <f>AY90</f>
        <v>744.3</v>
      </c>
      <c r="M90" s="171">
        <f>BD90</f>
        <v>736.8</v>
      </c>
      <c r="N90" s="171">
        <f>AW90</f>
        <v>0</v>
      </c>
      <c r="O90" s="171">
        <f>BE90</f>
        <v>0</v>
      </c>
      <c r="P90" s="171">
        <f>'2009'!BA90</f>
        <v>749.4</v>
      </c>
      <c r="Q90" s="171">
        <f>'2009'!AU90</f>
        <v>763.1</v>
      </c>
      <c r="R90" s="171">
        <f>AX90</f>
        <v>747.5</v>
      </c>
      <c r="S90" s="171">
        <f>AV90</f>
        <v>0</v>
      </c>
      <c r="T90" s="171">
        <f t="shared" si="177"/>
        <v>738</v>
      </c>
      <c r="U90" s="172">
        <f t="shared" si="177"/>
        <v>658.4</v>
      </c>
      <c r="V90" s="171">
        <f>BJ90</f>
        <v>0</v>
      </c>
      <c r="W90" s="171" t="str">
        <f>BR90</f>
        <v>*</v>
      </c>
      <c r="X90" s="171">
        <f>BI90</f>
        <v>687.3</v>
      </c>
      <c r="Y90" s="171">
        <f>BN90</f>
        <v>683.1</v>
      </c>
      <c r="Z90" s="171">
        <f>BM90</f>
        <v>709.6</v>
      </c>
      <c r="AA90" s="171">
        <f>BQ90</f>
        <v>566.20000000000005</v>
      </c>
      <c r="AB90" s="172">
        <f>BP90</f>
        <v>0</v>
      </c>
      <c r="AC90" s="171">
        <f>BX90</f>
        <v>0</v>
      </c>
      <c r="AD90" s="171">
        <f>BU90</f>
        <v>0</v>
      </c>
      <c r="AE90" s="171">
        <f>BT90</f>
        <v>0</v>
      </c>
      <c r="AF90" s="171" t="str">
        <f>CA90</f>
        <v>*</v>
      </c>
      <c r="AG90" s="171">
        <f>BV90</f>
        <v>0</v>
      </c>
      <c r="AH90" s="171">
        <f>BZ90</f>
        <v>0</v>
      </c>
      <c r="AI90" s="171">
        <f>BW90</f>
        <v>0</v>
      </c>
      <c r="AJ90" s="171" t="str">
        <f>BY90</f>
        <v>*</v>
      </c>
      <c r="AK90" s="172">
        <f>CB90</f>
        <v>0</v>
      </c>
      <c r="AL90" s="171" t="str">
        <f>CE90</f>
        <v>*</v>
      </c>
      <c r="AM90" s="171">
        <f>CH90</f>
        <v>706.3</v>
      </c>
      <c r="AN90" s="171">
        <f>CJ90</f>
        <v>0</v>
      </c>
      <c r="AO90" s="171">
        <f t="shared" si="178"/>
        <v>0</v>
      </c>
      <c r="AP90" s="171">
        <f t="shared" si="178"/>
        <v>716</v>
      </c>
      <c r="AQ90" s="171" t="str">
        <f>CK90</f>
        <v>*</v>
      </c>
      <c r="AR90" s="171">
        <f>CI90</f>
        <v>0</v>
      </c>
      <c r="AS90" s="174">
        <f>CG90</f>
        <v>664</v>
      </c>
      <c r="AT90" s="173">
        <v>0</v>
      </c>
      <c r="AU90" s="173">
        <v>763.1</v>
      </c>
      <c r="AV90" s="173">
        <v>0</v>
      </c>
      <c r="AW90" s="173">
        <v>0</v>
      </c>
      <c r="AX90" s="173">
        <v>747.5</v>
      </c>
      <c r="AY90" s="173">
        <v>744.3</v>
      </c>
      <c r="AZ90" s="171">
        <v>0</v>
      </c>
      <c r="BA90" s="173">
        <v>749.4</v>
      </c>
      <c r="BB90" s="173">
        <v>738</v>
      </c>
      <c r="BC90" s="173">
        <v>658.4</v>
      </c>
      <c r="BD90" s="173">
        <v>736.8</v>
      </c>
      <c r="BE90" s="171">
        <v>0</v>
      </c>
      <c r="BF90" s="172">
        <v>0</v>
      </c>
      <c r="BG90" s="171" t="s">
        <v>233</v>
      </c>
      <c r="BH90" s="171">
        <v>0</v>
      </c>
      <c r="BI90" s="173">
        <v>687.3</v>
      </c>
      <c r="BJ90" s="173">
        <v>0</v>
      </c>
      <c r="BK90" s="171">
        <v>0</v>
      </c>
      <c r="BL90" s="173">
        <v>0</v>
      </c>
      <c r="BM90" s="173">
        <v>709.6</v>
      </c>
      <c r="BN90" s="173">
        <v>683.1</v>
      </c>
      <c r="BO90" s="171" t="s">
        <v>233</v>
      </c>
      <c r="BP90" s="171">
        <v>0</v>
      </c>
      <c r="BQ90" s="171">
        <v>566.20000000000005</v>
      </c>
      <c r="BR90" s="172" t="s">
        <v>233</v>
      </c>
      <c r="BS90" s="171">
        <v>0</v>
      </c>
      <c r="BT90" s="173">
        <v>0</v>
      </c>
      <c r="BU90" s="173">
        <v>0</v>
      </c>
      <c r="BV90" s="173">
        <v>0</v>
      </c>
      <c r="BW90" s="173">
        <v>0</v>
      </c>
      <c r="BX90" s="173">
        <v>0</v>
      </c>
      <c r="BY90" s="173" t="s">
        <v>233</v>
      </c>
      <c r="BZ90" s="173">
        <v>0</v>
      </c>
      <c r="CA90" s="173" t="s">
        <v>233</v>
      </c>
      <c r="CB90" s="172">
        <v>0</v>
      </c>
      <c r="CC90" s="173">
        <v>0</v>
      </c>
      <c r="CD90" s="173">
        <v>716</v>
      </c>
      <c r="CE90" s="173" t="s">
        <v>233</v>
      </c>
      <c r="CF90" s="171">
        <v>0</v>
      </c>
      <c r="CG90" s="173">
        <v>664</v>
      </c>
      <c r="CH90" s="173">
        <v>706.3</v>
      </c>
      <c r="CI90" s="171">
        <v>0</v>
      </c>
      <c r="CJ90" s="173">
        <v>0</v>
      </c>
      <c r="CK90" s="174" t="s">
        <v>233</v>
      </c>
      <c r="CL90" s="189">
        <v>727.2</v>
      </c>
    </row>
    <row r="91" spans="1:90">
      <c r="A91" s="80">
        <f>ROWS($A$3:A89)</f>
        <v>87</v>
      </c>
      <c r="B91" s="92" t="s">
        <v>194</v>
      </c>
      <c r="C91" s="203"/>
      <c r="D91" s="254" t="s">
        <v>192</v>
      </c>
      <c r="E91" s="256">
        <v>40680</v>
      </c>
      <c r="F91" s="170">
        <v>42.8</v>
      </c>
      <c r="G91" s="171">
        <v>42.6</v>
      </c>
      <c r="H91" s="171">
        <v>41.8</v>
      </c>
      <c r="I91" s="174">
        <v>39.6</v>
      </c>
      <c r="J91" s="173"/>
      <c r="K91" s="170">
        <f>BF91</f>
        <v>41.9</v>
      </c>
      <c r="L91" s="171">
        <f>AY91</f>
        <v>39.799999999999997</v>
      </c>
      <c r="M91" s="171">
        <f>BD91</f>
        <v>42.2</v>
      </c>
      <c r="N91" s="171">
        <f>AW91</f>
        <v>44.1</v>
      </c>
      <c r="O91" s="171">
        <f>BE91</f>
        <v>37</v>
      </c>
      <c r="P91" s="171">
        <f>'2009'!BA91</f>
        <v>46</v>
      </c>
      <c r="Q91" s="171">
        <f>'2009'!AU91</f>
        <v>45.8</v>
      </c>
      <c r="R91" s="171">
        <f>AX91</f>
        <v>45.8</v>
      </c>
      <c r="S91" s="171">
        <f>AV91</f>
        <v>44.5</v>
      </c>
      <c r="T91" s="171">
        <f t="shared" si="177"/>
        <v>41.8</v>
      </c>
      <c r="U91" s="172">
        <f t="shared" si="177"/>
        <v>42.4</v>
      </c>
      <c r="V91" s="171">
        <f>BJ91</f>
        <v>45.2</v>
      </c>
      <c r="W91" s="171">
        <f>BR91</f>
        <v>40.700000000000003</v>
      </c>
      <c r="X91" s="171">
        <f>BI91</f>
        <v>43.2</v>
      </c>
      <c r="Y91" s="171">
        <f>BN91</f>
        <v>39.6</v>
      </c>
      <c r="Z91" s="171">
        <f>BM91</f>
        <v>43.5</v>
      </c>
      <c r="AA91" s="171">
        <f>BQ91</f>
        <v>43.5</v>
      </c>
      <c r="AB91" s="172">
        <f>BP91</f>
        <v>43.7</v>
      </c>
      <c r="AC91" s="171">
        <f>BX91</f>
        <v>45.8</v>
      </c>
      <c r="AD91" s="171">
        <f>BU91</f>
        <v>0</v>
      </c>
      <c r="AE91" s="171">
        <f>BT91</f>
        <v>40.5</v>
      </c>
      <c r="AF91" s="171">
        <f>CA91</f>
        <v>0</v>
      </c>
      <c r="AG91" s="171">
        <f>BV91</f>
        <v>39.9</v>
      </c>
      <c r="AH91" s="171">
        <f>BZ91</f>
        <v>39.1</v>
      </c>
      <c r="AI91" s="171">
        <f>BW91</f>
        <v>42.8</v>
      </c>
      <c r="AJ91" s="171">
        <f>BY91</f>
        <v>41.6</v>
      </c>
      <c r="AK91" s="172">
        <f>CB91</f>
        <v>36.299999999999997</v>
      </c>
      <c r="AL91" s="171">
        <f>CE91</f>
        <v>36.6</v>
      </c>
      <c r="AM91" s="171">
        <f>CH91</f>
        <v>39.700000000000003</v>
      </c>
      <c r="AN91" s="171">
        <f>CJ91</f>
        <v>33.9</v>
      </c>
      <c r="AO91" s="171">
        <f t="shared" si="178"/>
        <v>37.6</v>
      </c>
      <c r="AP91" s="171">
        <f t="shared" si="178"/>
        <v>42.1</v>
      </c>
      <c r="AQ91" s="171">
        <f>CK91</f>
        <v>40.700000000000003</v>
      </c>
      <c r="AR91" s="171">
        <f>CI91</f>
        <v>38.5</v>
      </c>
      <c r="AS91" s="174">
        <f>CG91</f>
        <v>40.5</v>
      </c>
      <c r="AT91" s="173">
        <v>0</v>
      </c>
      <c r="AU91" s="173">
        <v>45.8</v>
      </c>
      <c r="AV91" s="173">
        <v>44.5</v>
      </c>
      <c r="AW91" s="173">
        <v>44.1</v>
      </c>
      <c r="AX91" s="171">
        <v>45.8</v>
      </c>
      <c r="AY91" s="173">
        <v>39.799999999999997</v>
      </c>
      <c r="AZ91" s="171">
        <v>0</v>
      </c>
      <c r="BA91" s="173">
        <v>46</v>
      </c>
      <c r="BB91" s="173">
        <v>41.8</v>
      </c>
      <c r="BC91" s="173">
        <v>42.4</v>
      </c>
      <c r="BD91" s="173">
        <v>42.2</v>
      </c>
      <c r="BE91" s="173">
        <v>37</v>
      </c>
      <c r="BF91" s="172">
        <v>41.9</v>
      </c>
      <c r="BG91" s="171">
        <v>0</v>
      </c>
      <c r="BH91" s="171">
        <v>0</v>
      </c>
      <c r="BI91" s="173">
        <v>43.2</v>
      </c>
      <c r="BJ91" s="173">
        <v>45.2</v>
      </c>
      <c r="BK91" s="171">
        <v>0</v>
      </c>
      <c r="BL91" s="173">
        <v>0</v>
      </c>
      <c r="BM91" s="171">
        <v>43.5</v>
      </c>
      <c r="BN91" s="171">
        <v>39.6</v>
      </c>
      <c r="BO91" s="171">
        <v>0</v>
      </c>
      <c r="BP91" s="173">
        <v>43.7</v>
      </c>
      <c r="BQ91" s="171">
        <v>43.5</v>
      </c>
      <c r="BR91" s="172">
        <v>40.700000000000003</v>
      </c>
      <c r="BS91" s="171" t="s">
        <v>233</v>
      </c>
      <c r="BT91" s="173">
        <v>40.5</v>
      </c>
      <c r="BU91" s="171">
        <v>0</v>
      </c>
      <c r="BV91" s="173">
        <v>39.9</v>
      </c>
      <c r="BW91" s="173">
        <v>42.8</v>
      </c>
      <c r="BX91" s="173">
        <v>45.8</v>
      </c>
      <c r="BY91" s="173">
        <v>41.6</v>
      </c>
      <c r="BZ91" s="173">
        <v>39.1</v>
      </c>
      <c r="CA91" s="171">
        <v>0</v>
      </c>
      <c r="CB91" s="172">
        <v>36.299999999999997</v>
      </c>
      <c r="CC91" s="173">
        <v>37.6</v>
      </c>
      <c r="CD91" s="173">
        <v>42.1</v>
      </c>
      <c r="CE91" s="173">
        <v>36.6</v>
      </c>
      <c r="CF91" s="171">
        <v>0</v>
      </c>
      <c r="CG91" s="173">
        <v>40.5</v>
      </c>
      <c r="CH91" s="173">
        <v>39.700000000000003</v>
      </c>
      <c r="CI91" s="173">
        <v>38.5</v>
      </c>
      <c r="CJ91" s="173">
        <v>33.9</v>
      </c>
      <c r="CK91" s="174">
        <v>40.700000000000003</v>
      </c>
      <c r="CL91" s="189">
        <v>41.8</v>
      </c>
    </row>
    <row r="92" spans="1:90">
      <c r="A92" s="80">
        <f>ROWS($A$3:A90)</f>
        <v>88</v>
      </c>
      <c r="B92" s="92" t="s">
        <v>195</v>
      </c>
      <c r="C92" s="203"/>
      <c r="D92" s="254" t="s">
        <v>192</v>
      </c>
      <c r="E92" s="256">
        <v>40680</v>
      </c>
      <c r="F92" s="170">
        <v>490</v>
      </c>
      <c r="G92" s="173">
        <v>485.6</v>
      </c>
      <c r="H92" s="173">
        <v>475</v>
      </c>
      <c r="I92" s="174">
        <v>483.9</v>
      </c>
      <c r="J92" s="173"/>
      <c r="K92" s="170">
        <f>BF92</f>
        <v>469.5</v>
      </c>
      <c r="L92" s="171">
        <f>AY92</f>
        <v>469.8</v>
      </c>
      <c r="M92" s="171">
        <f>BD92</f>
        <v>498.9</v>
      </c>
      <c r="N92" s="171">
        <f>AW92</f>
        <v>574</v>
      </c>
      <c r="O92" s="171">
        <f>BE92</f>
        <v>488.3</v>
      </c>
      <c r="P92" s="171">
        <f>'2009'!BA92</f>
        <v>478.1</v>
      </c>
      <c r="Q92" s="171">
        <f>'2009'!AU92</f>
        <v>476.4</v>
      </c>
      <c r="R92" s="171">
        <f>AX92</f>
        <v>550.29999999999995</v>
      </c>
      <c r="S92" s="171">
        <f>AV92</f>
        <v>536.6</v>
      </c>
      <c r="T92" s="171">
        <f t="shared" si="177"/>
        <v>486.4</v>
      </c>
      <c r="U92" s="172">
        <f t="shared" si="177"/>
        <v>457.5</v>
      </c>
      <c r="V92" s="171">
        <f>BJ92</f>
        <v>434.6</v>
      </c>
      <c r="W92" s="171">
        <f>BR92</f>
        <v>517.9</v>
      </c>
      <c r="X92" s="171">
        <f>BI92</f>
        <v>483.4</v>
      </c>
      <c r="Y92" s="171">
        <f>BN92</f>
        <v>473.3</v>
      </c>
      <c r="Z92" s="171">
        <f>BM92</f>
        <v>472.1</v>
      </c>
      <c r="AA92" s="171">
        <f>BQ92</f>
        <v>509.2</v>
      </c>
      <c r="AB92" s="172">
        <f>BP92</f>
        <v>509</v>
      </c>
      <c r="AC92" s="171">
        <f>BX92</f>
        <v>485.2</v>
      </c>
      <c r="AD92" s="171">
        <f>BU92</f>
        <v>0</v>
      </c>
      <c r="AE92" s="171">
        <f>BT92</f>
        <v>457.1</v>
      </c>
      <c r="AF92" s="171">
        <f>CA92</f>
        <v>475.7</v>
      </c>
      <c r="AG92" s="171">
        <f>BV92</f>
        <v>477.5</v>
      </c>
      <c r="AH92" s="171">
        <f>BZ92</f>
        <v>472.5</v>
      </c>
      <c r="AI92" s="171">
        <f>BW92</f>
        <v>468.5</v>
      </c>
      <c r="AJ92" s="171">
        <f>BY92</f>
        <v>469.2</v>
      </c>
      <c r="AK92" s="172">
        <f>CB92</f>
        <v>489.2</v>
      </c>
      <c r="AL92" s="171">
        <f>CE92</f>
        <v>462.2</v>
      </c>
      <c r="AM92" s="171">
        <f>CH92</f>
        <v>522.70000000000005</v>
      </c>
      <c r="AN92" s="171">
        <f>CJ92</f>
        <v>429.8</v>
      </c>
      <c r="AO92" s="171">
        <f t="shared" si="178"/>
        <v>441.3</v>
      </c>
      <c r="AP92" s="171">
        <f t="shared" si="178"/>
        <v>466.7</v>
      </c>
      <c r="AQ92" s="171">
        <f>CK92</f>
        <v>482.2</v>
      </c>
      <c r="AR92" s="171">
        <f>CI92</f>
        <v>507.9</v>
      </c>
      <c r="AS92" s="174">
        <f>CG92</f>
        <v>502.6</v>
      </c>
      <c r="AT92" s="173">
        <v>0</v>
      </c>
      <c r="AU92" s="173">
        <v>476.4</v>
      </c>
      <c r="AV92" s="173">
        <v>536.6</v>
      </c>
      <c r="AW92" s="173">
        <v>574</v>
      </c>
      <c r="AX92" s="173">
        <v>550.29999999999995</v>
      </c>
      <c r="AY92" s="173">
        <v>469.8</v>
      </c>
      <c r="AZ92" s="171">
        <v>0</v>
      </c>
      <c r="BA92" s="173">
        <v>478.1</v>
      </c>
      <c r="BB92" s="173">
        <v>486.4</v>
      </c>
      <c r="BC92" s="173">
        <v>457.5</v>
      </c>
      <c r="BD92" s="173">
        <v>498.9</v>
      </c>
      <c r="BE92" s="173">
        <v>488.3</v>
      </c>
      <c r="BF92" s="172">
        <v>469.5</v>
      </c>
      <c r="BG92" s="171">
        <v>0</v>
      </c>
      <c r="BH92" s="171">
        <v>0</v>
      </c>
      <c r="BI92" s="173">
        <v>483.4</v>
      </c>
      <c r="BJ92" s="173">
        <v>434.6</v>
      </c>
      <c r="BK92" s="171">
        <v>0</v>
      </c>
      <c r="BL92" s="173">
        <v>0</v>
      </c>
      <c r="BM92" s="173">
        <v>472.1</v>
      </c>
      <c r="BN92" s="173">
        <v>473.3</v>
      </c>
      <c r="BO92" s="171">
        <v>0</v>
      </c>
      <c r="BP92" s="173">
        <v>509</v>
      </c>
      <c r="BQ92" s="173">
        <v>509.2</v>
      </c>
      <c r="BR92" s="172">
        <v>517.9</v>
      </c>
      <c r="BS92" s="171">
        <v>0</v>
      </c>
      <c r="BT92" s="173">
        <v>457.1</v>
      </c>
      <c r="BU92" s="171">
        <v>0</v>
      </c>
      <c r="BV92" s="173">
        <v>477.5</v>
      </c>
      <c r="BW92" s="173">
        <v>468.5</v>
      </c>
      <c r="BX92" s="173">
        <v>485.2</v>
      </c>
      <c r="BY92" s="173">
        <v>469.2</v>
      </c>
      <c r="BZ92" s="173">
        <v>472.5</v>
      </c>
      <c r="CA92" s="173">
        <v>475.7</v>
      </c>
      <c r="CB92" s="172">
        <v>489.2</v>
      </c>
      <c r="CC92" s="173">
        <v>441.3</v>
      </c>
      <c r="CD92" s="173">
        <v>466.7</v>
      </c>
      <c r="CE92" s="173">
        <v>462.2</v>
      </c>
      <c r="CF92" s="171" t="s">
        <v>233</v>
      </c>
      <c r="CG92" s="173">
        <v>502.6</v>
      </c>
      <c r="CH92" s="173">
        <v>522.70000000000005</v>
      </c>
      <c r="CI92" s="173">
        <v>507.9</v>
      </c>
      <c r="CJ92" s="173">
        <v>429.8</v>
      </c>
      <c r="CK92" s="174">
        <v>482.2</v>
      </c>
      <c r="CL92" s="189">
        <v>484.4</v>
      </c>
    </row>
    <row r="93" spans="1:90">
      <c r="A93" s="80">
        <f>ROWS($A$3:A91)</f>
        <v>89</v>
      </c>
      <c r="B93" s="197" t="s">
        <v>94</v>
      </c>
      <c r="C93" s="276"/>
      <c r="D93" s="271" t="s">
        <v>3</v>
      </c>
      <c r="E93" s="272"/>
      <c r="F93" s="116">
        <v>60</v>
      </c>
      <c r="G93" s="137">
        <v>37</v>
      </c>
      <c r="H93" s="137">
        <v>69</v>
      </c>
      <c r="I93" s="138">
        <v>54</v>
      </c>
      <c r="J93" s="141"/>
      <c r="K93" s="116">
        <f>BF93</f>
        <v>97</v>
      </c>
      <c r="L93" s="137">
        <f>AY93</f>
        <v>64</v>
      </c>
      <c r="M93" s="137">
        <f>BD93</f>
        <v>66</v>
      </c>
      <c r="N93" s="137">
        <f>AW93</f>
        <v>75</v>
      </c>
      <c r="O93" s="137">
        <f>BE93</f>
        <v>52</v>
      </c>
      <c r="P93" s="143">
        <f>(AZ35*AZ93+BA35*BA93)/P35</f>
        <v>7.432921350219555</v>
      </c>
      <c r="Q93" s="137">
        <f>'2009'!AU93</f>
        <v>51</v>
      </c>
      <c r="R93" s="143">
        <f>(AT35*AT93+AX35*AX93)/R35</f>
        <v>0</v>
      </c>
      <c r="S93" s="137">
        <f>AV93</f>
        <v>59</v>
      </c>
      <c r="T93" s="137">
        <f t="shared" si="177"/>
        <v>51</v>
      </c>
      <c r="U93" s="139">
        <f t="shared" si="177"/>
        <v>93</v>
      </c>
      <c r="V93" s="143">
        <f>(BG35*BG93+BJ35*BJ93)/V35</f>
        <v>17.984657039711191</v>
      </c>
      <c r="W93" s="137">
        <f>BR93</f>
        <v>82</v>
      </c>
      <c r="X93" s="143">
        <f>(BH35*BH93+BI35*BI93)/X35</f>
        <v>3.736710631494804</v>
      </c>
      <c r="Y93" s="143">
        <f>(BK35*BK93+BL35*BL93+BN35*BN93)/Y35</f>
        <v>6.2961604531315292</v>
      </c>
      <c r="Z93" s="137">
        <f>BM93</f>
        <v>65</v>
      </c>
      <c r="AA93" s="143">
        <f>(BO35*BO93+BQ35*BQ93)/AA35</f>
        <v>41.917907484613856</v>
      </c>
      <c r="AB93" s="139">
        <f>BP93</f>
        <v>74</v>
      </c>
      <c r="AC93" s="137">
        <f>BX93</f>
        <v>96</v>
      </c>
      <c r="AD93" s="137">
        <f>BU93</f>
        <v>46</v>
      </c>
      <c r="AE93" s="143">
        <f>(BS35*BS93+BT35*BT93)/AE35</f>
        <v>48.061084445777709</v>
      </c>
      <c r="AF93" s="137">
        <f>CA93</f>
        <v>57</v>
      </c>
      <c r="AG93" s="137">
        <f>BV93</f>
        <v>38</v>
      </c>
      <c r="AH93" s="137">
        <f>BZ93</f>
        <v>59</v>
      </c>
      <c r="AI93" s="137">
        <f>BW93</f>
        <v>100</v>
      </c>
      <c r="AJ93" s="137">
        <f>BY93</f>
        <v>100</v>
      </c>
      <c r="AK93" s="139">
        <f>CB93</f>
        <v>100</v>
      </c>
      <c r="AL93" s="137">
        <f>CE93</f>
        <v>98</v>
      </c>
      <c r="AM93" s="137">
        <f>CH93</f>
        <v>15</v>
      </c>
      <c r="AN93" s="137">
        <f>CJ93</f>
        <v>58</v>
      </c>
      <c r="AO93" s="137">
        <f t="shared" si="178"/>
        <v>98</v>
      </c>
      <c r="AP93" s="137">
        <f t="shared" si="178"/>
        <v>53</v>
      </c>
      <c r="AQ93" s="137">
        <f>CK93</f>
        <v>73</v>
      </c>
      <c r="AR93" s="137">
        <f>CI93</f>
        <v>26</v>
      </c>
      <c r="AS93" s="144">
        <f>(CF35*CF93+CG35*CG93)/AS35</f>
        <v>41.794570598431285</v>
      </c>
      <c r="AT93" s="141">
        <v>0</v>
      </c>
      <c r="AU93" s="141">
        <v>51</v>
      </c>
      <c r="AV93" s="141">
        <v>59</v>
      </c>
      <c r="AW93" s="141">
        <v>75</v>
      </c>
      <c r="AX93" s="137">
        <v>0</v>
      </c>
      <c r="AY93" s="137">
        <v>64</v>
      </c>
      <c r="AZ93" s="137">
        <v>0</v>
      </c>
      <c r="BA93" s="137">
        <v>8</v>
      </c>
      <c r="BB93" s="137">
        <v>51</v>
      </c>
      <c r="BC93" s="137">
        <v>93</v>
      </c>
      <c r="BD93" s="137">
        <v>66</v>
      </c>
      <c r="BE93" s="137">
        <v>52</v>
      </c>
      <c r="BF93" s="139">
        <v>97</v>
      </c>
      <c r="BG93" s="137">
        <v>69</v>
      </c>
      <c r="BH93" s="137">
        <v>0</v>
      </c>
      <c r="BI93" s="137">
        <v>4</v>
      </c>
      <c r="BJ93" s="137">
        <v>12</v>
      </c>
      <c r="BK93" s="137">
        <v>1</v>
      </c>
      <c r="BL93" s="137">
        <v>0</v>
      </c>
      <c r="BM93" s="137">
        <v>65</v>
      </c>
      <c r="BN93" s="137">
        <v>7</v>
      </c>
      <c r="BO93" s="137">
        <v>21</v>
      </c>
      <c r="BP93" s="137">
        <v>74</v>
      </c>
      <c r="BQ93" s="137">
        <v>43</v>
      </c>
      <c r="BR93" s="139">
        <v>82</v>
      </c>
      <c r="BS93" s="137">
        <v>21</v>
      </c>
      <c r="BT93" s="137">
        <v>50</v>
      </c>
      <c r="BU93" s="137">
        <v>46</v>
      </c>
      <c r="BV93" s="137">
        <v>38</v>
      </c>
      <c r="BW93" s="137">
        <v>100</v>
      </c>
      <c r="BX93" s="137">
        <v>96</v>
      </c>
      <c r="BY93" s="137">
        <v>100</v>
      </c>
      <c r="BZ93" s="137">
        <v>59</v>
      </c>
      <c r="CA93" s="137">
        <v>57</v>
      </c>
      <c r="CB93" s="139">
        <v>100</v>
      </c>
      <c r="CC93" s="137">
        <v>98</v>
      </c>
      <c r="CD93" s="137">
        <v>53</v>
      </c>
      <c r="CE93" s="137">
        <v>98</v>
      </c>
      <c r="CF93" s="137">
        <v>7</v>
      </c>
      <c r="CG93" s="137">
        <v>44</v>
      </c>
      <c r="CH93" s="137">
        <v>15</v>
      </c>
      <c r="CI93" s="137">
        <v>26</v>
      </c>
      <c r="CJ93" s="137">
        <v>58</v>
      </c>
      <c r="CK93" s="138">
        <v>73</v>
      </c>
      <c r="CL93" s="140">
        <v>57</v>
      </c>
    </row>
    <row r="94" spans="1:90">
      <c r="A94" s="80">
        <f>ROWS($A$3:A92)</f>
        <v>90</v>
      </c>
      <c r="B94" s="59" t="s">
        <v>247</v>
      </c>
      <c r="C94" s="203"/>
      <c r="D94" s="254"/>
      <c r="E94" s="273"/>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c r="A95" s="80">
        <f>ROWS($A$3:A93)</f>
        <v>91</v>
      </c>
      <c r="B95" s="92" t="s">
        <v>77</v>
      </c>
      <c r="C95" s="202">
        <v>2009</v>
      </c>
      <c r="D95" s="254" t="s">
        <v>13</v>
      </c>
      <c r="E95" s="256">
        <v>40441</v>
      </c>
      <c r="F95" s="116">
        <v>103201</v>
      </c>
      <c r="G95" s="137">
        <v>24467</v>
      </c>
      <c r="H95" s="137">
        <v>68097</v>
      </c>
      <c r="I95" s="138">
        <v>161906</v>
      </c>
      <c r="J95" s="141"/>
      <c r="K95" s="116">
        <f>BF95</f>
        <v>25180</v>
      </c>
      <c r="L95" s="137">
        <f>AY95</f>
        <v>6976</v>
      </c>
      <c r="M95" s="137">
        <f>BD95</f>
        <v>7363</v>
      </c>
      <c r="N95" s="137">
        <f>AW95</f>
        <v>10481</v>
      </c>
      <c r="O95" s="137">
        <f>BE95</f>
        <v>7992</v>
      </c>
      <c r="P95" s="137">
        <f>AZ95+BA95</f>
        <v>4931</v>
      </c>
      <c r="Q95" s="137">
        <f>'2009'!AU95</f>
        <v>3004</v>
      </c>
      <c r="R95" s="137">
        <f>AX95</f>
        <v>5030</v>
      </c>
      <c r="S95" s="137">
        <f>AV95</f>
        <v>2783</v>
      </c>
      <c r="T95" s="137">
        <f t="shared" ref="T95:U99" si="179">BB95</f>
        <v>7405</v>
      </c>
      <c r="U95" s="139">
        <f t="shared" si="179"/>
        <v>22056</v>
      </c>
      <c r="V95" s="137">
        <f>BJ95</f>
        <v>428</v>
      </c>
      <c r="W95" s="137">
        <f>BR95</f>
        <v>3925</v>
      </c>
      <c r="X95" s="137">
        <f>BH95+BI95</f>
        <v>1365</v>
      </c>
      <c r="Y95" s="137">
        <f>BK95+BL95+BN95</f>
        <v>3993</v>
      </c>
      <c r="Z95" s="137">
        <f>BM95</f>
        <v>8277</v>
      </c>
      <c r="AA95" s="137">
        <f>BO95+BQ95</f>
        <v>2906</v>
      </c>
      <c r="AB95" s="139">
        <f>BP95</f>
        <v>3575</v>
      </c>
      <c r="AC95" s="137">
        <f>BX95</f>
        <v>11995</v>
      </c>
      <c r="AD95" s="137">
        <f>BU95</f>
        <v>3745</v>
      </c>
      <c r="AE95" s="137">
        <f>BT95</f>
        <v>10258</v>
      </c>
      <c r="AF95" s="137">
        <f>CA95</f>
        <v>3799</v>
      </c>
      <c r="AG95" s="137">
        <f>BV95</f>
        <v>8642</v>
      </c>
      <c r="AH95" s="137">
        <f>BZ95</f>
        <v>9059</v>
      </c>
      <c r="AI95" s="137">
        <f>BW95</f>
        <v>5332</v>
      </c>
      <c r="AJ95" s="137">
        <f>BY95</f>
        <v>5202</v>
      </c>
      <c r="AK95" s="139">
        <f>CB95</f>
        <v>10066</v>
      </c>
      <c r="AL95" s="137">
        <f>CE95</f>
        <v>3142</v>
      </c>
      <c r="AM95" s="137">
        <f>CH95</f>
        <v>35281</v>
      </c>
      <c r="AN95" s="137">
        <f>CJ95</f>
        <v>69471</v>
      </c>
      <c r="AO95" s="137">
        <f t="shared" ref="AO95:AP99" si="180">CC95</f>
        <v>8581</v>
      </c>
      <c r="AP95" s="137">
        <f t="shared" si="180"/>
        <v>1722</v>
      </c>
      <c r="AQ95" s="137">
        <f>CK95</f>
        <v>13268</v>
      </c>
      <c r="AR95" s="137">
        <f>CI95</f>
        <v>10947</v>
      </c>
      <c r="AS95" s="138">
        <f>CF95+CG95</f>
        <v>19494</v>
      </c>
      <c r="AT95" s="141">
        <v>0</v>
      </c>
      <c r="AU95" s="141">
        <v>3004</v>
      </c>
      <c r="AV95" s="141">
        <v>2783</v>
      </c>
      <c r="AW95" s="141">
        <v>10481</v>
      </c>
      <c r="AX95" s="137">
        <v>5030</v>
      </c>
      <c r="AY95" s="137">
        <v>6976</v>
      </c>
      <c r="AZ95" s="137">
        <v>0</v>
      </c>
      <c r="BA95" s="137">
        <v>4931</v>
      </c>
      <c r="BB95" s="137">
        <v>7405</v>
      </c>
      <c r="BC95" s="137">
        <v>22056</v>
      </c>
      <c r="BD95" s="137">
        <v>7363</v>
      </c>
      <c r="BE95" s="137">
        <v>7992</v>
      </c>
      <c r="BF95" s="139">
        <v>25180</v>
      </c>
      <c r="BG95" s="137">
        <v>0</v>
      </c>
      <c r="BH95" s="137">
        <v>0</v>
      </c>
      <c r="BI95" s="137">
        <v>1365</v>
      </c>
      <c r="BJ95" s="137">
        <v>428</v>
      </c>
      <c r="BK95" s="137">
        <v>0</v>
      </c>
      <c r="BL95" s="137">
        <v>0</v>
      </c>
      <c r="BM95" s="137">
        <v>8277</v>
      </c>
      <c r="BN95" s="137">
        <v>3993</v>
      </c>
      <c r="BO95" s="137">
        <v>0</v>
      </c>
      <c r="BP95" s="137">
        <v>3575</v>
      </c>
      <c r="BQ95" s="137">
        <v>2906</v>
      </c>
      <c r="BR95" s="139">
        <v>3925</v>
      </c>
      <c r="BS95" s="137">
        <v>0</v>
      </c>
      <c r="BT95" s="137">
        <v>10258</v>
      </c>
      <c r="BU95" s="137">
        <v>3745</v>
      </c>
      <c r="BV95" s="137">
        <v>8642</v>
      </c>
      <c r="BW95" s="137">
        <v>5332</v>
      </c>
      <c r="BX95" s="137">
        <v>11995</v>
      </c>
      <c r="BY95" s="137">
        <f>22529-11995-5332</f>
        <v>5202</v>
      </c>
      <c r="BZ95" s="137">
        <v>9059</v>
      </c>
      <c r="CA95" s="137">
        <v>3799</v>
      </c>
      <c r="CB95" s="139">
        <v>10066</v>
      </c>
      <c r="CC95" s="137">
        <v>8581</v>
      </c>
      <c r="CD95" s="137">
        <v>1722</v>
      </c>
      <c r="CE95" s="137">
        <v>3142</v>
      </c>
      <c r="CF95" s="137">
        <v>0</v>
      </c>
      <c r="CG95" s="137">
        <v>19494</v>
      </c>
      <c r="CH95" s="137">
        <v>35281</v>
      </c>
      <c r="CI95" s="137">
        <v>10947</v>
      </c>
      <c r="CJ95" s="137">
        <v>69471</v>
      </c>
      <c r="CK95" s="138">
        <v>13268</v>
      </c>
      <c r="CL95" s="140">
        <v>357670</v>
      </c>
    </row>
    <row r="96" spans="1:90">
      <c r="A96" s="80">
        <f>ROWS($A$3:A94)</f>
        <v>92</v>
      </c>
      <c r="B96" s="92" t="s">
        <v>95</v>
      </c>
      <c r="C96" s="203">
        <f>C95</f>
        <v>2009</v>
      </c>
      <c r="D96" s="254" t="s">
        <v>10</v>
      </c>
      <c r="E96" s="256">
        <v>40441</v>
      </c>
      <c r="F96" s="116">
        <v>640189</v>
      </c>
      <c r="G96" s="137">
        <v>146488</v>
      </c>
      <c r="H96" s="137">
        <v>385490</v>
      </c>
      <c r="I96" s="138">
        <v>1044572</v>
      </c>
      <c r="J96" s="141"/>
      <c r="K96" s="116">
        <f>BF96</f>
        <v>167791</v>
      </c>
      <c r="L96" s="137">
        <f>AY96</f>
        <v>44098</v>
      </c>
      <c r="M96" s="137">
        <f>BD96</f>
        <v>44911</v>
      </c>
      <c r="N96" s="137">
        <f>AW96</f>
        <v>59155</v>
      </c>
      <c r="O96" s="137">
        <f>BE96</f>
        <v>46173</v>
      </c>
      <c r="P96" s="137">
        <f>AZ96+BA96</f>
        <v>29616</v>
      </c>
      <c r="Q96" s="137">
        <f>'2009'!AU96</f>
        <v>17813</v>
      </c>
      <c r="R96" s="137">
        <f>AX96</f>
        <v>31429</v>
      </c>
      <c r="S96" s="137">
        <f>AV96</f>
        <v>13076</v>
      </c>
      <c r="T96" s="137">
        <f t="shared" si="179"/>
        <v>45203</v>
      </c>
      <c r="U96" s="139">
        <f t="shared" si="179"/>
        <v>140924</v>
      </c>
      <c r="V96" s="137">
        <f>BJ96</f>
        <v>1843</v>
      </c>
      <c r="W96" s="137">
        <f>BR96</f>
        <v>23005</v>
      </c>
      <c r="X96" s="137">
        <f>BH96+BI96</f>
        <v>7107</v>
      </c>
      <c r="Y96" s="137">
        <f>BK96+BL96+BN96</f>
        <v>23997</v>
      </c>
      <c r="Z96" s="137">
        <f>BM96</f>
        <v>50951</v>
      </c>
      <c r="AA96" s="137">
        <f>BO96+BQ96</f>
        <v>18304</v>
      </c>
      <c r="AB96" s="139">
        <f>BP96</f>
        <v>21281</v>
      </c>
      <c r="AC96" s="137">
        <f>BX96</f>
        <v>66508</v>
      </c>
      <c r="AD96" s="137">
        <f>BU96</f>
        <v>19328</v>
      </c>
      <c r="AE96" s="137">
        <f>BT96</f>
        <v>57735</v>
      </c>
      <c r="AF96" s="137">
        <f>CA96</f>
        <v>19131</v>
      </c>
      <c r="AG96" s="137">
        <f>BV96</f>
        <v>41496</v>
      </c>
      <c r="AH96" s="137">
        <f>BZ96</f>
        <v>58830</v>
      </c>
      <c r="AI96" s="137">
        <f>BW96</f>
        <v>28800</v>
      </c>
      <c r="AJ96" s="137">
        <f>BY96</f>
        <v>32900</v>
      </c>
      <c r="AK96" s="139">
        <f>CB96</f>
        <v>60762</v>
      </c>
      <c r="AL96" s="137">
        <f>CE96</f>
        <v>21499</v>
      </c>
      <c r="AM96" s="137">
        <f>CH96</f>
        <v>226025</v>
      </c>
      <c r="AN96" s="137">
        <f>CJ96</f>
        <v>464085</v>
      </c>
      <c r="AO96" s="137">
        <f t="shared" si="180"/>
        <v>51873</v>
      </c>
      <c r="AP96" s="137">
        <f t="shared" si="180"/>
        <v>9709</v>
      </c>
      <c r="AQ96" s="137">
        <f>CK96</f>
        <v>81460</v>
      </c>
      <c r="AR96" s="137">
        <f>CI96</f>
        <v>67292</v>
      </c>
      <c r="AS96" s="138">
        <f>CF96+CG96</f>
        <v>122629</v>
      </c>
      <c r="AT96" s="141">
        <v>0</v>
      </c>
      <c r="AU96" s="141">
        <v>17813</v>
      </c>
      <c r="AV96" s="141">
        <v>13076</v>
      </c>
      <c r="AW96" s="141">
        <v>59155</v>
      </c>
      <c r="AX96" s="137">
        <v>31429</v>
      </c>
      <c r="AY96" s="137">
        <v>44098</v>
      </c>
      <c r="AZ96" s="137">
        <v>0</v>
      </c>
      <c r="BA96" s="137">
        <v>29616</v>
      </c>
      <c r="BB96" s="137">
        <v>45203</v>
      </c>
      <c r="BC96" s="137">
        <v>140924</v>
      </c>
      <c r="BD96" s="137">
        <v>44911</v>
      </c>
      <c r="BE96" s="137">
        <v>46173</v>
      </c>
      <c r="BF96" s="139">
        <v>167791</v>
      </c>
      <c r="BG96" s="137">
        <v>0</v>
      </c>
      <c r="BH96" s="137">
        <v>0</v>
      </c>
      <c r="BI96" s="137">
        <v>7107</v>
      </c>
      <c r="BJ96" s="137">
        <v>1843</v>
      </c>
      <c r="BK96" s="137">
        <v>0</v>
      </c>
      <c r="BL96" s="137">
        <v>0</v>
      </c>
      <c r="BM96" s="137">
        <v>50951</v>
      </c>
      <c r="BN96" s="137">
        <v>23997</v>
      </c>
      <c r="BO96" s="137">
        <v>0</v>
      </c>
      <c r="BP96" s="137">
        <v>21281</v>
      </c>
      <c r="BQ96" s="137">
        <v>18304</v>
      </c>
      <c r="BR96" s="139">
        <v>23005</v>
      </c>
      <c r="BS96" s="137">
        <v>0</v>
      </c>
      <c r="BT96" s="137">
        <v>57735</v>
      </c>
      <c r="BU96" s="137">
        <v>19328</v>
      </c>
      <c r="BV96" s="137">
        <v>41496</v>
      </c>
      <c r="BW96" s="137">
        <v>28800</v>
      </c>
      <c r="BX96" s="137">
        <v>66508</v>
      </c>
      <c r="BY96" s="137">
        <f>128208-28800-66508</f>
        <v>32900</v>
      </c>
      <c r="BZ96" s="137">
        <v>58830</v>
      </c>
      <c r="CA96" s="137">
        <v>19131</v>
      </c>
      <c r="CB96" s="139">
        <v>60762</v>
      </c>
      <c r="CC96" s="137">
        <v>51873</v>
      </c>
      <c r="CD96" s="137">
        <v>9709</v>
      </c>
      <c r="CE96" s="137">
        <v>21499</v>
      </c>
      <c r="CF96" s="137">
        <v>0</v>
      </c>
      <c r="CG96" s="137">
        <v>122629</v>
      </c>
      <c r="CH96" s="137">
        <v>226025</v>
      </c>
      <c r="CI96" s="137">
        <v>67292</v>
      </c>
      <c r="CJ96" s="137">
        <v>464085</v>
      </c>
      <c r="CK96" s="138">
        <v>81460</v>
      </c>
      <c r="CL96" s="140">
        <v>2216739</v>
      </c>
    </row>
    <row r="97" spans="1:90">
      <c r="A97" s="80">
        <f>ROWS($A$3:A95)</f>
        <v>93</v>
      </c>
      <c r="B97" s="92" t="s">
        <v>96</v>
      </c>
      <c r="C97" s="198">
        <f>C95</f>
        <v>2009</v>
      </c>
      <c r="D97" s="254" t="s">
        <v>10</v>
      </c>
      <c r="E97" s="256">
        <v>40441</v>
      </c>
      <c r="F97" s="116">
        <v>608471</v>
      </c>
      <c r="G97" s="137">
        <v>140095</v>
      </c>
      <c r="H97" s="137">
        <v>360260</v>
      </c>
      <c r="I97" s="138">
        <v>994925</v>
      </c>
      <c r="J97" s="141"/>
      <c r="K97" s="116">
        <f>BF97</f>
        <v>159971</v>
      </c>
      <c r="L97" s="137">
        <f>AY97</f>
        <v>41908</v>
      </c>
      <c r="M97" s="137">
        <f>BD97</f>
        <v>42642</v>
      </c>
      <c r="N97" s="137">
        <f>AW97</f>
        <v>56014</v>
      </c>
      <c r="O97" s="137">
        <f>BE97</f>
        <v>43776</v>
      </c>
      <c r="P97" s="137">
        <f>AZ97+BA97</f>
        <v>28119</v>
      </c>
      <c r="Q97" s="137">
        <f>'2009'!AU97</f>
        <v>16912</v>
      </c>
      <c r="R97" s="137">
        <f>AX97</f>
        <v>29907</v>
      </c>
      <c r="S97" s="137">
        <f>AV97</f>
        <v>12238</v>
      </c>
      <c r="T97" s="137">
        <f>BB97</f>
        <v>42936</v>
      </c>
      <c r="U97" s="139">
        <f>BC97</f>
        <v>134048</v>
      </c>
      <c r="V97" s="137">
        <f>BJ97</f>
        <v>1718</v>
      </c>
      <c r="W97" s="137">
        <f>BR97</f>
        <v>21953</v>
      </c>
      <c r="X97" s="137">
        <f>BH97+BI97</f>
        <v>6755</v>
      </c>
      <c r="Y97" s="137">
        <f>BK97+BL97+BN97</f>
        <v>22996</v>
      </c>
      <c r="Z97" s="137">
        <f>BM97</f>
        <v>48791</v>
      </c>
      <c r="AA97" s="137">
        <f>BO97+BQ97</f>
        <v>17554</v>
      </c>
      <c r="AB97" s="139">
        <f>BP97</f>
        <v>20328</v>
      </c>
      <c r="AC97" s="137">
        <f>BX97</f>
        <v>62172</v>
      </c>
      <c r="AD97" s="137">
        <f>BU97</f>
        <v>17865</v>
      </c>
      <c r="AE97" s="137">
        <f>BT97</f>
        <v>53867</v>
      </c>
      <c r="AF97" s="137">
        <f>CA97</f>
        <v>17624</v>
      </c>
      <c r="AG97" s="137">
        <f>BV97</f>
        <v>38234</v>
      </c>
      <c r="AH97" s="137">
        <f>BZ97</f>
        <v>55673</v>
      </c>
      <c r="AI97" s="137">
        <f>BW97</f>
        <v>26815</v>
      </c>
      <c r="AJ97" s="137">
        <f>BY97</f>
        <v>30998</v>
      </c>
      <c r="AK97" s="139">
        <f>CB97</f>
        <v>57012</v>
      </c>
      <c r="AL97" s="137">
        <f>CE97</f>
        <v>20489</v>
      </c>
      <c r="AM97" s="137">
        <f>CH97</f>
        <v>215226</v>
      </c>
      <c r="AN97" s="137">
        <f>CJ97</f>
        <v>443090</v>
      </c>
      <c r="AO97" s="137">
        <f>CC97</f>
        <v>49147</v>
      </c>
      <c r="AP97" s="137">
        <f>CD97</f>
        <v>9147</v>
      </c>
      <c r="AQ97" s="137">
        <f>CK97</f>
        <v>77225</v>
      </c>
      <c r="AR97" s="137">
        <f>CI97</f>
        <v>63894</v>
      </c>
      <c r="AS97" s="138">
        <f>CF97+CG97</f>
        <v>116707</v>
      </c>
      <c r="AT97" s="141">
        <v>0</v>
      </c>
      <c r="AU97" s="141">
        <v>16912</v>
      </c>
      <c r="AV97" s="141">
        <v>12238</v>
      </c>
      <c r="AW97" s="141">
        <v>56014</v>
      </c>
      <c r="AX97" s="137">
        <v>29907</v>
      </c>
      <c r="AY97" s="137">
        <v>41908</v>
      </c>
      <c r="AZ97" s="137">
        <v>0</v>
      </c>
      <c r="BA97" s="137">
        <v>28119</v>
      </c>
      <c r="BB97" s="137">
        <v>42936</v>
      </c>
      <c r="BC97" s="137">
        <v>134048</v>
      </c>
      <c r="BD97" s="137">
        <v>42642</v>
      </c>
      <c r="BE97" s="137">
        <v>43776</v>
      </c>
      <c r="BF97" s="139">
        <v>159971</v>
      </c>
      <c r="BG97" s="141">
        <v>0</v>
      </c>
      <c r="BH97" s="137">
        <v>0</v>
      </c>
      <c r="BI97" s="137">
        <v>6755</v>
      </c>
      <c r="BJ97" s="137">
        <v>1718</v>
      </c>
      <c r="BK97" s="137">
        <v>0</v>
      </c>
      <c r="BL97" s="137">
        <v>0</v>
      </c>
      <c r="BM97" s="137">
        <v>48791</v>
      </c>
      <c r="BN97" s="137">
        <v>22996</v>
      </c>
      <c r="BO97" s="137">
        <v>0</v>
      </c>
      <c r="BP97" s="137">
        <v>20328</v>
      </c>
      <c r="BQ97" s="137">
        <v>17554</v>
      </c>
      <c r="BR97" s="139">
        <v>21953</v>
      </c>
      <c r="BS97" s="137">
        <v>0</v>
      </c>
      <c r="BT97" s="137">
        <v>53867</v>
      </c>
      <c r="BU97" s="137">
        <v>17865</v>
      </c>
      <c r="BV97" s="137">
        <v>38234</v>
      </c>
      <c r="BW97" s="137">
        <v>26815</v>
      </c>
      <c r="BX97" s="137">
        <v>62172</v>
      </c>
      <c r="BY97" s="137">
        <f>119985-26815-62172</f>
        <v>30998</v>
      </c>
      <c r="BZ97" s="137">
        <v>55673</v>
      </c>
      <c r="CA97" s="137">
        <v>17624</v>
      </c>
      <c r="CB97" s="139">
        <v>57012</v>
      </c>
      <c r="CC97" s="137">
        <v>49147</v>
      </c>
      <c r="CD97" s="137">
        <v>9147</v>
      </c>
      <c r="CE97" s="137">
        <v>20489</v>
      </c>
      <c r="CF97" s="137">
        <v>0</v>
      </c>
      <c r="CG97" s="137">
        <v>116707</v>
      </c>
      <c r="CH97" s="137">
        <v>215226</v>
      </c>
      <c r="CI97" s="137">
        <v>63894</v>
      </c>
      <c r="CJ97" s="137">
        <v>443090</v>
      </c>
      <c r="CK97" s="138">
        <v>77225</v>
      </c>
      <c r="CL97" s="140">
        <v>2103751</v>
      </c>
    </row>
    <row r="98" spans="1:90">
      <c r="A98" s="80">
        <f>ROWS($A$3:A96)</f>
        <v>94</v>
      </c>
      <c r="B98" s="55" t="s">
        <v>77</v>
      </c>
      <c r="C98" s="202">
        <v>2001</v>
      </c>
      <c r="D98" s="254" t="s">
        <v>13</v>
      </c>
      <c r="E98" s="256">
        <v>40441</v>
      </c>
      <c r="F98" s="154">
        <v>122737</v>
      </c>
      <c r="G98" s="155">
        <v>30239</v>
      </c>
      <c r="H98" s="155">
        <v>82089</v>
      </c>
      <c r="I98" s="156">
        <v>186831</v>
      </c>
      <c r="J98" s="281"/>
      <c r="K98" s="157">
        <f>BF98</f>
        <v>29042</v>
      </c>
      <c r="L98" s="113">
        <f>AY98</f>
        <v>8671</v>
      </c>
      <c r="M98" s="113">
        <f>BD98</f>
        <v>9647</v>
      </c>
      <c r="N98" s="113">
        <f>AW98</f>
        <v>12155</v>
      </c>
      <c r="O98" s="113">
        <f>BE98</f>
        <v>8882</v>
      </c>
      <c r="P98" s="137">
        <f>AZ98+BA98</f>
        <v>6750</v>
      </c>
      <c r="Q98" s="113">
        <f>'2009'!AU98</f>
        <v>3596</v>
      </c>
      <c r="R98" s="113">
        <f>AT98+AX98</f>
        <v>6359</v>
      </c>
      <c r="S98" s="113">
        <f>AV98</f>
        <v>3597</v>
      </c>
      <c r="T98" s="113">
        <f t="shared" si="179"/>
        <v>9048</v>
      </c>
      <c r="U98" s="112">
        <f t="shared" si="179"/>
        <v>25010</v>
      </c>
      <c r="V98" s="113">
        <f>BJ98</f>
        <v>733</v>
      </c>
      <c r="W98" s="113">
        <f>BR98</f>
        <v>4744</v>
      </c>
      <c r="X98" s="137">
        <f>BH98+BI98</f>
        <v>2102</v>
      </c>
      <c r="Y98" s="137">
        <f>BK98+BL98+BN98</f>
        <v>5175</v>
      </c>
      <c r="Z98" s="113">
        <f>BM98</f>
        <v>9713</v>
      </c>
      <c r="AA98" s="137">
        <f>BO98+BQ98</f>
        <v>3302</v>
      </c>
      <c r="AB98" s="112">
        <f>BP98</f>
        <v>4470</v>
      </c>
      <c r="AC98" s="113">
        <f>BX98</f>
        <v>13714</v>
      </c>
      <c r="AD98" s="113">
        <f>BU98</f>
        <v>4577</v>
      </c>
      <c r="AE98" s="113">
        <f>BT98</f>
        <v>12575</v>
      </c>
      <c r="AF98" s="113">
        <f>CA98</f>
        <v>5079</v>
      </c>
      <c r="AG98" s="113">
        <f>BV98</f>
        <v>11376</v>
      </c>
      <c r="AH98" s="113">
        <f>BZ98</f>
        <v>10288</v>
      </c>
      <c r="AI98" s="113">
        <f>BW98</f>
        <v>6966</v>
      </c>
      <c r="AJ98" s="113">
        <f>BY98</f>
        <v>5669</v>
      </c>
      <c r="AK98" s="112">
        <f>CB98</f>
        <v>11846</v>
      </c>
      <c r="AL98" s="113">
        <f>CE98</f>
        <v>3682</v>
      </c>
      <c r="AM98" s="113">
        <f>CH98</f>
        <v>40047</v>
      </c>
      <c r="AN98" s="113">
        <f>CJ98</f>
        <v>77867</v>
      </c>
      <c r="AO98" s="113">
        <f t="shared" si="180"/>
        <v>10463</v>
      </c>
      <c r="AP98" s="113">
        <f t="shared" si="180"/>
        <v>2188</v>
      </c>
      <c r="AQ98" s="113">
        <f>CK98</f>
        <v>16050</v>
      </c>
      <c r="AR98" s="113">
        <f>CI98</f>
        <v>13238</v>
      </c>
      <c r="AS98" s="138">
        <f>CF98+CG98</f>
        <v>23297</v>
      </c>
      <c r="AT98" s="113">
        <v>488</v>
      </c>
      <c r="AU98" s="113">
        <v>3596</v>
      </c>
      <c r="AV98" s="113">
        <v>3597</v>
      </c>
      <c r="AW98" s="113">
        <v>12155</v>
      </c>
      <c r="AX98" s="113">
        <v>5871</v>
      </c>
      <c r="AY98" s="113">
        <v>8671</v>
      </c>
      <c r="AZ98" s="113">
        <v>266</v>
      </c>
      <c r="BA98" s="113">
        <v>6484</v>
      </c>
      <c r="BB98" s="113">
        <v>9048</v>
      </c>
      <c r="BC98" s="113">
        <v>25010</v>
      </c>
      <c r="BD98" s="113">
        <v>9647</v>
      </c>
      <c r="BE98" s="113">
        <v>8882</v>
      </c>
      <c r="BF98" s="112">
        <v>29042</v>
      </c>
      <c r="BG98" s="159">
        <v>0</v>
      </c>
      <c r="BH98" s="113">
        <v>113</v>
      </c>
      <c r="BI98" s="113">
        <v>1989</v>
      </c>
      <c r="BJ98" s="113">
        <v>733</v>
      </c>
      <c r="BK98" s="113">
        <v>256</v>
      </c>
      <c r="BL98" s="113">
        <v>39</v>
      </c>
      <c r="BM98" s="113">
        <v>9713</v>
      </c>
      <c r="BN98" s="113">
        <v>4880</v>
      </c>
      <c r="BO98" s="159">
        <v>113</v>
      </c>
      <c r="BP98" s="113">
        <v>4470</v>
      </c>
      <c r="BQ98" s="113">
        <v>3189</v>
      </c>
      <c r="BR98" s="112">
        <v>4744</v>
      </c>
      <c r="BS98" s="159">
        <v>0</v>
      </c>
      <c r="BT98" s="113">
        <v>12575</v>
      </c>
      <c r="BU98" s="113">
        <v>4577</v>
      </c>
      <c r="BV98" s="113">
        <v>11376</v>
      </c>
      <c r="BW98" s="113">
        <v>6966</v>
      </c>
      <c r="BX98" s="113">
        <v>13714</v>
      </c>
      <c r="BY98" s="113">
        <v>5669</v>
      </c>
      <c r="BZ98" s="113">
        <v>10288</v>
      </c>
      <c r="CA98" s="113">
        <v>5079</v>
      </c>
      <c r="CB98" s="112">
        <v>11846</v>
      </c>
      <c r="CC98" s="113">
        <v>10463</v>
      </c>
      <c r="CD98" s="113">
        <v>2188</v>
      </c>
      <c r="CE98" s="113">
        <v>3682</v>
      </c>
      <c r="CF98" s="113">
        <v>1002</v>
      </c>
      <c r="CG98" s="113">
        <v>22295</v>
      </c>
      <c r="CH98" s="113">
        <v>40047</v>
      </c>
      <c r="CI98" s="113">
        <v>13238</v>
      </c>
      <c r="CJ98" s="113">
        <v>77867</v>
      </c>
      <c r="CK98" s="158">
        <v>16050</v>
      </c>
      <c r="CL98" s="123">
        <v>421896</v>
      </c>
    </row>
    <row r="99" spans="1:90">
      <c r="A99" s="80">
        <f>ROWS($A$3:A97)</f>
        <v>95</v>
      </c>
      <c r="B99" s="55" t="s">
        <v>96</v>
      </c>
      <c r="C99" s="205">
        <f>C98</f>
        <v>2001</v>
      </c>
      <c r="D99" s="254" t="s">
        <v>10</v>
      </c>
      <c r="E99" s="256">
        <v>40441</v>
      </c>
      <c r="F99" s="154">
        <v>618865</v>
      </c>
      <c r="G99" s="155">
        <v>149025</v>
      </c>
      <c r="H99" s="155">
        <v>366598</v>
      </c>
      <c r="I99" s="156">
        <v>1009287</v>
      </c>
      <c r="J99" s="281"/>
      <c r="K99" s="157">
        <f>BF99</f>
        <v>150712</v>
      </c>
      <c r="L99" s="113">
        <f>AY99</f>
        <v>42810</v>
      </c>
      <c r="M99" s="113">
        <f>BD99</f>
        <v>45971</v>
      </c>
      <c r="N99" s="113">
        <f>AW99</f>
        <v>57752</v>
      </c>
      <c r="O99" s="113">
        <f>BE99</f>
        <v>42099</v>
      </c>
      <c r="P99" s="137">
        <f>AZ99+BA99</f>
        <v>34324</v>
      </c>
      <c r="Q99" s="113">
        <f>'2009'!AU99</f>
        <v>18437</v>
      </c>
      <c r="R99" s="113">
        <f>AT99+AX99</f>
        <v>31700</v>
      </c>
      <c r="S99" s="113">
        <f>AV99</f>
        <v>14642</v>
      </c>
      <c r="T99" s="113">
        <f t="shared" si="179"/>
        <v>45007</v>
      </c>
      <c r="U99" s="112">
        <f t="shared" si="179"/>
        <v>135411</v>
      </c>
      <c r="V99" s="113">
        <f>BJ99</f>
        <v>2815</v>
      </c>
      <c r="W99" s="113">
        <f>BR99</f>
        <v>22064</v>
      </c>
      <c r="X99" s="137">
        <f>BH99+BI99</f>
        <v>8816</v>
      </c>
      <c r="Y99" s="137">
        <f>BK99+BL99+BN99</f>
        <v>25904</v>
      </c>
      <c r="Z99" s="113">
        <f>BM99</f>
        <v>51750</v>
      </c>
      <c r="AA99" s="137">
        <f>BO99+BQ99</f>
        <v>16216</v>
      </c>
      <c r="AB99" s="112">
        <f>BP99</f>
        <v>21460</v>
      </c>
      <c r="AC99" s="113">
        <f>BX99</f>
        <v>61788</v>
      </c>
      <c r="AD99" s="113">
        <f>BU99</f>
        <v>19448</v>
      </c>
      <c r="AE99" s="113">
        <f>BT99</f>
        <v>55233</v>
      </c>
      <c r="AF99" s="113">
        <f>CA99</f>
        <v>19955</v>
      </c>
      <c r="AG99" s="113">
        <f>BV99</f>
        <v>44544</v>
      </c>
      <c r="AH99" s="113">
        <f>BZ99</f>
        <v>53603</v>
      </c>
      <c r="AI99" s="113">
        <f>BW99</f>
        <v>29404</v>
      </c>
      <c r="AJ99" s="113">
        <f>BY99</f>
        <v>28518</v>
      </c>
      <c r="AK99" s="112">
        <f>CB99</f>
        <v>54105</v>
      </c>
      <c r="AL99" s="113">
        <f>CE99</f>
        <v>19008</v>
      </c>
      <c r="AM99" s="113">
        <f>CH99</f>
        <v>219991</v>
      </c>
      <c r="AN99" s="113">
        <f>CJ99</f>
        <v>437632</v>
      </c>
      <c r="AO99" s="113">
        <f t="shared" si="180"/>
        <v>51966</v>
      </c>
      <c r="AP99" s="113">
        <f t="shared" si="180"/>
        <v>9443</v>
      </c>
      <c r="AQ99" s="113">
        <f>CK99</f>
        <v>80123</v>
      </c>
      <c r="AR99" s="113">
        <f>CI99</f>
        <v>71575</v>
      </c>
      <c r="AS99" s="138">
        <f>CF99+CG99</f>
        <v>119549</v>
      </c>
      <c r="AT99" s="113">
        <v>2163</v>
      </c>
      <c r="AU99" s="113">
        <v>18437</v>
      </c>
      <c r="AV99" s="113">
        <v>14642</v>
      </c>
      <c r="AW99" s="113">
        <v>57752</v>
      </c>
      <c r="AX99" s="113">
        <v>29537</v>
      </c>
      <c r="AY99" s="113">
        <v>42810</v>
      </c>
      <c r="AZ99" s="113">
        <v>832</v>
      </c>
      <c r="BA99" s="113">
        <v>33492</v>
      </c>
      <c r="BB99" s="113">
        <v>45007</v>
      </c>
      <c r="BC99" s="113">
        <v>135411</v>
      </c>
      <c r="BD99" s="113">
        <v>45971</v>
      </c>
      <c r="BE99" s="113">
        <v>42099</v>
      </c>
      <c r="BF99" s="112">
        <v>150712</v>
      </c>
      <c r="BG99" s="159">
        <v>0</v>
      </c>
      <c r="BH99" s="113">
        <v>500</v>
      </c>
      <c r="BI99" s="113">
        <v>8316</v>
      </c>
      <c r="BJ99" s="113">
        <v>2815</v>
      </c>
      <c r="BK99" s="113">
        <v>1657</v>
      </c>
      <c r="BL99" s="113">
        <v>163</v>
      </c>
      <c r="BM99" s="113">
        <v>51750</v>
      </c>
      <c r="BN99" s="113">
        <v>24084</v>
      </c>
      <c r="BO99" s="159">
        <v>477</v>
      </c>
      <c r="BP99" s="113">
        <v>21460</v>
      </c>
      <c r="BQ99" s="113">
        <v>15739</v>
      </c>
      <c r="BR99" s="112">
        <v>22064</v>
      </c>
      <c r="BS99" s="159">
        <v>0</v>
      </c>
      <c r="BT99" s="113">
        <v>55233</v>
      </c>
      <c r="BU99" s="113">
        <v>19448</v>
      </c>
      <c r="BV99" s="113">
        <v>44544</v>
      </c>
      <c r="BW99" s="113">
        <v>29404</v>
      </c>
      <c r="BX99" s="113">
        <v>61788</v>
      </c>
      <c r="BY99" s="113">
        <v>28518</v>
      </c>
      <c r="BZ99" s="113">
        <v>53603</v>
      </c>
      <c r="CA99" s="113">
        <v>19955</v>
      </c>
      <c r="CB99" s="112">
        <v>54105</v>
      </c>
      <c r="CC99" s="113">
        <v>51966</v>
      </c>
      <c r="CD99" s="113">
        <v>9443</v>
      </c>
      <c r="CE99" s="113">
        <v>19008</v>
      </c>
      <c r="CF99" s="113">
        <v>6155</v>
      </c>
      <c r="CG99" s="113">
        <v>113394</v>
      </c>
      <c r="CH99" s="113">
        <v>219991</v>
      </c>
      <c r="CI99" s="113">
        <v>71575</v>
      </c>
      <c r="CJ99" s="113">
        <v>437632</v>
      </c>
      <c r="CK99" s="158">
        <v>80123</v>
      </c>
      <c r="CL99" s="123">
        <v>2143775</v>
      </c>
    </row>
    <row r="100" spans="1:90">
      <c r="A100" s="80">
        <f>ROWS($A$3:A98)</f>
        <v>96</v>
      </c>
      <c r="B100" s="55"/>
      <c r="C100" s="203"/>
      <c r="D100" s="254"/>
      <c r="E100" s="269"/>
      <c r="F100" s="154" t="s">
        <v>228</v>
      </c>
      <c r="G100" s="155" t="s">
        <v>228</v>
      </c>
      <c r="H100" s="155" t="s">
        <v>228</v>
      </c>
      <c r="I100" s="156" t="s">
        <v>228</v>
      </c>
      <c r="J100" s="281"/>
      <c r="K100" s="157" t="s">
        <v>228</v>
      </c>
      <c r="L100" s="113" t="s">
        <v>228</v>
      </c>
      <c r="M100" s="113" t="s">
        <v>228</v>
      </c>
      <c r="N100" s="113" t="s">
        <v>228</v>
      </c>
      <c r="O100" s="113" t="s">
        <v>228</v>
      </c>
      <c r="P100" s="113" t="s">
        <v>212</v>
      </c>
      <c r="Q100" s="113" t="s">
        <v>228</v>
      </c>
      <c r="R100" s="113" t="s">
        <v>213</v>
      </c>
      <c r="S100" s="113" t="s">
        <v>228</v>
      </c>
      <c r="T100" s="113" t="s">
        <v>228</v>
      </c>
      <c r="U100" s="112" t="s">
        <v>228</v>
      </c>
      <c r="V100" s="113" t="s">
        <v>214</v>
      </c>
      <c r="W100" s="113" t="s">
        <v>228</v>
      </c>
      <c r="X100" s="113" t="s">
        <v>215</v>
      </c>
      <c r="Y100" s="113" t="s">
        <v>216</v>
      </c>
      <c r="Z100" s="113" t="s">
        <v>228</v>
      </c>
      <c r="AA100" s="113" t="s">
        <v>217</v>
      </c>
      <c r="AB100" s="112" t="s">
        <v>228</v>
      </c>
      <c r="AC100" s="113" t="s">
        <v>228</v>
      </c>
      <c r="AD100" s="113" t="s">
        <v>228</v>
      </c>
      <c r="AE100" s="113" t="s">
        <v>218</v>
      </c>
      <c r="AF100" s="113" t="s">
        <v>228</v>
      </c>
      <c r="AG100" s="113" t="s">
        <v>228</v>
      </c>
      <c r="AH100" s="113" t="s">
        <v>228</v>
      </c>
      <c r="AI100" s="113" t="s">
        <v>228</v>
      </c>
      <c r="AJ100" s="113" t="s">
        <v>228</v>
      </c>
      <c r="AK100" s="112" t="s">
        <v>228</v>
      </c>
      <c r="AL100" s="113" t="s">
        <v>228</v>
      </c>
      <c r="AM100" s="113" t="s">
        <v>228</v>
      </c>
      <c r="AN100" s="113" t="s">
        <v>228</v>
      </c>
      <c r="AO100" s="113" t="s">
        <v>228</v>
      </c>
      <c r="AP100" s="113" t="s">
        <v>228</v>
      </c>
      <c r="AQ100" s="113" t="s">
        <v>228</v>
      </c>
      <c r="AR100" s="113" t="s">
        <v>228</v>
      </c>
      <c r="AS100" s="158" t="s">
        <v>219</v>
      </c>
      <c r="AT100" s="113" t="s">
        <v>228</v>
      </c>
      <c r="AU100" s="113" t="s">
        <v>228</v>
      </c>
      <c r="AV100" s="113" t="s">
        <v>228</v>
      </c>
      <c r="AW100" s="113" t="s">
        <v>228</v>
      </c>
      <c r="AX100" s="113" t="s">
        <v>228</v>
      </c>
      <c r="AY100" s="113" t="s">
        <v>228</v>
      </c>
      <c r="AZ100" s="113" t="s">
        <v>228</v>
      </c>
      <c r="BA100" s="113" t="s">
        <v>228</v>
      </c>
      <c r="BB100" s="113" t="s">
        <v>228</v>
      </c>
      <c r="BC100" s="113" t="s">
        <v>228</v>
      </c>
      <c r="BD100" s="113" t="s">
        <v>228</v>
      </c>
      <c r="BE100" s="113" t="s">
        <v>228</v>
      </c>
      <c r="BF100" s="112" t="s">
        <v>228</v>
      </c>
      <c r="BG100" s="159" t="s">
        <v>228</v>
      </c>
      <c r="BH100" s="113" t="s">
        <v>228</v>
      </c>
      <c r="BI100" s="113" t="s">
        <v>228</v>
      </c>
      <c r="BJ100" s="113" t="s">
        <v>228</v>
      </c>
      <c r="BK100" s="113" t="s">
        <v>228</v>
      </c>
      <c r="BL100" s="113" t="s">
        <v>228</v>
      </c>
      <c r="BM100" s="113" t="s">
        <v>228</v>
      </c>
      <c r="BN100" s="113" t="s">
        <v>228</v>
      </c>
      <c r="BO100" s="159" t="s">
        <v>228</v>
      </c>
      <c r="BP100" s="113" t="s">
        <v>228</v>
      </c>
      <c r="BQ100" s="113" t="s">
        <v>228</v>
      </c>
      <c r="BR100" s="112" t="s">
        <v>228</v>
      </c>
      <c r="BS100" s="159" t="s">
        <v>228</v>
      </c>
      <c r="BT100" s="113" t="s">
        <v>228</v>
      </c>
      <c r="BU100" s="113" t="s">
        <v>228</v>
      </c>
      <c r="BV100" s="113" t="s">
        <v>228</v>
      </c>
      <c r="BW100" s="113" t="s">
        <v>228</v>
      </c>
      <c r="BX100" s="113" t="s">
        <v>228</v>
      </c>
      <c r="BY100" s="113" t="s">
        <v>228</v>
      </c>
      <c r="BZ100" s="113" t="s">
        <v>228</v>
      </c>
      <c r="CA100" s="113" t="s">
        <v>228</v>
      </c>
      <c r="CB100" s="112" t="s">
        <v>228</v>
      </c>
      <c r="CC100" s="113" t="s">
        <v>228</v>
      </c>
      <c r="CD100" s="113" t="s">
        <v>228</v>
      </c>
      <c r="CE100" s="113" t="s">
        <v>228</v>
      </c>
      <c r="CF100" s="113" t="s">
        <v>228</v>
      </c>
      <c r="CG100" s="113" t="s">
        <v>228</v>
      </c>
      <c r="CH100" s="113" t="s">
        <v>228</v>
      </c>
      <c r="CI100" s="113" t="s">
        <v>228</v>
      </c>
      <c r="CJ100" s="113" t="s">
        <v>228</v>
      </c>
      <c r="CK100" s="158" t="s">
        <v>228</v>
      </c>
      <c r="CL100" s="123" t="s">
        <v>228</v>
      </c>
    </row>
    <row r="101" spans="1:90">
      <c r="A101" s="80">
        <f>ROWS($A$3:A99)</f>
        <v>97</v>
      </c>
      <c r="B101" s="55" t="s">
        <v>255</v>
      </c>
      <c r="C101" s="203">
        <f>C86</f>
        <v>2009</v>
      </c>
      <c r="D101" s="254" t="s">
        <v>13</v>
      </c>
      <c r="E101" s="256">
        <v>40680</v>
      </c>
      <c r="F101" s="154">
        <v>2660</v>
      </c>
      <c r="G101" s="155">
        <v>1007</v>
      </c>
      <c r="H101" s="155">
        <v>1415</v>
      </c>
      <c r="I101" s="156">
        <v>1305</v>
      </c>
      <c r="J101" s="281"/>
      <c r="K101" s="157">
        <f t="shared" ref="K101:K107" si="181">BF101</f>
        <v>169</v>
      </c>
      <c r="L101" s="113">
        <f t="shared" ref="L101:L107" si="182">AY101</f>
        <v>205</v>
      </c>
      <c r="M101" s="113">
        <f t="shared" ref="M101:M107" si="183">BD101</f>
        <v>130</v>
      </c>
      <c r="N101" s="113">
        <f t="shared" ref="N101:N107" si="184">AW101</f>
        <v>173</v>
      </c>
      <c r="O101" s="113">
        <f t="shared" ref="O101:O107" si="185">BE101</f>
        <v>91</v>
      </c>
      <c r="P101" s="113">
        <f>'2009'!AZ101+'2009'!BA101</f>
        <v>658</v>
      </c>
      <c r="Q101" s="113">
        <f>'2009'!AU101</f>
        <v>260</v>
      </c>
      <c r="R101" s="113">
        <f t="shared" ref="R101:R107" si="186">AT101+AX101</f>
        <v>406</v>
      </c>
      <c r="S101" s="113">
        <f t="shared" ref="S101:S107" si="187">AV101</f>
        <v>293</v>
      </c>
      <c r="T101" s="113">
        <f t="shared" ref="T101:U107" si="188">BB101</f>
        <v>83</v>
      </c>
      <c r="U101" s="112">
        <f t="shared" si="188"/>
        <v>192</v>
      </c>
      <c r="V101" s="113">
        <f t="shared" ref="V101:V107" si="189">BG101+BJ101</f>
        <v>86</v>
      </c>
      <c r="W101" s="113">
        <f t="shared" ref="W101:W107" si="190">BR101</f>
        <v>71</v>
      </c>
      <c r="X101" s="113">
        <f t="shared" ref="X101:X107" si="191">BH101+BI101</f>
        <v>441</v>
      </c>
      <c r="Y101" s="113">
        <f t="shared" ref="Y101:Y107" si="192">BK101+BL101+BN101</f>
        <v>96</v>
      </c>
      <c r="Z101" s="113">
        <f t="shared" ref="Z101:Z107" si="193">BM101</f>
        <v>176</v>
      </c>
      <c r="AA101" s="113">
        <f t="shared" ref="AA101:AA107" si="194">BO101+BQ101</f>
        <v>68</v>
      </c>
      <c r="AB101" s="112">
        <f t="shared" ref="AB101:AB107" si="195">BP101</f>
        <v>69</v>
      </c>
      <c r="AC101" s="113">
        <f t="shared" ref="AC101:AC107" si="196">BX101</f>
        <v>109</v>
      </c>
      <c r="AD101" s="113">
        <f t="shared" ref="AD101:AD107" si="197">BU101</f>
        <v>179</v>
      </c>
      <c r="AE101" s="113">
        <f t="shared" ref="AE101:AE107" si="198">BS101+BT101</f>
        <v>270</v>
      </c>
      <c r="AF101" s="113">
        <f t="shared" ref="AF101:AF107" si="199">CA101</f>
        <v>63</v>
      </c>
      <c r="AG101" s="113">
        <f t="shared" ref="AG101:AG107" si="200">BV101</f>
        <v>386</v>
      </c>
      <c r="AH101" s="113">
        <f t="shared" ref="AH101:AH107" si="201">BZ101</f>
        <v>107</v>
      </c>
      <c r="AI101" s="113">
        <f t="shared" ref="AI101:AI107" si="202">BW101</f>
        <v>118</v>
      </c>
      <c r="AJ101" s="113">
        <f t="shared" ref="AJ101:AJ107" si="203">BY101</f>
        <v>153</v>
      </c>
      <c r="AK101" s="112">
        <f t="shared" ref="AK101:AK107" si="204">CB101</f>
        <v>30</v>
      </c>
      <c r="AL101" s="113">
        <f t="shared" ref="AL101:AL107" si="205">CE101</f>
        <v>221</v>
      </c>
      <c r="AM101" s="113">
        <f t="shared" ref="AM101:AM107" si="206">CH101</f>
        <v>145</v>
      </c>
      <c r="AN101" s="113">
        <f t="shared" ref="AN101:AN107" si="207">CJ101</f>
        <v>128</v>
      </c>
      <c r="AO101" s="113">
        <f t="shared" ref="AO101:AP107" si="208">CC101</f>
        <v>185</v>
      </c>
      <c r="AP101" s="113">
        <f t="shared" si="208"/>
        <v>135</v>
      </c>
      <c r="AQ101" s="113">
        <f t="shared" ref="AQ101:AQ107" si="209">CK101</f>
        <v>190</v>
      </c>
      <c r="AR101" s="113">
        <f t="shared" ref="AR101:AR107" si="210">CI101</f>
        <v>55</v>
      </c>
      <c r="AS101" s="158">
        <f t="shared" ref="AS101:AS107" si="211">CF101+CG101</f>
        <v>246</v>
      </c>
      <c r="AT101" s="113">
        <v>37</v>
      </c>
      <c r="AU101" s="113">
        <v>260</v>
      </c>
      <c r="AV101" s="113">
        <v>293</v>
      </c>
      <c r="AW101" s="113">
        <v>173</v>
      </c>
      <c r="AX101" s="113">
        <v>369</v>
      </c>
      <c r="AY101" s="113">
        <v>205</v>
      </c>
      <c r="AZ101" s="113">
        <v>57</v>
      </c>
      <c r="BA101" s="113">
        <v>601</v>
      </c>
      <c r="BB101" s="113">
        <v>83</v>
      </c>
      <c r="BC101" s="113">
        <v>192</v>
      </c>
      <c r="BD101" s="113">
        <v>130</v>
      </c>
      <c r="BE101" s="113">
        <v>91</v>
      </c>
      <c r="BF101" s="112">
        <v>169</v>
      </c>
      <c r="BG101" s="159">
        <v>15</v>
      </c>
      <c r="BH101" s="113">
        <v>17</v>
      </c>
      <c r="BI101" s="113">
        <v>424</v>
      </c>
      <c r="BJ101" s="113">
        <v>71</v>
      </c>
      <c r="BK101" s="113">
        <v>7</v>
      </c>
      <c r="BL101" s="113">
        <v>3</v>
      </c>
      <c r="BM101" s="113">
        <v>176</v>
      </c>
      <c r="BN101" s="113">
        <v>86</v>
      </c>
      <c r="BO101" s="159">
        <v>8</v>
      </c>
      <c r="BP101" s="113">
        <v>69</v>
      </c>
      <c r="BQ101" s="113">
        <v>60</v>
      </c>
      <c r="BR101" s="112">
        <v>71</v>
      </c>
      <c r="BS101" s="159">
        <v>75</v>
      </c>
      <c r="BT101" s="113">
        <v>195</v>
      </c>
      <c r="BU101" s="113">
        <v>179</v>
      </c>
      <c r="BV101" s="113">
        <v>386</v>
      </c>
      <c r="BW101" s="113">
        <v>118</v>
      </c>
      <c r="BX101" s="113">
        <v>109</v>
      </c>
      <c r="BY101" s="113">
        <v>153</v>
      </c>
      <c r="BZ101" s="113">
        <v>107</v>
      </c>
      <c r="CA101" s="113">
        <v>63</v>
      </c>
      <c r="CB101" s="112">
        <v>30</v>
      </c>
      <c r="CC101" s="113">
        <v>185</v>
      </c>
      <c r="CD101" s="113">
        <v>135</v>
      </c>
      <c r="CE101" s="113">
        <v>221</v>
      </c>
      <c r="CF101" s="113">
        <v>10</v>
      </c>
      <c r="CG101" s="113">
        <v>236</v>
      </c>
      <c r="CH101" s="113">
        <v>145</v>
      </c>
      <c r="CI101" s="113">
        <v>55</v>
      </c>
      <c r="CJ101" s="113">
        <v>128</v>
      </c>
      <c r="CK101" s="158">
        <v>190</v>
      </c>
      <c r="CL101" s="123">
        <v>6387</v>
      </c>
    </row>
    <row r="102" spans="1:90">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c r="A103" s="80">
        <f>ROWS($A$3:A101)</f>
        <v>99</v>
      </c>
      <c r="B103" s="602"/>
      <c r="C103" s="590"/>
      <c r="D103" s="603"/>
      <c r="E103" s="522"/>
      <c r="F103" s="154"/>
      <c r="G103" s="155"/>
      <c r="H103" s="155"/>
      <c r="I103" s="156"/>
      <c r="J103" s="155"/>
      <c r="K103" s="157"/>
      <c r="L103" s="113"/>
      <c r="M103" s="113"/>
      <c r="N103" s="113"/>
      <c r="O103" s="113"/>
      <c r="P103" s="113"/>
      <c r="Q103" s="113"/>
      <c r="R103" s="113"/>
      <c r="S103" s="113"/>
      <c r="T103" s="113"/>
      <c r="U103" s="112"/>
      <c r="V103" s="113"/>
      <c r="W103" s="113"/>
      <c r="X103" s="113"/>
      <c r="Y103" s="113"/>
      <c r="Z103" s="113"/>
      <c r="AA103" s="113"/>
      <c r="AB103" s="112"/>
      <c r="AC103" s="113"/>
      <c r="AD103" s="113"/>
      <c r="AE103" s="113"/>
      <c r="AF103" s="113"/>
      <c r="AG103" s="113"/>
      <c r="AH103" s="113"/>
      <c r="AI103" s="113"/>
      <c r="AJ103" s="113"/>
      <c r="AK103" s="112"/>
      <c r="AL103" s="113"/>
      <c r="AM103" s="113"/>
      <c r="AN103" s="113"/>
      <c r="AO103" s="113"/>
      <c r="AP103" s="113"/>
      <c r="AQ103" s="113"/>
      <c r="AR103" s="113"/>
      <c r="AS103" s="158"/>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s="123"/>
    </row>
    <row r="104" spans="1:90">
      <c r="A104" s="80">
        <f>ROWS($A$3:A102)</f>
        <v>100</v>
      </c>
      <c r="B104" s="55"/>
      <c r="C104" s="203"/>
      <c r="D104" s="254"/>
      <c r="E104" s="269"/>
      <c r="F104" s="154"/>
      <c r="G104" s="155"/>
      <c r="H104" s="155"/>
      <c r="I104" s="156"/>
      <c r="J104" s="155"/>
      <c r="K104" s="157">
        <f t="shared" si="181"/>
        <v>0</v>
      </c>
      <c r="L104" s="113">
        <f t="shared" si="182"/>
        <v>0</v>
      </c>
      <c r="M104" s="113">
        <f t="shared" si="183"/>
        <v>0</v>
      </c>
      <c r="N104" s="113">
        <f t="shared" si="184"/>
        <v>0</v>
      </c>
      <c r="O104" s="113">
        <f t="shared" si="185"/>
        <v>0</v>
      </c>
      <c r="P104" s="113">
        <f>'2009'!AZ104+'2009'!BA104</f>
        <v>0</v>
      </c>
      <c r="Q104" s="113">
        <f>'2009'!AU104</f>
        <v>0</v>
      </c>
      <c r="R104" s="113">
        <f t="shared" si="186"/>
        <v>0</v>
      </c>
      <c r="S104" s="113">
        <f t="shared" si="187"/>
        <v>0</v>
      </c>
      <c r="T104" s="113">
        <f t="shared" si="188"/>
        <v>0</v>
      </c>
      <c r="U104" s="112">
        <f t="shared" si="188"/>
        <v>0</v>
      </c>
      <c r="V104" s="113">
        <f t="shared" si="189"/>
        <v>0</v>
      </c>
      <c r="W104" s="113">
        <f t="shared" si="190"/>
        <v>0</v>
      </c>
      <c r="X104" s="113">
        <f t="shared" si="191"/>
        <v>0</v>
      </c>
      <c r="Y104" s="113">
        <f t="shared" si="192"/>
        <v>0</v>
      </c>
      <c r="Z104" s="113">
        <f t="shared" si="193"/>
        <v>0</v>
      </c>
      <c r="AA104" s="113">
        <f t="shared" si="194"/>
        <v>0</v>
      </c>
      <c r="AB104" s="112">
        <f t="shared" si="195"/>
        <v>0</v>
      </c>
      <c r="AC104" s="113">
        <f t="shared" si="196"/>
        <v>0</v>
      </c>
      <c r="AD104" s="113">
        <f t="shared" si="197"/>
        <v>0</v>
      </c>
      <c r="AE104" s="113">
        <f t="shared" si="198"/>
        <v>0</v>
      </c>
      <c r="AF104" s="113">
        <f t="shared" si="199"/>
        <v>0</v>
      </c>
      <c r="AG104" s="113">
        <f t="shared" si="200"/>
        <v>0</v>
      </c>
      <c r="AH104" s="113">
        <f t="shared" si="201"/>
        <v>0</v>
      </c>
      <c r="AI104" s="113">
        <f t="shared" si="202"/>
        <v>0</v>
      </c>
      <c r="AJ104" s="113">
        <f t="shared" si="203"/>
        <v>0</v>
      </c>
      <c r="AK104" s="112">
        <f t="shared" si="204"/>
        <v>0</v>
      </c>
      <c r="AL104" s="113">
        <f t="shared" si="205"/>
        <v>0</v>
      </c>
      <c r="AM104" s="113">
        <f t="shared" si="206"/>
        <v>0</v>
      </c>
      <c r="AN104" s="113">
        <f t="shared" si="207"/>
        <v>0</v>
      </c>
      <c r="AO104" s="113">
        <f t="shared" si="208"/>
        <v>0</v>
      </c>
      <c r="AP104" s="113">
        <f t="shared" si="208"/>
        <v>0</v>
      </c>
      <c r="AQ104" s="113">
        <f t="shared" si="209"/>
        <v>0</v>
      </c>
      <c r="AR104" s="113">
        <f t="shared" si="210"/>
        <v>0</v>
      </c>
      <c r="AS104" s="158">
        <f t="shared" si="211"/>
        <v>0</v>
      </c>
      <c r="AT104" s="113">
        <v>0</v>
      </c>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80">
        <f>ROWS($A$3:A103)</f>
        <v>101</v>
      </c>
      <c r="B105" s="55"/>
      <c r="C105" s="203"/>
      <c r="D105" s="254"/>
      <c r="E105" s="269"/>
      <c r="F105" s="154"/>
      <c r="G105" s="155"/>
      <c r="H105" s="155"/>
      <c r="I105" s="156"/>
      <c r="J105" s="155"/>
      <c r="K105" s="157">
        <f t="shared" si="181"/>
        <v>0</v>
      </c>
      <c r="L105" s="113">
        <f t="shared" si="182"/>
        <v>0</v>
      </c>
      <c r="M105" s="113">
        <f t="shared" si="183"/>
        <v>0</v>
      </c>
      <c r="N105" s="113">
        <f t="shared" si="184"/>
        <v>0</v>
      </c>
      <c r="O105" s="113">
        <f t="shared" si="185"/>
        <v>0</v>
      </c>
      <c r="P105" s="113">
        <f>'2009'!AZ105+'2009'!BA105</f>
        <v>0</v>
      </c>
      <c r="Q105" s="113">
        <f>'2009'!AU105</f>
        <v>0</v>
      </c>
      <c r="R105" s="113">
        <f t="shared" si="186"/>
        <v>0</v>
      </c>
      <c r="S105" s="113">
        <f t="shared" si="187"/>
        <v>0</v>
      </c>
      <c r="T105" s="113">
        <f t="shared" si="188"/>
        <v>0</v>
      </c>
      <c r="U105" s="112">
        <f t="shared" si="188"/>
        <v>0</v>
      </c>
      <c r="V105" s="113">
        <f t="shared" si="189"/>
        <v>0</v>
      </c>
      <c r="W105" s="113">
        <f t="shared" si="190"/>
        <v>0</v>
      </c>
      <c r="X105" s="113">
        <f t="shared" si="191"/>
        <v>0</v>
      </c>
      <c r="Y105" s="113">
        <f t="shared" si="192"/>
        <v>0</v>
      </c>
      <c r="Z105" s="113">
        <f t="shared" si="193"/>
        <v>0</v>
      </c>
      <c r="AA105" s="113">
        <f t="shared" si="194"/>
        <v>0</v>
      </c>
      <c r="AB105" s="112">
        <f t="shared" si="195"/>
        <v>0</v>
      </c>
      <c r="AC105" s="113">
        <f t="shared" si="196"/>
        <v>0</v>
      </c>
      <c r="AD105" s="113">
        <f t="shared" si="197"/>
        <v>0</v>
      </c>
      <c r="AE105" s="113">
        <f t="shared" si="198"/>
        <v>0</v>
      </c>
      <c r="AF105" s="113">
        <f t="shared" si="199"/>
        <v>0</v>
      </c>
      <c r="AG105" s="113">
        <f t="shared" si="200"/>
        <v>0</v>
      </c>
      <c r="AH105" s="113">
        <f t="shared" si="201"/>
        <v>0</v>
      </c>
      <c r="AI105" s="113">
        <f t="shared" si="202"/>
        <v>0</v>
      </c>
      <c r="AJ105" s="113">
        <f t="shared" si="203"/>
        <v>0</v>
      </c>
      <c r="AK105" s="112">
        <f t="shared" si="204"/>
        <v>0</v>
      </c>
      <c r="AL105" s="113">
        <f t="shared" si="205"/>
        <v>0</v>
      </c>
      <c r="AM105" s="113">
        <f t="shared" si="206"/>
        <v>0</v>
      </c>
      <c r="AN105" s="113">
        <f t="shared" si="207"/>
        <v>0</v>
      </c>
      <c r="AO105" s="113">
        <f t="shared" si="208"/>
        <v>0</v>
      </c>
      <c r="AP105" s="113">
        <f t="shared" si="208"/>
        <v>0</v>
      </c>
      <c r="AQ105" s="113">
        <f t="shared" si="209"/>
        <v>0</v>
      </c>
      <c r="AR105" s="113">
        <f t="shared" si="210"/>
        <v>0</v>
      </c>
      <c r="AS105" s="158">
        <f t="shared" si="211"/>
        <v>0</v>
      </c>
      <c r="AT105" s="113">
        <v>0</v>
      </c>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c r="A106" s="80">
        <f>ROWS($A$3:A104)</f>
        <v>102</v>
      </c>
      <c r="B106" s="55"/>
      <c r="C106" s="203"/>
      <c r="D106" s="254"/>
      <c r="E106" s="269"/>
      <c r="F106" s="154"/>
      <c r="G106" s="155"/>
      <c r="H106" s="155"/>
      <c r="I106" s="156"/>
      <c r="J106" s="155"/>
      <c r="K106" s="157">
        <f t="shared" si="181"/>
        <v>0</v>
      </c>
      <c r="L106" s="113">
        <f t="shared" si="182"/>
        <v>0</v>
      </c>
      <c r="M106" s="113">
        <f t="shared" si="183"/>
        <v>0</v>
      </c>
      <c r="N106" s="113">
        <f t="shared" si="184"/>
        <v>0</v>
      </c>
      <c r="O106" s="113">
        <f t="shared" si="185"/>
        <v>0</v>
      </c>
      <c r="P106" s="113">
        <f>'2009'!AZ106+'2009'!BA106</f>
        <v>0</v>
      </c>
      <c r="Q106" s="113">
        <f>'2009'!AU106</f>
        <v>0</v>
      </c>
      <c r="R106" s="113">
        <f t="shared" si="186"/>
        <v>0</v>
      </c>
      <c r="S106" s="113">
        <f t="shared" si="187"/>
        <v>0</v>
      </c>
      <c r="T106" s="113">
        <f t="shared" si="188"/>
        <v>0</v>
      </c>
      <c r="U106" s="112">
        <f t="shared" si="188"/>
        <v>0</v>
      </c>
      <c r="V106" s="113">
        <f t="shared" si="189"/>
        <v>0</v>
      </c>
      <c r="W106" s="113">
        <f t="shared" si="190"/>
        <v>0</v>
      </c>
      <c r="X106" s="113">
        <f t="shared" si="191"/>
        <v>0</v>
      </c>
      <c r="Y106" s="113">
        <f t="shared" si="192"/>
        <v>0</v>
      </c>
      <c r="Z106" s="113">
        <f t="shared" si="193"/>
        <v>0</v>
      </c>
      <c r="AA106" s="113">
        <f t="shared" si="194"/>
        <v>0</v>
      </c>
      <c r="AB106" s="112">
        <f t="shared" si="195"/>
        <v>0</v>
      </c>
      <c r="AC106" s="113">
        <f t="shared" si="196"/>
        <v>0</v>
      </c>
      <c r="AD106" s="113">
        <f t="shared" si="197"/>
        <v>0</v>
      </c>
      <c r="AE106" s="113">
        <f t="shared" si="198"/>
        <v>0</v>
      </c>
      <c r="AF106" s="113">
        <f t="shared" si="199"/>
        <v>0</v>
      </c>
      <c r="AG106" s="113">
        <f t="shared" si="200"/>
        <v>0</v>
      </c>
      <c r="AH106" s="113">
        <f t="shared" si="201"/>
        <v>0</v>
      </c>
      <c r="AI106" s="113">
        <f t="shared" si="202"/>
        <v>0</v>
      </c>
      <c r="AJ106" s="113">
        <f t="shared" si="203"/>
        <v>0</v>
      </c>
      <c r="AK106" s="112">
        <f t="shared" si="204"/>
        <v>0</v>
      </c>
      <c r="AL106" s="113">
        <f t="shared" si="205"/>
        <v>0</v>
      </c>
      <c r="AM106" s="113">
        <f t="shared" si="206"/>
        <v>0</v>
      </c>
      <c r="AN106" s="113">
        <f t="shared" si="207"/>
        <v>0</v>
      </c>
      <c r="AO106" s="113">
        <f t="shared" si="208"/>
        <v>0</v>
      </c>
      <c r="AP106" s="113">
        <f t="shared" si="208"/>
        <v>0</v>
      </c>
      <c r="AQ106" s="113">
        <f t="shared" si="209"/>
        <v>0</v>
      </c>
      <c r="AR106" s="113">
        <f t="shared" si="210"/>
        <v>0</v>
      </c>
      <c r="AS106" s="158">
        <f t="shared" si="211"/>
        <v>0</v>
      </c>
      <c r="AT106" s="113">
        <v>0</v>
      </c>
      <c r="AU106" s="113"/>
      <c r="AV106" s="113"/>
      <c r="AW106" s="113"/>
      <c r="AX106" s="113"/>
      <c r="AY106" s="113"/>
      <c r="AZ106" s="113"/>
      <c r="BA106" s="113"/>
      <c r="BB106" s="113"/>
      <c r="BC106" s="113"/>
      <c r="BD106" s="113"/>
      <c r="BE106" s="113"/>
      <c r="BF106" s="112"/>
      <c r="BG106" s="159"/>
      <c r="BH106" s="113"/>
      <c r="BI106" s="113"/>
      <c r="BJ106" s="113"/>
      <c r="BK106" s="113"/>
      <c r="BL106" s="113"/>
      <c r="BM106" s="113"/>
      <c r="BN106" s="113"/>
      <c r="BO106" s="159"/>
      <c r="BP106" s="113"/>
      <c r="BQ106" s="113"/>
      <c r="BR106" s="112"/>
      <c r="BS106" s="159"/>
      <c r="BT106" s="113"/>
      <c r="BU106" s="113"/>
      <c r="BV106" s="113"/>
      <c r="BW106" s="113"/>
      <c r="BX106" s="113"/>
      <c r="BY106" s="113"/>
      <c r="BZ106" s="113"/>
      <c r="CA106" s="113"/>
      <c r="CB106" s="112"/>
      <c r="CC106" s="113"/>
      <c r="CD106" s="113"/>
      <c r="CE106" s="113"/>
      <c r="CF106" s="113"/>
      <c r="CG106" s="113"/>
      <c r="CH106" s="113"/>
      <c r="CI106" s="113"/>
      <c r="CJ106" s="113"/>
      <c r="CK106" s="158"/>
      <c r="CL106" s="123"/>
    </row>
    <row r="107" spans="1:90" ht="13.5" thickBot="1">
      <c r="A107" s="80">
        <f>ROWS($A$3:A105)</f>
        <v>103</v>
      </c>
      <c r="B107" s="56"/>
      <c r="C107" s="206"/>
      <c r="D107" s="274"/>
      <c r="E107" s="275"/>
      <c r="F107" s="160"/>
      <c r="G107" s="161"/>
      <c r="H107" s="161"/>
      <c r="I107" s="162"/>
      <c r="J107" s="161"/>
      <c r="K107" s="163">
        <f t="shared" si="181"/>
        <v>0</v>
      </c>
      <c r="L107" s="164">
        <f t="shared" si="182"/>
        <v>0</v>
      </c>
      <c r="M107" s="164">
        <f t="shared" si="183"/>
        <v>0</v>
      </c>
      <c r="N107" s="164">
        <f t="shared" si="184"/>
        <v>0</v>
      </c>
      <c r="O107" s="164">
        <f t="shared" si="185"/>
        <v>0</v>
      </c>
      <c r="P107" s="164">
        <f>'2009'!AZ107+'2009'!BA107</f>
        <v>0</v>
      </c>
      <c r="Q107" s="164">
        <f>'2009'!AU107</f>
        <v>0</v>
      </c>
      <c r="R107" s="164">
        <f t="shared" si="186"/>
        <v>0</v>
      </c>
      <c r="S107" s="164">
        <f t="shared" si="187"/>
        <v>0</v>
      </c>
      <c r="T107" s="164">
        <f t="shared" si="188"/>
        <v>0</v>
      </c>
      <c r="U107" s="114">
        <f t="shared" si="188"/>
        <v>0</v>
      </c>
      <c r="V107" s="164">
        <f t="shared" si="189"/>
        <v>0</v>
      </c>
      <c r="W107" s="164">
        <f t="shared" si="190"/>
        <v>0</v>
      </c>
      <c r="X107" s="164">
        <f t="shared" si="191"/>
        <v>0</v>
      </c>
      <c r="Y107" s="164">
        <f t="shared" si="192"/>
        <v>0</v>
      </c>
      <c r="Z107" s="164">
        <f t="shared" si="193"/>
        <v>0</v>
      </c>
      <c r="AA107" s="164">
        <f t="shared" si="194"/>
        <v>0</v>
      </c>
      <c r="AB107" s="114">
        <f t="shared" si="195"/>
        <v>0</v>
      </c>
      <c r="AC107" s="164">
        <f t="shared" si="196"/>
        <v>0</v>
      </c>
      <c r="AD107" s="164">
        <f t="shared" si="197"/>
        <v>0</v>
      </c>
      <c r="AE107" s="164">
        <f t="shared" si="198"/>
        <v>0</v>
      </c>
      <c r="AF107" s="164">
        <f t="shared" si="199"/>
        <v>0</v>
      </c>
      <c r="AG107" s="164">
        <f t="shared" si="200"/>
        <v>0</v>
      </c>
      <c r="AH107" s="164">
        <f t="shared" si="201"/>
        <v>0</v>
      </c>
      <c r="AI107" s="164">
        <f t="shared" si="202"/>
        <v>0</v>
      </c>
      <c r="AJ107" s="164">
        <f t="shared" si="203"/>
        <v>0</v>
      </c>
      <c r="AK107" s="114">
        <f t="shared" si="204"/>
        <v>0</v>
      </c>
      <c r="AL107" s="164">
        <f t="shared" si="205"/>
        <v>0</v>
      </c>
      <c r="AM107" s="164">
        <f t="shared" si="206"/>
        <v>0</v>
      </c>
      <c r="AN107" s="164">
        <f t="shared" si="207"/>
        <v>0</v>
      </c>
      <c r="AO107" s="164">
        <f t="shared" si="208"/>
        <v>0</v>
      </c>
      <c r="AP107" s="164">
        <f t="shared" si="208"/>
        <v>0</v>
      </c>
      <c r="AQ107" s="164">
        <f t="shared" si="209"/>
        <v>0</v>
      </c>
      <c r="AR107" s="164">
        <f t="shared" si="210"/>
        <v>0</v>
      </c>
      <c r="AS107" s="165">
        <f t="shared" si="211"/>
        <v>0</v>
      </c>
      <c r="AT107" s="164">
        <v>0</v>
      </c>
      <c r="AU107" s="164"/>
      <c r="AV107" s="164"/>
      <c r="AW107" s="164"/>
      <c r="AX107" s="164"/>
      <c r="AY107" s="164"/>
      <c r="AZ107" s="164"/>
      <c r="BA107" s="164"/>
      <c r="BB107" s="164"/>
      <c r="BC107" s="164"/>
      <c r="BD107" s="164"/>
      <c r="BE107" s="164"/>
      <c r="BF107" s="114"/>
      <c r="BG107" s="166"/>
      <c r="BH107" s="164"/>
      <c r="BI107" s="164"/>
      <c r="BJ107" s="164"/>
      <c r="BK107" s="164"/>
      <c r="BL107" s="164"/>
      <c r="BM107" s="164"/>
      <c r="BN107" s="164"/>
      <c r="BO107" s="166"/>
      <c r="BP107" s="164"/>
      <c r="BQ107" s="164"/>
      <c r="BR107" s="114"/>
      <c r="BS107" s="166"/>
      <c r="BT107" s="164"/>
      <c r="BU107" s="164"/>
      <c r="BV107" s="164"/>
      <c r="BW107" s="164"/>
      <c r="BX107" s="164"/>
      <c r="BY107" s="164"/>
      <c r="BZ107" s="164"/>
      <c r="CA107" s="164"/>
      <c r="CB107" s="114"/>
      <c r="CC107" s="164"/>
      <c r="CD107" s="164"/>
      <c r="CE107" s="164"/>
      <c r="CF107" s="164"/>
      <c r="CG107" s="164"/>
      <c r="CH107" s="164"/>
      <c r="CI107" s="164"/>
      <c r="CJ107" s="164"/>
      <c r="CK107" s="165"/>
      <c r="CL107" s="124"/>
    </row>
    <row r="108" spans="1:90">
      <c r="B108" s="57"/>
      <c r="C108" s="203"/>
      <c r="D108" s="48"/>
      <c r="E108" s="69"/>
      <c r="F108" s="155"/>
      <c r="G108" s="155"/>
      <c r="H108" s="155"/>
      <c r="I108" s="155"/>
      <c r="J108" s="155"/>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59"/>
      <c r="BH108" s="113"/>
      <c r="BI108" s="113"/>
      <c r="BJ108" s="113"/>
      <c r="BK108" s="113"/>
      <c r="BL108" s="113"/>
      <c r="BM108" s="113"/>
      <c r="BN108" s="113"/>
      <c r="BO108" s="159"/>
      <c r="BP108" s="113"/>
      <c r="BQ108" s="113"/>
      <c r="BR108" s="113"/>
      <c r="BS108" s="159"/>
      <c r="BT108" s="113"/>
      <c r="BU108" s="113"/>
      <c r="BV108" s="113"/>
      <c r="BW108" s="113"/>
      <c r="BX108" s="113"/>
      <c r="BY108" s="113"/>
      <c r="BZ108" s="113"/>
      <c r="CA108" s="113"/>
      <c r="CB108" s="113"/>
      <c r="CC108" s="113"/>
      <c r="CD108" s="113"/>
      <c r="CE108" s="113"/>
      <c r="CF108" s="113"/>
      <c r="CG108" s="113"/>
      <c r="CH108" s="113"/>
      <c r="CI108" s="113"/>
      <c r="CJ108" s="113"/>
      <c r="CK108" s="113"/>
      <c r="CL108" s="125"/>
    </row>
    <row r="109" spans="1:90">
      <c r="B109" s="71" t="s">
        <v>209</v>
      </c>
      <c r="F109" s="303"/>
      <c r="G109" s="303"/>
      <c r="H109" s="303"/>
      <c r="I109" s="303"/>
    </row>
    <row r="110" spans="1:90">
      <c r="B110" s="73" t="s">
        <v>279</v>
      </c>
    </row>
    <row r="111" spans="1:90">
      <c r="B111" s="73" t="s">
        <v>205</v>
      </c>
    </row>
    <row r="112" spans="1:90">
      <c r="B112" s="73" t="s">
        <v>206</v>
      </c>
    </row>
    <row r="113" spans="1:90">
      <c r="B113" s="72"/>
    </row>
    <row r="114" spans="1:90">
      <c r="B114" s="73" t="s">
        <v>78</v>
      </c>
    </row>
    <row r="115" spans="1:90">
      <c r="B115" s="73" t="s">
        <v>207</v>
      </c>
    </row>
    <row r="116" spans="1:90">
      <c r="B116" s="73" t="s">
        <v>211</v>
      </c>
    </row>
    <row r="118" spans="1:90" s="69" customFormat="1" ht="11.25">
      <c r="A118" s="327"/>
      <c r="B118" s="328" t="s">
        <v>63</v>
      </c>
      <c r="C118" s="322">
        <v>2008</v>
      </c>
      <c r="D118" s="329" t="s">
        <v>11</v>
      </c>
      <c r="E118" s="330">
        <v>40679</v>
      </c>
      <c r="F118" s="323">
        <v>34700</v>
      </c>
      <c r="G118" s="323">
        <v>15200</v>
      </c>
      <c r="H118" s="323">
        <v>27800</v>
      </c>
      <c r="I118" s="323">
        <v>22600</v>
      </c>
      <c r="J118" s="324"/>
      <c r="K118" s="323">
        <f>BF118</f>
        <v>3500</v>
      </c>
      <c r="L118" s="323">
        <f>AY118</f>
        <v>3700</v>
      </c>
      <c r="M118" s="323">
        <f>BD118</f>
        <v>2700</v>
      </c>
      <c r="N118" s="323">
        <f>AW118</f>
        <v>1600</v>
      </c>
      <c r="O118" s="323">
        <f>BE118</f>
        <v>1100</v>
      </c>
      <c r="P118" s="323">
        <f>'2009'!AZ118+'2009'!BA118</f>
        <v>5600</v>
      </c>
      <c r="Q118" s="323">
        <f>'2009'!AU118</f>
        <v>1800</v>
      </c>
      <c r="R118" s="323">
        <f>AT118+AX118</f>
        <v>6300</v>
      </c>
      <c r="S118" s="323">
        <f>AV118</f>
        <v>2500</v>
      </c>
      <c r="T118" s="323">
        <f>BB118</f>
        <v>2400</v>
      </c>
      <c r="U118" s="323">
        <f>BC118</f>
        <v>3500</v>
      </c>
      <c r="V118" s="323">
        <f>BG118+BJ118</f>
        <v>2400</v>
      </c>
      <c r="W118" s="323">
        <f>BR118</f>
        <v>1200</v>
      </c>
      <c r="X118" s="323">
        <f>BH118+BI118</f>
        <v>3100</v>
      </c>
      <c r="Y118" s="323">
        <f>BK118+BL118+BN118</f>
        <v>4000</v>
      </c>
      <c r="Z118" s="323">
        <f>BM118</f>
        <v>1800</v>
      </c>
      <c r="AA118" s="323">
        <f>BO118+BQ118</f>
        <v>1500</v>
      </c>
      <c r="AB118" s="323">
        <f>BP118</f>
        <v>1300</v>
      </c>
      <c r="AC118" s="323">
        <f>BX118</f>
        <v>1900</v>
      </c>
      <c r="AD118" s="323">
        <f>BU118</f>
        <v>2900</v>
      </c>
      <c r="AE118" s="323">
        <f>BS118+BT118</f>
        <v>6100</v>
      </c>
      <c r="AF118" s="323">
        <f>CA118</f>
        <v>2300</v>
      </c>
      <c r="AG118" s="323">
        <f>BV118</f>
        <v>7100</v>
      </c>
      <c r="AH118" s="323">
        <f>BZ118</f>
        <v>3000</v>
      </c>
      <c r="AI118" s="323">
        <f>BW118</f>
        <v>1500</v>
      </c>
      <c r="AJ118" s="323">
        <f>BY118</f>
        <v>900</v>
      </c>
      <c r="AK118" s="323">
        <f>CB118</f>
        <v>2200</v>
      </c>
      <c r="AL118" s="323">
        <f>CE118</f>
        <v>1600</v>
      </c>
      <c r="AM118" s="323">
        <f>CH118</f>
        <v>3300</v>
      </c>
      <c r="AN118" s="323">
        <f>CJ118</f>
        <v>4700</v>
      </c>
      <c r="AO118" s="323">
        <f>CC118</f>
        <v>2600</v>
      </c>
      <c r="AP118" s="323">
        <f>CD118</f>
        <v>1100</v>
      </c>
      <c r="AQ118" s="323">
        <f>CK118</f>
        <v>2400</v>
      </c>
      <c r="AR118" s="323">
        <f>CI118</f>
        <v>3500</v>
      </c>
      <c r="AS118" s="323">
        <f>CF118+CG118</f>
        <v>3400</v>
      </c>
      <c r="AT118" s="324">
        <v>1700</v>
      </c>
      <c r="AU118" s="324">
        <v>1800</v>
      </c>
      <c r="AV118" s="324">
        <v>2500</v>
      </c>
      <c r="AW118" s="324">
        <v>1600</v>
      </c>
      <c r="AX118" s="324">
        <v>4600</v>
      </c>
      <c r="AY118" s="323">
        <v>3700</v>
      </c>
      <c r="AZ118" s="323">
        <v>700</v>
      </c>
      <c r="BA118" s="323">
        <v>4900</v>
      </c>
      <c r="BB118" s="323">
        <v>2400</v>
      </c>
      <c r="BC118" s="323">
        <v>3500</v>
      </c>
      <c r="BD118" s="323">
        <v>2700</v>
      </c>
      <c r="BE118" s="323">
        <v>1100</v>
      </c>
      <c r="BF118" s="323">
        <v>3500</v>
      </c>
      <c r="BG118" s="323">
        <v>600</v>
      </c>
      <c r="BH118" s="323">
        <v>500</v>
      </c>
      <c r="BI118" s="323">
        <v>2600</v>
      </c>
      <c r="BJ118" s="323">
        <v>1800</v>
      </c>
      <c r="BK118" s="323">
        <v>500</v>
      </c>
      <c r="BL118" s="323">
        <v>600</v>
      </c>
      <c r="BM118" s="323">
        <v>1800</v>
      </c>
      <c r="BN118" s="323">
        <v>2900</v>
      </c>
      <c r="BO118" s="323">
        <v>300</v>
      </c>
      <c r="BP118" s="323">
        <v>1300</v>
      </c>
      <c r="BQ118" s="323">
        <v>1200</v>
      </c>
      <c r="BR118" s="323">
        <v>1200</v>
      </c>
      <c r="BS118" s="323">
        <v>600</v>
      </c>
      <c r="BT118" s="323">
        <v>5500</v>
      </c>
      <c r="BU118" s="323">
        <v>2900</v>
      </c>
      <c r="BV118" s="323">
        <v>7100</v>
      </c>
      <c r="BW118" s="323">
        <v>1500</v>
      </c>
      <c r="BX118" s="323">
        <v>1900</v>
      </c>
      <c r="BY118" s="323">
        <v>900</v>
      </c>
      <c r="BZ118" s="323">
        <v>3000</v>
      </c>
      <c r="CA118" s="323">
        <v>2300</v>
      </c>
      <c r="CB118" s="323">
        <v>2200</v>
      </c>
      <c r="CC118" s="323">
        <v>2600</v>
      </c>
      <c r="CD118" s="323">
        <v>1100</v>
      </c>
      <c r="CE118" s="323">
        <v>1600</v>
      </c>
      <c r="CF118" s="323">
        <v>400</v>
      </c>
      <c r="CG118" s="323">
        <v>3000</v>
      </c>
      <c r="CH118" s="323">
        <v>3300</v>
      </c>
      <c r="CI118" s="323">
        <v>3500</v>
      </c>
      <c r="CJ118" s="323">
        <v>4700</v>
      </c>
      <c r="CK118" s="323">
        <v>2400</v>
      </c>
      <c r="CL118" s="323">
        <v>100300</v>
      </c>
    </row>
    <row r="119" spans="1:90" s="69" customFormat="1" ht="11.25">
      <c r="A119" s="327"/>
      <c r="B119" s="331" t="s">
        <v>276</v>
      </c>
      <c r="C119" s="325">
        <v>2009</v>
      </c>
      <c r="D119" s="329" t="s">
        <v>285</v>
      </c>
      <c r="E119" s="329"/>
      <c r="F119" s="323">
        <v>706</v>
      </c>
      <c r="G119" s="324">
        <v>364</v>
      </c>
      <c r="H119" s="324">
        <v>507</v>
      </c>
      <c r="I119" s="323">
        <v>423</v>
      </c>
      <c r="J119" s="324"/>
      <c r="K119" s="323">
        <f>BF119</f>
        <v>74</v>
      </c>
      <c r="L119" s="324">
        <f>AY119</f>
        <v>71</v>
      </c>
      <c r="M119" s="324">
        <f>BD119</f>
        <v>53</v>
      </c>
      <c r="N119" s="324">
        <f>AW119</f>
        <v>31</v>
      </c>
      <c r="O119" s="324">
        <f>BE119</f>
        <v>29</v>
      </c>
      <c r="P119" s="423">
        <f>AZ119+BA119</f>
        <v>95</v>
      </c>
      <c r="Q119" s="323"/>
      <c r="R119" s="423">
        <f>AT119+AX119</f>
        <v>124</v>
      </c>
      <c r="S119" s="324">
        <f>AV119</f>
        <v>53</v>
      </c>
      <c r="T119" s="324">
        <f>BB119</f>
        <v>56</v>
      </c>
      <c r="U119" s="323">
        <f>BC119</f>
        <v>84</v>
      </c>
      <c r="V119" s="423">
        <f>BG119+BJ119</f>
        <v>57</v>
      </c>
      <c r="W119" s="324">
        <f>BR119</f>
        <v>26</v>
      </c>
      <c r="X119" s="423">
        <f>BH119+BI119</f>
        <v>69</v>
      </c>
      <c r="Y119" s="423">
        <f>BK119+BL119+BN119</f>
        <v>101</v>
      </c>
      <c r="Z119" s="324">
        <f>BM119</f>
        <v>41</v>
      </c>
      <c r="AA119" s="423">
        <f>BO119+BQ119</f>
        <v>37</v>
      </c>
      <c r="AB119" s="323">
        <f>BP119</f>
        <v>33</v>
      </c>
      <c r="AC119" s="324">
        <f>BX119</f>
        <v>36</v>
      </c>
      <c r="AD119" s="324">
        <f>BU119</f>
        <v>43</v>
      </c>
      <c r="AE119" s="423">
        <f>BS119+BT119</f>
        <v>107</v>
      </c>
      <c r="AF119" s="324">
        <f>CA119</f>
        <v>44</v>
      </c>
      <c r="AG119" s="324">
        <f>BV119</f>
        <v>124</v>
      </c>
      <c r="AH119" s="324">
        <f>BZ119</f>
        <v>74</v>
      </c>
      <c r="AI119" s="324">
        <f>BW119</f>
        <v>30</v>
      </c>
      <c r="AJ119" s="324">
        <f>BY119</f>
        <v>19</v>
      </c>
      <c r="AK119" s="323">
        <f>CB119</f>
        <v>31</v>
      </c>
      <c r="AL119" s="324">
        <f>CE119</f>
        <v>32</v>
      </c>
      <c r="AM119" s="324">
        <f>CH119</f>
        <v>66</v>
      </c>
      <c r="AN119" s="324">
        <f>CJ119</f>
        <v>91</v>
      </c>
      <c r="AO119" s="324">
        <f>CC119</f>
        <v>46</v>
      </c>
      <c r="AP119" s="324">
        <f>CD119</f>
        <v>19</v>
      </c>
      <c r="AQ119" s="324">
        <f>CK119</f>
        <v>45</v>
      </c>
      <c r="AR119" s="324">
        <f>CI119</f>
        <v>64</v>
      </c>
      <c r="AS119" s="423">
        <f>CF119+CG119</f>
        <v>60</v>
      </c>
      <c r="AT119" s="324">
        <v>44</v>
      </c>
      <c r="AU119" s="324">
        <v>36</v>
      </c>
      <c r="AV119" s="324">
        <v>53</v>
      </c>
      <c r="AW119" s="324">
        <v>31</v>
      </c>
      <c r="AX119" s="324">
        <v>80</v>
      </c>
      <c r="AY119" s="324">
        <v>71</v>
      </c>
      <c r="AZ119" s="324">
        <v>14</v>
      </c>
      <c r="BA119" s="324">
        <v>81</v>
      </c>
      <c r="BB119" s="324">
        <v>56</v>
      </c>
      <c r="BC119" s="324">
        <v>84</v>
      </c>
      <c r="BD119" s="324">
        <v>53</v>
      </c>
      <c r="BE119" s="324">
        <v>29</v>
      </c>
      <c r="BF119" s="323">
        <v>74</v>
      </c>
      <c r="BG119" s="324">
        <v>16</v>
      </c>
      <c r="BH119" s="324">
        <v>14</v>
      </c>
      <c r="BI119" s="324">
        <v>55</v>
      </c>
      <c r="BJ119" s="324">
        <v>41</v>
      </c>
      <c r="BK119" s="324">
        <v>15</v>
      </c>
      <c r="BL119" s="324">
        <v>17</v>
      </c>
      <c r="BM119" s="324">
        <v>41</v>
      </c>
      <c r="BN119" s="324">
        <v>69</v>
      </c>
      <c r="BO119" s="324">
        <v>13</v>
      </c>
      <c r="BP119" s="324">
        <v>33</v>
      </c>
      <c r="BQ119" s="324">
        <v>24</v>
      </c>
      <c r="BR119" s="323">
        <v>26</v>
      </c>
      <c r="BS119" s="324">
        <v>16</v>
      </c>
      <c r="BT119" s="324">
        <v>91</v>
      </c>
      <c r="BU119" s="324">
        <v>43</v>
      </c>
      <c r="BV119" s="324">
        <v>124</v>
      </c>
      <c r="BW119" s="324">
        <v>30</v>
      </c>
      <c r="BX119" s="324">
        <v>36</v>
      </c>
      <c r="BY119" s="324">
        <v>19</v>
      </c>
      <c r="BZ119" s="324">
        <v>74</v>
      </c>
      <c r="CA119" s="324">
        <v>44</v>
      </c>
      <c r="CB119" s="323">
        <v>31</v>
      </c>
      <c r="CC119" s="324">
        <v>46</v>
      </c>
      <c r="CD119" s="324">
        <v>19</v>
      </c>
      <c r="CE119" s="324">
        <v>32</v>
      </c>
      <c r="CF119" s="324">
        <v>10</v>
      </c>
      <c r="CG119" s="324">
        <v>50</v>
      </c>
      <c r="CH119" s="324">
        <v>66</v>
      </c>
      <c r="CI119" s="324">
        <v>64</v>
      </c>
      <c r="CJ119" s="324">
        <v>91</v>
      </c>
      <c r="CK119" s="323">
        <v>45</v>
      </c>
      <c r="CL119" s="323">
        <v>2001</v>
      </c>
    </row>
    <row r="120" spans="1:90" s="69" customFormat="1" ht="11.25">
      <c r="B120" s="328" t="s">
        <v>55</v>
      </c>
      <c r="C120" s="322">
        <v>2010</v>
      </c>
      <c r="D120" s="69" t="s">
        <v>13</v>
      </c>
      <c r="E120" s="332">
        <v>40441</v>
      </c>
      <c r="F120" s="323">
        <v>586</v>
      </c>
      <c r="G120" s="323">
        <v>290</v>
      </c>
      <c r="H120" s="323">
        <v>242</v>
      </c>
      <c r="I120" s="323">
        <v>334</v>
      </c>
      <c r="J120" s="323"/>
      <c r="K120" s="323">
        <v>56</v>
      </c>
      <c r="L120" s="323">
        <v>61</v>
      </c>
      <c r="M120" s="323">
        <v>14</v>
      </c>
      <c r="N120" s="323">
        <v>36</v>
      </c>
      <c r="O120" s="323">
        <v>75</v>
      </c>
      <c r="P120" s="323">
        <v>66</v>
      </c>
      <c r="Q120" s="323">
        <v>41</v>
      </c>
      <c r="R120" s="323">
        <v>97</v>
      </c>
      <c r="S120" s="323">
        <v>53</v>
      </c>
      <c r="T120" s="323">
        <v>19</v>
      </c>
      <c r="U120" s="323">
        <v>71</v>
      </c>
      <c r="V120" s="323">
        <v>32</v>
      </c>
      <c r="W120" s="323">
        <v>41</v>
      </c>
      <c r="X120" s="323">
        <v>81</v>
      </c>
      <c r="Y120" s="323">
        <v>56</v>
      </c>
      <c r="Z120" s="323">
        <v>26</v>
      </c>
      <c r="AA120" s="323">
        <v>44</v>
      </c>
      <c r="AB120" s="323">
        <v>21</v>
      </c>
      <c r="AC120" s="323">
        <v>24</v>
      </c>
      <c r="AD120" s="323">
        <v>20</v>
      </c>
      <c r="AE120" s="323">
        <v>42</v>
      </c>
      <c r="AF120" s="323">
        <v>19</v>
      </c>
      <c r="AG120" s="323">
        <v>23</v>
      </c>
      <c r="AH120" s="323">
        <v>16</v>
      </c>
      <c r="AI120" s="323">
        <v>40</v>
      </c>
      <c r="AJ120" s="323">
        <v>39</v>
      </c>
      <c r="AK120" s="323">
        <v>25</v>
      </c>
      <c r="AL120" s="323">
        <v>18</v>
      </c>
      <c r="AM120" s="323">
        <v>34</v>
      </c>
      <c r="AN120" s="323">
        <v>53</v>
      </c>
      <c r="AO120" s="323">
        <v>95</v>
      </c>
      <c r="AP120" s="323">
        <v>21</v>
      </c>
      <c r="AQ120" s="323">
        <v>28</v>
      </c>
      <c r="AR120" s="323">
        <v>27</v>
      </c>
      <c r="AS120" s="323">
        <v>59</v>
      </c>
      <c r="AT120" s="323"/>
      <c r="AU120" s="323">
        <v>41</v>
      </c>
      <c r="AV120" s="323">
        <v>53</v>
      </c>
      <c r="AW120" s="323">
        <v>36</v>
      </c>
      <c r="AX120" s="323">
        <v>70</v>
      </c>
      <c r="AY120" s="323">
        <v>61</v>
      </c>
      <c r="AZ120" s="323">
        <v>15</v>
      </c>
      <c r="BA120" s="323">
        <v>51</v>
      </c>
      <c r="BB120" s="323">
        <v>19</v>
      </c>
      <c r="BC120" s="323">
        <v>71</v>
      </c>
      <c r="BD120" s="323">
        <v>14</v>
      </c>
      <c r="BE120" s="323">
        <v>75</v>
      </c>
      <c r="BF120" s="323">
        <v>56</v>
      </c>
      <c r="BG120" s="323">
        <v>5</v>
      </c>
      <c r="BH120" s="323">
        <v>19</v>
      </c>
      <c r="BI120" s="323">
        <v>62</v>
      </c>
      <c r="BJ120" s="323">
        <v>27</v>
      </c>
      <c r="BK120" s="323">
        <v>2</v>
      </c>
      <c r="BL120" s="323">
        <v>16</v>
      </c>
      <c r="BM120" s="323">
        <v>26</v>
      </c>
      <c r="BN120" s="323">
        <v>38</v>
      </c>
      <c r="BO120" s="323">
        <v>5</v>
      </c>
      <c r="BP120" s="323">
        <v>21</v>
      </c>
      <c r="BQ120" s="323">
        <v>39</v>
      </c>
      <c r="BR120" s="323">
        <v>41</v>
      </c>
      <c r="BS120" s="323">
        <v>8</v>
      </c>
      <c r="BT120" s="323">
        <v>34</v>
      </c>
      <c r="BU120" s="323">
        <v>20</v>
      </c>
      <c r="BV120" s="323">
        <v>23</v>
      </c>
      <c r="BW120" s="323">
        <v>40</v>
      </c>
      <c r="BX120" s="323">
        <v>24</v>
      </c>
      <c r="BY120" s="323">
        <v>39</v>
      </c>
      <c r="BZ120" s="323">
        <v>16</v>
      </c>
      <c r="CA120" s="323">
        <v>19</v>
      </c>
      <c r="CB120" s="323">
        <v>25</v>
      </c>
      <c r="CC120" s="323">
        <v>95</v>
      </c>
      <c r="CD120" s="323">
        <v>21</v>
      </c>
      <c r="CE120" s="323">
        <v>18</v>
      </c>
      <c r="CF120" s="323">
        <v>12</v>
      </c>
      <c r="CG120" s="323">
        <v>47</v>
      </c>
      <c r="CH120" s="323">
        <v>34</v>
      </c>
      <c r="CI120" s="323">
        <v>27</v>
      </c>
      <c r="CJ120" s="323">
        <v>53</v>
      </c>
      <c r="CK120" s="323">
        <v>28</v>
      </c>
      <c r="CL120" s="323">
        <v>1452</v>
      </c>
    </row>
    <row r="121" spans="1:90" s="69" customFormat="1" ht="11.25">
      <c r="B121" s="328"/>
      <c r="C121" s="322"/>
      <c r="D121" s="69" t="s">
        <v>1</v>
      </c>
      <c r="F121" s="323">
        <v>232107.36</v>
      </c>
      <c r="G121" s="323">
        <v>184654.69</v>
      </c>
      <c r="H121" s="323">
        <v>174810.37</v>
      </c>
      <c r="I121" s="323">
        <v>202711.95</v>
      </c>
      <c r="J121" s="323"/>
      <c r="K121" s="323">
        <v>18203.28</v>
      </c>
      <c r="L121" s="323">
        <v>29257.74</v>
      </c>
      <c r="M121" s="323">
        <v>26747.8</v>
      </c>
      <c r="N121" s="323">
        <v>15760.74</v>
      </c>
      <c r="O121" s="323">
        <v>7776.37</v>
      </c>
      <c r="P121" s="323">
        <v>14670.77</v>
      </c>
      <c r="Q121" s="323">
        <v>20995.78</v>
      </c>
      <c r="R121" s="323">
        <v>33590.68</v>
      </c>
      <c r="S121" s="323">
        <v>28171.93</v>
      </c>
      <c r="T121" s="323">
        <v>12926.83</v>
      </c>
      <c r="U121" s="323">
        <v>24005.43</v>
      </c>
      <c r="V121" s="323">
        <v>31773.06</v>
      </c>
      <c r="W121" s="323">
        <v>11941.64</v>
      </c>
      <c r="X121" s="323">
        <v>32421.03</v>
      </c>
      <c r="Y121" s="323">
        <v>49804.35</v>
      </c>
      <c r="Z121" s="323">
        <v>15546.89</v>
      </c>
      <c r="AA121" s="323">
        <v>18158.240000000002</v>
      </c>
      <c r="AB121" s="323">
        <v>25000.47</v>
      </c>
      <c r="AC121" s="323">
        <v>8787.24</v>
      </c>
      <c r="AD121" s="323">
        <v>10687.19</v>
      </c>
      <c r="AE121" s="323">
        <v>72340.58</v>
      </c>
      <c r="AF121" s="323">
        <v>5894.01</v>
      </c>
      <c r="AG121" s="323">
        <v>14323.86</v>
      </c>
      <c r="AH121" s="323">
        <v>20871.22</v>
      </c>
      <c r="AI121" s="323">
        <v>6983.96</v>
      </c>
      <c r="AJ121" s="323">
        <v>7057.98</v>
      </c>
      <c r="AK121" s="323">
        <v>27864.33</v>
      </c>
      <c r="AL121" s="323">
        <v>31057.48</v>
      </c>
      <c r="AM121" s="323">
        <v>29330.19</v>
      </c>
      <c r="AN121" s="323">
        <v>29782.37</v>
      </c>
      <c r="AO121" s="323">
        <v>24341.94</v>
      </c>
      <c r="AP121" s="323">
        <v>20088.61</v>
      </c>
      <c r="AQ121" s="323">
        <v>10922.03</v>
      </c>
      <c r="AR121" s="323">
        <v>9362.69</v>
      </c>
      <c r="AS121" s="323">
        <v>47826.65</v>
      </c>
      <c r="AT121" s="323"/>
      <c r="AU121" s="323">
        <v>20995.78</v>
      </c>
      <c r="AV121" s="323">
        <v>28171.93</v>
      </c>
      <c r="AW121" s="323">
        <v>15760.74</v>
      </c>
      <c r="AX121" s="323">
        <v>26900.82</v>
      </c>
      <c r="AY121" s="323">
        <v>29257.74</v>
      </c>
      <c r="AZ121" s="323">
        <v>2301.91</v>
      </c>
      <c r="BA121" s="323">
        <v>12368.86</v>
      </c>
      <c r="BB121" s="323">
        <v>12926.83</v>
      </c>
      <c r="BC121" s="323">
        <v>24005.43</v>
      </c>
      <c r="BD121" s="323">
        <v>26747.8</v>
      </c>
      <c r="BE121" s="323">
        <v>7776.37</v>
      </c>
      <c r="BF121" s="323">
        <v>18203.28</v>
      </c>
      <c r="BG121" s="323">
        <v>8855.68</v>
      </c>
      <c r="BH121" s="323">
        <v>5712.45</v>
      </c>
      <c r="BI121" s="323">
        <v>26708.58</v>
      </c>
      <c r="BJ121" s="323">
        <v>22917.38</v>
      </c>
      <c r="BK121" s="323">
        <v>4996</v>
      </c>
      <c r="BL121" s="323">
        <v>4092.46</v>
      </c>
      <c r="BM121" s="323">
        <v>15546.89</v>
      </c>
      <c r="BN121" s="323">
        <v>40715.89</v>
      </c>
      <c r="BO121" s="323">
        <v>5897.54</v>
      </c>
      <c r="BP121" s="323">
        <v>25000.47</v>
      </c>
      <c r="BQ121" s="323">
        <v>12260.7</v>
      </c>
      <c r="BR121" s="323">
        <v>11941.64</v>
      </c>
      <c r="BS121" s="323">
        <v>6992.51</v>
      </c>
      <c r="BT121" s="323">
        <v>65348.07</v>
      </c>
      <c r="BU121" s="323">
        <v>10687.19</v>
      </c>
      <c r="BV121" s="323">
        <v>14323.86</v>
      </c>
      <c r="BW121" s="323">
        <v>6983.96</v>
      </c>
      <c r="BX121" s="323">
        <v>8787.24</v>
      </c>
      <c r="BY121" s="323">
        <v>7057.98</v>
      </c>
      <c r="BZ121" s="323">
        <v>20871.22</v>
      </c>
      <c r="CA121" s="323">
        <v>5894.01</v>
      </c>
      <c r="CB121" s="323">
        <v>27864.33</v>
      </c>
      <c r="CC121" s="323">
        <v>24341.94</v>
      </c>
      <c r="CD121" s="323">
        <v>20088.61</v>
      </c>
      <c r="CE121" s="323">
        <v>31057.48</v>
      </c>
      <c r="CF121" s="323">
        <v>3508.14</v>
      </c>
      <c r="CG121" s="323">
        <v>44318.51</v>
      </c>
      <c r="CH121" s="323">
        <v>29330.19</v>
      </c>
      <c r="CI121" s="323">
        <v>9362.69</v>
      </c>
      <c r="CJ121" s="323">
        <v>29782.37</v>
      </c>
      <c r="CK121" s="323">
        <v>10922.03</v>
      </c>
      <c r="CL121" s="323">
        <v>813936.7</v>
      </c>
    </row>
    <row r="122" spans="1:90" s="69" customFormat="1" ht="11.25">
      <c r="B122" s="328" t="s">
        <v>197</v>
      </c>
      <c r="C122" s="322">
        <v>2010</v>
      </c>
      <c r="D122" s="69" t="s">
        <v>13</v>
      </c>
      <c r="E122" s="332">
        <v>40441</v>
      </c>
      <c r="F122" s="323">
        <v>4143</v>
      </c>
      <c r="G122" s="323">
        <v>308</v>
      </c>
      <c r="H122" s="323">
        <v>509</v>
      </c>
      <c r="I122" s="323">
        <v>1271</v>
      </c>
      <c r="J122" s="323"/>
      <c r="K122" s="323">
        <v>398</v>
      </c>
      <c r="L122" s="323">
        <v>596</v>
      </c>
      <c r="M122" s="323">
        <v>282</v>
      </c>
      <c r="N122" s="323">
        <v>246</v>
      </c>
      <c r="O122" s="323">
        <v>239</v>
      </c>
      <c r="P122" s="323">
        <v>184</v>
      </c>
      <c r="Q122" s="323">
        <v>396</v>
      </c>
      <c r="R122" s="323">
        <v>538</v>
      </c>
      <c r="S122" s="323">
        <v>404</v>
      </c>
      <c r="T122" s="323">
        <v>132</v>
      </c>
      <c r="U122" s="323">
        <v>732</v>
      </c>
      <c r="V122" s="323">
        <v>40</v>
      </c>
      <c r="W122" s="323">
        <v>16</v>
      </c>
      <c r="X122" s="323">
        <v>155</v>
      </c>
      <c r="Y122" s="323">
        <v>61</v>
      </c>
      <c r="Z122" s="323">
        <v>23</v>
      </c>
      <c r="AA122" s="323">
        <v>16</v>
      </c>
      <c r="AB122" s="323" t="s">
        <v>58</v>
      </c>
      <c r="AC122" s="323">
        <v>48</v>
      </c>
      <c r="AD122" s="323">
        <v>21</v>
      </c>
      <c r="AE122" s="323">
        <v>55</v>
      </c>
      <c r="AF122" s="323">
        <v>38</v>
      </c>
      <c r="AG122" s="323">
        <v>98</v>
      </c>
      <c r="AH122" s="323">
        <v>68</v>
      </c>
      <c r="AI122" s="323">
        <v>21</v>
      </c>
      <c r="AJ122" s="323">
        <v>81</v>
      </c>
      <c r="AK122" s="323">
        <v>79</v>
      </c>
      <c r="AL122" s="323">
        <v>29</v>
      </c>
      <c r="AM122" s="323">
        <v>7</v>
      </c>
      <c r="AN122" s="323">
        <v>493</v>
      </c>
      <c r="AO122" s="323">
        <v>203</v>
      </c>
      <c r="AP122" s="323">
        <v>17</v>
      </c>
      <c r="AQ122" s="323">
        <v>124</v>
      </c>
      <c r="AR122" s="323">
        <v>28</v>
      </c>
      <c r="AS122" s="323">
        <v>371</v>
      </c>
      <c r="AT122" s="323"/>
      <c r="AU122" s="323">
        <v>396</v>
      </c>
      <c r="AV122" s="323">
        <v>404</v>
      </c>
      <c r="AW122" s="323">
        <v>246</v>
      </c>
      <c r="AX122" s="323">
        <v>526</v>
      </c>
      <c r="AY122" s="323">
        <v>596</v>
      </c>
      <c r="AZ122" s="323">
        <v>8</v>
      </c>
      <c r="BA122" s="323">
        <v>176</v>
      </c>
      <c r="BB122" s="323">
        <v>132</v>
      </c>
      <c r="BC122" s="323">
        <v>732</v>
      </c>
      <c r="BD122" s="323">
        <v>282</v>
      </c>
      <c r="BE122" s="323">
        <v>239</v>
      </c>
      <c r="BF122" s="323">
        <v>398</v>
      </c>
      <c r="BG122" s="323">
        <v>9</v>
      </c>
      <c r="BH122" s="323">
        <v>3</v>
      </c>
      <c r="BI122" s="323">
        <v>152</v>
      </c>
      <c r="BJ122" s="323">
        <v>31</v>
      </c>
      <c r="BK122" s="323">
        <v>9</v>
      </c>
      <c r="BL122" s="323">
        <v>2</v>
      </c>
      <c r="BM122" s="323">
        <v>23</v>
      </c>
      <c r="BN122" s="323">
        <v>50</v>
      </c>
      <c r="BO122" s="323">
        <v>1</v>
      </c>
      <c r="BP122" s="323" t="s">
        <v>58</v>
      </c>
      <c r="BQ122" s="323">
        <v>15</v>
      </c>
      <c r="BR122" s="323">
        <v>16</v>
      </c>
      <c r="BS122" s="323">
        <v>7</v>
      </c>
      <c r="BT122" s="323">
        <v>48</v>
      </c>
      <c r="BU122" s="323">
        <v>21</v>
      </c>
      <c r="BV122" s="323">
        <v>98</v>
      </c>
      <c r="BW122" s="323">
        <v>21</v>
      </c>
      <c r="BX122" s="323">
        <v>48</v>
      </c>
      <c r="BY122" s="323">
        <v>81</v>
      </c>
      <c r="BZ122" s="323">
        <v>68</v>
      </c>
      <c r="CA122" s="323">
        <v>38</v>
      </c>
      <c r="CB122" s="323">
        <v>79</v>
      </c>
      <c r="CC122" s="323">
        <v>203</v>
      </c>
      <c r="CD122" s="323">
        <v>17</v>
      </c>
      <c r="CE122" s="323">
        <v>29</v>
      </c>
      <c r="CF122" s="323">
        <v>9</v>
      </c>
      <c r="CG122" s="323">
        <v>362</v>
      </c>
      <c r="CH122" s="323">
        <v>7</v>
      </c>
      <c r="CI122" s="323">
        <v>28</v>
      </c>
      <c r="CJ122" s="323">
        <v>493</v>
      </c>
      <c r="CK122" s="323">
        <v>124</v>
      </c>
      <c r="CL122" s="323">
        <v>6231</v>
      </c>
    </row>
    <row r="123" spans="1:90" s="69" customFormat="1" ht="11.25">
      <c r="B123" s="328"/>
      <c r="C123" s="322"/>
      <c r="D123" s="69" t="s">
        <v>1</v>
      </c>
      <c r="F123" s="323">
        <v>4170.09</v>
      </c>
      <c r="G123" s="323">
        <v>541.74</v>
      </c>
      <c r="H123" s="323">
        <v>587.17999999999995</v>
      </c>
      <c r="I123" s="323">
        <v>1151.67</v>
      </c>
      <c r="J123" s="323"/>
      <c r="K123" s="323">
        <v>359.48</v>
      </c>
      <c r="L123" s="323">
        <v>528.95000000000005</v>
      </c>
      <c r="M123" s="323">
        <v>290.68</v>
      </c>
      <c r="N123" s="323">
        <v>310.51</v>
      </c>
      <c r="O123" s="323">
        <v>119.56</v>
      </c>
      <c r="P123" s="323">
        <v>180.21</v>
      </c>
      <c r="Q123" s="323">
        <v>604.95000000000005</v>
      </c>
      <c r="R123" s="323">
        <v>582.64</v>
      </c>
      <c r="S123" s="323">
        <v>556.91</v>
      </c>
      <c r="T123" s="323">
        <v>74.989999999999995</v>
      </c>
      <c r="U123" s="323">
        <v>561.22</v>
      </c>
      <c r="V123" s="323">
        <v>79.45</v>
      </c>
      <c r="W123" s="323">
        <v>39.14</v>
      </c>
      <c r="X123" s="323">
        <v>280.74</v>
      </c>
      <c r="Y123" s="323">
        <v>77.97</v>
      </c>
      <c r="Z123" s="323">
        <v>54.51</v>
      </c>
      <c r="AA123" s="323">
        <v>9.93</v>
      </c>
      <c r="AB123" s="323" t="s">
        <v>58</v>
      </c>
      <c r="AC123" s="323">
        <v>65.58</v>
      </c>
      <c r="AD123" s="323">
        <v>29.81</v>
      </c>
      <c r="AE123" s="323">
        <v>68.790000000000006</v>
      </c>
      <c r="AF123" s="323">
        <v>36.619999999999997</v>
      </c>
      <c r="AG123" s="323">
        <v>45.79</v>
      </c>
      <c r="AH123" s="323">
        <v>151.69</v>
      </c>
      <c r="AI123" s="323">
        <v>42.2</v>
      </c>
      <c r="AJ123" s="323">
        <v>77.03</v>
      </c>
      <c r="AK123" s="323">
        <v>69.67</v>
      </c>
      <c r="AL123" s="323">
        <v>65.63</v>
      </c>
      <c r="AM123" s="323">
        <v>10.07</v>
      </c>
      <c r="AN123" s="323">
        <v>440.02</v>
      </c>
      <c r="AO123" s="323">
        <v>198.6</v>
      </c>
      <c r="AP123" s="323">
        <v>28.92</v>
      </c>
      <c r="AQ123" s="323">
        <v>42.68</v>
      </c>
      <c r="AR123" s="323">
        <v>40.46</v>
      </c>
      <c r="AS123" s="323">
        <v>325.3</v>
      </c>
      <c r="AT123" s="323"/>
      <c r="AU123" s="323">
        <v>604.95000000000005</v>
      </c>
      <c r="AV123" s="323">
        <v>556.91</v>
      </c>
      <c r="AW123" s="323">
        <v>310.51</v>
      </c>
      <c r="AX123" s="323">
        <v>578.1</v>
      </c>
      <c r="AY123" s="323">
        <v>528.95000000000005</v>
      </c>
      <c r="AZ123" s="323">
        <v>11.52</v>
      </c>
      <c r="BA123" s="323">
        <v>168.69</v>
      </c>
      <c r="BB123" s="323">
        <v>74.989999999999995</v>
      </c>
      <c r="BC123" s="323">
        <v>561.22</v>
      </c>
      <c r="BD123" s="323">
        <v>290.68</v>
      </c>
      <c r="BE123" s="323">
        <v>119.56</v>
      </c>
      <c r="BF123" s="323">
        <v>359.48</v>
      </c>
      <c r="BG123" s="323">
        <v>19.5</v>
      </c>
      <c r="BH123" s="323">
        <v>3.6</v>
      </c>
      <c r="BI123" s="323">
        <v>277.14</v>
      </c>
      <c r="BJ123" s="323">
        <v>59.95</v>
      </c>
      <c r="BK123" s="323">
        <v>16.16</v>
      </c>
      <c r="BL123" s="323">
        <v>1.1599999999999999</v>
      </c>
      <c r="BM123" s="323">
        <v>54.51</v>
      </c>
      <c r="BN123" s="323">
        <v>60.65</v>
      </c>
      <c r="BO123" s="323">
        <v>3.9</v>
      </c>
      <c r="BP123" s="323" t="s">
        <v>58</v>
      </c>
      <c r="BQ123" s="323">
        <v>6.03</v>
      </c>
      <c r="BR123" s="323">
        <v>39.14</v>
      </c>
      <c r="BS123" s="323">
        <v>6.83</v>
      </c>
      <c r="BT123" s="323">
        <v>61.96</v>
      </c>
      <c r="BU123" s="323">
        <v>29.81</v>
      </c>
      <c r="BV123" s="323">
        <v>45.79</v>
      </c>
      <c r="BW123" s="323">
        <v>42.2</v>
      </c>
      <c r="BX123" s="323">
        <v>65.58</v>
      </c>
      <c r="BY123" s="323">
        <v>77.03</v>
      </c>
      <c r="BZ123" s="323">
        <v>151.69</v>
      </c>
      <c r="CA123" s="323">
        <v>36.619999999999997</v>
      </c>
      <c r="CB123" s="323">
        <v>69.67</v>
      </c>
      <c r="CC123" s="323">
        <v>198.6</v>
      </c>
      <c r="CD123" s="323">
        <v>28.92</v>
      </c>
      <c r="CE123" s="323">
        <v>65.63</v>
      </c>
      <c r="CF123" s="323">
        <v>19.27</v>
      </c>
      <c r="CG123" s="323">
        <v>306.02999999999997</v>
      </c>
      <c r="CH123" s="323">
        <v>10.07</v>
      </c>
      <c r="CI123" s="323">
        <v>40.46</v>
      </c>
      <c r="CJ123" s="323">
        <v>440.02</v>
      </c>
      <c r="CK123" s="323">
        <v>42.68</v>
      </c>
      <c r="CL123" s="323">
        <v>6476.71</v>
      </c>
    </row>
    <row r="124" spans="1:90" s="69" customFormat="1" ht="11.25">
      <c r="B124" s="328" t="s">
        <v>235</v>
      </c>
      <c r="C124" s="322">
        <v>2009</v>
      </c>
      <c r="D124" s="69" t="s">
        <v>13</v>
      </c>
      <c r="E124" s="332">
        <v>40697</v>
      </c>
      <c r="F124" s="323">
        <v>3266</v>
      </c>
      <c r="G124" s="323">
        <v>720</v>
      </c>
      <c r="H124" s="323">
        <v>2894</v>
      </c>
      <c r="I124" s="323">
        <v>4423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v>15</v>
      </c>
      <c r="AU124" s="323">
        <v>90</v>
      </c>
      <c r="AV124" s="323">
        <v>98</v>
      </c>
      <c r="AW124" s="323">
        <v>314</v>
      </c>
      <c r="AX124" s="323">
        <v>147</v>
      </c>
      <c r="AY124" s="323">
        <v>256</v>
      </c>
      <c r="AZ124" s="323">
        <v>4</v>
      </c>
      <c r="BA124" s="323">
        <v>130</v>
      </c>
      <c r="BB124" s="323">
        <v>232</v>
      </c>
      <c r="BC124" s="323">
        <v>722</v>
      </c>
      <c r="BD124" s="323">
        <v>265</v>
      </c>
      <c r="BE124" s="323">
        <v>213</v>
      </c>
      <c r="BF124" s="323">
        <v>780</v>
      </c>
      <c r="BG124" s="323" t="s">
        <v>58</v>
      </c>
      <c r="BH124" s="323">
        <v>2</v>
      </c>
      <c r="BI124" s="323">
        <v>34</v>
      </c>
      <c r="BJ124" s="323">
        <v>23</v>
      </c>
      <c r="BK124" s="323">
        <v>7</v>
      </c>
      <c r="BL124" s="323">
        <v>2</v>
      </c>
      <c r="BM124" s="323">
        <v>214</v>
      </c>
      <c r="BN124" s="323">
        <v>100</v>
      </c>
      <c r="BO124" s="323">
        <v>2</v>
      </c>
      <c r="BP124" s="323">
        <v>126</v>
      </c>
      <c r="BQ124" s="323">
        <v>70</v>
      </c>
      <c r="BR124" s="323">
        <v>140</v>
      </c>
      <c r="BS124" s="323">
        <v>5</v>
      </c>
      <c r="BT124" s="323">
        <v>473</v>
      </c>
      <c r="BU124" s="323">
        <v>200</v>
      </c>
      <c r="BV124" s="323">
        <v>523</v>
      </c>
      <c r="BW124" s="323">
        <v>236</v>
      </c>
      <c r="BX124" s="323">
        <v>481</v>
      </c>
      <c r="BY124" s="323">
        <v>136</v>
      </c>
      <c r="BZ124" s="323">
        <v>249</v>
      </c>
      <c r="CA124" s="323">
        <v>201</v>
      </c>
      <c r="CB124" s="323">
        <v>390</v>
      </c>
      <c r="CC124" s="323">
        <v>265</v>
      </c>
      <c r="CD124" s="323">
        <v>43</v>
      </c>
      <c r="CE124" s="323">
        <v>80</v>
      </c>
      <c r="CF124" s="323">
        <v>21</v>
      </c>
      <c r="CG124" s="323">
        <v>580</v>
      </c>
      <c r="CH124" s="323">
        <v>928</v>
      </c>
      <c r="CI124" s="323">
        <v>357</v>
      </c>
      <c r="CJ124" s="323">
        <v>1743</v>
      </c>
      <c r="CK124" s="323">
        <v>406</v>
      </c>
      <c r="CL124" s="323">
        <v>11303</v>
      </c>
    </row>
    <row r="125" spans="1:90" s="69" customFormat="1" ht="11.25">
      <c r="B125" s="328" t="s">
        <v>236</v>
      </c>
      <c r="C125" s="322">
        <v>2010</v>
      </c>
      <c r="D125" s="69" t="s">
        <v>13</v>
      </c>
      <c r="E125" s="332">
        <v>40652</v>
      </c>
      <c r="F125" s="323">
        <v>3007</v>
      </c>
      <c r="G125" s="323">
        <v>672</v>
      </c>
      <c r="H125" s="323">
        <v>1964</v>
      </c>
      <c r="I125" s="323">
        <v>2366</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85</v>
      </c>
      <c r="AV125" s="323">
        <v>62</v>
      </c>
      <c r="AW125" s="323">
        <v>122</v>
      </c>
      <c r="AX125" s="323">
        <v>133</v>
      </c>
      <c r="AY125" s="323">
        <v>134</v>
      </c>
      <c r="AZ125" s="323" t="s">
        <v>233</v>
      </c>
      <c r="BA125" s="323">
        <v>133</v>
      </c>
      <c r="BB125" s="323">
        <v>359</v>
      </c>
      <c r="BC125" s="323">
        <v>917</v>
      </c>
      <c r="BD125" s="323">
        <v>430</v>
      </c>
      <c r="BE125" s="323">
        <v>169</v>
      </c>
      <c r="BF125" s="323">
        <v>459</v>
      </c>
      <c r="BG125" s="323" t="s">
        <v>233</v>
      </c>
      <c r="BH125" s="323">
        <v>8</v>
      </c>
      <c r="BI125" s="323">
        <v>56</v>
      </c>
      <c r="BJ125" s="323">
        <v>43</v>
      </c>
      <c r="BK125" s="323">
        <v>9</v>
      </c>
      <c r="BL125" s="323" t="s">
        <v>233</v>
      </c>
      <c r="BM125" s="323">
        <v>182</v>
      </c>
      <c r="BN125" s="323">
        <v>110</v>
      </c>
      <c r="BO125" s="323">
        <v>3</v>
      </c>
      <c r="BP125" s="323">
        <v>91</v>
      </c>
      <c r="BQ125" s="323">
        <v>58</v>
      </c>
      <c r="BR125" s="323">
        <v>106</v>
      </c>
      <c r="BS125" s="323">
        <v>13</v>
      </c>
      <c r="BT125" s="323">
        <v>280</v>
      </c>
      <c r="BU125" s="323">
        <v>180</v>
      </c>
      <c r="BV125" s="323">
        <v>497</v>
      </c>
      <c r="BW125" s="323">
        <v>223</v>
      </c>
      <c r="BX125" s="323">
        <v>247</v>
      </c>
      <c r="BY125" s="323">
        <v>95</v>
      </c>
      <c r="BZ125" s="323">
        <v>119</v>
      </c>
      <c r="CA125" s="323">
        <v>96</v>
      </c>
      <c r="CB125" s="323">
        <v>214</v>
      </c>
      <c r="CC125" s="323">
        <v>220</v>
      </c>
      <c r="CD125" s="323">
        <v>65</v>
      </c>
      <c r="CE125" s="323">
        <v>83</v>
      </c>
      <c r="CF125" s="323">
        <v>30</v>
      </c>
      <c r="CG125" s="323">
        <v>731</v>
      </c>
      <c r="CH125" s="323">
        <v>500</v>
      </c>
      <c r="CI125" s="323">
        <v>119</v>
      </c>
      <c r="CJ125" s="323">
        <v>237</v>
      </c>
      <c r="CK125" s="323">
        <v>381</v>
      </c>
      <c r="CL125" s="323">
        <v>8009</v>
      </c>
    </row>
    <row r="126" spans="1:90" s="69" customFormat="1" ht="11.25">
      <c r="B126" s="328" t="s">
        <v>237</v>
      </c>
      <c r="C126" s="322">
        <v>2010</v>
      </c>
      <c r="D126" s="69" t="s">
        <v>13</v>
      </c>
      <c r="E126" s="332">
        <v>40652</v>
      </c>
      <c r="F126" s="323">
        <v>523578</v>
      </c>
      <c r="G126" s="323">
        <v>68098</v>
      </c>
      <c r="H126" s="323">
        <v>94291</v>
      </c>
      <c r="I126" s="323">
        <v>399368</v>
      </c>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v>12206</v>
      </c>
      <c r="AV126" s="323">
        <v>4039</v>
      </c>
      <c r="AW126" s="323">
        <v>15543</v>
      </c>
      <c r="AX126" s="323">
        <v>28660</v>
      </c>
      <c r="AY126" s="323">
        <v>9818</v>
      </c>
      <c r="AZ126" s="323" t="s">
        <v>233</v>
      </c>
      <c r="BA126" s="323">
        <v>23545</v>
      </c>
      <c r="BB126" s="323">
        <v>77858</v>
      </c>
      <c r="BC126" s="323">
        <v>208234</v>
      </c>
      <c r="BD126" s="323">
        <v>59852</v>
      </c>
      <c r="BE126" s="323">
        <v>31522</v>
      </c>
      <c r="BF126" s="323">
        <v>51804</v>
      </c>
      <c r="BG126" s="323" t="s">
        <v>233</v>
      </c>
      <c r="BH126" s="323">
        <v>793</v>
      </c>
      <c r="BI126" s="323">
        <v>5110</v>
      </c>
      <c r="BJ126" s="323">
        <v>3874</v>
      </c>
      <c r="BK126" s="323">
        <v>567</v>
      </c>
      <c r="BL126" s="323">
        <v>64</v>
      </c>
      <c r="BM126" s="323">
        <v>26778</v>
      </c>
      <c r="BN126" s="323">
        <v>14479</v>
      </c>
      <c r="BO126" s="323" t="s">
        <v>233</v>
      </c>
      <c r="BP126" s="323">
        <v>4065</v>
      </c>
      <c r="BQ126" s="323">
        <v>4983</v>
      </c>
      <c r="BR126" s="323">
        <v>7368</v>
      </c>
      <c r="BS126" s="323">
        <v>223</v>
      </c>
      <c r="BT126" s="323">
        <v>6205</v>
      </c>
      <c r="BU126" s="323">
        <v>4070</v>
      </c>
      <c r="BV126" s="323">
        <v>15514</v>
      </c>
      <c r="BW126" s="323">
        <v>26001</v>
      </c>
      <c r="BX126" s="323">
        <v>13716</v>
      </c>
      <c r="BY126" s="323">
        <v>6568</v>
      </c>
      <c r="BZ126" s="323">
        <v>12062</v>
      </c>
      <c r="CA126" s="323">
        <v>2689</v>
      </c>
      <c r="CB126" s="323">
        <v>7243</v>
      </c>
      <c r="CC126" s="323">
        <v>15086</v>
      </c>
      <c r="CD126" s="323">
        <v>10014</v>
      </c>
      <c r="CE126" s="323">
        <v>6150</v>
      </c>
      <c r="CF126" s="323">
        <v>12842</v>
      </c>
      <c r="CG126" s="323">
        <v>157728</v>
      </c>
      <c r="CH126" s="323">
        <v>98860</v>
      </c>
      <c r="CI126" s="323">
        <v>13491</v>
      </c>
      <c r="CJ126" s="323">
        <v>27942</v>
      </c>
      <c r="CK126" s="323">
        <v>57255</v>
      </c>
      <c r="CL126" s="323">
        <v>1085335</v>
      </c>
    </row>
    <row r="128" spans="1:90">
      <c r="B128" s="58" t="s">
        <v>234</v>
      </c>
      <c r="D128" t="s">
        <v>7</v>
      </c>
      <c r="E128" s="68">
        <v>40648</v>
      </c>
      <c r="F128" s="126">
        <v>17566</v>
      </c>
      <c r="G128" s="126">
        <v>8182</v>
      </c>
      <c r="H128" s="126">
        <v>24075</v>
      </c>
      <c r="I128" s="126">
        <v>15069</v>
      </c>
      <c r="K128" s="126">
        <v>4367</v>
      </c>
      <c r="L128" s="126">
        <v>1890</v>
      </c>
      <c r="M128" s="126">
        <v>769</v>
      </c>
      <c r="N128" s="126">
        <v>1949</v>
      </c>
      <c r="O128" s="126">
        <v>997</v>
      </c>
      <c r="P128" s="126">
        <v>718</v>
      </c>
      <c r="Q128" s="126">
        <v>655</v>
      </c>
      <c r="R128" s="126">
        <v>316</v>
      </c>
      <c r="S128" s="126">
        <v>855</v>
      </c>
      <c r="T128" s="126">
        <v>1306</v>
      </c>
      <c r="U128" s="126">
        <v>3699</v>
      </c>
      <c r="V128" s="126">
        <v>767</v>
      </c>
      <c r="W128" s="126">
        <v>1333</v>
      </c>
      <c r="X128" s="126">
        <v>902</v>
      </c>
      <c r="Y128" s="126">
        <v>1133</v>
      </c>
      <c r="Z128" s="126">
        <v>1488</v>
      </c>
      <c r="AA128" s="126">
        <v>1041</v>
      </c>
      <c r="AB128" s="126">
        <v>1336</v>
      </c>
      <c r="AC128" s="126">
        <v>2226</v>
      </c>
      <c r="AD128" s="126">
        <v>2275</v>
      </c>
      <c r="AE128" s="126">
        <v>3522</v>
      </c>
      <c r="AF128" s="126">
        <v>2881</v>
      </c>
      <c r="AG128" s="126">
        <v>4257</v>
      </c>
      <c r="AH128" s="126">
        <v>1365</v>
      </c>
      <c r="AI128" s="126">
        <v>2058</v>
      </c>
      <c r="AJ128" s="126">
        <v>1554</v>
      </c>
      <c r="AK128" s="126">
        <v>3937</v>
      </c>
      <c r="AL128" s="126">
        <v>1953</v>
      </c>
      <c r="AM128" s="126">
        <v>2534</v>
      </c>
      <c r="AN128" s="126">
        <v>3037</v>
      </c>
      <c r="AO128" s="126">
        <v>1451</v>
      </c>
      <c r="AP128" s="126">
        <v>639</v>
      </c>
      <c r="AQ128" s="126">
        <v>2388</v>
      </c>
      <c r="AR128" s="126">
        <v>1015</v>
      </c>
      <c r="AS128" s="126">
        <v>2016</v>
      </c>
      <c r="AT128" s="126">
        <v>29</v>
      </c>
      <c r="AU128" s="126">
        <v>655</v>
      </c>
      <c r="AV128" s="126">
        <v>855</v>
      </c>
      <c r="AW128" s="126">
        <v>1949</v>
      </c>
      <c r="AX128" s="126">
        <v>316</v>
      </c>
      <c r="AY128" s="126">
        <v>1890</v>
      </c>
      <c r="AZ128" s="126">
        <v>16</v>
      </c>
      <c r="BA128" s="126">
        <v>718</v>
      </c>
      <c r="BB128" s="126">
        <v>1306</v>
      </c>
      <c r="BC128" s="126">
        <v>3699</v>
      </c>
      <c r="BD128" s="126">
        <v>769</v>
      </c>
      <c r="BE128" s="126">
        <v>997</v>
      </c>
      <c r="BF128" s="126">
        <v>4367</v>
      </c>
      <c r="BG128" s="126">
        <v>73</v>
      </c>
      <c r="BH128" s="126">
        <v>39</v>
      </c>
      <c r="BI128" s="126">
        <v>902</v>
      </c>
      <c r="BJ128" s="126">
        <v>694</v>
      </c>
      <c r="BK128" s="126">
        <v>112</v>
      </c>
      <c r="BL128" s="126">
        <v>25</v>
      </c>
      <c r="BM128" s="126">
        <v>1488</v>
      </c>
      <c r="BN128" s="126">
        <v>1108</v>
      </c>
      <c r="BO128" s="126">
        <v>31</v>
      </c>
      <c r="BP128" s="126">
        <v>1336</v>
      </c>
      <c r="BQ128" s="126">
        <v>1041</v>
      </c>
      <c r="BR128" s="126">
        <v>1333</v>
      </c>
      <c r="BS128" s="126">
        <v>124</v>
      </c>
      <c r="BT128" s="126">
        <v>3398</v>
      </c>
      <c r="BU128" s="126">
        <v>2275</v>
      </c>
      <c r="BV128" s="126">
        <v>4257</v>
      </c>
      <c r="BW128" s="126">
        <v>2058</v>
      </c>
      <c r="BX128" s="126">
        <v>2226</v>
      </c>
      <c r="BY128" s="126">
        <v>1554</v>
      </c>
      <c r="BZ128" s="126">
        <v>1365</v>
      </c>
      <c r="CA128" s="126">
        <v>2881</v>
      </c>
      <c r="CB128" s="126">
        <v>3937</v>
      </c>
      <c r="CC128" s="126">
        <v>1451</v>
      </c>
      <c r="CD128" s="126">
        <v>639</v>
      </c>
      <c r="CE128" s="126">
        <v>1953</v>
      </c>
      <c r="CF128" s="126">
        <v>36</v>
      </c>
      <c r="CG128" s="126">
        <v>2016</v>
      </c>
      <c r="CH128" s="126">
        <v>2534</v>
      </c>
      <c r="CI128" s="126">
        <v>1015</v>
      </c>
      <c r="CJ128" s="126">
        <v>3037</v>
      </c>
      <c r="CK128" s="126">
        <v>2388</v>
      </c>
      <c r="CL128" s="126">
        <v>64892</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9" min="1" max="8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CM128"/>
  <sheetViews>
    <sheetView zoomScaleNormal="100" workbookViewId="0">
      <pane xSplit="5" ySplit="4" topLeftCell="T26"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68" customWidth="1"/>
    <col min="6" max="89" width="11.42578125" style="126" customWidth="1"/>
    <col min="90" max="90" width="17.85546875" style="126" bestFit="1" customWidth="1"/>
  </cols>
  <sheetData>
    <row r="1" spans="1:91" ht="13.5" thickBot="1">
      <c r="B1" s="70" t="s">
        <v>187</v>
      </c>
      <c r="E1" s="69"/>
    </row>
    <row r="2" spans="1:91">
      <c r="B2" s="81"/>
      <c r="C2" s="199"/>
      <c r="D2" s="83"/>
      <c r="E2" s="283"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7"/>
      <c r="E3" s="86"/>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7"/>
      <c r="E4" s="86"/>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7"/>
      <c r="E5" s="267"/>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8"/>
      <c r="E6" s="269"/>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2008</v>
      </c>
      <c r="D7" s="254" t="s">
        <v>1</v>
      </c>
      <c r="E7" s="269"/>
      <c r="F7" s="116">
        <v>1055766</v>
      </c>
      <c r="G7" s="137">
        <v>691919</v>
      </c>
      <c r="H7" s="137">
        <v>935698</v>
      </c>
      <c r="I7" s="138">
        <v>891780</v>
      </c>
      <c r="J7" s="141"/>
      <c r="K7" s="116">
        <f t="shared" ref="K7:K20" si="0">BF7</f>
        <v>151157</v>
      </c>
      <c r="L7" s="137">
        <f t="shared" ref="L7:L20" si="1">AY7</f>
        <v>85814</v>
      </c>
      <c r="M7" s="137">
        <f t="shared" ref="M7:M20" si="2">BD7</f>
        <v>130442</v>
      </c>
      <c r="N7" s="137">
        <f t="shared" ref="N7:N20" si="3">AW7</f>
        <v>64236</v>
      </c>
      <c r="O7" s="137">
        <f t="shared" ref="O7:O20" si="4">BE7</f>
        <v>62712</v>
      </c>
      <c r="P7" s="137">
        <f>'2008'!AZ7+'2008'!BA7</f>
        <v>119983</v>
      </c>
      <c r="Q7" s="137">
        <f>'2008'!AU7</f>
        <v>61783</v>
      </c>
      <c r="R7" s="137">
        <f t="shared" ref="R7:R13" si="5">AT7+AX7</f>
        <v>89418</v>
      </c>
      <c r="S7" s="137">
        <f t="shared" ref="S7:S20" si="6">AV7</f>
        <v>64149</v>
      </c>
      <c r="T7" s="137">
        <f t="shared" ref="T7:T20" si="7">BB7</f>
        <v>77675</v>
      </c>
      <c r="U7" s="139">
        <f t="shared" ref="U7:U20" si="8">BC7</f>
        <v>148406</v>
      </c>
      <c r="V7" s="137">
        <f t="shared" ref="V7:V13" si="9">BG7+BJ7</f>
        <v>87901</v>
      </c>
      <c r="W7" s="137">
        <f t="shared" ref="W7:W20" si="10">BR7</f>
        <v>87068</v>
      </c>
      <c r="X7" s="137">
        <f t="shared" ref="X7:X13" si="11">BH7+BI7</f>
        <v>125844</v>
      </c>
      <c r="Y7" s="137">
        <f t="shared" ref="Y7:Y13" si="12">BK7+BL7+BN7</f>
        <v>131551</v>
      </c>
      <c r="Z7" s="137">
        <f t="shared" ref="Z7:Z20" si="13">BM7</f>
        <v>112631</v>
      </c>
      <c r="AA7" s="137">
        <f t="shared" ref="AA7:AA13" si="14">BO7+BQ7</f>
        <v>67172</v>
      </c>
      <c r="AB7" s="139">
        <f t="shared" ref="AB7:AB20" si="15">BP7</f>
        <v>79752</v>
      </c>
      <c r="AC7" s="137">
        <f t="shared" ref="AC7:AC20" si="16">BX7</f>
        <v>102524</v>
      </c>
      <c r="AD7" s="137">
        <f t="shared" ref="AD7:AD20" si="17">BU7</f>
        <v>67990</v>
      </c>
      <c r="AE7" s="137">
        <f t="shared" ref="AE7:AE13" si="18">BS7+BT7</f>
        <v>153139</v>
      </c>
      <c r="AF7" s="137">
        <f t="shared" ref="AF7:AF20" si="19">CA7</f>
        <v>80681</v>
      </c>
      <c r="AG7" s="137">
        <f t="shared" ref="AG7:AG20" si="20">BV7</f>
        <v>186071</v>
      </c>
      <c r="AH7" s="137">
        <f t="shared" ref="AH7:AH20" si="21">BZ7</f>
        <v>81797</v>
      </c>
      <c r="AI7" s="137">
        <f t="shared" ref="AI7:AI20" si="22">BW7</f>
        <v>76942</v>
      </c>
      <c r="AJ7" s="137">
        <f t="shared" ref="AJ7:AJ20" si="23">BY7</f>
        <v>73435</v>
      </c>
      <c r="AK7" s="139">
        <f t="shared" ref="AK7:AK20" si="24">CB7</f>
        <v>113119</v>
      </c>
      <c r="AL7" s="137">
        <f t="shared" ref="AL7:AL20" si="25">CE7</f>
        <v>91772</v>
      </c>
      <c r="AM7" s="137">
        <f t="shared" ref="AM7:AM20" si="26">CH7</f>
        <v>140982</v>
      </c>
      <c r="AN7" s="137">
        <f t="shared" ref="AN7:AN20" si="27">CJ7</f>
        <v>163181</v>
      </c>
      <c r="AO7" s="137">
        <f t="shared" ref="AO7:AO20" si="28">CC7</f>
        <v>109414</v>
      </c>
      <c r="AP7" s="137">
        <f t="shared" ref="AP7:AP20" si="29">CD7</f>
        <v>51917</v>
      </c>
      <c r="AQ7" s="137">
        <f t="shared" ref="AQ7:AQ20" si="30">CK7</f>
        <v>120436</v>
      </c>
      <c r="AR7" s="137">
        <f t="shared" ref="AR7:AR20" si="31">CI7</f>
        <v>66478</v>
      </c>
      <c r="AS7" s="138">
        <f t="shared" ref="AS7:AS13" si="32">CF7+CG7</f>
        <v>147600</v>
      </c>
      <c r="AT7" s="137">
        <v>20736</v>
      </c>
      <c r="AU7" s="137">
        <v>61783</v>
      </c>
      <c r="AV7" s="137">
        <v>64149</v>
      </c>
      <c r="AW7" s="141">
        <v>64236</v>
      </c>
      <c r="AX7" s="137">
        <v>68682</v>
      </c>
      <c r="AY7" s="137">
        <v>85814</v>
      </c>
      <c r="AZ7" s="137">
        <v>9988</v>
      </c>
      <c r="BA7" s="137">
        <v>109995</v>
      </c>
      <c r="BB7" s="137">
        <v>77675</v>
      </c>
      <c r="BC7" s="137">
        <v>148406</v>
      </c>
      <c r="BD7" s="137">
        <v>130442</v>
      </c>
      <c r="BE7" s="137">
        <v>62712</v>
      </c>
      <c r="BF7" s="139">
        <v>151157</v>
      </c>
      <c r="BG7" s="137">
        <v>14018</v>
      </c>
      <c r="BH7" s="137">
        <v>17346</v>
      </c>
      <c r="BI7" s="137">
        <v>108498</v>
      </c>
      <c r="BJ7" s="137">
        <v>73883</v>
      </c>
      <c r="BK7" s="137">
        <v>10883</v>
      </c>
      <c r="BL7" s="137">
        <v>14496</v>
      </c>
      <c r="BM7" s="137">
        <v>112631</v>
      </c>
      <c r="BN7" s="137">
        <v>106172</v>
      </c>
      <c r="BO7" s="137">
        <v>9803</v>
      </c>
      <c r="BP7" s="137">
        <v>79752</v>
      </c>
      <c r="BQ7" s="137">
        <v>57369</v>
      </c>
      <c r="BR7" s="139">
        <v>87068</v>
      </c>
      <c r="BS7" s="137">
        <v>15306</v>
      </c>
      <c r="BT7" s="137">
        <v>137833</v>
      </c>
      <c r="BU7" s="137">
        <v>67990</v>
      </c>
      <c r="BV7" s="137">
        <v>186071</v>
      </c>
      <c r="BW7" s="137">
        <v>76942</v>
      </c>
      <c r="BX7" s="137">
        <v>102524</v>
      </c>
      <c r="BY7" s="137">
        <v>73435</v>
      </c>
      <c r="BZ7" s="137">
        <v>81797</v>
      </c>
      <c r="CA7" s="137">
        <v>80681</v>
      </c>
      <c r="CB7" s="139">
        <v>113119</v>
      </c>
      <c r="CC7" s="137">
        <v>109414</v>
      </c>
      <c r="CD7" s="137">
        <v>51917</v>
      </c>
      <c r="CE7" s="137">
        <v>91772</v>
      </c>
      <c r="CF7" s="137">
        <v>11869</v>
      </c>
      <c r="CG7" s="137">
        <v>135731</v>
      </c>
      <c r="CH7" s="137">
        <v>140982</v>
      </c>
      <c r="CI7" s="137">
        <v>66478</v>
      </c>
      <c r="CJ7" s="137">
        <v>163181</v>
      </c>
      <c r="CK7" s="138">
        <v>120436</v>
      </c>
      <c r="CL7" s="140">
        <v>3575174</v>
      </c>
      <c r="CM7" s="49"/>
    </row>
    <row r="8" spans="1:91" ht="14.25">
      <c r="A8" s="80">
        <f>ROWS($A$3:A6)</f>
        <v>4</v>
      </c>
      <c r="B8" s="92" t="s">
        <v>242</v>
      </c>
      <c r="C8" s="203"/>
      <c r="D8" s="254" t="s">
        <v>1</v>
      </c>
      <c r="E8" s="269"/>
      <c r="F8" s="116">
        <v>168136</v>
      </c>
      <c r="G8" s="137">
        <v>108311</v>
      </c>
      <c r="H8" s="137">
        <v>108477</v>
      </c>
      <c r="I8" s="138">
        <v>104354</v>
      </c>
      <c r="J8" s="141"/>
      <c r="K8" s="116">
        <f t="shared" si="0"/>
        <v>17897</v>
      </c>
      <c r="L8" s="137">
        <f t="shared" si="1"/>
        <v>14360</v>
      </c>
      <c r="M8" s="137">
        <f t="shared" si="2"/>
        <v>13770</v>
      </c>
      <c r="N8" s="137">
        <f t="shared" si="3"/>
        <v>10220</v>
      </c>
      <c r="O8" s="137">
        <f t="shared" si="4"/>
        <v>7557</v>
      </c>
      <c r="P8" s="137">
        <f>'2008'!AZ8+'2008'!BA8</f>
        <v>21363</v>
      </c>
      <c r="Q8" s="137">
        <f>'2008'!AU8</f>
        <v>13184</v>
      </c>
      <c r="R8" s="137">
        <f t="shared" si="5"/>
        <v>26348</v>
      </c>
      <c r="S8" s="137">
        <f t="shared" si="6"/>
        <v>15283</v>
      </c>
      <c r="T8" s="137">
        <f t="shared" si="7"/>
        <v>9684</v>
      </c>
      <c r="U8" s="139">
        <f t="shared" si="8"/>
        <v>16189</v>
      </c>
      <c r="V8" s="137">
        <f t="shared" si="9"/>
        <v>12079</v>
      </c>
      <c r="W8" s="137">
        <f t="shared" si="10"/>
        <v>8186</v>
      </c>
      <c r="X8" s="137">
        <f t="shared" si="11"/>
        <v>25548</v>
      </c>
      <c r="Y8" s="137">
        <f t="shared" si="12"/>
        <v>31037</v>
      </c>
      <c r="Z8" s="137">
        <f t="shared" si="13"/>
        <v>11580</v>
      </c>
      <c r="AA8" s="137">
        <f t="shared" si="14"/>
        <v>11483</v>
      </c>
      <c r="AB8" s="139">
        <f t="shared" si="15"/>
        <v>8398</v>
      </c>
      <c r="AC8" s="137">
        <f t="shared" si="16"/>
        <v>11360</v>
      </c>
      <c r="AD8" s="137">
        <f t="shared" si="17"/>
        <v>6987</v>
      </c>
      <c r="AE8" s="137">
        <f t="shared" si="18"/>
        <v>18663</v>
      </c>
      <c r="AF8" s="137">
        <f t="shared" si="19"/>
        <v>9785</v>
      </c>
      <c r="AG8" s="137">
        <f t="shared" si="20"/>
        <v>20737</v>
      </c>
      <c r="AH8" s="137">
        <f t="shared" si="21"/>
        <v>12111</v>
      </c>
      <c r="AI8" s="137">
        <f t="shared" si="22"/>
        <v>9529</v>
      </c>
      <c r="AJ8" s="137">
        <f t="shared" si="23"/>
        <v>8173</v>
      </c>
      <c r="AK8" s="139">
        <f t="shared" si="24"/>
        <v>11132</v>
      </c>
      <c r="AL8" s="137">
        <f t="shared" si="25"/>
        <v>11910</v>
      </c>
      <c r="AM8" s="137">
        <f t="shared" si="26"/>
        <v>15213</v>
      </c>
      <c r="AN8" s="137">
        <f t="shared" si="27"/>
        <v>16112</v>
      </c>
      <c r="AO8" s="137">
        <f t="shared" si="28"/>
        <v>13495</v>
      </c>
      <c r="AP8" s="137">
        <f t="shared" si="29"/>
        <v>8970</v>
      </c>
      <c r="AQ8" s="137">
        <f t="shared" si="30"/>
        <v>11311</v>
      </c>
      <c r="AR8" s="137">
        <f t="shared" si="31"/>
        <v>9250</v>
      </c>
      <c r="AS8" s="138">
        <f t="shared" si="32"/>
        <v>18093</v>
      </c>
      <c r="AT8" s="137">
        <v>10441</v>
      </c>
      <c r="AU8" s="137">
        <v>13184</v>
      </c>
      <c r="AV8" s="137">
        <v>15283</v>
      </c>
      <c r="AW8" s="141">
        <v>10220</v>
      </c>
      <c r="AX8" s="137">
        <v>15907</v>
      </c>
      <c r="AY8" s="137">
        <v>14360</v>
      </c>
      <c r="AZ8" s="137">
        <v>3526</v>
      </c>
      <c r="BA8" s="137">
        <v>17837</v>
      </c>
      <c r="BB8" s="137">
        <v>9684</v>
      </c>
      <c r="BC8" s="137">
        <v>16189</v>
      </c>
      <c r="BD8" s="137">
        <v>13770</v>
      </c>
      <c r="BE8" s="137">
        <v>7557</v>
      </c>
      <c r="BF8" s="139">
        <v>17897</v>
      </c>
      <c r="BG8" s="137">
        <v>2016</v>
      </c>
      <c r="BH8" s="137">
        <v>7665</v>
      </c>
      <c r="BI8" s="137">
        <v>17883</v>
      </c>
      <c r="BJ8" s="137">
        <v>10063</v>
      </c>
      <c r="BK8" s="137">
        <v>3189</v>
      </c>
      <c r="BL8" s="137">
        <v>8067</v>
      </c>
      <c r="BM8" s="137">
        <v>11580</v>
      </c>
      <c r="BN8" s="137">
        <v>19781</v>
      </c>
      <c r="BO8" s="137">
        <v>2800</v>
      </c>
      <c r="BP8" s="137">
        <v>8398</v>
      </c>
      <c r="BQ8" s="137">
        <v>8683</v>
      </c>
      <c r="BR8" s="139">
        <v>8186</v>
      </c>
      <c r="BS8" s="137">
        <v>4796</v>
      </c>
      <c r="BT8" s="137">
        <v>13867</v>
      </c>
      <c r="BU8" s="137">
        <v>6987</v>
      </c>
      <c r="BV8" s="137">
        <v>20737</v>
      </c>
      <c r="BW8" s="137">
        <v>9529</v>
      </c>
      <c r="BX8" s="137">
        <v>11360</v>
      </c>
      <c r="BY8" s="137">
        <v>8173</v>
      </c>
      <c r="BZ8" s="137">
        <v>12111</v>
      </c>
      <c r="CA8" s="137">
        <v>9785</v>
      </c>
      <c r="CB8" s="139">
        <v>11132</v>
      </c>
      <c r="CC8" s="137">
        <v>13495</v>
      </c>
      <c r="CD8" s="137">
        <v>8970</v>
      </c>
      <c r="CE8" s="137">
        <v>11910</v>
      </c>
      <c r="CF8" s="137">
        <v>3597</v>
      </c>
      <c r="CG8" s="137">
        <v>14496</v>
      </c>
      <c r="CH8" s="137">
        <v>15213</v>
      </c>
      <c r="CI8" s="137">
        <v>9250</v>
      </c>
      <c r="CJ8" s="137">
        <v>16112</v>
      </c>
      <c r="CK8" s="138">
        <v>11311</v>
      </c>
      <c r="CL8" s="140">
        <v>486992</v>
      </c>
      <c r="CM8" s="49"/>
    </row>
    <row r="9" spans="1:91">
      <c r="A9" s="80">
        <f>ROWS($A$3:A7)</f>
        <v>5</v>
      </c>
      <c r="B9" s="92" t="s">
        <v>0</v>
      </c>
      <c r="C9" s="203"/>
      <c r="D9" s="254" t="s">
        <v>1</v>
      </c>
      <c r="E9" s="269"/>
      <c r="F9" s="116">
        <v>539618</v>
      </c>
      <c r="G9" s="137">
        <v>257601</v>
      </c>
      <c r="H9" s="137">
        <v>376815</v>
      </c>
      <c r="I9" s="138">
        <v>481905</v>
      </c>
      <c r="J9" s="141"/>
      <c r="K9" s="116">
        <f t="shared" si="0"/>
        <v>72750</v>
      </c>
      <c r="L9" s="137">
        <f t="shared" si="1"/>
        <v>36950</v>
      </c>
      <c r="M9" s="137">
        <f t="shared" si="2"/>
        <v>75418</v>
      </c>
      <c r="N9" s="137">
        <f t="shared" si="3"/>
        <v>32684</v>
      </c>
      <c r="O9" s="137">
        <f t="shared" si="4"/>
        <v>27493</v>
      </c>
      <c r="P9" s="137">
        <f>'2008'!AZ9+'2008'!BA9</f>
        <v>66875</v>
      </c>
      <c r="Q9" s="137">
        <f>'2008'!AU9</f>
        <v>26396</v>
      </c>
      <c r="R9" s="137">
        <f t="shared" si="5"/>
        <v>43557</v>
      </c>
      <c r="S9" s="137">
        <f t="shared" si="6"/>
        <v>29110</v>
      </c>
      <c r="T9" s="137">
        <f t="shared" si="7"/>
        <v>44856</v>
      </c>
      <c r="U9" s="139">
        <f t="shared" si="8"/>
        <v>83529</v>
      </c>
      <c r="V9" s="137">
        <f t="shared" si="9"/>
        <v>26621</v>
      </c>
      <c r="W9" s="137">
        <f t="shared" si="10"/>
        <v>23281</v>
      </c>
      <c r="X9" s="137">
        <f t="shared" si="11"/>
        <v>54358</v>
      </c>
      <c r="Y9" s="137">
        <f t="shared" si="12"/>
        <v>52324</v>
      </c>
      <c r="Z9" s="137">
        <f t="shared" si="13"/>
        <v>52341</v>
      </c>
      <c r="AA9" s="137">
        <f t="shared" si="14"/>
        <v>27633</v>
      </c>
      <c r="AB9" s="139">
        <f t="shared" si="15"/>
        <v>21043</v>
      </c>
      <c r="AC9" s="137">
        <f t="shared" si="16"/>
        <v>43126</v>
      </c>
      <c r="AD9" s="137">
        <f t="shared" si="17"/>
        <v>28060</v>
      </c>
      <c r="AE9" s="137">
        <f t="shared" si="18"/>
        <v>59268</v>
      </c>
      <c r="AF9" s="137">
        <f t="shared" si="19"/>
        <v>28084</v>
      </c>
      <c r="AG9" s="137">
        <f t="shared" si="20"/>
        <v>71957</v>
      </c>
      <c r="AH9" s="137">
        <f t="shared" si="21"/>
        <v>40939</v>
      </c>
      <c r="AI9" s="137">
        <f t="shared" si="22"/>
        <v>33219</v>
      </c>
      <c r="AJ9" s="137">
        <f t="shared" si="23"/>
        <v>27594</v>
      </c>
      <c r="AK9" s="139">
        <f t="shared" si="24"/>
        <v>44568</v>
      </c>
      <c r="AL9" s="137">
        <f t="shared" si="25"/>
        <v>41496</v>
      </c>
      <c r="AM9" s="137">
        <f t="shared" si="26"/>
        <v>83580</v>
      </c>
      <c r="AN9" s="137">
        <f t="shared" si="27"/>
        <v>97494</v>
      </c>
      <c r="AO9" s="137">
        <f t="shared" si="28"/>
        <v>54127</v>
      </c>
      <c r="AP9" s="137">
        <f t="shared" si="29"/>
        <v>24138</v>
      </c>
      <c r="AQ9" s="137">
        <f t="shared" si="30"/>
        <v>59188</v>
      </c>
      <c r="AR9" s="137">
        <f t="shared" si="31"/>
        <v>37535</v>
      </c>
      <c r="AS9" s="138">
        <f t="shared" si="32"/>
        <v>84347</v>
      </c>
      <c r="AT9" s="137">
        <v>4968</v>
      </c>
      <c r="AU9" s="137">
        <v>26396</v>
      </c>
      <c r="AV9" s="137">
        <v>29110</v>
      </c>
      <c r="AW9" s="141">
        <v>32684</v>
      </c>
      <c r="AX9" s="137">
        <v>38589</v>
      </c>
      <c r="AY9" s="137">
        <v>36950</v>
      </c>
      <c r="AZ9" s="137">
        <v>4782</v>
      </c>
      <c r="BA9" s="137">
        <v>62093</v>
      </c>
      <c r="BB9" s="137">
        <v>44856</v>
      </c>
      <c r="BC9" s="137">
        <v>83529</v>
      </c>
      <c r="BD9" s="137">
        <v>75418</v>
      </c>
      <c r="BE9" s="137">
        <v>27493</v>
      </c>
      <c r="BF9" s="139">
        <v>72750</v>
      </c>
      <c r="BG9" s="137">
        <v>3154</v>
      </c>
      <c r="BH9" s="137">
        <v>4237</v>
      </c>
      <c r="BI9" s="137">
        <v>50121</v>
      </c>
      <c r="BJ9" s="137">
        <v>23467</v>
      </c>
      <c r="BK9" s="137">
        <v>2977</v>
      </c>
      <c r="BL9" s="137">
        <v>3570</v>
      </c>
      <c r="BM9" s="137">
        <v>52341</v>
      </c>
      <c r="BN9" s="137">
        <v>45777</v>
      </c>
      <c r="BO9" s="137">
        <v>1817</v>
      </c>
      <c r="BP9" s="137">
        <v>21043</v>
      </c>
      <c r="BQ9" s="137">
        <v>25816</v>
      </c>
      <c r="BR9" s="139">
        <v>23281</v>
      </c>
      <c r="BS9" s="137">
        <v>3756</v>
      </c>
      <c r="BT9" s="137">
        <v>55512</v>
      </c>
      <c r="BU9" s="137">
        <v>28060</v>
      </c>
      <c r="BV9" s="137">
        <v>71957</v>
      </c>
      <c r="BW9" s="137">
        <v>33219</v>
      </c>
      <c r="BX9" s="137">
        <v>43126</v>
      </c>
      <c r="BY9" s="137">
        <v>27594</v>
      </c>
      <c r="BZ9" s="137">
        <v>40939</v>
      </c>
      <c r="CA9" s="137">
        <v>28084</v>
      </c>
      <c r="CB9" s="139">
        <v>44568</v>
      </c>
      <c r="CC9" s="137">
        <v>54127</v>
      </c>
      <c r="CD9" s="137">
        <v>24138</v>
      </c>
      <c r="CE9" s="137">
        <v>41496</v>
      </c>
      <c r="CF9" s="137">
        <v>5472</v>
      </c>
      <c r="CG9" s="137">
        <v>78875</v>
      </c>
      <c r="CH9" s="137">
        <v>83580</v>
      </c>
      <c r="CI9" s="137">
        <v>37535</v>
      </c>
      <c r="CJ9" s="137">
        <v>97494</v>
      </c>
      <c r="CK9" s="138">
        <v>59188</v>
      </c>
      <c r="CL9" s="140">
        <v>1655939</v>
      </c>
      <c r="CM9" s="49"/>
    </row>
    <row r="10" spans="1:91">
      <c r="A10" s="80">
        <f>ROWS($A$3:A8)</f>
        <v>6</v>
      </c>
      <c r="B10" s="92" t="s">
        <v>202</v>
      </c>
      <c r="C10" s="203"/>
      <c r="D10" s="254" t="s">
        <v>1</v>
      </c>
      <c r="E10" s="269"/>
      <c r="F10" s="116">
        <v>333380</v>
      </c>
      <c r="G10" s="137">
        <v>309429</v>
      </c>
      <c r="H10" s="137">
        <v>431212</v>
      </c>
      <c r="I10" s="138">
        <v>289006</v>
      </c>
      <c r="J10" s="141"/>
      <c r="K10" s="116">
        <f t="shared" si="0"/>
        <v>58834</v>
      </c>
      <c r="L10" s="137">
        <f t="shared" si="1"/>
        <v>33593</v>
      </c>
      <c r="M10" s="137">
        <f t="shared" si="2"/>
        <v>38367</v>
      </c>
      <c r="N10" s="137">
        <f t="shared" si="3"/>
        <v>20566</v>
      </c>
      <c r="O10" s="137">
        <f t="shared" si="4"/>
        <v>27018</v>
      </c>
      <c r="P10" s="137">
        <f>'2008'!AZ10+'2008'!BA10</f>
        <v>29406</v>
      </c>
      <c r="Q10" s="137">
        <f>'2008'!AU10</f>
        <v>21354</v>
      </c>
      <c r="R10" s="137">
        <f t="shared" si="5"/>
        <v>17386</v>
      </c>
      <c r="S10" s="137">
        <f t="shared" si="6"/>
        <v>18649</v>
      </c>
      <c r="T10" s="137">
        <f t="shared" si="7"/>
        <v>21738</v>
      </c>
      <c r="U10" s="139">
        <f t="shared" si="8"/>
        <v>46469</v>
      </c>
      <c r="V10" s="137">
        <f t="shared" si="9"/>
        <v>45896</v>
      </c>
      <c r="W10" s="137">
        <f t="shared" si="10"/>
        <v>54481</v>
      </c>
      <c r="X10" s="137">
        <f t="shared" si="11"/>
        <v>41180</v>
      </c>
      <c r="Y10" s="137">
        <f t="shared" si="12"/>
        <v>44149</v>
      </c>
      <c r="Z10" s="137">
        <f t="shared" si="13"/>
        <v>47336</v>
      </c>
      <c r="AA10" s="137">
        <f t="shared" si="14"/>
        <v>27115</v>
      </c>
      <c r="AB10" s="139">
        <f t="shared" si="15"/>
        <v>49272</v>
      </c>
      <c r="AC10" s="137">
        <f t="shared" si="16"/>
        <v>46851</v>
      </c>
      <c r="AD10" s="137">
        <f t="shared" si="17"/>
        <v>31075</v>
      </c>
      <c r="AE10" s="137">
        <f t="shared" si="18"/>
        <v>71658</v>
      </c>
      <c r="AF10" s="137">
        <f t="shared" si="19"/>
        <v>41529</v>
      </c>
      <c r="AG10" s="137">
        <f t="shared" si="20"/>
        <v>87830</v>
      </c>
      <c r="AH10" s="137">
        <f t="shared" si="21"/>
        <v>27189</v>
      </c>
      <c r="AI10" s="137">
        <f t="shared" si="22"/>
        <v>33006</v>
      </c>
      <c r="AJ10" s="137">
        <f t="shared" si="23"/>
        <v>36487</v>
      </c>
      <c r="AK10" s="139">
        <f t="shared" si="24"/>
        <v>55587</v>
      </c>
      <c r="AL10" s="137">
        <f t="shared" si="25"/>
        <v>37219</v>
      </c>
      <c r="AM10" s="137">
        <f t="shared" si="26"/>
        <v>39716</v>
      </c>
      <c r="AN10" s="137">
        <f t="shared" si="27"/>
        <v>46612</v>
      </c>
      <c r="AO10" s="137">
        <f t="shared" si="28"/>
        <v>40663</v>
      </c>
      <c r="AP10" s="137">
        <f t="shared" si="29"/>
        <v>17947</v>
      </c>
      <c r="AQ10" s="137">
        <f t="shared" si="30"/>
        <v>45960</v>
      </c>
      <c r="AR10" s="137">
        <f t="shared" si="31"/>
        <v>18594</v>
      </c>
      <c r="AS10" s="138">
        <f t="shared" si="32"/>
        <v>42295</v>
      </c>
      <c r="AT10" s="141">
        <v>4949</v>
      </c>
      <c r="AU10" s="141">
        <v>21354</v>
      </c>
      <c r="AV10" s="141">
        <v>18649</v>
      </c>
      <c r="AW10" s="141">
        <v>20566</v>
      </c>
      <c r="AX10" s="141">
        <v>12437</v>
      </c>
      <c r="AY10" s="137">
        <v>33593</v>
      </c>
      <c r="AZ10" s="137">
        <v>1413</v>
      </c>
      <c r="BA10" s="137">
        <v>27993</v>
      </c>
      <c r="BB10" s="137">
        <v>21738</v>
      </c>
      <c r="BC10" s="137">
        <v>46469</v>
      </c>
      <c r="BD10" s="137">
        <v>38367</v>
      </c>
      <c r="BE10" s="137">
        <v>27018</v>
      </c>
      <c r="BF10" s="139">
        <v>58834</v>
      </c>
      <c r="BG10" s="137">
        <v>8615</v>
      </c>
      <c r="BH10" s="137">
        <v>4535</v>
      </c>
      <c r="BI10" s="137">
        <v>36645</v>
      </c>
      <c r="BJ10" s="137">
        <v>37281</v>
      </c>
      <c r="BK10" s="137">
        <v>4416</v>
      </c>
      <c r="BL10" s="137">
        <v>1848</v>
      </c>
      <c r="BM10" s="137">
        <v>47336</v>
      </c>
      <c r="BN10" s="137">
        <v>37885</v>
      </c>
      <c r="BO10" s="137">
        <v>5080</v>
      </c>
      <c r="BP10" s="137">
        <v>49272</v>
      </c>
      <c r="BQ10" s="137">
        <v>22035</v>
      </c>
      <c r="BR10" s="139">
        <v>54481</v>
      </c>
      <c r="BS10" s="137">
        <v>6480</v>
      </c>
      <c r="BT10" s="137">
        <v>65178</v>
      </c>
      <c r="BU10" s="137">
        <v>31075</v>
      </c>
      <c r="BV10" s="137">
        <v>87830</v>
      </c>
      <c r="BW10" s="137">
        <v>33006</v>
      </c>
      <c r="BX10" s="137">
        <v>46851</v>
      </c>
      <c r="BY10" s="137">
        <v>36487</v>
      </c>
      <c r="BZ10" s="137">
        <v>27189</v>
      </c>
      <c r="CA10" s="137">
        <v>41529</v>
      </c>
      <c r="CB10" s="139">
        <v>55587</v>
      </c>
      <c r="CC10" s="137">
        <v>40663</v>
      </c>
      <c r="CD10" s="137">
        <v>17947</v>
      </c>
      <c r="CE10" s="137">
        <v>37219</v>
      </c>
      <c r="CF10" s="137">
        <v>2246</v>
      </c>
      <c r="CG10" s="137">
        <v>40049</v>
      </c>
      <c r="CH10" s="137">
        <v>39716</v>
      </c>
      <c r="CI10" s="137">
        <v>18594</v>
      </c>
      <c r="CJ10" s="137">
        <v>46612</v>
      </c>
      <c r="CK10" s="138">
        <v>45960</v>
      </c>
      <c r="CL10" s="140">
        <v>1363025</v>
      </c>
      <c r="CM10" s="49"/>
    </row>
    <row r="11" spans="1:91">
      <c r="A11" s="80">
        <f>ROWS($A$3:A9)</f>
        <v>7</v>
      </c>
      <c r="B11" s="92" t="s">
        <v>2</v>
      </c>
      <c r="C11" s="203"/>
      <c r="D11" s="254" t="s">
        <v>1</v>
      </c>
      <c r="E11" s="269"/>
      <c r="F11" s="116">
        <v>8581</v>
      </c>
      <c r="G11" s="137">
        <v>9500</v>
      </c>
      <c r="H11" s="137">
        <v>11330</v>
      </c>
      <c r="I11" s="138">
        <v>7638</v>
      </c>
      <c r="J11" s="141"/>
      <c r="K11" s="116">
        <f t="shared" si="0"/>
        <v>1074</v>
      </c>
      <c r="L11" s="137">
        <f t="shared" si="1"/>
        <v>499</v>
      </c>
      <c r="M11" s="137">
        <f t="shared" si="2"/>
        <v>1037</v>
      </c>
      <c r="N11" s="137">
        <f t="shared" si="3"/>
        <v>287</v>
      </c>
      <c r="O11" s="137">
        <f t="shared" si="4"/>
        <v>246</v>
      </c>
      <c r="P11" s="137">
        <f>'2008'!AZ11+'2008'!BA11</f>
        <v>1413</v>
      </c>
      <c r="Q11" s="137">
        <f>'2008'!AU11</f>
        <v>243</v>
      </c>
      <c r="R11" s="137">
        <f t="shared" si="5"/>
        <v>1156</v>
      </c>
      <c r="S11" s="137">
        <f t="shared" si="6"/>
        <v>617</v>
      </c>
      <c r="T11" s="137">
        <f t="shared" si="7"/>
        <v>782</v>
      </c>
      <c r="U11" s="139">
        <f t="shared" si="8"/>
        <v>1227</v>
      </c>
      <c r="V11" s="137">
        <f t="shared" si="9"/>
        <v>1999</v>
      </c>
      <c r="W11" s="137">
        <f t="shared" si="10"/>
        <v>504</v>
      </c>
      <c r="X11" s="137">
        <f t="shared" si="11"/>
        <v>2950</v>
      </c>
      <c r="Y11" s="137">
        <f t="shared" si="12"/>
        <v>2623</v>
      </c>
      <c r="Z11" s="137">
        <f t="shared" si="13"/>
        <v>715</v>
      </c>
      <c r="AA11" s="137">
        <f t="shared" si="14"/>
        <v>390</v>
      </c>
      <c r="AB11" s="139">
        <f t="shared" si="15"/>
        <v>319</v>
      </c>
      <c r="AC11" s="137">
        <f t="shared" si="16"/>
        <v>643</v>
      </c>
      <c r="AD11" s="137">
        <f t="shared" si="17"/>
        <v>924</v>
      </c>
      <c r="AE11" s="137">
        <f t="shared" si="18"/>
        <v>2215</v>
      </c>
      <c r="AF11" s="137">
        <f t="shared" si="19"/>
        <v>912</v>
      </c>
      <c r="AG11" s="137">
        <f t="shared" si="20"/>
        <v>3486</v>
      </c>
      <c r="AH11" s="137">
        <f t="shared" si="21"/>
        <v>925</v>
      </c>
      <c r="AI11" s="137">
        <f t="shared" si="22"/>
        <v>449</v>
      </c>
      <c r="AJ11" s="137">
        <f t="shared" si="23"/>
        <v>353</v>
      </c>
      <c r="AK11" s="139">
        <f t="shared" si="24"/>
        <v>1423</v>
      </c>
      <c r="AL11" s="137">
        <f t="shared" si="25"/>
        <v>351</v>
      </c>
      <c r="AM11" s="137">
        <f t="shared" si="26"/>
        <v>1478</v>
      </c>
      <c r="AN11" s="137">
        <f t="shared" si="27"/>
        <v>2147</v>
      </c>
      <c r="AO11" s="137">
        <f t="shared" si="28"/>
        <v>260</v>
      </c>
      <c r="AP11" s="137">
        <f t="shared" si="29"/>
        <v>475</v>
      </c>
      <c r="AQ11" s="137">
        <f t="shared" si="30"/>
        <v>1030</v>
      </c>
      <c r="AR11" s="137">
        <f t="shared" si="31"/>
        <v>688</v>
      </c>
      <c r="AS11" s="138">
        <f t="shared" si="32"/>
        <v>1209</v>
      </c>
      <c r="AT11" s="141">
        <v>268</v>
      </c>
      <c r="AU11" s="141">
        <v>243</v>
      </c>
      <c r="AV11" s="141">
        <v>617</v>
      </c>
      <c r="AW11" s="141">
        <v>287</v>
      </c>
      <c r="AX11" s="141">
        <v>888</v>
      </c>
      <c r="AY11" s="137">
        <v>499</v>
      </c>
      <c r="AZ11" s="137">
        <v>218</v>
      </c>
      <c r="BA11" s="137">
        <v>1195</v>
      </c>
      <c r="BB11" s="137">
        <v>782</v>
      </c>
      <c r="BC11" s="137">
        <v>1227</v>
      </c>
      <c r="BD11" s="137">
        <v>1037</v>
      </c>
      <c r="BE11" s="137">
        <v>246</v>
      </c>
      <c r="BF11" s="139">
        <v>1074</v>
      </c>
      <c r="BG11" s="137">
        <v>82</v>
      </c>
      <c r="BH11" s="137">
        <v>672</v>
      </c>
      <c r="BI11" s="137">
        <v>2278</v>
      </c>
      <c r="BJ11" s="137">
        <v>1917</v>
      </c>
      <c r="BK11" s="137">
        <v>252</v>
      </c>
      <c r="BL11" s="137">
        <v>727</v>
      </c>
      <c r="BM11" s="137">
        <v>715</v>
      </c>
      <c r="BN11" s="137">
        <v>1644</v>
      </c>
      <c r="BO11" s="137">
        <v>74</v>
      </c>
      <c r="BP11" s="137">
        <v>319</v>
      </c>
      <c r="BQ11" s="137">
        <v>316</v>
      </c>
      <c r="BR11" s="139">
        <v>504</v>
      </c>
      <c r="BS11" s="137">
        <v>206</v>
      </c>
      <c r="BT11" s="137">
        <v>2009</v>
      </c>
      <c r="BU11" s="137">
        <v>924</v>
      </c>
      <c r="BV11" s="137">
        <v>3486</v>
      </c>
      <c r="BW11" s="137">
        <v>449</v>
      </c>
      <c r="BX11" s="137">
        <v>643</v>
      </c>
      <c r="BY11" s="137">
        <v>353</v>
      </c>
      <c r="BZ11" s="137">
        <v>925</v>
      </c>
      <c r="CA11" s="137">
        <v>912</v>
      </c>
      <c r="CB11" s="139">
        <v>1423</v>
      </c>
      <c r="CC11" s="137">
        <v>260</v>
      </c>
      <c r="CD11" s="137">
        <v>475</v>
      </c>
      <c r="CE11" s="137">
        <v>351</v>
      </c>
      <c r="CF11" s="137">
        <v>155</v>
      </c>
      <c r="CG11" s="137">
        <v>1054</v>
      </c>
      <c r="CH11" s="137">
        <v>1478</v>
      </c>
      <c r="CI11" s="137">
        <v>688</v>
      </c>
      <c r="CJ11" s="137">
        <v>2147</v>
      </c>
      <c r="CK11" s="138">
        <v>1030</v>
      </c>
      <c r="CL11" s="140">
        <v>37052</v>
      </c>
      <c r="CM11" s="49"/>
    </row>
    <row r="12" spans="1:91">
      <c r="A12" s="80">
        <f>ROWS($A$3:A10)</f>
        <v>8</v>
      </c>
      <c r="B12" s="92" t="s">
        <v>203</v>
      </c>
      <c r="C12" s="203"/>
      <c r="D12" s="254" t="s">
        <v>1</v>
      </c>
      <c r="E12" s="269"/>
      <c r="F12" s="116">
        <v>8525</v>
      </c>
      <c r="G12" s="137">
        <v>5987</v>
      </c>
      <c r="H12" s="137">
        <v>6799</v>
      </c>
      <c r="I12" s="138">
        <v>7328</v>
      </c>
      <c r="J12" s="141"/>
      <c r="K12" s="116">
        <f t="shared" si="0"/>
        <v>607</v>
      </c>
      <c r="L12" s="137">
        <f t="shared" si="1"/>
        <v>456</v>
      </c>
      <c r="M12" s="137">
        <f t="shared" si="2"/>
        <v>1829</v>
      </c>
      <c r="N12" s="137">
        <f t="shared" si="3"/>
        <v>502</v>
      </c>
      <c r="O12" s="137">
        <f t="shared" si="4"/>
        <v>339</v>
      </c>
      <c r="P12" s="137">
        <f>'2008'!AZ12+'2008'!BA12</f>
        <v>944</v>
      </c>
      <c r="Q12" s="137">
        <f>'2008'!AU12</f>
        <v>622</v>
      </c>
      <c r="R12" s="137">
        <f t="shared" si="5"/>
        <v>1248</v>
      </c>
      <c r="S12" s="137">
        <f t="shared" si="6"/>
        <v>602</v>
      </c>
      <c r="T12" s="137">
        <f t="shared" si="7"/>
        <v>538</v>
      </c>
      <c r="U12" s="139">
        <f t="shared" si="8"/>
        <v>838</v>
      </c>
      <c r="V12" s="137">
        <f t="shared" si="9"/>
        <v>687</v>
      </c>
      <c r="W12" s="137">
        <f t="shared" si="10"/>
        <v>608</v>
      </c>
      <c r="X12" s="137">
        <f t="shared" si="11"/>
        <v>1432</v>
      </c>
      <c r="Y12" s="137">
        <f t="shared" si="12"/>
        <v>1305</v>
      </c>
      <c r="Z12" s="137">
        <f t="shared" si="13"/>
        <v>623</v>
      </c>
      <c r="AA12" s="137">
        <f t="shared" si="14"/>
        <v>575</v>
      </c>
      <c r="AB12" s="139">
        <f t="shared" si="15"/>
        <v>757</v>
      </c>
      <c r="AC12" s="137">
        <f t="shared" si="16"/>
        <v>529</v>
      </c>
      <c r="AD12" s="137">
        <f t="shared" si="17"/>
        <v>918</v>
      </c>
      <c r="AE12" s="137">
        <f t="shared" si="18"/>
        <v>1281</v>
      </c>
      <c r="AF12" s="137">
        <f t="shared" si="19"/>
        <v>295</v>
      </c>
      <c r="AG12" s="137">
        <f t="shared" si="20"/>
        <v>1578</v>
      </c>
      <c r="AH12" s="137">
        <f t="shared" si="21"/>
        <v>469</v>
      </c>
      <c r="AI12" s="137">
        <f t="shared" si="22"/>
        <v>571</v>
      </c>
      <c r="AJ12" s="137">
        <f t="shared" si="23"/>
        <v>818</v>
      </c>
      <c r="AK12" s="139">
        <f t="shared" si="24"/>
        <v>340</v>
      </c>
      <c r="AL12" s="137">
        <f t="shared" si="25"/>
        <v>744</v>
      </c>
      <c r="AM12" s="137">
        <f t="shared" si="26"/>
        <v>534</v>
      </c>
      <c r="AN12" s="137">
        <f t="shared" si="27"/>
        <v>593</v>
      </c>
      <c r="AO12" s="137">
        <f t="shared" si="28"/>
        <v>855</v>
      </c>
      <c r="AP12" s="137">
        <f t="shared" si="29"/>
        <v>405</v>
      </c>
      <c r="AQ12" s="137">
        <f t="shared" si="30"/>
        <v>2504</v>
      </c>
      <c r="AR12" s="137">
        <f t="shared" si="31"/>
        <v>387</v>
      </c>
      <c r="AS12" s="138">
        <f t="shared" si="32"/>
        <v>1306</v>
      </c>
      <c r="AT12" s="146">
        <v>318</v>
      </c>
      <c r="AU12" s="146">
        <v>622</v>
      </c>
      <c r="AV12" s="146">
        <v>602</v>
      </c>
      <c r="AW12" s="146">
        <v>502</v>
      </c>
      <c r="AX12" s="146">
        <v>930</v>
      </c>
      <c r="AY12" s="146">
        <v>456</v>
      </c>
      <c r="AZ12" s="146">
        <v>87</v>
      </c>
      <c r="BA12" s="146">
        <v>857</v>
      </c>
      <c r="BB12" s="146">
        <v>538</v>
      </c>
      <c r="BC12" s="146">
        <v>838</v>
      </c>
      <c r="BD12" s="146">
        <v>1829</v>
      </c>
      <c r="BE12" s="146">
        <v>339</v>
      </c>
      <c r="BF12" s="147">
        <v>607</v>
      </c>
      <c r="BG12" s="146">
        <v>87</v>
      </c>
      <c r="BH12" s="146">
        <v>250</v>
      </c>
      <c r="BI12" s="146">
        <v>1182</v>
      </c>
      <c r="BJ12" s="146">
        <v>600</v>
      </c>
      <c r="BK12" s="137">
        <v>98</v>
      </c>
      <c r="BL12" s="137">
        <v>348</v>
      </c>
      <c r="BM12" s="137">
        <v>623</v>
      </c>
      <c r="BN12" s="137">
        <v>859</v>
      </c>
      <c r="BO12" s="137">
        <v>82</v>
      </c>
      <c r="BP12" s="137">
        <v>757</v>
      </c>
      <c r="BQ12" s="137">
        <v>493</v>
      </c>
      <c r="BR12" s="139">
        <v>608</v>
      </c>
      <c r="BS12" s="137">
        <v>121</v>
      </c>
      <c r="BT12" s="137">
        <v>1160</v>
      </c>
      <c r="BU12" s="137">
        <v>918</v>
      </c>
      <c r="BV12" s="137">
        <v>1578</v>
      </c>
      <c r="BW12" s="137">
        <v>571</v>
      </c>
      <c r="BX12" s="137">
        <v>529</v>
      </c>
      <c r="BY12" s="137">
        <v>818</v>
      </c>
      <c r="BZ12" s="137">
        <v>469</v>
      </c>
      <c r="CA12" s="137">
        <v>295</v>
      </c>
      <c r="CB12" s="139">
        <v>340</v>
      </c>
      <c r="CC12" s="137">
        <v>855</v>
      </c>
      <c r="CD12" s="137">
        <v>405</v>
      </c>
      <c r="CE12" s="137">
        <v>744</v>
      </c>
      <c r="CF12" s="137">
        <v>392</v>
      </c>
      <c r="CG12" s="137">
        <v>914</v>
      </c>
      <c r="CH12" s="137">
        <v>534</v>
      </c>
      <c r="CI12" s="137">
        <v>387</v>
      </c>
      <c r="CJ12" s="137">
        <v>593</v>
      </c>
      <c r="CK12" s="138">
        <v>2504</v>
      </c>
      <c r="CL12" s="140">
        <v>28639</v>
      </c>
      <c r="CM12" s="49"/>
    </row>
    <row r="13" spans="1:91">
      <c r="A13" s="80">
        <f>ROWS($A$3:A11)</f>
        <v>9</v>
      </c>
      <c r="B13" s="92" t="s">
        <v>65</v>
      </c>
      <c r="C13" s="202">
        <v>2008</v>
      </c>
      <c r="D13" s="254" t="s">
        <v>11</v>
      </c>
      <c r="E13" s="256">
        <v>40442</v>
      </c>
      <c r="F13" s="116">
        <v>4006313</v>
      </c>
      <c r="G13" s="137">
        <v>2740164</v>
      </c>
      <c r="H13" s="137">
        <v>2195681</v>
      </c>
      <c r="I13" s="138">
        <v>1807348</v>
      </c>
      <c r="J13" s="141"/>
      <c r="K13" s="116">
        <f t="shared" si="0"/>
        <v>313576</v>
      </c>
      <c r="L13" s="137">
        <f t="shared" si="1"/>
        <v>416255</v>
      </c>
      <c r="M13" s="137">
        <f t="shared" si="2"/>
        <v>134939</v>
      </c>
      <c r="N13" s="137">
        <f t="shared" si="3"/>
        <v>254833</v>
      </c>
      <c r="O13" s="137">
        <f t="shared" si="4"/>
        <v>132773</v>
      </c>
      <c r="P13" s="137">
        <f>'2008'!AZ13+'2008'!BA13</f>
        <v>451841</v>
      </c>
      <c r="Q13" s="137">
        <f>'2008'!AU13</f>
        <v>372827</v>
      </c>
      <c r="R13" s="137">
        <f t="shared" si="5"/>
        <v>1115966</v>
      </c>
      <c r="S13" s="137">
        <f t="shared" si="6"/>
        <v>514646</v>
      </c>
      <c r="T13" s="137">
        <f t="shared" si="7"/>
        <v>109499</v>
      </c>
      <c r="U13" s="139">
        <f t="shared" si="8"/>
        <v>189158</v>
      </c>
      <c r="V13" s="137">
        <f t="shared" si="9"/>
        <v>281888</v>
      </c>
      <c r="W13" s="137">
        <f t="shared" si="10"/>
        <v>121272</v>
      </c>
      <c r="X13" s="137">
        <f t="shared" si="11"/>
        <v>722117</v>
      </c>
      <c r="Y13" s="137">
        <f t="shared" si="12"/>
        <v>992268</v>
      </c>
      <c r="Z13" s="137">
        <f t="shared" si="13"/>
        <v>148763</v>
      </c>
      <c r="AA13" s="137">
        <f t="shared" si="14"/>
        <v>315154</v>
      </c>
      <c r="AB13" s="139">
        <f t="shared" si="15"/>
        <v>158702</v>
      </c>
      <c r="AC13" s="137">
        <f t="shared" si="16"/>
        <v>208691</v>
      </c>
      <c r="AD13" s="137">
        <f t="shared" si="17"/>
        <v>157667</v>
      </c>
      <c r="AE13" s="137">
        <f t="shared" si="18"/>
        <v>469797</v>
      </c>
      <c r="AF13" s="137">
        <f t="shared" si="19"/>
        <v>222596</v>
      </c>
      <c r="AG13" s="137">
        <f t="shared" si="20"/>
        <v>417613</v>
      </c>
      <c r="AH13" s="137">
        <f t="shared" si="21"/>
        <v>276240</v>
      </c>
      <c r="AI13" s="137">
        <f t="shared" si="22"/>
        <v>141073</v>
      </c>
      <c r="AJ13" s="137">
        <f t="shared" si="23"/>
        <v>135141</v>
      </c>
      <c r="AK13" s="139">
        <f t="shared" si="24"/>
        <v>166863</v>
      </c>
      <c r="AL13" s="137">
        <f t="shared" si="25"/>
        <v>190294</v>
      </c>
      <c r="AM13" s="137">
        <f t="shared" si="26"/>
        <v>189296</v>
      </c>
      <c r="AN13" s="137">
        <f t="shared" si="27"/>
        <v>276474</v>
      </c>
      <c r="AO13" s="137">
        <f t="shared" si="28"/>
        <v>281080</v>
      </c>
      <c r="AP13" s="137">
        <f t="shared" si="29"/>
        <v>218692</v>
      </c>
      <c r="AQ13" s="137">
        <f t="shared" si="30"/>
        <v>131695</v>
      </c>
      <c r="AR13" s="137">
        <f t="shared" si="31"/>
        <v>207766</v>
      </c>
      <c r="AS13" s="138">
        <f t="shared" si="32"/>
        <v>312051</v>
      </c>
      <c r="AT13" s="141">
        <v>600068</v>
      </c>
      <c r="AU13" s="141">
        <v>372827</v>
      </c>
      <c r="AV13" s="141">
        <v>514646</v>
      </c>
      <c r="AW13" s="141">
        <v>254833</v>
      </c>
      <c r="AX13" s="141">
        <v>515898</v>
      </c>
      <c r="AY13" s="137">
        <v>416255</v>
      </c>
      <c r="AZ13" s="137">
        <v>122098</v>
      </c>
      <c r="BA13" s="137">
        <v>329743</v>
      </c>
      <c r="BB13" s="137">
        <v>109499</v>
      </c>
      <c r="BC13" s="137">
        <v>189158</v>
      </c>
      <c r="BD13" s="137">
        <v>134939</v>
      </c>
      <c r="BE13" s="137">
        <v>132773</v>
      </c>
      <c r="BF13" s="139">
        <v>313576</v>
      </c>
      <c r="BG13" s="137">
        <v>54777</v>
      </c>
      <c r="BH13" s="137">
        <v>290736</v>
      </c>
      <c r="BI13" s="137">
        <v>431381</v>
      </c>
      <c r="BJ13" s="137">
        <v>227111</v>
      </c>
      <c r="BK13" s="137">
        <v>145642</v>
      </c>
      <c r="BL13" s="137">
        <v>311342</v>
      </c>
      <c r="BM13" s="137">
        <v>148763</v>
      </c>
      <c r="BN13" s="137">
        <v>535284</v>
      </c>
      <c r="BO13" s="137">
        <v>119839</v>
      </c>
      <c r="BP13" s="137">
        <v>158702</v>
      </c>
      <c r="BQ13" s="137">
        <v>195315</v>
      </c>
      <c r="BR13" s="139">
        <v>121272</v>
      </c>
      <c r="BS13" s="137">
        <v>219665</v>
      </c>
      <c r="BT13" s="137">
        <v>250132</v>
      </c>
      <c r="BU13" s="137">
        <v>157667</v>
      </c>
      <c r="BV13" s="137">
        <v>417613</v>
      </c>
      <c r="BW13" s="137">
        <v>141073</v>
      </c>
      <c r="BX13" s="137">
        <v>208691</v>
      </c>
      <c r="BY13" s="137">
        <v>135141</v>
      </c>
      <c r="BZ13" s="137">
        <v>276240</v>
      </c>
      <c r="CA13" s="137">
        <v>222596</v>
      </c>
      <c r="CB13" s="139">
        <v>166863</v>
      </c>
      <c r="CC13" s="137">
        <v>281080</v>
      </c>
      <c r="CD13" s="137">
        <v>218692</v>
      </c>
      <c r="CE13" s="137">
        <v>190294</v>
      </c>
      <c r="CF13" s="137">
        <v>121648</v>
      </c>
      <c r="CG13" s="137">
        <v>190403</v>
      </c>
      <c r="CH13" s="137">
        <v>189296</v>
      </c>
      <c r="CI13" s="137">
        <v>207766</v>
      </c>
      <c r="CJ13" s="137">
        <v>276474</v>
      </c>
      <c r="CK13" s="138">
        <v>131695</v>
      </c>
      <c r="CL13" s="140">
        <v>10749506</v>
      </c>
      <c r="CM13" s="49"/>
    </row>
    <row r="14" spans="1:91">
      <c r="A14" s="80">
        <f>ROWS($A$3:A12)</f>
        <v>10</v>
      </c>
      <c r="B14" s="238" t="s">
        <v>61</v>
      </c>
      <c r="C14" s="252"/>
      <c r="D14" s="254" t="s">
        <v>12</v>
      </c>
      <c r="E14" s="269"/>
      <c r="F14" s="142">
        <f>F13/F7*100</f>
        <v>379.46978781282974</v>
      </c>
      <c r="G14" s="143">
        <f>G13/G7*100</f>
        <v>396.02381203580188</v>
      </c>
      <c r="H14" s="143">
        <f>H13/H7*100</f>
        <v>234.6570154045429</v>
      </c>
      <c r="I14" s="144">
        <f>I13/I7*100</f>
        <v>202.66747404068269</v>
      </c>
      <c r="J14" s="141"/>
      <c r="K14" s="145">
        <f t="shared" si="0"/>
        <v>207.45053156651693</v>
      </c>
      <c r="L14" s="146">
        <f t="shared" si="1"/>
        <v>485.06653925932835</v>
      </c>
      <c r="M14" s="146">
        <f t="shared" si="2"/>
        <v>103.44750923782217</v>
      </c>
      <c r="N14" s="146">
        <f t="shared" si="3"/>
        <v>396.71368080204246</v>
      </c>
      <c r="O14" s="146">
        <f t="shared" si="4"/>
        <v>211.71865033805329</v>
      </c>
      <c r="P14" s="143">
        <f>P13/P7*100</f>
        <v>376.58751656484668</v>
      </c>
      <c r="Q14" s="146">
        <f>'2008'!AU14</f>
        <v>603.44593172879274</v>
      </c>
      <c r="R14" s="143">
        <f>R13/R7*100</f>
        <v>1248.0328345523271</v>
      </c>
      <c r="S14" s="146">
        <f t="shared" si="6"/>
        <v>802.26659807635338</v>
      </c>
      <c r="T14" s="146">
        <f t="shared" si="7"/>
        <v>140.97071129707112</v>
      </c>
      <c r="U14" s="147">
        <f t="shared" si="8"/>
        <v>127.4598062072962</v>
      </c>
      <c r="V14" s="143">
        <f>V13/V7*100</f>
        <v>320.68804677990011</v>
      </c>
      <c r="W14" s="146">
        <f t="shared" si="10"/>
        <v>139.28423760738733</v>
      </c>
      <c r="X14" s="143">
        <f>X13/X7*100</f>
        <v>573.81917294428013</v>
      </c>
      <c r="Y14" s="143">
        <f>Y13/Y7*100</f>
        <v>754.2838898982144</v>
      </c>
      <c r="Z14" s="146">
        <f t="shared" si="13"/>
        <v>132.07997798119524</v>
      </c>
      <c r="AA14" s="143">
        <f>AA13/AA7*100</f>
        <v>469.1746561067111</v>
      </c>
      <c r="AB14" s="147">
        <f t="shared" si="15"/>
        <v>198.99438258601666</v>
      </c>
      <c r="AC14" s="146">
        <f t="shared" si="16"/>
        <v>203.55331434590926</v>
      </c>
      <c r="AD14" s="146">
        <f t="shared" si="17"/>
        <v>231.89733784380056</v>
      </c>
      <c r="AE14" s="143">
        <f>AE13/AE7*100</f>
        <v>306.778155793103</v>
      </c>
      <c r="AF14" s="146">
        <f t="shared" si="19"/>
        <v>275.89643162578551</v>
      </c>
      <c r="AG14" s="146">
        <f t="shared" si="20"/>
        <v>224.43744592118065</v>
      </c>
      <c r="AH14" s="146">
        <f t="shared" si="21"/>
        <v>337.71409709402548</v>
      </c>
      <c r="AI14" s="146">
        <f t="shared" si="22"/>
        <v>183.34979595019624</v>
      </c>
      <c r="AJ14" s="146">
        <f t="shared" si="23"/>
        <v>184.02805201879212</v>
      </c>
      <c r="AK14" s="147">
        <f t="shared" si="24"/>
        <v>147.511028209231</v>
      </c>
      <c r="AL14" s="146">
        <f t="shared" si="25"/>
        <v>207.35518458789173</v>
      </c>
      <c r="AM14" s="146">
        <f t="shared" si="26"/>
        <v>134.26962307244895</v>
      </c>
      <c r="AN14" s="146">
        <f t="shared" si="27"/>
        <v>169.42781328708611</v>
      </c>
      <c r="AO14" s="146">
        <f t="shared" si="28"/>
        <v>256.89582685945129</v>
      </c>
      <c r="AP14" s="146">
        <f t="shared" si="29"/>
        <v>421.23389255927731</v>
      </c>
      <c r="AQ14" s="146">
        <f t="shared" si="30"/>
        <v>109.34853366103158</v>
      </c>
      <c r="AR14" s="146">
        <f t="shared" si="31"/>
        <v>312.53346971930563</v>
      </c>
      <c r="AS14" s="144">
        <f t="shared" ref="AS14:CL14" si="33">AS13/AS7*100</f>
        <v>211.41666666666669</v>
      </c>
      <c r="AT14" s="143">
        <f t="shared" si="33"/>
        <v>2893.8464506172841</v>
      </c>
      <c r="AU14" s="143">
        <f t="shared" si="33"/>
        <v>603.44593172879274</v>
      </c>
      <c r="AV14" s="143">
        <f t="shared" si="33"/>
        <v>802.26659807635338</v>
      </c>
      <c r="AW14" s="143">
        <f t="shared" si="33"/>
        <v>396.71368080204246</v>
      </c>
      <c r="AX14" s="143">
        <f t="shared" si="33"/>
        <v>751.14003669083604</v>
      </c>
      <c r="AY14" s="143">
        <f t="shared" si="33"/>
        <v>485.06653925932835</v>
      </c>
      <c r="AZ14" s="143">
        <f t="shared" si="33"/>
        <v>1222.4469363235883</v>
      </c>
      <c r="BA14" s="143">
        <f t="shared" si="33"/>
        <v>299.77998999954542</v>
      </c>
      <c r="BB14" s="143">
        <f t="shared" si="33"/>
        <v>140.97071129707112</v>
      </c>
      <c r="BC14" s="143">
        <f t="shared" si="33"/>
        <v>127.4598062072962</v>
      </c>
      <c r="BD14" s="143">
        <f t="shared" si="33"/>
        <v>103.44750923782217</v>
      </c>
      <c r="BE14" s="143">
        <f t="shared" si="33"/>
        <v>211.71865033805329</v>
      </c>
      <c r="BF14" s="148">
        <f t="shared" si="33"/>
        <v>207.45053156651693</v>
      </c>
      <c r="BG14" s="143">
        <f t="shared" si="33"/>
        <v>390.76187758596092</v>
      </c>
      <c r="BH14" s="143">
        <f t="shared" si="33"/>
        <v>1676.0982359045315</v>
      </c>
      <c r="BI14" s="143">
        <f t="shared" si="33"/>
        <v>397.59350402772401</v>
      </c>
      <c r="BJ14" s="143">
        <f t="shared" si="33"/>
        <v>307.39276964931037</v>
      </c>
      <c r="BK14" s="143">
        <f t="shared" si="33"/>
        <v>1338.2523201323165</v>
      </c>
      <c r="BL14" s="143">
        <f t="shared" si="33"/>
        <v>2147.778697571744</v>
      </c>
      <c r="BM14" s="143">
        <f t="shared" si="33"/>
        <v>132.07997798119524</v>
      </c>
      <c r="BN14" s="143">
        <f t="shared" si="33"/>
        <v>504.16682364465208</v>
      </c>
      <c r="BO14" s="143">
        <f t="shared" si="33"/>
        <v>1222.472712434969</v>
      </c>
      <c r="BP14" s="143">
        <f t="shared" si="33"/>
        <v>198.99438258601666</v>
      </c>
      <c r="BQ14" s="143">
        <f t="shared" si="33"/>
        <v>340.45390367620143</v>
      </c>
      <c r="BR14" s="148">
        <f t="shared" si="33"/>
        <v>139.28423760738733</v>
      </c>
      <c r="BS14" s="143">
        <f t="shared" si="33"/>
        <v>1435.1561479158499</v>
      </c>
      <c r="BT14" s="143">
        <f t="shared" si="33"/>
        <v>181.47468313103539</v>
      </c>
      <c r="BU14" s="143">
        <f t="shared" si="33"/>
        <v>231.89733784380056</v>
      </c>
      <c r="BV14" s="143">
        <f t="shared" si="33"/>
        <v>224.43744592118065</v>
      </c>
      <c r="BW14" s="143">
        <f t="shared" si="33"/>
        <v>183.34979595019624</v>
      </c>
      <c r="BX14" s="143">
        <f t="shared" si="33"/>
        <v>203.55331434590926</v>
      </c>
      <c r="BY14" s="143">
        <f t="shared" si="33"/>
        <v>184.02805201879212</v>
      </c>
      <c r="BZ14" s="143">
        <f t="shared" si="33"/>
        <v>337.71409709402548</v>
      </c>
      <c r="CA14" s="143">
        <f t="shared" si="33"/>
        <v>275.89643162578551</v>
      </c>
      <c r="CB14" s="148">
        <f t="shared" si="33"/>
        <v>147.511028209231</v>
      </c>
      <c r="CC14" s="143">
        <f t="shared" si="33"/>
        <v>256.89582685945129</v>
      </c>
      <c r="CD14" s="143">
        <f t="shared" si="33"/>
        <v>421.23389255927731</v>
      </c>
      <c r="CE14" s="143">
        <f t="shared" si="33"/>
        <v>207.35518458789173</v>
      </c>
      <c r="CF14" s="143">
        <f t="shared" si="33"/>
        <v>1024.9220658859213</v>
      </c>
      <c r="CG14" s="143">
        <f t="shared" si="33"/>
        <v>140.27967081948856</v>
      </c>
      <c r="CH14" s="143">
        <f t="shared" si="33"/>
        <v>134.26962307244895</v>
      </c>
      <c r="CI14" s="143">
        <f t="shared" si="33"/>
        <v>312.53346971930563</v>
      </c>
      <c r="CJ14" s="143">
        <f t="shared" si="33"/>
        <v>169.42781328708611</v>
      </c>
      <c r="CK14" s="144">
        <f t="shared" si="33"/>
        <v>109.34853366103158</v>
      </c>
      <c r="CL14" s="149">
        <f t="shared" si="33"/>
        <v>300.67084846779488</v>
      </c>
    </row>
    <row r="15" spans="1:91">
      <c r="A15" s="80">
        <f>ROWS($A$3:A13)</f>
        <v>11</v>
      </c>
      <c r="B15" s="59" t="s">
        <v>269</v>
      </c>
      <c r="C15" s="252"/>
      <c r="D15" s="254"/>
      <c r="E15" s="269"/>
      <c r="F15" s="142"/>
      <c r="G15" s="143"/>
      <c r="H15" s="143"/>
      <c r="I15" s="144"/>
      <c r="J15" s="141"/>
      <c r="K15" s="145"/>
      <c r="L15" s="146"/>
      <c r="M15" s="146"/>
      <c r="N15" s="146"/>
      <c r="O15" s="146"/>
      <c r="P15" s="143"/>
      <c r="Q15" s="146"/>
      <c r="R15" s="143"/>
      <c r="S15" s="146"/>
      <c r="T15" s="146"/>
      <c r="U15" s="147"/>
      <c r="V15" s="143"/>
      <c r="W15" s="146"/>
      <c r="X15" s="143"/>
      <c r="Y15" s="143"/>
      <c r="Z15" s="146"/>
      <c r="AA15" s="143"/>
      <c r="AB15" s="147"/>
      <c r="AC15" s="146"/>
      <c r="AD15" s="146"/>
      <c r="AE15" s="143"/>
      <c r="AF15" s="146"/>
      <c r="AG15" s="146"/>
      <c r="AH15" s="146"/>
      <c r="AI15" s="146"/>
      <c r="AJ15" s="146"/>
      <c r="AK15" s="147"/>
      <c r="AL15" s="146"/>
      <c r="AM15" s="146"/>
      <c r="AN15" s="146"/>
      <c r="AO15" s="146"/>
      <c r="AP15" s="146"/>
      <c r="AQ15" s="146"/>
      <c r="AR15" s="146"/>
      <c r="AS15" s="144"/>
      <c r="AT15" s="143"/>
      <c r="AU15" s="143"/>
      <c r="AV15" s="143"/>
      <c r="AW15" s="143"/>
      <c r="AX15" s="143"/>
      <c r="AY15" s="143"/>
      <c r="AZ15" s="143"/>
      <c r="BA15" s="143"/>
      <c r="BB15" s="143"/>
      <c r="BC15" s="143"/>
      <c r="BD15" s="143"/>
      <c r="BE15" s="143"/>
      <c r="BF15" s="148"/>
      <c r="BG15" s="143"/>
      <c r="BH15" s="143"/>
      <c r="BI15" s="143"/>
      <c r="BJ15" s="143"/>
      <c r="BK15" s="143"/>
      <c r="BL15" s="143"/>
      <c r="BM15" s="143"/>
      <c r="BN15" s="143"/>
      <c r="BO15" s="143"/>
      <c r="BP15" s="143"/>
      <c r="BQ15" s="143"/>
      <c r="BR15" s="148"/>
      <c r="BS15" s="143"/>
      <c r="BT15" s="143"/>
      <c r="BU15" s="143"/>
      <c r="BV15" s="143"/>
      <c r="BW15" s="143"/>
      <c r="BX15" s="143"/>
      <c r="BY15" s="143"/>
      <c r="BZ15" s="143"/>
      <c r="CA15" s="143"/>
      <c r="CB15" s="148"/>
      <c r="CC15" s="143"/>
      <c r="CD15" s="143"/>
      <c r="CE15" s="143"/>
      <c r="CF15" s="143"/>
      <c r="CG15" s="143"/>
      <c r="CH15" s="143"/>
      <c r="CI15" s="143"/>
      <c r="CJ15" s="143"/>
      <c r="CK15" s="144"/>
      <c r="CL15" s="149"/>
    </row>
    <row r="16" spans="1:91">
      <c r="A16" s="80">
        <f>ROWS($A$3:A14)</f>
        <v>12</v>
      </c>
      <c r="B16" s="92" t="s">
        <v>200</v>
      </c>
      <c r="C16" s="202">
        <v>2008</v>
      </c>
      <c r="D16" s="254" t="s">
        <v>11</v>
      </c>
      <c r="E16" s="256">
        <v>40679</v>
      </c>
      <c r="F16" s="116">
        <v>2163100</v>
      </c>
      <c r="G16" s="137">
        <v>1436700</v>
      </c>
      <c r="H16" s="137">
        <v>1086100</v>
      </c>
      <c r="I16" s="138">
        <v>915700</v>
      </c>
      <c r="J16" s="141"/>
      <c r="K16" s="116">
        <f t="shared" si="0"/>
        <v>151000</v>
      </c>
      <c r="L16" s="137">
        <f t="shared" si="1"/>
        <v>184700</v>
      </c>
      <c r="M16" s="137">
        <f t="shared" si="2"/>
        <v>70400</v>
      </c>
      <c r="N16" s="137">
        <f t="shared" si="3"/>
        <v>113100</v>
      </c>
      <c r="O16" s="137">
        <f t="shared" si="4"/>
        <v>64200</v>
      </c>
      <c r="P16" s="137">
        <f>'2008'!AZ16+'2008'!BA16</f>
        <v>245400</v>
      </c>
      <c r="Q16" s="137">
        <f>'2008'!AU16</f>
        <v>210400</v>
      </c>
      <c r="R16" s="137">
        <f>AT16+AX16</f>
        <v>711100</v>
      </c>
      <c r="S16" s="137">
        <f t="shared" si="6"/>
        <v>254400</v>
      </c>
      <c r="T16" s="137">
        <f t="shared" si="7"/>
        <v>61900</v>
      </c>
      <c r="U16" s="139">
        <f t="shared" si="8"/>
        <v>96300</v>
      </c>
      <c r="V16" s="137">
        <f>BG16+BJ16</f>
        <v>155200</v>
      </c>
      <c r="W16" s="137">
        <f t="shared" si="10"/>
        <v>60700</v>
      </c>
      <c r="X16" s="137">
        <f>BH16+BI16</f>
        <v>408700</v>
      </c>
      <c r="Y16" s="137">
        <f>BK16+BL16+BN16</f>
        <v>543000</v>
      </c>
      <c r="Z16" s="137">
        <f t="shared" si="13"/>
        <v>62300</v>
      </c>
      <c r="AA16" s="137">
        <f>BO16+BQ16</f>
        <v>145700</v>
      </c>
      <c r="AB16" s="139">
        <f t="shared" si="15"/>
        <v>61100</v>
      </c>
      <c r="AC16" s="137">
        <f t="shared" si="16"/>
        <v>109800</v>
      </c>
      <c r="AD16" s="137">
        <f t="shared" si="17"/>
        <v>63900</v>
      </c>
      <c r="AE16" s="137">
        <f>BS16+BT16</f>
        <v>250700</v>
      </c>
      <c r="AF16" s="137">
        <f t="shared" si="19"/>
        <v>101300</v>
      </c>
      <c r="AG16" s="137">
        <f t="shared" si="20"/>
        <v>220800</v>
      </c>
      <c r="AH16" s="137">
        <f t="shared" si="21"/>
        <v>127000</v>
      </c>
      <c r="AI16" s="137">
        <f t="shared" si="22"/>
        <v>70400</v>
      </c>
      <c r="AJ16" s="137">
        <f t="shared" si="23"/>
        <v>70800</v>
      </c>
      <c r="AK16" s="139">
        <f t="shared" si="24"/>
        <v>71600</v>
      </c>
      <c r="AL16" s="137">
        <f t="shared" si="25"/>
        <v>88000</v>
      </c>
      <c r="AM16" s="137">
        <f t="shared" si="26"/>
        <v>95700</v>
      </c>
      <c r="AN16" s="137">
        <f t="shared" si="27"/>
        <v>142000</v>
      </c>
      <c r="AO16" s="137">
        <f t="shared" si="28"/>
        <v>139200</v>
      </c>
      <c r="AP16" s="137">
        <f t="shared" si="29"/>
        <v>96900</v>
      </c>
      <c r="AQ16" s="137">
        <f t="shared" si="30"/>
        <v>64400</v>
      </c>
      <c r="AR16" s="137">
        <f t="shared" si="31"/>
        <v>106600</v>
      </c>
      <c r="AS16" s="138">
        <f>CF16+CG16</f>
        <v>183100</v>
      </c>
      <c r="AT16" s="141">
        <v>471600</v>
      </c>
      <c r="AU16" s="141">
        <v>210400</v>
      </c>
      <c r="AV16" s="141">
        <v>254400</v>
      </c>
      <c r="AW16" s="141">
        <v>113100</v>
      </c>
      <c r="AX16" s="141">
        <v>239500</v>
      </c>
      <c r="AY16" s="137">
        <v>184700</v>
      </c>
      <c r="AZ16" s="137">
        <v>94200</v>
      </c>
      <c r="BA16" s="137">
        <v>151200</v>
      </c>
      <c r="BB16" s="137">
        <v>61900</v>
      </c>
      <c r="BC16" s="137">
        <v>96300</v>
      </c>
      <c r="BD16" s="137">
        <v>70400</v>
      </c>
      <c r="BE16" s="137">
        <v>64200</v>
      </c>
      <c r="BF16" s="139">
        <v>151000</v>
      </c>
      <c r="BG16" s="137">
        <v>42900</v>
      </c>
      <c r="BH16" s="137">
        <v>217100</v>
      </c>
      <c r="BI16" s="137">
        <v>191600</v>
      </c>
      <c r="BJ16" s="137">
        <v>112300</v>
      </c>
      <c r="BK16" s="137">
        <v>109700</v>
      </c>
      <c r="BL16" s="137">
        <v>219200</v>
      </c>
      <c r="BM16" s="137">
        <v>62300</v>
      </c>
      <c r="BN16" s="137">
        <v>214100</v>
      </c>
      <c r="BO16" s="137">
        <v>69700</v>
      </c>
      <c r="BP16" s="137">
        <v>61100</v>
      </c>
      <c r="BQ16" s="137">
        <v>76000</v>
      </c>
      <c r="BR16" s="139">
        <v>60700</v>
      </c>
      <c r="BS16" s="137">
        <v>147300</v>
      </c>
      <c r="BT16" s="137">
        <v>103400</v>
      </c>
      <c r="BU16" s="137">
        <v>63900</v>
      </c>
      <c r="BV16" s="137">
        <v>220800</v>
      </c>
      <c r="BW16" s="137">
        <v>70400</v>
      </c>
      <c r="BX16" s="137">
        <v>109800</v>
      </c>
      <c r="BY16" s="137">
        <v>70800</v>
      </c>
      <c r="BZ16" s="137">
        <v>127000</v>
      </c>
      <c r="CA16" s="137">
        <v>101300</v>
      </c>
      <c r="CB16" s="139">
        <v>71600</v>
      </c>
      <c r="CC16" s="137">
        <v>139200</v>
      </c>
      <c r="CD16" s="137">
        <v>96900</v>
      </c>
      <c r="CE16" s="137">
        <v>88000</v>
      </c>
      <c r="CF16" s="137">
        <v>111900</v>
      </c>
      <c r="CG16" s="137">
        <v>71200</v>
      </c>
      <c r="CH16" s="137">
        <v>95700</v>
      </c>
      <c r="CI16" s="137">
        <v>106600</v>
      </c>
      <c r="CJ16" s="137">
        <v>142000</v>
      </c>
      <c r="CK16" s="138">
        <v>64400</v>
      </c>
      <c r="CL16" s="140">
        <v>5601600</v>
      </c>
    </row>
    <row r="17" spans="1:90" ht="14.25">
      <c r="A17" s="80">
        <f>ROWS($A$3:A15)</f>
        <v>13</v>
      </c>
      <c r="B17" s="54" t="s">
        <v>243</v>
      </c>
      <c r="C17" s="252"/>
      <c r="D17" s="254" t="s">
        <v>3</v>
      </c>
      <c r="E17" s="256"/>
      <c r="F17" s="167">
        <f>(AT16*AT17+AU16*AU17+AV16*AV17+AW16*AW17+AX16*AX17+AY16*AY17+AZ16*AZ17+BA16*BA17+BB16*BB17+BC16*BC17+BD16*BD17+BE16*BE17+BF16*BF17)/F16</f>
        <v>4.1762100688826225</v>
      </c>
      <c r="G17" s="168">
        <f>(BG16*BG17+BH16*BH17+BI16*BI17+BJ16*BJ17+BK16*BK17+BL16*BL17+BM16*BM17+BN16*BN17+BO16*BO17+BP16*BP17+BQ16*BQ17+BR16*BR17)/G16</f>
        <v>5.1521124799888636</v>
      </c>
      <c r="H17" s="168">
        <f>(BS16*BS17+BT16*BT17+BU16*BU17+BV16*BV17+BW16*BW17+BX16*BX17+BY16*BY17+BZ16*BZ17+CA16*CA17+CB16*CB17)/H16</f>
        <v>4.2882147131939972</v>
      </c>
      <c r="I17" s="169">
        <f>(CC16*CC17+CD16*CD17+CE16*CE17+CF16*CF17+CG16*CG17+CH16*CH17+CI16*CI17+CJ16*CJ17+CK16*CK17)/I16</f>
        <v>3.5882712678824942</v>
      </c>
      <c r="J17" s="173"/>
      <c r="K17" s="170">
        <f t="shared" si="0"/>
        <v>3.7</v>
      </c>
      <c r="L17" s="171">
        <f t="shared" si="1"/>
        <v>3.8</v>
      </c>
      <c r="M17" s="171">
        <f t="shared" si="2"/>
        <v>4</v>
      </c>
      <c r="N17" s="171">
        <f t="shared" si="3"/>
        <v>4</v>
      </c>
      <c r="O17" s="171">
        <f t="shared" si="4"/>
        <v>4.3</v>
      </c>
      <c r="P17" s="168">
        <f>ROUND((AZ16*AZ17/100+BA16*BA17/100)/P16%,1)</f>
        <v>4.7</v>
      </c>
      <c r="Q17" s="171">
        <f>'2008'!AU17</f>
        <v>4</v>
      </c>
      <c r="R17" s="168">
        <f>ROUND((AT16*AT17/100+AX16*AX17/100)/R16%,1)</f>
        <v>4.8</v>
      </c>
      <c r="S17" s="171">
        <f t="shared" si="6"/>
        <v>3.4</v>
      </c>
      <c r="T17" s="171">
        <f t="shared" si="7"/>
        <v>3.2</v>
      </c>
      <c r="U17" s="172">
        <f t="shared" si="8"/>
        <v>3.3</v>
      </c>
      <c r="V17" s="168">
        <f>ROUND((BG16*BG17/100+BJ16*BJ17/100)/V16%,1)</f>
        <v>4.2</v>
      </c>
      <c r="W17" s="171">
        <f t="shared" si="10"/>
        <v>3.8</v>
      </c>
      <c r="X17" s="168">
        <f>ROUND((BH16*BH17/100+BI16*BI17/100)/X16%,1)</f>
        <v>5.0999999999999996</v>
      </c>
      <c r="Y17" s="168">
        <f>ROUND((BK16*BK17/100+BL16*BL17/100+BN16*BN17/100)/Y16%,1)</f>
        <v>5.9</v>
      </c>
      <c r="Z17" s="171">
        <f t="shared" si="13"/>
        <v>4.3</v>
      </c>
      <c r="AA17" s="168">
        <f>ROUND((BO16*BO17/100+BQ16*BQ17/100)/AA16%,1)</f>
        <v>5</v>
      </c>
      <c r="AB17" s="172">
        <f t="shared" si="15"/>
        <v>3.9</v>
      </c>
      <c r="AC17" s="171">
        <f t="shared" si="16"/>
        <v>3.9</v>
      </c>
      <c r="AD17" s="171">
        <f t="shared" si="17"/>
        <v>3.3</v>
      </c>
      <c r="AE17" s="168">
        <f>ROUND((BS16*BS17/100+BT16*BT17/100)/AE16%,1)</f>
        <v>5.8</v>
      </c>
      <c r="AF17" s="171">
        <f t="shared" si="19"/>
        <v>4.3</v>
      </c>
      <c r="AG17" s="171">
        <f t="shared" si="20"/>
        <v>3.7</v>
      </c>
      <c r="AH17" s="171">
        <f t="shared" si="21"/>
        <v>4.5</v>
      </c>
      <c r="AI17" s="171">
        <f t="shared" si="22"/>
        <v>3.3</v>
      </c>
      <c r="AJ17" s="171">
        <f t="shared" si="23"/>
        <v>3.3</v>
      </c>
      <c r="AK17" s="172">
        <f t="shared" si="24"/>
        <v>3.9</v>
      </c>
      <c r="AL17" s="171">
        <f t="shared" si="25"/>
        <v>4.5999999999999996</v>
      </c>
      <c r="AM17" s="171">
        <f t="shared" si="26"/>
        <v>2.2999999999999998</v>
      </c>
      <c r="AN17" s="171">
        <f t="shared" si="27"/>
        <v>3</v>
      </c>
      <c r="AO17" s="171">
        <f t="shared" si="28"/>
        <v>3.6</v>
      </c>
      <c r="AP17" s="171">
        <f t="shared" si="29"/>
        <v>3.9</v>
      </c>
      <c r="AQ17" s="171">
        <f t="shared" si="30"/>
        <v>4.0999999999999996</v>
      </c>
      <c r="AR17" s="171">
        <f t="shared" si="31"/>
        <v>3.4</v>
      </c>
      <c r="AS17" s="169">
        <f>ROUND((CF16*CF17/100+CG16*CG17/100)/AS16%,1)</f>
        <v>4</v>
      </c>
      <c r="AT17" s="173">
        <v>5.3</v>
      </c>
      <c r="AU17" s="173">
        <v>4</v>
      </c>
      <c r="AV17" s="173">
        <v>3.4</v>
      </c>
      <c r="AW17" s="173">
        <v>4</v>
      </c>
      <c r="AX17" s="173">
        <v>3.7</v>
      </c>
      <c r="AY17" s="171">
        <v>3.8</v>
      </c>
      <c r="AZ17" s="171">
        <v>6</v>
      </c>
      <c r="BA17" s="171">
        <v>3.9</v>
      </c>
      <c r="BB17" s="171">
        <v>3.2</v>
      </c>
      <c r="BC17" s="171">
        <v>3.3</v>
      </c>
      <c r="BD17" s="171">
        <v>4</v>
      </c>
      <c r="BE17" s="171">
        <v>4.3</v>
      </c>
      <c r="BF17" s="172">
        <v>3.7</v>
      </c>
      <c r="BG17" s="171">
        <v>6.1</v>
      </c>
      <c r="BH17" s="171">
        <v>6.4</v>
      </c>
      <c r="BI17" s="171">
        <v>3.6</v>
      </c>
      <c r="BJ17" s="171">
        <v>3.5</v>
      </c>
      <c r="BK17" s="171">
        <v>6</v>
      </c>
      <c r="BL17" s="171">
        <v>7.5</v>
      </c>
      <c r="BM17" s="171">
        <v>4.3</v>
      </c>
      <c r="BN17" s="171">
        <v>4.2</v>
      </c>
      <c r="BO17" s="171">
        <v>7.2</v>
      </c>
      <c r="BP17" s="171">
        <v>3.9</v>
      </c>
      <c r="BQ17" s="171">
        <v>3</v>
      </c>
      <c r="BR17" s="172">
        <v>3.8</v>
      </c>
      <c r="BS17" s="171">
        <v>7.1</v>
      </c>
      <c r="BT17" s="171">
        <v>3.9</v>
      </c>
      <c r="BU17" s="171">
        <v>3.3</v>
      </c>
      <c r="BV17" s="171">
        <v>3.7</v>
      </c>
      <c r="BW17" s="171">
        <v>3.3</v>
      </c>
      <c r="BX17" s="171">
        <v>3.9</v>
      </c>
      <c r="BY17" s="171">
        <v>3.3</v>
      </c>
      <c r="BZ17" s="171">
        <v>4.5</v>
      </c>
      <c r="CA17" s="171">
        <v>4.3</v>
      </c>
      <c r="CB17" s="172">
        <v>3.9</v>
      </c>
      <c r="CC17" s="171">
        <v>3.6</v>
      </c>
      <c r="CD17" s="171">
        <v>3.9</v>
      </c>
      <c r="CE17" s="171">
        <v>4.5999999999999996</v>
      </c>
      <c r="CF17" s="171">
        <v>4.8</v>
      </c>
      <c r="CG17" s="171">
        <v>2.7</v>
      </c>
      <c r="CH17" s="171">
        <v>2.2999999999999998</v>
      </c>
      <c r="CI17" s="171">
        <v>3.4</v>
      </c>
      <c r="CJ17" s="171">
        <v>3</v>
      </c>
      <c r="CK17" s="174">
        <v>4.0999999999999996</v>
      </c>
      <c r="CL17" s="175">
        <v>4.0999999999999996</v>
      </c>
    </row>
    <row r="18" spans="1:90">
      <c r="A18" s="80">
        <f>ROWS($A$3:A16)</f>
        <v>14</v>
      </c>
      <c r="B18" s="238" t="s">
        <v>270</v>
      </c>
      <c r="C18" s="202">
        <v>2007</v>
      </c>
      <c r="D18" s="254" t="s">
        <v>11</v>
      </c>
      <c r="E18" s="256"/>
      <c r="F18" s="116">
        <v>84065</v>
      </c>
      <c r="G18" s="137">
        <v>29190</v>
      </c>
      <c r="H18" s="137">
        <v>77208</v>
      </c>
      <c r="I18" s="138">
        <v>46957</v>
      </c>
      <c r="J18" s="173"/>
      <c r="K18" s="116">
        <f>BF18</f>
        <v>6256</v>
      </c>
      <c r="L18" s="137">
        <f>AY18</f>
        <v>8739</v>
      </c>
      <c r="M18" s="137">
        <f>BD18</f>
        <v>6943</v>
      </c>
      <c r="N18" s="137">
        <f>AW18</f>
        <v>2639</v>
      </c>
      <c r="O18" s="137">
        <f>BE18</f>
        <v>1814</v>
      </c>
      <c r="P18" s="143">
        <f>'2008'!AZ18+'2008'!BA18</f>
        <v>21440</v>
      </c>
      <c r="Q18" s="137">
        <f>'2008'!AU18</f>
        <v>2519</v>
      </c>
      <c r="R18" s="143">
        <f>AT18+AX18</f>
        <v>14752</v>
      </c>
      <c r="S18" s="137">
        <f>AV18</f>
        <v>4108</v>
      </c>
      <c r="T18" s="137">
        <f>BB18</f>
        <v>7702</v>
      </c>
      <c r="U18" s="139">
        <f>BC18</f>
        <v>7153</v>
      </c>
      <c r="V18" s="143">
        <f>BG18+BJ18</f>
        <v>6080</v>
      </c>
      <c r="W18" s="137">
        <f>BR18</f>
        <v>1976</v>
      </c>
      <c r="X18" s="143">
        <f>BH18+BI18</f>
        <v>5832</v>
      </c>
      <c r="Y18" s="143">
        <f>BK18+BL18+BN18</f>
        <v>7989</v>
      </c>
      <c r="Z18" s="137">
        <f>BM18</f>
        <v>3095</v>
      </c>
      <c r="AA18" s="143">
        <f>BO18+BQ18</f>
        <v>2360</v>
      </c>
      <c r="AB18" s="139">
        <f>BP18</f>
        <v>1858</v>
      </c>
      <c r="AC18" s="137">
        <f>BX18</f>
        <v>3803</v>
      </c>
      <c r="AD18" s="137">
        <f>BU18</f>
        <v>10040</v>
      </c>
      <c r="AE18" s="143">
        <f>BS18+BT18</f>
        <v>22621</v>
      </c>
      <c r="AF18" s="137">
        <f>CA18</f>
        <v>5993</v>
      </c>
      <c r="AG18" s="137">
        <f>BV18</f>
        <v>21077</v>
      </c>
      <c r="AH18" s="137">
        <f>BZ18</f>
        <v>4856</v>
      </c>
      <c r="AI18" s="137">
        <f>BW18</f>
        <v>2841</v>
      </c>
      <c r="AJ18" s="137">
        <f>BY18</f>
        <v>1487</v>
      </c>
      <c r="AK18" s="139">
        <f>CB18</f>
        <v>4490</v>
      </c>
      <c r="AL18" s="137">
        <f>CE18</f>
        <v>2263</v>
      </c>
      <c r="AM18" s="137">
        <f>CH18</f>
        <v>5995</v>
      </c>
      <c r="AN18" s="137">
        <f>CJ18</f>
        <v>9801</v>
      </c>
      <c r="AO18" s="137">
        <f>CC18</f>
        <v>3932</v>
      </c>
      <c r="AP18" s="137">
        <f>CD18</f>
        <v>1573</v>
      </c>
      <c r="AQ18" s="137">
        <f>CK18</f>
        <v>4297</v>
      </c>
      <c r="AR18" s="137">
        <f>CI18</f>
        <v>12635</v>
      </c>
      <c r="AS18" s="144">
        <f>CF18+CG18</f>
        <v>6461</v>
      </c>
      <c r="AT18" s="137">
        <v>2417</v>
      </c>
      <c r="AU18" s="137">
        <v>2519</v>
      </c>
      <c r="AV18" s="137">
        <v>4108</v>
      </c>
      <c r="AW18" s="141">
        <v>2639</v>
      </c>
      <c r="AX18" s="137">
        <v>12335</v>
      </c>
      <c r="AY18" s="137">
        <v>8739</v>
      </c>
      <c r="AZ18" s="137">
        <v>2151</v>
      </c>
      <c r="BA18" s="137">
        <v>19289</v>
      </c>
      <c r="BB18" s="137">
        <v>7702</v>
      </c>
      <c r="BC18" s="137">
        <v>7153</v>
      </c>
      <c r="BD18" s="137">
        <v>6943</v>
      </c>
      <c r="BE18" s="137">
        <v>1814</v>
      </c>
      <c r="BF18" s="139">
        <v>6256</v>
      </c>
      <c r="BG18" s="137">
        <v>1187</v>
      </c>
      <c r="BH18" s="137">
        <v>704</v>
      </c>
      <c r="BI18" s="137">
        <v>5128</v>
      </c>
      <c r="BJ18" s="137">
        <v>4893</v>
      </c>
      <c r="BK18" s="137">
        <v>774</v>
      </c>
      <c r="BL18" s="137">
        <v>453</v>
      </c>
      <c r="BM18" s="137">
        <v>3095</v>
      </c>
      <c r="BN18" s="137">
        <v>6762</v>
      </c>
      <c r="BO18" s="137">
        <v>168</v>
      </c>
      <c r="BP18" s="137">
        <v>1858</v>
      </c>
      <c r="BQ18" s="137">
        <v>2192</v>
      </c>
      <c r="BR18" s="139">
        <v>1976</v>
      </c>
      <c r="BS18" s="137">
        <v>1807</v>
      </c>
      <c r="BT18" s="137">
        <v>20814</v>
      </c>
      <c r="BU18" s="137">
        <v>10040</v>
      </c>
      <c r="BV18" s="137">
        <v>21077</v>
      </c>
      <c r="BW18" s="137">
        <v>2841</v>
      </c>
      <c r="BX18" s="137">
        <v>3803</v>
      </c>
      <c r="BY18" s="137">
        <v>1487</v>
      </c>
      <c r="BZ18" s="137">
        <v>4856</v>
      </c>
      <c r="CA18" s="137">
        <v>5993</v>
      </c>
      <c r="CB18" s="139">
        <v>4490</v>
      </c>
      <c r="CC18" s="137">
        <v>3932</v>
      </c>
      <c r="CD18" s="137">
        <v>1573</v>
      </c>
      <c r="CE18" s="137">
        <v>2263</v>
      </c>
      <c r="CF18" s="137">
        <v>491</v>
      </c>
      <c r="CG18" s="137">
        <v>5970</v>
      </c>
      <c r="CH18" s="137">
        <v>5995</v>
      </c>
      <c r="CI18" s="137">
        <v>12635</v>
      </c>
      <c r="CJ18" s="137">
        <v>9801</v>
      </c>
      <c r="CK18" s="138">
        <v>4297</v>
      </c>
      <c r="CL18" s="140">
        <v>237420</v>
      </c>
    </row>
    <row r="19" spans="1:90">
      <c r="A19" s="80">
        <f>ROWS($A$3:A17)</f>
        <v>15</v>
      </c>
      <c r="B19" s="238" t="s">
        <v>268</v>
      </c>
      <c r="C19" s="202">
        <v>2007</v>
      </c>
      <c r="D19" s="254" t="s">
        <v>11</v>
      </c>
      <c r="E19" s="278">
        <v>41491</v>
      </c>
      <c r="F19" s="302">
        <v>1476790</v>
      </c>
      <c r="G19" s="141">
        <v>962862</v>
      </c>
      <c r="H19" s="141">
        <v>706980</v>
      </c>
      <c r="I19" s="298">
        <v>594485</v>
      </c>
      <c r="J19" s="141"/>
      <c r="K19" s="116">
        <f>BF19</f>
        <v>99430</v>
      </c>
      <c r="L19" s="137">
        <f>AY19</f>
        <v>121587</v>
      </c>
      <c r="M19" s="137">
        <f>BD19</f>
        <v>44304</v>
      </c>
      <c r="N19" s="137">
        <f>AW19</f>
        <v>75129</v>
      </c>
      <c r="O19" s="137">
        <f>BE19</f>
        <v>44938</v>
      </c>
      <c r="P19" s="143">
        <f>'2008'!AZ19+'2008'!BA19</f>
        <v>157594</v>
      </c>
      <c r="Q19" s="137">
        <f>'2008'!AU19</f>
        <v>150353</v>
      </c>
      <c r="R19" s="143">
        <f>AT19+AX19</f>
        <v>501569</v>
      </c>
      <c r="S19" s="137">
        <f>AV19</f>
        <v>176912</v>
      </c>
      <c r="T19" s="137">
        <f>BB19</f>
        <v>42077</v>
      </c>
      <c r="U19" s="139">
        <f>BC19</f>
        <v>62897</v>
      </c>
      <c r="V19" s="143">
        <f>BG19+BJ19</f>
        <v>106705</v>
      </c>
      <c r="W19" s="137">
        <f>BR19</f>
        <v>39665</v>
      </c>
      <c r="X19" s="143">
        <f>BH19+BI19</f>
        <v>272323</v>
      </c>
      <c r="Y19" s="143">
        <f>BK19+BL19+BN19</f>
        <v>367188</v>
      </c>
      <c r="Z19" s="137">
        <f>BM19</f>
        <v>39166</v>
      </c>
      <c r="AA19" s="143">
        <f>BO19+BQ19</f>
        <v>99041</v>
      </c>
      <c r="AB19" s="139">
        <f>BP19</f>
        <v>38764</v>
      </c>
      <c r="AC19" s="137">
        <f>BX19</f>
        <v>74318</v>
      </c>
      <c r="AD19" s="137">
        <f>BU19</f>
        <v>40079</v>
      </c>
      <c r="AE19" s="143">
        <f>BS19+BT19</f>
        <v>157694</v>
      </c>
      <c r="AF19" s="137">
        <f>CA19</f>
        <v>65914</v>
      </c>
      <c r="AG19" s="137">
        <f>BV19</f>
        <v>143957</v>
      </c>
      <c r="AH19" s="137">
        <f>BZ19</f>
        <v>82080</v>
      </c>
      <c r="AI19" s="137">
        <f>BW19</f>
        <v>46737</v>
      </c>
      <c r="AJ19" s="137">
        <f>BY19</f>
        <v>50574</v>
      </c>
      <c r="AK19" s="139">
        <f>CB19</f>
        <v>45627</v>
      </c>
      <c r="AL19" s="137">
        <f>CE19</f>
        <v>58802</v>
      </c>
      <c r="AM19" s="137">
        <f>CH19</f>
        <v>62997</v>
      </c>
      <c r="AN19" s="137">
        <f>CJ19</f>
        <v>90848</v>
      </c>
      <c r="AO19" s="137">
        <f>CC19</f>
        <v>93321</v>
      </c>
      <c r="AP19" s="137">
        <f>CD19</f>
        <v>60449</v>
      </c>
      <c r="AQ19" s="137">
        <f>CK19</f>
        <v>38195</v>
      </c>
      <c r="AR19" s="137">
        <f>CI19</f>
        <v>69256</v>
      </c>
      <c r="AS19" s="144">
        <f>CF19+CG19</f>
        <v>120617</v>
      </c>
      <c r="AT19" s="141">
        <v>340134</v>
      </c>
      <c r="AU19" s="141">
        <v>150353</v>
      </c>
      <c r="AV19" s="141">
        <v>176912</v>
      </c>
      <c r="AW19" s="141">
        <v>75129</v>
      </c>
      <c r="AX19" s="141">
        <v>161435</v>
      </c>
      <c r="AY19" s="137">
        <v>121587</v>
      </c>
      <c r="AZ19" s="137">
        <v>58691</v>
      </c>
      <c r="BA19" s="137">
        <v>98903</v>
      </c>
      <c r="BB19" s="137">
        <v>42077</v>
      </c>
      <c r="BC19" s="137">
        <v>62897</v>
      </c>
      <c r="BD19" s="137">
        <v>44304</v>
      </c>
      <c r="BE19" s="137">
        <v>44938</v>
      </c>
      <c r="BF19" s="139">
        <v>99430</v>
      </c>
      <c r="BG19" s="137">
        <v>27529</v>
      </c>
      <c r="BH19" s="137">
        <v>149944</v>
      </c>
      <c r="BI19" s="137">
        <v>122379</v>
      </c>
      <c r="BJ19" s="137">
        <v>79176</v>
      </c>
      <c r="BK19" s="137">
        <v>75324</v>
      </c>
      <c r="BL19" s="137">
        <v>156364</v>
      </c>
      <c r="BM19" s="137">
        <v>39166</v>
      </c>
      <c r="BN19" s="137">
        <v>135500</v>
      </c>
      <c r="BO19" s="137">
        <v>47996</v>
      </c>
      <c r="BP19" s="137">
        <v>38764</v>
      </c>
      <c r="BQ19" s="137">
        <v>51045</v>
      </c>
      <c r="BR19" s="139">
        <v>39665</v>
      </c>
      <c r="BS19" s="137">
        <v>95675</v>
      </c>
      <c r="BT19" s="137">
        <v>62019</v>
      </c>
      <c r="BU19" s="137">
        <v>40079</v>
      </c>
      <c r="BV19" s="137">
        <v>143957</v>
      </c>
      <c r="BW19" s="137">
        <v>46737</v>
      </c>
      <c r="BX19" s="137">
        <v>74318</v>
      </c>
      <c r="BY19" s="137">
        <v>50574</v>
      </c>
      <c r="BZ19" s="137">
        <v>82080</v>
      </c>
      <c r="CA19" s="137">
        <v>65914</v>
      </c>
      <c r="CB19" s="139">
        <v>45627</v>
      </c>
      <c r="CC19" s="137">
        <v>93321</v>
      </c>
      <c r="CD19" s="137">
        <v>60449</v>
      </c>
      <c r="CE19" s="137">
        <v>58802</v>
      </c>
      <c r="CF19" s="137">
        <v>76737</v>
      </c>
      <c r="CG19" s="137">
        <v>43880</v>
      </c>
      <c r="CH19" s="137">
        <v>62997</v>
      </c>
      <c r="CI19" s="137">
        <v>69256</v>
      </c>
      <c r="CJ19" s="137">
        <v>90848</v>
      </c>
      <c r="CK19" s="138">
        <v>38195</v>
      </c>
      <c r="CL19" s="140">
        <v>3741117</v>
      </c>
    </row>
    <row r="20" spans="1:90">
      <c r="A20" s="80">
        <f>ROWS($A$3:A18)</f>
        <v>16</v>
      </c>
      <c r="B20" s="92" t="s">
        <v>64</v>
      </c>
      <c r="C20" s="202">
        <v>2008</v>
      </c>
      <c r="D20" s="254" t="s">
        <v>285</v>
      </c>
      <c r="E20" s="256">
        <v>40442</v>
      </c>
      <c r="F20" s="116">
        <v>128739</v>
      </c>
      <c r="G20" s="137">
        <v>84984</v>
      </c>
      <c r="H20" s="137">
        <v>58453</v>
      </c>
      <c r="I20" s="138">
        <v>52279</v>
      </c>
      <c r="J20" s="141"/>
      <c r="K20" s="116">
        <f t="shared" si="0"/>
        <v>8851</v>
      </c>
      <c r="L20" s="137">
        <f t="shared" si="1"/>
        <v>10150</v>
      </c>
      <c r="M20" s="137">
        <f t="shared" si="2"/>
        <v>3756</v>
      </c>
      <c r="N20" s="137">
        <f t="shared" si="3"/>
        <v>5979</v>
      </c>
      <c r="O20" s="137">
        <f t="shared" si="4"/>
        <v>3498</v>
      </c>
      <c r="P20" s="137">
        <f>'2008'!AZ20+'2008'!BA20</f>
        <v>14326</v>
      </c>
      <c r="Q20" s="137">
        <f>'2008'!AU20</f>
        <v>13652</v>
      </c>
      <c r="R20" s="137">
        <f>AT20+AX20</f>
        <v>44835</v>
      </c>
      <c r="S20" s="137">
        <f t="shared" si="6"/>
        <v>14834</v>
      </c>
      <c r="T20" s="137">
        <f t="shared" si="7"/>
        <v>3225</v>
      </c>
      <c r="U20" s="139">
        <f t="shared" si="8"/>
        <v>5634</v>
      </c>
      <c r="V20" s="137">
        <f>BG20+BJ20</f>
        <v>8942</v>
      </c>
      <c r="W20" s="137">
        <f t="shared" si="10"/>
        <v>3455</v>
      </c>
      <c r="X20" s="137">
        <f>BH20+BI20</f>
        <v>24968</v>
      </c>
      <c r="Y20" s="137">
        <f>BK20+BL20+BN20</f>
        <v>33185</v>
      </c>
      <c r="Z20" s="137">
        <f t="shared" si="13"/>
        <v>3358</v>
      </c>
      <c r="AA20" s="137">
        <f>BO20+BQ20</f>
        <v>7902</v>
      </c>
      <c r="AB20" s="139">
        <f t="shared" si="15"/>
        <v>3174</v>
      </c>
      <c r="AC20" s="137">
        <f t="shared" si="16"/>
        <v>5839</v>
      </c>
      <c r="AD20" s="137">
        <f t="shared" si="17"/>
        <v>3250</v>
      </c>
      <c r="AE20" s="137">
        <f>BS20+BT20</f>
        <v>12355</v>
      </c>
      <c r="AF20" s="137">
        <f t="shared" si="19"/>
        <v>5468</v>
      </c>
      <c r="AG20" s="137">
        <f t="shared" si="20"/>
        <v>12155</v>
      </c>
      <c r="AH20" s="137">
        <f t="shared" si="21"/>
        <v>7292</v>
      </c>
      <c r="AI20" s="137">
        <f t="shared" si="22"/>
        <v>4004</v>
      </c>
      <c r="AJ20" s="137">
        <f t="shared" si="23"/>
        <v>4225</v>
      </c>
      <c r="AK20" s="139">
        <f t="shared" si="24"/>
        <v>3864</v>
      </c>
      <c r="AL20" s="137">
        <f t="shared" si="25"/>
        <v>4855</v>
      </c>
      <c r="AM20" s="137">
        <f t="shared" si="26"/>
        <v>6156</v>
      </c>
      <c r="AN20" s="137">
        <f t="shared" si="27"/>
        <v>7691</v>
      </c>
      <c r="AO20" s="137">
        <f t="shared" si="28"/>
        <v>7759</v>
      </c>
      <c r="AP20" s="137">
        <f t="shared" si="29"/>
        <v>5013</v>
      </c>
      <c r="AQ20" s="137">
        <f t="shared" si="30"/>
        <v>3424</v>
      </c>
      <c r="AR20" s="137">
        <f t="shared" si="31"/>
        <v>6574</v>
      </c>
      <c r="AS20" s="138">
        <f>CF20+CG20</f>
        <v>10808</v>
      </c>
      <c r="AT20" s="141">
        <v>30231</v>
      </c>
      <c r="AU20" s="141">
        <v>13652</v>
      </c>
      <c r="AV20" s="141">
        <v>14834</v>
      </c>
      <c r="AW20" s="141">
        <v>5979</v>
      </c>
      <c r="AX20" s="141">
        <v>14604</v>
      </c>
      <c r="AY20" s="137">
        <v>10150</v>
      </c>
      <c r="AZ20" s="137">
        <v>4772</v>
      </c>
      <c r="BA20" s="137">
        <v>9554</v>
      </c>
      <c r="BB20" s="137">
        <v>3225</v>
      </c>
      <c r="BC20" s="137">
        <v>5634</v>
      </c>
      <c r="BD20" s="137">
        <v>3756</v>
      </c>
      <c r="BE20" s="137">
        <v>3498</v>
      </c>
      <c r="BF20" s="139">
        <v>8851</v>
      </c>
      <c r="BG20" s="137">
        <v>2172</v>
      </c>
      <c r="BH20" s="137">
        <v>13373</v>
      </c>
      <c r="BI20" s="137">
        <v>11595</v>
      </c>
      <c r="BJ20" s="137">
        <v>6770</v>
      </c>
      <c r="BK20" s="137">
        <v>5927</v>
      </c>
      <c r="BL20" s="137">
        <v>14489</v>
      </c>
      <c r="BM20" s="137">
        <v>3358</v>
      </c>
      <c r="BN20" s="137">
        <v>12769</v>
      </c>
      <c r="BO20" s="137">
        <v>3822</v>
      </c>
      <c r="BP20" s="137">
        <v>3174</v>
      </c>
      <c r="BQ20" s="137">
        <v>4080</v>
      </c>
      <c r="BR20" s="139">
        <v>3455</v>
      </c>
      <c r="BS20" s="137">
        <v>7405</v>
      </c>
      <c r="BT20" s="137">
        <v>4950</v>
      </c>
      <c r="BU20" s="137">
        <v>3250</v>
      </c>
      <c r="BV20" s="137">
        <v>12155</v>
      </c>
      <c r="BW20" s="137">
        <v>4004</v>
      </c>
      <c r="BX20" s="137">
        <v>5839</v>
      </c>
      <c r="BY20" s="137">
        <v>4225</v>
      </c>
      <c r="BZ20" s="137">
        <v>7292</v>
      </c>
      <c r="CA20" s="137">
        <v>5468</v>
      </c>
      <c r="CB20" s="139">
        <v>3864</v>
      </c>
      <c r="CC20" s="137">
        <v>7759</v>
      </c>
      <c r="CD20" s="137">
        <v>5013</v>
      </c>
      <c r="CE20" s="137">
        <v>4855</v>
      </c>
      <c r="CF20" s="137">
        <v>6237</v>
      </c>
      <c r="CG20" s="137">
        <v>4571</v>
      </c>
      <c r="CH20" s="137">
        <v>6156</v>
      </c>
      <c r="CI20" s="137">
        <v>6574</v>
      </c>
      <c r="CJ20" s="137">
        <v>7691</v>
      </c>
      <c r="CK20" s="138">
        <v>3424</v>
      </c>
      <c r="CL20" s="140">
        <v>324456</v>
      </c>
    </row>
    <row r="21" spans="1:90">
      <c r="A21" s="80">
        <f>ROWS($A$3:A19)</f>
        <v>17</v>
      </c>
      <c r="B21" s="53" t="s">
        <v>62</v>
      </c>
      <c r="C21" s="204">
        <v>2008</v>
      </c>
      <c r="D21" s="268" t="s">
        <v>3</v>
      </c>
      <c r="E21" s="269"/>
      <c r="F21" s="167">
        <f>F119/F20%</f>
        <v>0.60121641460629638</v>
      </c>
      <c r="G21" s="168">
        <f>G119/G20%</f>
        <v>0.46008660453732464</v>
      </c>
      <c r="H21" s="168">
        <f>H119/H20%</f>
        <v>0.91184370348827271</v>
      </c>
      <c r="I21" s="169">
        <f>I119/I20%</f>
        <v>0.92006350542282755</v>
      </c>
      <c r="J21" s="173"/>
      <c r="K21" s="167">
        <f t="shared" ref="K21:AP21" si="34">K119/K20%</f>
        <v>0.9151508304146424</v>
      </c>
      <c r="L21" s="168">
        <f t="shared" si="34"/>
        <v>0.76847290640394084</v>
      </c>
      <c r="M21" s="168">
        <f t="shared" si="34"/>
        <v>1.54419595314164</v>
      </c>
      <c r="N21" s="168">
        <f t="shared" si="34"/>
        <v>0.55193176116407427</v>
      </c>
      <c r="O21" s="168">
        <f t="shared" si="34"/>
        <v>0.85763293310463129</v>
      </c>
      <c r="P21" s="168">
        <f t="shared" si="34"/>
        <v>0.74689375959793392</v>
      </c>
      <c r="Q21" s="168">
        <f t="shared" si="34"/>
        <v>0.29299736302373275</v>
      </c>
      <c r="R21" s="168">
        <f t="shared" si="34"/>
        <v>0.31002564960410395</v>
      </c>
      <c r="S21" s="168">
        <f t="shared" si="34"/>
        <v>0.38425239315086962</v>
      </c>
      <c r="T21" s="168">
        <f t="shared" si="34"/>
        <v>1.8294573643410852</v>
      </c>
      <c r="U21" s="176">
        <f t="shared" si="34"/>
        <v>1.6329428470003549</v>
      </c>
      <c r="V21" s="168">
        <f t="shared" si="34"/>
        <v>0.69335719078505931</v>
      </c>
      <c r="W21" s="168">
        <f t="shared" si="34"/>
        <v>0.7525325615050652</v>
      </c>
      <c r="X21" s="168">
        <f t="shared" si="34"/>
        <v>0.31239987183595003</v>
      </c>
      <c r="Y21" s="168">
        <f t="shared" si="34"/>
        <v>0.32846165436191049</v>
      </c>
      <c r="Z21" s="168">
        <f t="shared" si="34"/>
        <v>1.3103037522334724</v>
      </c>
      <c r="AA21" s="168">
        <f t="shared" si="34"/>
        <v>0.49354593773728173</v>
      </c>
      <c r="AB21" s="176">
        <f t="shared" si="34"/>
        <v>1.1027095148078134</v>
      </c>
      <c r="AC21" s="168">
        <f t="shared" si="34"/>
        <v>0.63367014899811613</v>
      </c>
      <c r="AD21" s="168">
        <f t="shared" si="34"/>
        <v>1.4461538461538461</v>
      </c>
      <c r="AE21" s="168">
        <f t="shared" si="34"/>
        <v>0.90651558073654392</v>
      </c>
      <c r="AF21" s="168">
        <f t="shared" si="34"/>
        <v>0.8046817849305048</v>
      </c>
      <c r="AG21" s="168">
        <f t="shared" si="34"/>
        <v>1.0777457836281366</v>
      </c>
      <c r="AH21" s="168">
        <f t="shared" si="34"/>
        <v>1.0696653867251782</v>
      </c>
      <c r="AI21" s="168">
        <f t="shared" si="34"/>
        <v>0.7492507492507493</v>
      </c>
      <c r="AJ21" s="168">
        <f t="shared" si="34"/>
        <v>0.52071005917159763</v>
      </c>
      <c r="AK21" s="176">
        <f t="shared" si="34"/>
        <v>0.85403726708074534</v>
      </c>
      <c r="AL21" s="168">
        <f t="shared" si="34"/>
        <v>0.7209062821833162</v>
      </c>
      <c r="AM21" s="168">
        <f t="shared" si="34"/>
        <v>1.2508122157244963</v>
      </c>
      <c r="AN21" s="168">
        <f t="shared" si="34"/>
        <v>1.2872188272006242</v>
      </c>
      <c r="AO21" s="168">
        <f t="shared" si="34"/>
        <v>0.64441293981183134</v>
      </c>
      <c r="AP21" s="168">
        <f t="shared" si="34"/>
        <v>0.43885896668661478</v>
      </c>
      <c r="AQ21" s="168">
        <f t="shared" ref="AQ21:BV21" si="35">AQ119/AQ20%</f>
        <v>1.5478971962616821</v>
      </c>
      <c r="AR21" s="168">
        <f t="shared" si="35"/>
        <v>1.1560693641618498</v>
      </c>
      <c r="AS21" s="169">
        <f t="shared" si="35"/>
        <v>0.65692079940784609</v>
      </c>
      <c r="AT21" s="168">
        <f t="shared" si="35"/>
        <v>0.16870100228242532</v>
      </c>
      <c r="AU21" s="168">
        <f t="shared" si="35"/>
        <v>0.29299736302373275</v>
      </c>
      <c r="AV21" s="168">
        <f t="shared" si="35"/>
        <v>0.38425239315086962</v>
      </c>
      <c r="AW21" s="168">
        <f t="shared" si="35"/>
        <v>0.55193176116407427</v>
      </c>
      <c r="AX21" s="168">
        <f t="shared" si="35"/>
        <v>0.60257463708573</v>
      </c>
      <c r="AY21" s="168">
        <f t="shared" si="35"/>
        <v>0.76847290640394084</v>
      </c>
      <c r="AZ21" s="168">
        <f t="shared" si="35"/>
        <v>0.37720033528918695</v>
      </c>
      <c r="BA21" s="168">
        <f t="shared" si="35"/>
        <v>0.93154699602260826</v>
      </c>
      <c r="BB21" s="168">
        <f t="shared" si="35"/>
        <v>1.8294573643410852</v>
      </c>
      <c r="BC21" s="168">
        <f t="shared" si="35"/>
        <v>1.6329428470003549</v>
      </c>
      <c r="BD21" s="168">
        <f t="shared" si="35"/>
        <v>1.54419595314164</v>
      </c>
      <c r="BE21" s="168">
        <f t="shared" si="35"/>
        <v>0.85763293310463129</v>
      </c>
      <c r="BF21" s="176">
        <f t="shared" si="35"/>
        <v>0.9151508304146424</v>
      </c>
      <c r="BG21" s="168">
        <f t="shared" si="35"/>
        <v>0.82872928176795579</v>
      </c>
      <c r="BH21" s="168">
        <f t="shared" si="35"/>
        <v>0.11216630524190534</v>
      </c>
      <c r="BI21" s="168">
        <f t="shared" si="35"/>
        <v>0.54333764553686936</v>
      </c>
      <c r="BJ21" s="168">
        <f t="shared" si="35"/>
        <v>0.64992614475627764</v>
      </c>
      <c r="BK21" s="168">
        <f t="shared" si="35"/>
        <v>0.25307912940779481</v>
      </c>
      <c r="BL21" s="168">
        <f t="shared" si="35"/>
        <v>0.13113396369659744</v>
      </c>
      <c r="BM21" s="168">
        <f t="shared" si="35"/>
        <v>1.3103037522334724</v>
      </c>
      <c r="BN21" s="168">
        <f t="shared" si="35"/>
        <v>0.58736001253034698</v>
      </c>
      <c r="BO21" s="168">
        <f t="shared" si="35"/>
        <v>0.3401360544217687</v>
      </c>
      <c r="BP21" s="168">
        <f t="shared" si="35"/>
        <v>1.1027095148078134</v>
      </c>
      <c r="BQ21" s="168">
        <f t="shared" si="35"/>
        <v>0.63725490196078438</v>
      </c>
      <c r="BR21" s="176">
        <f t="shared" si="35"/>
        <v>0.7525325615050652</v>
      </c>
      <c r="BS21" s="168">
        <f t="shared" si="35"/>
        <v>0.21607022282241731</v>
      </c>
      <c r="BT21" s="168">
        <f t="shared" si="35"/>
        <v>1.9393939393939394</v>
      </c>
      <c r="BU21" s="168">
        <f t="shared" si="35"/>
        <v>1.4461538461538461</v>
      </c>
      <c r="BV21" s="168">
        <f t="shared" si="35"/>
        <v>1.0777457836281366</v>
      </c>
      <c r="BW21" s="168">
        <f t="shared" ref="BW21:CL21" si="36">BW119/BW20%</f>
        <v>0.7492507492507493</v>
      </c>
      <c r="BX21" s="168">
        <f t="shared" si="36"/>
        <v>0.63367014899811613</v>
      </c>
      <c r="BY21" s="168">
        <f t="shared" si="36"/>
        <v>0.52071005917159763</v>
      </c>
      <c r="BZ21" s="168">
        <f t="shared" si="36"/>
        <v>1.0696653867251782</v>
      </c>
      <c r="CA21" s="168">
        <f t="shared" si="36"/>
        <v>0.8046817849305048</v>
      </c>
      <c r="CB21" s="176">
        <f t="shared" si="36"/>
        <v>0.85403726708074534</v>
      </c>
      <c r="CC21" s="168">
        <f t="shared" si="36"/>
        <v>0.64441293981183134</v>
      </c>
      <c r="CD21" s="168">
        <f t="shared" si="36"/>
        <v>0.43885896668661478</v>
      </c>
      <c r="CE21" s="168">
        <f t="shared" si="36"/>
        <v>0.7209062821833162</v>
      </c>
      <c r="CF21" s="168">
        <f t="shared" si="36"/>
        <v>0.17636684303350972</v>
      </c>
      <c r="CG21" s="168">
        <f t="shared" si="36"/>
        <v>1.312623058411726</v>
      </c>
      <c r="CH21" s="168">
        <f t="shared" si="36"/>
        <v>1.2508122157244963</v>
      </c>
      <c r="CI21" s="168">
        <f t="shared" si="36"/>
        <v>1.1560693641618498</v>
      </c>
      <c r="CJ21" s="168">
        <f t="shared" si="36"/>
        <v>1.2872188272006242</v>
      </c>
      <c r="CK21" s="169">
        <f t="shared" si="36"/>
        <v>1.5478971962616821</v>
      </c>
      <c r="CL21" s="177">
        <f t="shared" si="36"/>
        <v>0.67189387775229925</v>
      </c>
    </row>
    <row r="22" spans="1:90">
      <c r="A22" s="80">
        <f>ROWS($A$3:A20)</f>
        <v>18</v>
      </c>
      <c r="B22" s="59" t="s">
        <v>66</v>
      </c>
      <c r="C22" s="201"/>
      <c r="D22" s="268"/>
      <c r="E22" s="269"/>
      <c r="F22" s="116"/>
      <c r="G22" s="137"/>
      <c r="H22" s="137"/>
      <c r="I22" s="138"/>
      <c r="J22" s="141"/>
      <c r="K22" s="116"/>
      <c r="L22" s="137"/>
      <c r="M22" s="137"/>
      <c r="N22" s="137"/>
      <c r="O22" s="137"/>
      <c r="P22" s="137"/>
      <c r="Q22" s="137">
        <f>'2008'!AU22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C23" s="204">
        <v>2007</v>
      </c>
      <c r="D23" s="268" t="s">
        <v>13</v>
      </c>
      <c r="E23" s="269"/>
      <c r="F23" s="116">
        <v>18213</v>
      </c>
      <c r="G23" s="137">
        <v>6647</v>
      </c>
      <c r="H23" s="137">
        <v>18128</v>
      </c>
      <c r="I23" s="138">
        <v>14061</v>
      </c>
      <c r="J23" s="141"/>
      <c r="K23" s="116">
        <f t="shared" ref="K23:K33" si="37">BF23</f>
        <v>2292</v>
      </c>
      <c r="L23" s="137">
        <f t="shared" ref="L23:L33" si="38">AY23</f>
        <v>1708</v>
      </c>
      <c r="M23" s="137">
        <f t="shared" ref="M23:M33" si="39">BD23</f>
        <v>1904</v>
      </c>
      <c r="N23" s="137">
        <f t="shared" ref="N23:N33" si="40">AW23</f>
        <v>933</v>
      </c>
      <c r="O23" s="137">
        <f t="shared" ref="O23:O33" si="41">BE23</f>
        <v>663</v>
      </c>
      <c r="P23" s="137">
        <f>'2008'!AZ23+'2008'!BA23</f>
        <v>2947</v>
      </c>
      <c r="Q23" s="137">
        <f>'2008'!AU23</f>
        <v>783</v>
      </c>
      <c r="R23" s="137">
        <f t="shared" ref="R23:R29" si="42">AT23+AX23</f>
        <v>2063</v>
      </c>
      <c r="S23" s="137">
        <f t="shared" ref="S23:S33" si="43">AV23</f>
        <v>851</v>
      </c>
      <c r="T23" s="137">
        <f t="shared" ref="T23:T33" si="44">BB23</f>
        <v>1584</v>
      </c>
      <c r="U23" s="139">
        <f t="shared" ref="U23:U33" si="45">BC23</f>
        <v>2485</v>
      </c>
      <c r="V23" s="137">
        <f t="shared" ref="V23:V29" si="46">BG23+BJ23</f>
        <v>1004</v>
      </c>
      <c r="W23" s="137">
        <f t="shared" ref="W23:W33" si="47">BR23</f>
        <v>746</v>
      </c>
      <c r="X23" s="137">
        <f t="shared" ref="X23:X29" si="48">BH23+BI23</f>
        <v>1093</v>
      </c>
      <c r="Y23" s="137">
        <f t="shared" ref="Y23:Y29" si="49">BK23+BL23+BN23</f>
        <v>1372</v>
      </c>
      <c r="Z23" s="137">
        <f t="shared" ref="Z23:Z33" si="50">BM23</f>
        <v>1151</v>
      </c>
      <c r="AA23" s="137">
        <f t="shared" ref="AA23:AA29" si="51">BO23+BQ23</f>
        <v>593</v>
      </c>
      <c r="AB23" s="139">
        <f t="shared" ref="AB23:AB33" si="52">BP23</f>
        <v>688</v>
      </c>
      <c r="AC23" s="137">
        <f t="shared" ref="AC23:AC33" si="53">BX23</f>
        <v>1325</v>
      </c>
      <c r="AD23" s="137">
        <f t="shared" ref="AD23:AD33" si="54">BU23</f>
        <v>1995</v>
      </c>
      <c r="AE23" s="137">
        <f t="shared" ref="AE23:AE29" si="55">BS23+BT23</f>
        <v>4082</v>
      </c>
      <c r="AF23" s="137">
        <f t="shared" ref="AF23:AF33" si="56">CA23</f>
        <v>1371</v>
      </c>
      <c r="AG23" s="137">
        <f t="shared" ref="AG23:AG33" si="57">BV23</f>
        <v>4968</v>
      </c>
      <c r="AH23" s="137">
        <f t="shared" ref="AH23:AH33" si="58">BZ23</f>
        <v>1123</v>
      </c>
      <c r="AI23" s="137">
        <f t="shared" ref="AI23:AI33" si="59">BW23</f>
        <v>1066</v>
      </c>
      <c r="AJ23" s="137">
        <f t="shared" ref="AJ23:AJ33" si="60">BY23</f>
        <v>567</v>
      </c>
      <c r="AK23" s="139">
        <f t="shared" ref="AK23:AK33" si="61">CB23</f>
        <v>1631</v>
      </c>
      <c r="AL23" s="137">
        <f t="shared" ref="AL23:AL33" si="62">CE23</f>
        <v>924</v>
      </c>
      <c r="AM23" s="137">
        <f t="shared" ref="AM23:AM33" si="63">CH23</f>
        <v>2207</v>
      </c>
      <c r="AN23" s="137">
        <f t="shared" ref="AN23:AN33" si="64">CJ23</f>
        <v>3110</v>
      </c>
      <c r="AO23" s="137">
        <f t="shared" ref="AO23:AO33" si="65">CC23</f>
        <v>1336</v>
      </c>
      <c r="AP23" s="137">
        <f t="shared" ref="AP23:AP33" si="66">CD23</f>
        <v>546</v>
      </c>
      <c r="AQ23" s="137">
        <f t="shared" ref="AQ23:AQ33" si="67">CK23</f>
        <v>1583</v>
      </c>
      <c r="AR23" s="137">
        <f t="shared" ref="AR23:AR33" si="68">CI23</f>
        <v>1996</v>
      </c>
      <c r="AS23" s="138">
        <f t="shared" ref="AS23:AS28" si="69">CF23+CG23</f>
        <v>2359</v>
      </c>
      <c r="AT23" s="137">
        <v>257</v>
      </c>
      <c r="AU23" s="137">
        <v>783</v>
      </c>
      <c r="AV23" s="137">
        <v>851</v>
      </c>
      <c r="AW23" s="141">
        <v>933</v>
      </c>
      <c r="AX23" s="137">
        <v>1806</v>
      </c>
      <c r="AY23" s="137">
        <v>1708</v>
      </c>
      <c r="AZ23" s="137">
        <v>216</v>
      </c>
      <c r="BA23" s="137">
        <v>2731</v>
      </c>
      <c r="BB23" s="137">
        <v>1584</v>
      </c>
      <c r="BC23" s="137">
        <v>2485</v>
      </c>
      <c r="BD23" s="137">
        <v>1904</v>
      </c>
      <c r="BE23" s="137">
        <v>663</v>
      </c>
      <c r="BF23" s="139">
        <v>2292</v>
      </c>
      <c r="BG23" s="137">
        <v>181</v>
      </c>
      <c r="BH23" s="137">
        <v>88</v>
      </c>
      <c r="BI23" s="137">
        <v>1005</v>
      </c>
      <c r="BJ23" s="137">
        <v>823</v>
      </c>
      <c r="BK23" s="137">
        <v>104</v>
      </c>
      <c r="BL23" s="137">
        <v>80</v>
      </c>
      <c r="BM23" s="137">
        <v>1151</v>
      </c>
      <c r="BN23" s="137">
        <v>1188</v>
      </c>
      <c r="BO23" s="137">
        <v>37</v>
      </c>
      <c r="BP23" s="137">
        <v>688</v>
      </c>
      <c r="BQ23" s="137">
        <v>556</v>
      </c>
      <c r="BR23" s="139">
        <v>746</v>
      </c>
      <c r="BS23" s="137">
        <v>271</v>
      </c>
      <c r="BT23" s="137">
        <v>3811</v>
      </c>
      <c r="BU23" s="137">
        <v>1995</v>
      </c>
      <c r="BV23" s="137">
        <v>4968</v>
      </c>
      <c r="BW23" s="137">
        <v>1066</v>
      </c>
      <c r="BX23" s="137">
        <v>1325</v>
      </c>
      <c r="BY23" s="137">
        <v>567</v>
      </c>
      <c r="BZ23" s="137">
        <v>1123</v>
      </c>
      <c r="CA23" s="137">
        <v>1371</v>
      </c>
      <c r="CB23" s="139">
        <v>1631</v>
      </c>
      <c r="CC23" s="137">
        <v>1336</v>
      </c>
      <c r="CD23" s="137">
        <v>546</v>
      </c>
      <c r="CE23" s="137">
        <v>924</v>
      </c>
      <c r="CF23" s="137">
        <v>146</v>
      </c>
      <c r="CG23" s="137">
        <v>2213</v>
      </c>
      <c r="CH23" s="137">
        <v>2207</v>
      </c>
      <c r="CI23" s="137">
        <v>1996</v>
      </c>
      <c r="CJ23" s="137">
        <v>3110</v>
      </c>
      <c r="CK23" s="138">
        <v>1583</v>
      </c>
      <c r="CL23" s="140">
        <v>57049</v>
      </c>
    </row>
    <row r="24" spans="1:90">
      <c r="A24" s="80">
        <f>ROWS($A$3:A22)</f>
        <v>20</v>
      </c>
      <c r="B24" s="52" t="s">
        <v>249</v>
      </c>
      <c r="C24" s="201"/>
      <c r="D24" s="268" t="s">
        <v>13</v>
      </c>
      <c r="E24" s="269"/>
      <c r="F24" s="116">
        <f>3245+2664</f>
        <v>5909</v>
      </c>
      <c r="G24" s="137">
        <f>1077+1228</f>
        <v>2305</v>
      </c>
      <c r="H24" s="137">
        <f>3971+3685</f>
        <v>7656</v>
      </c>
      <c r="I24" s="138">
        <f>658+2103</f>
        <v>2761</v>
      </c>
      <c r="J24" s="141"/>
      <c r="K24" s="116">
        <f t="shared" si="37"/>
        <v>415</v>
      </c>
      <c r="L24" s="137">
        <f t="shared" si="38"/>
        <v>820</v>
      </c>
      <c r="M24" s="137">
        <f t="shared" si="39"/>
        <v>421</v>
      </c>
      <c r="N24" s="137">
        <f t="shared" si="40"/>
        <v>206</v>
      </c>
      <c r="O24" s="137">
        <f t="shared" si="41"/>
        <v>77</v>
      </c>
      <c r="P24" s="137">
        <f>'2008'!AZ24+'2008'!BA24</f>
        <v>1453</v>
      </c>
      <c r="Q24" s="137">
        <f>'2008'!AU24</f>
        <v>199</v>
      </c>
      <c r="R24" s="137">
        <f t="shared" si="42"/>
        <v>1090</v>
      </c>
      <c r="S24" s="137">
        <f t="shared" si="43"/>
        <v>300</v>
      </c>
      <c r="T24" s="137">
        <f t="shared" si="44"/>
        <v>528</v>
      </c>
      <c r="U24" s="139">
        <f t="shared" si="45"/>
        <v>400</v>
      </c>
      <c r="V24" s="137">
        <f t="shared" si="46"/>
        <v>631</v>
      </c>
      <c r="W24" s="137">
        <f t="shared" si="47"/>
        <v>221</v>
      </c>
      <c r="X24" s="137">
        <f t="shared" si="48"/>
        <v>394</v>
      </c>
      <c r="Y24" s="137">
        <f t="shared" si="49"/>
        <v>423</v>
      </c>
      <c r="Z24" s="137">
        <f t="shared" si="50"/>
        <v>224</v>
      </c>
      <c r="AA24" s="137">
        <f t="shared" si="51"/>
        <v>191</v>
      </c>
      <c r="AB24" s="139">
        <f t="shared" si="52"/>
        <v>221</v>
      </c>
      <c r="AC24" s="137">
        <f t="shared" si="53"/>
        <v>268</v>
      </c>
      <c r="AD24" s="137">
        <f t="shared" si="54"/>
        <v>1067</v>
      </c>
      <c r="AE24" s="137">
        <f t="shared" si="55"/>
        <v>2187</v>
      </c>
      <c r="AF24" s="137">
        <f t="shared" si="56"/>
        <v>468</v>
      </c>
      <c r="AG24" s="137">
        <f t="shared" si="57"/>
        <v>2596</v>
      </c>
      <c r="AH24" s="137">
        <f t="shared" si="58"/>
        <v>361</v>
      </c>
      <c r="AI24" s="137">
        <f t="shared" si="59"/>
        <v>252</v>
      </c>
      <c r="AJ24" s="137">
        <f t="shared" si="60"/>
        <v>87</v>
      </c>
      <c r="AK24" s="139">
        <f t="shared" si="61"/>
        <v>370</v>
      </c>
      <c r="AL24" s="137">
        <f t="shared" si="62"/>
        <v>166</v>
      </c>
      <c r="AM24" s="137">
        <f t="shared" si="63"/>
        <v>318</v>
      </c>
      <c r="AN24" s="137">
        <f t="shared" si="64"/>
        <v>541</v>
      </c>
      <c r="AO24" s="137">
        <f t="shared" si="65"/>
        <v>284</v>
      </c>
      <c r="AP24" s="137">
        <f t="shared" si="66"/>
        <v>144</v>
      </c>
      <c r="AQ24" s="137">
        <f t="shared" si="67"/>
        <v>277</v>
      </c>
      <c r="AR24" s="137">
        <f t="shared" si="68"/>
        <v>723</v>
      </c>
      <c r="AS24" s="138">
        <f t="shared" si="69"/>
        <v>308</v>
      </c>
      <c r="AT24" s="137">
        <f>116+46</f>
        <v>162</v>
      </c>
      <c r="AU24" s="137">
        <f>73+126</f>
        <v>199</v>
      </c>
      <c r="AV24" s="137">
        <f>123+177</f>
        <v>300</v>
      </c>
      <c r="AW24" s="141">
        <f>67+139</f>
        <v>206</v>
      </c>
      <c r="AX24" s="137">
        <f>730+198</f>
        <v>928</v>
      </c>
      <c r="AY24" s="137">
        <f>437+383</f>
        <v>820</v>
      </c>
      <c r="AZ24" s="137">
        <f>41+40</f>
        <v>81</v>
      </c>
      <c r="BA24" s="137">
        <f>1038+334</f>
        <v>1372</v>
      </c>
      <c r="BB24" s="137">
        <f>263+265</f>
        <v>528</v>
      </c>
      <c r="BC24" s="137">
        <f>40+360</f>
        <v>400</v>
      </c>
      <c r="BD24" s="137">
        <f>237+184</f>
        <v>421</v>
      </c>
      <c r="BE24" s="137">
        <f>19+58</f>
        <v>77</v>
      </c>
      <c r="BF24" s="139">
        <f>61+354</f>
        <v>415</v>
      </c>
      <c r="BG24" s="137">
        <f>110+32</f>
        <v>142</v>
      </c>
      <c r="BH24" s="137">
        <v>33</v>
      </c>
      <c r="BI24" s="137">
        <f>205+156</f>
        <v>361</v>
      </c>
      <c r="BJ24" s="137">
        <f>343+146</f>
        <v>489</v>
      </c>
      <c r="BK24" s="137">
        <v>41</v>
      </c>
      <c r="BL24" s="137">
        <v>24</v>
      </c>
      <c r="BM24" s="137">
        <f>36+188</f>
        <v>224</v>
      </c>
      <c r="BN24" s="137">
        <f>183+175</f>
        <v>358</v>
      </c>
      <c r="BO24" s="137">
        <v>20</v>
      </c>
      <c r="BP24" s="137">
        <f>23+198</f>
        <v>221</v>
      </c>
      <c r="BQ24" s="137">
        <f>79+92</f>
        <v>171</v>
      </c>
      <c r="BR24" s="139">
        <f>19+202</f>
        <v>221</v>
      </c>
      <c r="BS24" s="137">
        <f>133+38</f>
        <v>171</v>
      </c>
      <c r="BT24" s="137">
        <f>1405+611</f>
        <v>2016</v>
      </c>
      <c r="BU24" s="137">
        <f>713+354</f>
        <v>1067</v>
      </c>
      <c r="BV24" s="137">
        <f>1247+1349</f>
        <v>2596</v>
      </c>
      <c r="BW24" s="137">
        <f>17+235</f>
        <v>252</v>
      </c>
      <c r="BX24" s="137">
        <f>20+248</f>
        <v>268</v>
      </c>
      <c r="BY24" s="137">
        <f>6+81</f>
        <v>87</v>
      </c>
      <c r="BZ24" s="137">
        <f>181+180</f>
        <v>361</v>
      </c>
      <c r="CA24" s="137">
        <f>200+268</f>
        <v>468</v>
      </c>
      <c r="CB24" s="139">
        <f>49+321</f>
        <v>370</v>
      </c>
      <c r="CC24" s="137">
        <f>55+229</f>
        <v>284</v>
      </c>
      <c r="CD24" s="137">
        <f>39+105</f>
        <v>144</v>
      </c>
      <c r="CE24" s="137">
        <f>17+149</f>
        <v>166</v>
      </c>
      <c r="CF24" s="137">
        <v>35</v>
      </c>
      <c r="CG24" s="137">
        <f>50+223</f>
        <v>273</v>
      </c>
      <c r="CH24" s="137">
        <f>49+269</f>
        <v>318</v>
      </c>
      <c r="CI24" s="137">
        <f>318+405</f>
        <v>723</v>
      </c>
      <c r="CJ24" s="137">
        <f>85+456</f>
        <v>541</v>
      </c>
      <c r="CK24" s="138">
        <f>31+246</f>
        <v>277</v>
      </c>
      <c r="CL24" s="140">
        <f>8951+9680</f>
        <v>18631</v>
      </c>
    </row>
    <row r="25" spans="1:90">
      <c r="A25" s="80">
        <f>ROWS($A$3:A23)</f>
        <v>21</v>
      </c>
      <c r="B25" s="52" t="s">
        <v>250</v>
      </c>
      <c r="C25" s="201"/>
      <c r="D25" s="268" t="s">
        <v>13</v>
      </c>
      <c r="E25" s="269"/>
      <c r="F25" s="116">
        <v>2380</v>
      </c>
      <c r="G25" s="137">
        <v>924</v>
      </c>
      <c r="H25" s="137">
        <v>3174</v>
      </c>
      <c r="I25" s="138">
        <v>1978</v>
      </c>
      <c r="J25" s="141"/>
      <c r="K25" s="116">
        <f t="shared" si="37"/>
        <v>377</v>
      </c>
      <c r="L25" s="137">
        <f t="shared" si="38"/>
        <v>262</v>
      </c>
      <c r="M25" s="137">
        <f t="shared" si="39"/>
        <v>219</v>
      </c>
      <c r="N25" s="137">
        <f t="shared" si="40"/>
        <v>126</v>
      </c>
      <c r="O25" s="137">
        <f t="shared" si="41"/>
        <v>79</v>
      </c>
      <c r="P25" s="137">
        <f>'2008'!AZ25+'2008'!BA25</f>
        <v>352</v>
      </c>
      <c r="Q25" s="137">
        <f>'2008'!AU25</f>
        <v>113</v>
      </c>
      <c r="R25" s="137">
        <f t="shared" si="42"/>
        <v>179</v>
      </c>
      <c r="S25" s="137">
        <f t="shared" si="43"/>
        <v>135</v>
      </c>
      <c r="T25" s="137">
        <f t="shared" si="44"/>
        <v>213</v>
      </c>
      <c r="U25" s="139">
        <f t="shared" si="45"/>
        <v>325</v>
      </c>
      <c r="V25" s="137">
        <f t="shared" si="46"/>
        <v>117</v>
      </c>
      <c r="W25" s="137">
        <f t="shared" si="47"/>
        <v>154</v>
      </c>
      <c r="X25" s="137">
        <f t="shared" si="48"/>
        <v>139</v>
      </c>
      <c r="Y25" s="137">
        <f t="shared" si="49"/>
        <v>144</v>
      </c>
      <c r="Z25" s="137">
        <f t="shared" si="50"/>
        <v>157</v>
      </c>
      <c r="AA25" s="137">
        <f t="shared" si="51"/>
        <v>72</v>
      </c>
      <c r="AB25" s="139">
        <f t="shared" si="52"/>
        <v>141</v>
      </c>
      <c r="AC25" s="137">
        <f t="shared" si="53"/>
        <v>222</v>
      </c>
      <c r="AD25" s="137">
        <f t="shared" si="54"/>
        <v>305</v>
      </c>
      <c r="AE25" s="137">
        <f t="shared" si="55"/>
        <v>551</v>
      </c>
      <c r="AF25" s="137">
        <f t="shared" si="56"/>
        <v>250</v>
      </c>
      <c r="AG25" s="137">
        <f t="shared" si="57"/>
        <v>1001</v>
      </c>
      <c r="AH25" s="137">
        <f t="shared" si="58"/>
        <v>139</v>
      </c>
      <c r="AI25" s="137">
        <f t="shared" si="59"/>
        <v>229</v>
      </c>
      <c r="AJ25" s="137">
        <f t="shared" si="60"/>
        <v>106</v>
      </c>
      <c r="AK25" s="139">
        <f t="shared" si="61"/>
        <v>371</v>
      </c>
      <c r="AL25" s="137">
        <f t="shared" si="62"/>
        <v>173</v>
      </c>
      <c r="AM25" s="137">
        <f t="shared" si="63"/>
        <v>261</v>
      </c>
      <c r="AN25" s="137">
        <f t="shared" si="64"/>
        <v>339</v>
      </c>
      <c r="AO25" s="137">
        <f t="shared" si="65"/>
        <v>223</v>
      </c>
      <c r="AP25" s="137">
        <f t="shared" si="66"/>
        <v>98</v>
      </c>
      <c r="AQ25" s="137">
        <f t="shared" si="67"/>
        <v>254</v>
      </c>
      <c r="AR25" s="137">
        <f t="shared" si="68"/>
        <v>345</v>
      </c>
      <c r="AS25" s="138">
        <f t="shared" si="69"/>
        <v>285</v>
      </c>
      <c r="AT25" s="137">
        <v>37</v>
      </c>
      <c r="AU25" s="137">
        <v>113</v>
      </c>
      <c r="AV25" s="137">
        <v>135</v>
      </c>
      <c r="AW25" s="141">
        <v>126</v>
      </c>
      <c r="AX25" s="137">
        <v>142</v>
      </c>
      <c r="AY25" s="137">
        <v>262</v>
      </c>
      <c r="AZ25" s="137">
        <v>42</v>
      </c>
      <c r="BA25" s="137">
        <v>310</v>
      </c>
      <c r="BB25" s="137">
        <v>213</v>
      </c>
      <c r="BC25" s="137">
        <v>325</v>
      </c>
      <c r="BD25" s="137">
        <v>219</v>
      </c>
      <c r="BE25" s="137">
        <v>79</v>
      </c>
      <c r="BF25" s="139">
        <v>377</v>
      </c>
      <c r="BG25" s="137">
        <v>16</v>
      </c>
      <c r="BH25" s="137">
        <v>13</v>
      </c>
      <c r="BI25" s="137">
        <v>126</v>
      </c>
      <c r="BJ25" s="137">
        <v>101</v>
      </c>
      <c r="BK25" s="137">
        <v>12</v>
      </c>
      <c r="BL25" s="137">
        <v>6</v>
      </c>
      <c r="BM25" s="137">
        <v>157</v>
      </c>
      <c r="BN25" s="137">
        <v>126</v>
      </c>
      <c r="BO25" s="137">
        <v>3</v>
      </c>
      <c r="BP25" s="137">
        <v>141</v>
      </c>
      <c r="BQ25" s="137">
        <v>69</v>
      </c>
      <c r="BR25" s="139">
        <v>154</v>
      </c>
      <c r="BS25" s="137">
        <v>28</v>
      </c>
      <c r="BT25" s="137">
        <v>523</v>
      </c>
      <c r="BU25" s="137">
        <v>305</v>
      </c>
      <c r="BV25" s="137">
        <v>1001</v>
      </c>
      <c r="BW25" s="137">
        <v>229</v>
      </c>
      <c r="BX25" s="137">
        <v>222</v>
      </c>
      <c r="BY25" s="137">
        <v>106</v>
      </c>
      <c r="BZ25" s="137">
        <v>139</v>
      </c>
      <c r="CA25" s="137">
        <v>250</v>
      </c>
      <c r="CB25" s="139">
        <f>371</f>
        <v>371</v>
      </c>
      <c r="CC25" s="137">
        <v>223</v>
      </c>
      <c r="CD25" s="137">
        <v>98</v>
      </c>
      <c r="CE25" s="137">
        <v>173</v>
      </c>
      <c r="CF25" s="137">
        <v>11</v>
      </c>
      <c r="CG25" s="137">
        <v>274</v>
      </c>
      <c r="CH25" s="137">
        <v>261</v>
      </c>
      <c r="CI25" s="137">
        <v>345</v>
      </c>
      <c r="CJ25" s="137">
        <v>339</v>
      </c>
      <c r="CK25" s="138">
        <v>254</v>
      </c>
      <c r="CL25" s="140">
        <v>8456</v>
      </c>
    </row>
    <row r="26" spans="1:90">
      <c r="A26" s="80">
        <f>ROWS($A$3:A24)</f>
        <v>22</v>
      </c>
      <c r="B26" s="52" t="s">
        <v>251</v>
      </c>
      <c r="C26" s="201"/>
      <c r="D26" s="268" t="s">
        <v>13</v>
      </c>
      <c r="E26" s="269"/>
      <c r="F26" s="116">
        <f>1624+1371</f>
        <v>2995</v>
      </c>
      <c r="G26" s="137">
        <f>573+410</f>
        <v>983</v>
      </c>
      <c r="H26" s="137">
        <f>1755+1249</f>
        <v>3004</v>
      </c>
      <c r="I26" s="138">
        <f>1450+1499</f>
        <v>2949</v>
      </c>
      <c r="J26" s="141"/>
      <c r="K26" s="116">
        <f t="shared" si="37"/>
        <v>565</v>
      </c>
      <c r="L26" s="137">
        <f t="shared" si="38"/>
        <v>253</v>
      </c>
      <c r="M26" s="137">
        <f t="shared" si="39"/>
        <v>339</v>
      </c>
      <c r="N26" s="137">
        <f t="shared" si="40"/>
        <v>164</v>
      </c>
      <c r="O26" s="137">
        <f t="shared" si="41"/>
        <v>131</v>
      </c>
      <c r="P26" s="137">
        <f>'2008'!AZ26+'2008'!BA26</f>
        <v>317</v>
      </c>
      <c r="Q26" s="137">
        <f>'2008'!AU26</f>
        <v>157</v>
      </c>
      <c r="R26" s="137">
        <f t="shared" si="42"/>
        <v>202</v>
      </c>
      <c r="S26" s="137">
        <f t="shared" si="43"/>
        <v>126</v>
      </c>
      <c r="T26" s="137">
        <f t="shared" si="44"/>
        <v>249</v>
      </c>
      <c r="U26" s="139">
        <f t="shared" si="45"/>
        <v>492</v>
      </c>
      <c r="V26" s="137">
        <f t="shared" si="46"/>
        <v>103</v>
      </c>
      <c r="W26" s="137">
        <f t="shared" si="47"/>
        <v>120</v>
      </c>
      <c r="X26" s="137">
        <f t="shared" si="48"/>
        <v>127</v>
      </c>
      <c r="Y26" s="137">
        <f t="shared" si="49"/>
        <v>199</v>
      </c>
      <c r="Z26" s="137">
        <f t="shared" si="50"/>
        <v>220</v>
      </c>
      <c r="AA26" s="137">
        <f t="shared" si="51"/>
        <v>90</v>
      </c>
      <c r="AB26" s="139">
        <f t="shared" si="52"/>
        <v>124</v>
      </c>
      <c r="AC26" s="137">
        <f t="shared" si="53"/>
        <v>234</v>
      </c>
      <c r="AD26" s="137">
        <f t="shared" si="54"/>
        <v>324</v>
      </c>
      <c r="AE26" s="137">
        <f t="shared" si="55"/>
        <v>548</v>
      </c>
      <c r="AF26" s="137">
        <f t="shared" si="56"/>
        <v>284</v>
      </c>
      <c r="AG26" s="137">
        <f t="shared" si="57"/>
        <v>730</v>
      </c>
      <c r="AH26" s="137">
        <f t="shared" si="58"/>
        <v>183</v>
      </c>
      <c r="AI26" s="137">
        <f t="shared" si="59"/>
        <v>210</v>
      </c>
      <c r="AJ26" s="137">
        <f t="shared" si="60"/>
        <v>125</v>
      </c>
      <c r="AK26" s="139">
        <f t="shared" si="61"/>
        <v>366</v>
      </c>
      <c r="AL26" s="137">
        <f t="shared" si="62"/>
        <v>203</v>
      </c>
      <c r="AM26" s="137">
        <f t="shared" si="63"/>
        <v>416</v>
      </c>
      <c r="AN26" s="137">
        <f t="shared" si="64"/>
        <v>665</v>
      </c>
      <c r="AO26" s="137">
        <f t="shared" si="65"/>
        <v>290</v>
      </c>
      <c r="AP26" s="137">
        <f t="shared" si="66"/>
        <v>95</v>
      </c>
      <c r="AQ26" s="137">
        <f t="shared" si="67"/>
        <v>343</v>
      </c>
      <c r="AR26" s="137">
        <f t="shared" si="68"/>
        <v>408</v>
      </c>
      <c r="AS26" s="138">
        <f t="shared" si="69"/>
        <v>529</v>
      </c>
      <c r="AT26" s="141">
        <f>14+10</f>
        <v>24</v>
      </c>
      <c r="AU26" s="141">
        <f>84+73</f>
        <v>157</v>
      </c>
      <c r="AV26" s="141">
        <f>70+56</f>
        <v>126</v>
      </c>
      <c r="AW26" s="141">
        <f>98+66</f>
        <v>164</v>
      </c>
      <c r="AX26" s="141">
        <f>94+84</f>
        <v>178</v>
      </c>
      <c r="AY26" s="137">
        <f>151+102</f>
        <v>253</v>
      </c>
      <c r="AZ26" s="137">
        <f>13+11</f>
        <v>24</v>
      </c>
      <c r="BA26" s="137">
        <f>164+129</f>
        <v>293</v>
      </c>
      <c r="BB26" s="137">
        <f>131+118</f>
        <v>249</v>
      </c>
      <c r="BC26" s="137">
        <f>254+238</f>
        <v>492</v>
      </c>
      <c r="BD26" s="137">
        <f>174+165</f>
        <v>339</v>
      </c>
      <c r="BE26" s="137">
        <f>71+60</f>
        <v>131</v>
      </c>
      <c r="BF26" s="139">
        <f>306+259</f>
        <v>565</v>
      </c>
      <c r="BG26" s="137">
        <f>6+2</f>
        <v>8</v>
      </c>
      <c r="BH26" s="137">
        <v>11</v>
      </c>
      <c r="BI26" s="137">
        <f>63+53</f>
        <v>116</v>
      </c>
      <c r="BJ26" s="137">
        <f>61+34</f>
        <v>95</v>
      </c>
      <c r="BK26" s="137">
        <v>20</v>
      </c>
      <c r="BL26" s="137">
        <v>8</v>
      </c>
      <c r="BM26" s="137">
        <f>119+101</f>
        <v>220</v>
      </c>
      <c r="BN26" s="137">
        <f>96+75</f>
        <v>171</v>
      </c>
      <c r="BO26" s="137">
        <v>2</v>
      </c>
      <c r="BP26" s="137">
        <f>75+49</f>
        <v>124</v>
      </c>
      <c r="BQ26" s="137">
        <f>58+30</f>
        <v>88</v>
      </c>
      <c r="BR26" s="139">
        <f>75+45</f>
        <v>120</v>
      </c>
      <c r="BS26" s="137">
        <f>15+12</f>
        <v>27</v>
      </c>
      <c r="BT26" s="137">
        <f>309+212</f>
        <v>521</v>
      </c>
      <c r="BU26" s="137">
        <f>202+122</f>
        <v>324</v>
      </c>
      <c r="BV26" s="137">
        <f>490+240</f>
        <v>730</v>
      </c>
      <c r="BW26" s="137">
        <f>120+90</f>
        <v>210</v>
      </c>
      <c r="BX26" s="137">
        <f>111+123</f>
        <v>234</v>
      </c>
      <c r="BY26" s="137">
        <f>62+63</f>
        <v>125</v>
      </c>
      <c r="BZ26" s="137">
        <f>100+83</f>
        <v>183</v>
      </c>
      <c r="CA26" s="137">
        <f>148+136</f>
        <v>284</v>
      </c>
      <c r="CB26" s="139">
        <f>198+168</f>
        <v>366</v>
      </c>
      <c r="CC26" s="137">
        <f>153+137</f>
        <v>290</v>
      </c>
      <c r="CD26" s="137">
        <f>51+44</f>
        <v>95</v>
      </c>
      <c r="CE26" s="137">
        <f>117+86</f>
        <v>203</v>
      </c>
      <c r="CF26" s="137">
        <v>27</v>
      </c>
      <c r="CG26" s="137">
        <f>251+251</f>
        <v>502</v>
      </c>
      <c r="CH26" s="137">
        <f>194+222</f>
        <v>416</v>
      </c>
      <c r="CI26" s="137">
        <f>226+182</f>
        <v>408</v>
      </c>
      <c r="CJ26" s="137">
        <f>287+378</f>
        <v>665</v>
      </c>
      <c r="CK26" s="138">
        <f>160+183</f>
        <v>343</v>
      </c>
      <c r="CL26" s="140">
        <f>5402+4529</f>
        <v>9931</v>
      </c>
    </row>
    <row r="27" spans="1:90">
      <c r="A27" s="80">
        <f>ROWS($A$3:A25)</f>
        <v>23</v>
      </c>
      <c r="B27" s="52" t="s">
        <v>252</v>
      </c>
      <c r="C27" s="201"/>
      <c r="D27" s="268" t="s">
        <v>13</v>
      </c>
      <c r="E27" s="269"/>
      <c r="F27" s="116">
        <f>848+733+1253+1026</f>
        <v>3860</v>
      </c>
      <c r="G27" s="137">
        <f>254+215+339+284</f>
        <v>1092</v>
      </c>
      <c r="H27" s="137">
        <f>657+556+738+532</f>
        <v>2483</v>
      </c>
      <c r="I27" s="138">
        <f>816+720+1164+952</f>
        <v>3652</v>
      </c>
      <c r="J27" s="141"/>
      <c r="K27" s="116">
        <f>BF27</f>
        <v>506</v>
      </c>
      <c r="L27" s="137">
        <f>AY27</f>
        <v>239</v>
      </c>
      <c r="M27" s="137">
        <f>BD27</f>
        <v>499</v>
      </c>
      <c r="N27" s="137">
        <f>AW27</f>
        <v>235</v>
      </c>
      <c r="O27" s="137">
        <f>BE27</f>
        <v>176</v>
      </c>
      <c r="P27" s="137">
        <f>'2008'!AZ27+'2008'!BA27</f>
        <v>459</v>
      </c>
      <c r="Q27" s="137">
        <f>'2008'!AU27</f>
        <v>158</v>
      </c>
      <c r="R27" s="137">
        <f>AT27+AX27</f>
        <v>385</v>
      </c>
      <c r="S27" s="137">
        <f>AV27</f>
        <v>161</v>
      </c>
      <c r="T27" s="137">
        <f>BB27</f>
        <v>314</v>
      </c>
      <c r="U27" s="139">
        <f>BC27</f>
        <v>728</v>
      </c>
      <c r="V27" s="137">
        <f>BG27+BJ27</f>
        <v>63</v>
      </c>
      <c r="W27" s="137">
        <f>BR27</f>
        <v>139</v>
      </c>
      <c r="X27" s="137">
        <f>BH27+BI27</f>
        <v>157</v>
      </c>
      <c r="Y27" s="137">
        <f>BK27+BL27+BN27</f>
        <v>306</v>
      </c>
      <c r="Z27" s="137">
        <f>BM27</f>
        <v>242</v>
      </c>
      <c r="AA27" s="137">
        <f>BO27+BQ27</f>
        <v>95</v>
      </c>
      <c r="AB27" s="139">
        <f>BP27</f>
        <v>90</v>
      </c>
      <c r="AC27" s="137">
        <f>BX27</f>
        <v>359</v>
      </c>
      <c r="AD27" s="137">
        <f>BU27</f>
        <v>214</v>
      </c>
      <c r="AE27" s="137">
        <f>BS27+BT27</f>
        <v>554</v>
      </c>
      <c r="AF27" s="137">
        <f>CA27</f>
        <v>260</v>
      </c>
      <c r="AG27" s="137">
        <f>BV27</f>
        <v>373</v>
      </c>
      <c r="AH27" s="137">
        <f>BZ27</f>
        <v>191</v>
      </c>
      <c r="AI27" s="137">
        <f>BW27</f>
        <v>162</v>
      </c>
      <c r="AJ27" s="137">
        <f>BY27</f>
        <v>84</v>
      </c>
      <c r="AK27" s="139">
        <f>CB27</f>
        <v>286</v>
      </c>
      <c r="AL27" s="137">
        <f>CE27</f>
        <v>175</v>
      </c>
      <c r="AM27" s="137">
        <f>CH27</f>
        <v>663</v>
      </c>
      <c r="AN27" s="137">
        <f>CJ27</f>
        <v>1062</v>
      </c>
      <c r="AO27" s="137">
        <f>CC27</f>
        <v>273</v>
      </c>
      <c r="AP27" s="137">
        <f>CD27</f>
        <v>102</v>
      </c>
      <c r="AQ27" s="137">
        <f>CK27</f>
        <v>350</v>
      </c>
      <c r="AR27" s="137">
        <f>CI27</f>
        <v>371</v>
      </c>
      <c r="AS27" s="138">
        <f>CF27+CG27</f>
        <v>656</v>
      </c>
      <c r="AT27" s="141">
        <f>1+3+10+9</f>
        <v>23</v>
      </c>
      <c r="AU27" s="141">
        <f>32+25+63+38</f>
        <v>158</v>
      </c>
      <c r="AV27" s="141">
        <f>31+32+54+44</f>
        <v>161</v>
      </c>
      <c r="AW27" s="141">
        <f>50+46+74+65</f>
        <v>235</v>
      </c>
      <c r="AX27" s="141">
        <f>76+67+115+104</f>
        <v>362</v>
      </c>
      <c r="AY27" s="137">
        <f>69+47+70+53</f>
        <v>239</v>
      </c>
      <c r="AZ27" s="137">
        <f>9+8+20+12</f>
        <v>49</v>
      </c>
      <c r="BA27" s="137">
        <f>81+69+153+107</f>
        <v>410</v>
      </c>
      <c r="BB27" s="137">
        <f>76+62+86+90</f>
        <v>314</v>
      </c>
      <c r="BC27" s="137">
        <f>147+138+238+205</f>
        <v>728</v>
      </c>
      <c r="BD27" s="137">
        <f>106+106+159+128</f>
        <v>499</v>
      </c>
      <c r="BE27" s="137">
        <f>35+29+63+49</f>
        <v>176</v>
      </c>
      <c r="BF27" s="139">
        <f>135+101+148+122</f>
        <v>506</v>
      </c>
      <c r="BG27" s="137">
        <f>3+2+1+1</f>
        <v>7</v>
      </c>
      <c r="BH27" s="137">
        <v>18</v>
      </c>
      <c r="BI27" s="137">
        <f>35+25+42+37</f>
        <v>139</v>
      </c>
      <c r="BJ27" s="137">
        <f>22+10+12+12</f>
        <v>56</v>
      </c>
      <c r="BK27" s="137">
        <v>22</v>
      </c>
      <c r="BL27" s="137">
        <v>21</v>
      </c>
      <c r="BM27" s="137">
        <f>49+58+75+60</f>
        <v>242</v>
      </c>
      <c r="BN27" s="137">
        <f>63+41+78+81</f>
        <v>263</v>
      </c>
      <c r="BO27" s="137">
        <v>4</v>
      </c>
      <c r="BP27" s="137">
        <f>17+23+31+19</f>
        <v>90</v>
      </c>
      <c r="BQ27" s="137">
        <f>19+16+28+28</f>
        <v>91</v>
      </c>
      <c r="BR27" s="139">
        <f>34+25+44+36</f>
        <v>139</v>
      </c>
      <c r="BS27" s="137">
        <f>8+3+10+8</f>
        <v>29</v>
      </c>
      <c r="BT27" s="137">
        <f>135+137+175+78</f>
        <v>525</v>
      </c>
      <c r="BU27" s="137">
        <f>79+43+50+42</f>
        <v>214</v>
      </c>
      <c r="BV27" s="137">
        <f>136+70+94+73</f>
        <v>373</v>
      </c>
      <c r="BW27" s="137">
        <f>35+41+40+46</f>
        <v>162</v>
      </c>
      <c r="BX27" s="137">
        <f>78+87+112+82</f>
        <v>359</v>
      </c>
      <c r="BY27" s="137">
        <f>14+19+20+31</f>
        <v>84</v>
      </c>
      <c r="BZ27" s="137">
        <f>44+45+55+47</f>
        <v>191</v>
      </c>
      <c r="CA27" s="137">
        <f>68+51+89+52</f>
        <v>260</v>
      </c>
      <c r="CB27" s="139">
        <f>60+60+93+73</f>
        <v>286</v>
      </c>
      <c r="CC27" s="137">
        <f>54+50+92+77</f>
        <v>273</v>
      </c>
      <c r="CD27" s="137">
        <f>19+25+29+29</f>
        <v>102</v>
      </c>
      <c r="CE27" s="137">
        <f>48+30+54+43</f>
        <v>175</v>
      </c>
      <c r="CF27" s="137">
        <v>34</v>
      </c>
      <c r="CG27" s="137">
        <f>149+135+195+143</f>
        <v>622</v>
      </c>
      <c r="CH27" s="137">
        <f>139+121+212+191</f>
        <v>663</v>
      </c>
      <c r="CI27" s="137">
        <f>122+70+103+76</f>
        <v>371</v>
      </c>
      <c r="CJ27" s="137">
        <f>194+207+363+298</f>
        <v>1062</v>
      </c>
      <c r="CK27" s="138">
        <f>86+75+105+84</f>
        <v>350</v>
      </c>
      <c r="CL27" s="140">
        <f>2575+2224+3494+2794</f>
        <v>11087</v>
      </c>
    </row>
    <row r="28" spans="1:90">
      <c r="A28" s="80">
        <f>ROWS($A$3:A26)</f>
        <v>24</v>
      </c>
      <c r="B28" s="52" t="s">
        <v>4</v>
      </c>
      <c r="C28" s="201"/>
      <c r="D28" s="268" t="s">
        <v>13</v>
      </c>
      <c r="E28" s="269"/>
      <c r="F28" s="116">
        <f>1563+752</f>
        <v>2315</v>
      </c>
      <c r="G28" s="137">
        <f>486+334</f>
        <v>820</v>
      </c>
      <c r="H28" s="137">
        <f>813+461</f>
        <v>1274</v>
      </c>
      <c r="I28" s="138">
        <f>1376+647</f>
        <v>2023</v>
      </c>
      <c r="J28" s="141"/>
      <c r="K28" s="116">
        <f t="shared" si="37"/>
        <v>315</v>
      </c>
      <c r="L28" s="137">
        <f t="shared" si="38"/>
        <v>104</v>
      </c>
      <c r="M28" s="137">
        <f t="shared" si="39"/>
        <v>262</v>
      </c>
      <c r="N28" s="137">
        <f t="shared" si="40"/>
        <v>167</v>
      </c>
      <c r="O28" s="137">
        <f t="shared" si="41"/>
        <v>148</v>
      </c>
      <c r="P28" s="137">
        <f>'2008'!AZ28+'2008'!BA28</f>
        <v>268</v>
      </c>
      <c r="Q28" s="137">
        <f>'2008'!AU28</f>
        <v>111</v>
      </c>
      <c r="R28" s="137">
        <f t="shared" si="42"/>
        <v>180</v>
      </c>
      <c r="S28" s="137">
        <f t="shared" si="43"/>
        <v>101</v>
      </c>
      <c r="T28" s="137">
        <f t="shared" si="44"/>
        <v>204</v>
      </c>
      <c r="U28" s="139">
        <f t="shared" si="45"/>
        <v>455</v>
      </c>
      <c r="V28" s="137">
        <f t="shared" si="46"/>
        <v>43</v>
      </c>
      <c r="W28" s="137">
        <f t="shared" si="47"/>
        <v>74</v>
      </c>
      <c r="X28" s="137">
        <f t="shared" si="48"/>
        <v>142</v>
      </c>
      <c r="Y28" s="137">
        <f t="shared" si="49"/>
        <v>218</v>
      </c>
      <c r="Z28" s="137">
        <f t="shared" si="50"/>
        <v>175</v>
      </c>
      <c r="AA28" s="137">
        <f t="shared" si="51"/>
        <v>92</v>
      </c>
      <c r="AB28" s="139">
        <f t="shared" si="52"/>
        <v>76</v>
      </c>
      <c r="AC28" s="137">
        <f t="shared" si="53"/>
        <v>178</v>
      </c>
      <c r="AD28" s="137">
        <f t="shared" si="54"/>
        <v>59</v>
      </c>
      <c r="AE28" s="137">
        <f t="shared" si="55"/>
        <v>197</v>
      </c>
      <c r="AF28" s="137">
        <f t="shared" si="56"/>
        <v>94</v>
      </c>
      <c r="AG28" s="137">
        <f t="shared" si="57"/>
        <v>184</v>
      </c>
      <c r="AH28" s="137">
        <f t="shared" si="58"/>
        <v>161</v>
      </c>
      <c r="AI28" s="137">
        <f t="shared" si="59"/>
        <v>140</v>
      </c>
      <c r="AJ28" s="137">
        <f t="shared" si="60"/>
        <v>84</v>
      </c>
      <c r="AK28" s="139">
        <f t="shared" si="61"/>
        <v>177</v>
      </c>
      <c r="AL28" s="137">
        <f t="shared" si="62"/>
        <v>112</v>
      </c>
      <c r="AM28" s="137">
        <f t="shared" si="63"/>
        <v>430</v>
      </c>
      <c r="AN28" s="137">
        <f t="shared" si="64"/>
        <v>447</v>
      </c>
      <c r="AO28" s="137">
        <f t="shared" si="65"/>
        <v>172</v>
      </c>
      <c r="AP28" s="137">
        <f t="shared" si="66"/>
        <v>45</v>
      </c>
      <c r="AQ28" s="137">
        <f t="shared" si="67"/>
        <v>226</v>
      </c>
      <c r="AR28" s="137">
        <f t="shared" si="68"/>
        <v>127</v>
      </c>
      <c r="AS28" s="138">
        <f t="shared" si="69"/>
        <v>464</v>
      </c>
      <c r="AT28" s="141">
        <f>6+3</f>
        <v>9</v>
      </c>
      <c r="AU28" s="141">
        <f>72+39</f>
        <v>111</v>
      </c>
      <c r="AV28" s="141">
        <f>69+32</f>
        <v>101</v>
      </c>
      <c r="AW28" s="141">
        <f>107+60</f>
        <v>167</v>
      </c>
      <c r="AX28" s="141">
        <f>120+51</f>
        <v>171</v>
      </c>
      <c r="AY28" s="137">
        <f>64+40</f>
        <v>104</v>
      </c>
      <c r="AZ28" s="137">
        <f>12+3</f>
        <v>15</v>
      </c>
      <c r="BA28" s="137">
        <f>164+89</f>
        <v>253</v>
      </c>
      <c r="BB28" s="137">
        <f>153+51</f>
        <v>204</v>
      </c>
      <c r="BC28" s="137">
        <f>321+134</f>
        <v>455</v>
      </c>
      <c r="BD28" s="137">
        <f>177+85</f>
        <v>262</v>
      </c>
      <c r="BE28" s="137">
        <f>93+55</f>
        <v>148</v>
      </c>
      <c r="BF28" s="139">
        <f>205+110</f>
        <v>315</v>
      </c>
      <c r="BG28" s="137">
        <f>2+3</f>
        <v>5</v>
      </c>
      <c r="BH28" s="137">
        <v>7</v>
      </c>
      <c r="BI28" s="137">
        <f>75+60</f>
        <v>135</v>
      </c>
      <c r="BJ28" s="137">
        <f>23+15</f>
        <v>38</v>
      </c>
      <c r="BK28" s="137">
        <v>8</v>
      </c>
      <c r="BL28" s="137">
        <v>16</v>
      </c>
      <c r="BM28" s="137">
        <f>106+69</f>
        <v>175</v>
      </c>
      <c r="BN28" s="137">
        <f>117+77</f>
        <v>194</v>
      </c>
      <c r="BO28" s="137">
        <v>4</v>
      </c>
      <c r="BP28" s="137">
        <f>52+24</f>
        <v>76</v>
      </c>
      <c r="BQ28" s="137">
        <f>47+41</f>
        <v>88</v>
      </c>
      <c r="BR28" s="139">
        <f>43+31</f>
        <v>74</v>
      </c>
      <c r="BS28" s="137">
        <f>10+1</f>
        <v>11</v>
      </c>
      <c r="BT28" s="137">
        <f>129+57</f>
        <v>186</v>
      </c>
      <c r="BU28" s="137">
        <f>45+14</f>
        <v>59</v>
      </c>
      <c r="BV28" s="137">
        <f>121+63</f>
        <v>184</v>
      </c>
      <c r="BW28" s="137">
        <f>84+56</f>
        <v>140</v>
      </c>
      <c r="BX28" s="137">
        <f>105+73</f>
        <v>178</v>
      </c>
      <c r="BY28" s="137">
        <f>51+33</f>
        <v>84</v>
      </c>
      <c r="BZ28" s="137">
        <f>92+69</f>
        <v>161</v>
      </c>
      <c r="CA28" s="137">
        <f>65+29</f>
        <v>94</v>
      </c>
      <c r="CB28" s="139">
        <f>111+66</f>
        <v>177</v>
      </c>
      <c r="CC28" s="137">
        <f>109+63</f>
        <v>172</v>
      </c>
      <c r="CD28" s="137">
        <f>21+24</f>
        <v>45</v>
      </c>
      <c r="CE28" s="137">
        <f>53+59</f>
        <v>112</v>
      </c>
      <c r="CF28" s="137">
        <v>33</v>
      </c>
      <c r="CG28" s="137">
        <f>300+131</f>
        <v>431</v>
      </c>
      <c r="CH28" s="137">
        <f>303+127</f>
        <v>430</v>
      </c>
      <c r="CI28" s="137">
        <f>90+37</f>
        <v>127</v>
      </c>
      <c r="CJ28" s="137">
        <f>347+100</f>
        <v>447</v>
      </c>
      <c r="CK28" s="138">
        <f>131+95</f>
        <v>226</v>
      </c>
      <c r="CL28" s="140">
        <f>4238+2194</f>
        <v>6432</v>
      </c>
    </row>
    <row r="29" spans="1:90">
      <c r="A29" s="80">
        <f>ROWS($A$3:A27)</f>
        <v>25</v>
      </c>
      <c r="B29" s="52" t="s">
        <v>5</v>
      </c>
      <c r="C29" s="201"/>
      <c r="D29" s="268" t="s">
        <v>13</v>
      </c>
      <c r="E29" s="269"/>
      <c r="F29" s="116">
        <v>754</v>
      </c>
      <c r="G29" s="137">
        <v>523</v>
      </c>
      <c r="H29" s="137">
        <v>537</v>
      </c>
      <c r="I29" s="138">
        <v>698</v>
      </c>
      <c r="J29" s="141"/>
      <c r="K29" s="116">
        <f t="shared" si="37"/>
        <v>114</v>
      </c>
      <c r="L29" s="137">
        <f t="shared" si="38"/>
        <v>30</v>
      </c>
      <c r="M29" s="137">
        <f t="shared" si="39"/>
        <v>164</v>
      </c>
      <c r="N29" s="137">
        <f t="shared" si="40"/>
        <v>35</v>
      </c>
      <c r="O29" s="137">
        <f t="shared" si="41"/>
        <v>52</v>
      </c>
      <c r="P29" s="137">
        <f>'2008'!AZ29+'2008'!BA29</f>
        <v>98</v>
      </c>
      <c r="Q29" s="137">
        <f>'2008'!AU29</f>
        <v>45</v>
      </c>
      <c r="R29" s="137">
        <f t="shared" si="42"/>
        <v>27</v>
      </c>
      <c r="S29" s="137">
        <f t="shared" si="43"/>
        <v>28</v>
      </c>
      <c r="T29" s="137">
        <f t="shared" si="44"/>
        <v>76</v>
      </c>
      <c r="U29" s="139">
        <f t="shared" si="45"/>
        <v>85</v>
      </c>
      <c r="V29" s="137">
        <f t="shared" si="46"/>
        <v>47</v>
      </c>
      <c r="W29" s="137">
        <f t="shared" si="47"/>
        <v>38</v>
      </c>
      <c r="X29" s="137">
        <f t="shared" si="48"/>
        <v>134</v>
      </c>
      <c r="Y29" s="137">
        <f t="shared" si="49"/>
        <v>82</v>
      </c>
      <c r="Z29" s="137">
        <f t="shared" si="50"/>
        <v>133</v>
      </c>
      <c r="AA29" s="137">
        <f t="shared" si="51"/>
        <v>53</v>
      </c>
      <c r="AB29" s="139">
        <f t="shared" si="52"/>
        <v>36</v>
      </c>
      <c r="AC29" s="137">
        <f t="shared" si="53"/>
        <v>64</v>
      </c>
      <c r="AD29" s="137">
        <f t="shared" si="54"/>
        <v>26</v>
      </c>
      <c r="AE29" s="137">
        <f t="shared" si="55"/>
        <v>45</v>
      </c>
      <c r="AF29" s="137">
        <f t="shared" si="56"/>
        <v>15</v>
      </c>
      <c r="AG29" s="137">
        <f t="shared" si="57"/>
        <v>84</v>
      </c>
      <c r="AH29" s="137">
        <f t="shared" si="58"/>
        <v>88</v>
      </c>
      <c r="AI29" s="137">
        <f t="shared" si="59"/>
        <v>73</v>
      </c>
      <c r="AJ29" s="137">
        <f t="shared" si="60"/>
        <v>81</v>
      </c>
      <c r="AK29" s="139">
        <f t="shared" si="61"/>
        <v>61</v>
      </c>
      <c r="AL29" s="137">
        <f t="shared" si="62"/>
        <v>95</v>
      </c>
      <c r="AM29" s="137">
        <f t="shared" si="63"/>
        <v>119</v>
      </c>
      <c r="AN29" s="137">
        <f t="shared" si="64"/>
        <v>56</v>
      </c>
      <c r="AO29" s="137">
        <f t="shared" si="65"/>
        <v>94</v>
      </c>
      <c r="AP29" s="137">
        <f t="shared" si="66"/>
        <v>62</v>
      </c>
      <c r="AQ29" s="137">
        <f t="shared" si="67"/>
        <v>133</v>
      </c>
      <c r="AR29" s="137">
        <f t="shared" si="68"/>
        <v>22</v>
      </c>
      <c r="AS29" s="138">
        <f>CF29+CG29</f>
        <v>117</v>
      </c>
      <c r="AT29" s="141">
        <v>2</v>
      </c>
      <c r="AU29" s="141">
        <v>45</v>
      </c>
      <c r="AV29" s="141">
        <v>28</v>
      </c>
      <c r="AW29" s="141">
        <v>35</v>
      </c>
      <c r="AX29" s="141">
        <v>25</v>
      </c>
      <c r="AY29" s="137">
        <v>30</v>
      </c>
      <c r="AZ29" s="137">
        <v>5</v>
      </c>
      <c r="BA29" s="137">
        <v>93</v>
      </c>
      <c r="BB29" s="137">
        <v>76</v>
      </c>
      <c r="BC29" s="137">
        <v>85</v>
      </c>
      <c r="BD29" s="137">
        <v>164</v>
      </c>
      <c r="BE29" s="137">
        <v>52</v>
      </c>
      <c r="BF29" s="139">
        <v>114</v>
      </c>
      <c r="BG29" s="137">
        <v>3</v>
      </c>
      <c r="BH29" s="137">
        <v>6</v>
      </c>
      <c r="BI29" s="137">
        <f>128</f>
        <v>128</v>
      </c>
      <c r="BJ29" s="137">
        <f>44</f>
        <v>44</v>
      </c>
      <c r="BK29" s="137">
        <v>1</v>
      </c>
      <c r="BL29" s="137">
        <v>5</v>
      </c>
      <c r="BM29" s="137">
        <v>133</v>
      </c>
      <c r="BN29" s="137">
        <v>76</v>
      </c>
      <c r="BO29" s="137">
        <v>4</v>
      </c>
      <c r="BP29" s="137">
        <v>36</v>
      </c>
      <c r="BQ29" s="137">
        <v>49</v>
      </c>
      <c r="BR29" s="139">
        <v>38</v>
      </c>
      <c r="BS29" s="137">
        <v>5</v>
      </c>
      <c r="BT29" s="137">
        <v>40</v>
      </c>
      <c r="BU29" s="137">
        <f>26</f>
        <v>26</v>
      </c>
      <c r="BV29" s="137">
        <v>84</v>
      </c>
      <c r="BW29" s="137">
        <v>73</v>
      </c>
      <c r="BX29" s="137">
        <v>64</v>
      </c>
      <c r="BY29" s="137">
        <v>81</v>
      </c>
      <c r="BZ29" s="137">
        <f>88</f>
        <v>88</v>
      </c>
      <c r="CA29" s="137">
        <v>15</v>
      </c>
      <c r="CB29" s="139">
        <f>61</f>
        <v>61</v>
      </c>
      <c r="CC29" s="137">
        <f>94</f>
        <v>94</v>
      </c>
      <c r="CD29" s="137">
        <v>62</v>
      </c>
      <c r="CE29" s="137">
        <v>95</v>
      </c>
      <c r="CF29" s="137">
        <v>6</v>
      </c>
      <c r="CG29" s="137">
        <v>111</v>
      </c>
      <c r="CH29" s="137">
        <v>119</v>
      </c>
      <c r="CI29" s="137">
        <v>22</v>
      </c>
      <c r="CJ29" s="137">
        <v>56</v>
      </c>
      <c r="CK29" s="138">
        <v>133</v>
      </c>
      <c r="CL29" s="140">
        <f>2512</f>
        <v>2512</v>
      </c>
    </row>
    <row r="30" spans="1:90">
      <c r="A30" s="80">
        <f>ROWS($A$3:A28)</f>
        <v>26</v>
      </c>
      <c r="B30" s="53" t="s">
        <v>256</v>
      </c>
      <c r="C30" s="261"/>
      <c r="D30" s="268" t="s">
        <v>1</v>
      </c>
      <c r="E30" s="269"/>
      <c r="F30" s="167">
        <f>F35/F23</f>
        <v>25.940701696590349</v>
      </c>
      <c r="G30" s="168">
        <f>G35/G23</f>
        <v>30.661200541597712</v>
      </c>
      <c r="H30" s="168">
        <f>H35/H23</f>
        <v>18.05483230361871</v>
      </c>
      <c r="I30" s="169">
        <f>I35/I23</f>
        <v>30.732095868003697</v>
      </c>
      <c r="J30" s="173"/>
      <c r="K30" s="178">
        <f t="shared" si="37"/>
        <v>28.840750436300173</v>
      </c>
      <c r="L30" s="179">
        <f t="shared" si="38"/>
        <v>15.357728337236534</v>
      </c>
      <c r="M30" s="179">
        <f t="shared" si="39"/>
        <v>36.372899159663866</v>
      </c>
      <c r="N30" s="179">
        <f t="shared" si="40"/>
        <v>30.497320471597</v>
      </c>
      <c r="O30" s="179">
        <f t="shared" si="41"/>
        <v>39.758672699849171</v>
      </c>
      <c r="P30" s="168">
        <f>P35/P23</f>
        <v>20.014591109602986</v>
      </c>
      <c r="Q30" s="179">
        <f>'2008'!AU30</f>
        <v>28.835249042145595</v>
      </c>
      <c r="R30" s="168">
        <f>R35/R23</f>
        <v>17.007755695588948</v>
      </c>
      <c r="S30" s="179">
        <f t="shared" si="43"/>
        <v>23.418331374853114</v>
      </c>
      <c r="T30" s="179">
        <f t="shared" si="44"/>
        <v>26.487373737373737</v>
      </c>
      <c r="U30" s="180">
        <f t="shared" si="45"/>
        <v>31.196378269617707</v>
      </c>
      <c r="V30" s="168">
        <f>V35/V23</f>
        <v>16.553784860557769</v>
      </c>
      <c r="W30" s="179">
        <f t="shared" si="47"/>
        <v>26.178284182305632</v>
      </c>
      <c r="X30" s="168">
        <f>X35/X23</f>
        <v>36.625800548947851</v>
      </c>
      <c r="Y30" s="168">
        <f>Y35/Y23</f>
        <v>31.397959183673468</v>
      </c>
      <c r="Z30" s="179">
        <f t="shared" si="50"/>
        <v>40.707211120764555</v>
      </c>
      <c r="AA30" s="168">
        <f>AA35/AA23</f>
        <v>33.976391231028671</v>
      </c>
      <c r="AB30" s="180">
        <f t="shared" si="52"/>
        <v>25.5</v>
      </c>
      <c r="AC30" s="179">
        <f t="shared" si="53"/>
        <v>29.788679245283017</v>
      </c>
      <c r="AD30" s="179">
        <f t="shared" si="54"/>
        <v>11.494235588972431</v>
      </c>
      <c r="AE30" s="168">
        <f>AE35/AE23</f>
        <v>13.066144047035767</v>
      </c>
      <c r="AF30" s="179">
        <f t="shared" si="56"/>
        <v>17.436907366885485</v>
      </c>
      <c r="AG30" s="179">
        <f t="shared" si="57"/>
        <v>11.835950080515298</v>
      </c>
      <c r="AH30" s="179">
        <f t="shared" si="58"/>
        <v>30.728406055209263</v>
      </c>
      <c r="AI30" s="179">
        <f t="shared" si="59"/>
        <v>28.943714821763603</v>
      </c>
      <c r="AJ30" s="179">
        <f t="shared" si="60"/>
        <v>42.901234567901234</v>
      </c>
      <c r="AK30" s="180">
        <f t="shared" si="61"/>
        <v>24.014101778050275</v>
      </c>
      <c r="AL30" s="179">
        <f t="shared" si="62"/>
        <v>36.914502164502167</v>
      </c>
      <c r="AM30" s="179">
        <f t="shared" si="63"/>
        <v>35.15269596737653</v>
      </c>
      <c r="AN30" s="179">
        <f t="shared" si="64"/>
        <v>28.22636655948553</v>
      </c>
      <c r="AO30" s="179">
        <f t="shared" si="65"/>
        <v>32.446107784431135</v>
      </c>
      <c r="AP30" s="179">
        <f t="shared" si="66"/>
        <v>36.388278388278387</v>
      </c>
      <c r="AQ30" s="179">
        <f t="shared" si="67"/>
        <v>34.858496525584336</v>
      </c>
      <c r="AR30" s="179">
        <f t="shared" si="68"/>
        <v>17.063627254509019</v>
      </c>
      <c r="AS30" s="169">
        <f t="shared" ref="AS30:CL30" si="70">AS35/AS23</f>
        <v>33.994489190334889</v>
      </c>
      <c r="AT30" s="168">
        <f t="shared" si="70"/>
        <v>9.8910505836575879</v>
      </c>
      <c r="AU30" s="168">
        <f t="shared" si="70"/>
        <v>28.835249042145595</v>
      </c>
      <c r="AV30" s="168">
        <f t="shared" si="70"/>
        <v>23.418331374853114</v>
      </c>
      <c r="AW30" s="168">
        <f t="shared" si="70"/>
        <v>30.497320471597</v>
      </c>
      <c r="AX30" s="168">
        <f t="shared" si="70"/>
        <v>18.02048726467331</v>
      </c>
      <c r="AY30" s="168">
        <f t="shared" si="70"/>
        <v>15.357728337236534</v>
      </c>
      <c r="AZ30" s="168">
        <f t="shared" si="70"/>
        <v>19.356481481481481</v>
      </c>
      <c r="BA30" s="168">
        <f t="shared" si="70"/>
        <v>20.066642255584036</v>
      </c>
      <c r="BB30" s="168">
        <f t="shared" si="70"/>
        <v>26.487373737373737</v>
      </c>
      <c r="BC30" s="168">
        <f t="shared" si="70"/>
        <v>31.196378269617707</v>
      </c>
      <c r="BD30" s="168">
        <f t="shared" si="70"/>
        <v>36.372899159663866</v>
      </c>
      <c r="BE30" s="168">
        <f t="shared" si="70"/>
        <v>39.758672699849171</v>
      </c>
      <c r="BF30" s="176">
        <f t="shared" si="70"/>
        <v>28.840750436300173</v>
      </c>
      <c r="BG30" s="168">
        <f t="shared" si="70"/>
        <v>9.6408839779005522</v>
      </c>
      <c r="BH30" s="168">
        <f t="shared" si="70"/>
        <v>29.943181818181817</v>
      </c>
      <c r="BI30" s="168">
        <f t="shared" si="70"/>
        <v>37.210945273631843</v>
      </c>
      <c r="BJ30" s="168">
        <f t="shared" si="70"/>
        <v>18.074119076549209</v>
      </c>
      <c r="BK30" s="168">
        <f t="shared" si="70"/>
        <v>17.673076923076923</v>
      </c>
      <c r="BL30" s="168">
        <f t="shared" si="70"/>
        <v>34.450000000000003</v>
      </c>
      <c r="BM30" s="168">
        <f t="shared" si="70"/>
        <v>40.707211120764555</v>
      </c>
      <c r="BN30" s="168">
        <f t="shared" si="70"/>
        <v>32.393939393939391</v>
      </c>
      <c r="BO30" s="168">
        <f t="shared" si="70"/>
        <v>26.783783783783782</v>
      </c>
      <c r="BP30" s="168">
        <f t="shared" si="70"/>
        <v>25.5</v>
      </c>
      <c r="BQ30" s="168">
        <f t="shared" si="70"/>
        <v>34.455035971223019</v>
      </c>
      <c r="BR30" s="176">
        <f t="shared" si="70"/>
        <v>26.178284182305632</v>
      </c>
      <c r="BS30" s="168">
        <f t="shared" si="70"/>
        <v>13.158671586715867</v>
      </c>
      <c r="BT30" s="168">
        <f t="shared" si="70"/>
        <v>13.059564418787719</v>
      </c>
      <c r="BU30" s="168">
        <f t="shared" si="70"/>
        <v>11.494235588972431</v>
      </c>
      <c r="BV30" s="168">
        <f t="shared" si="70"/>
        <v>11.835950080515298</v>
      </c>
      <c r="BW30" s="168">
        <f t="shared" si="70"/>
        <v>28.943714821763603</v>
      </c>
      <c r="BX30" s="168">
        <f t="shared" si="70"/>
        <v>29.788679245283017</v>
      </c>
      <c r="BY30" s="168">
        <f t="shared" si="70"/>
        <v>42.901234567901234</v>
      </c>
      <c r="BZ30" s="168">
        <f t="shared" si="70"/>
        <v>30.728406055209263</v>
      </c>
      <c r="CA30" s="168">
        <f t="shared" si="70"/>
        <v>17.436907366885485</v>
      </c>
      <c r="CB30" s="176">
        <f t="shared" si="70"/>
        <v>24.014101778050275</v>
      </c>
      <c r="CC30" s="168">
        <f t="shared" si="70"/>
        <v>32.446107784431135</v>
      </c>
      <c r="CD30" s="168">
        <f t="shared" si="70"/>
        <v>36.388278388278387</v>
      </c>
      <c r="CE30" s="168">
        <f t="shared" si="70"/>
        <v>36.914502164502167</v>
      </c>
      <c r="CF30" s="168">
        <f t="shared" si="70"/>
        <v>32.739726027397261</v>
      </c>
      <c r="CG30" s="168">
        <f t="shared" si="70"/>
        <v>34.077270673294173</v>
      </c>
      <c r="CH30" s="168">
        <f t="shared" si="70"/>
        <v>35.15269596737653</v>
      </c>
      <c r="CI30" s="168">
        <f t="shared" si="70"/>
        <v>17.063627254509019</v>
      </c>
      <c r="CJ30" s="168">
        <f t="shared" si="70"/>
        <v>28.22636655948553</v>
      </c>
      <c r="CK30" s="169">
        <f t="shared" si="70"/>
        <v>34.858496525584336</v>
      </c>
      <c r="CL30" s="177">
        <f t="shared" si="70"/>
        <v>25.16576977685849</v>
      </c>
    </row>
    <row r="31" spans="1:90">
      <c r="A31" s="80">
        <f>ROWS($A$3:A29)</f>
        <v>27</v>
      </c>
      <c r="B31" s="53" t="str">
        <f>"Entwicklung Betriebe ab 5 ha LF von 2001 / "&amp;C23</f>
        <v>Entwicklung Betriebe ab 5 ha LF von 2001 / 2007</v>
      </c>
      <c r="C31" s="261"/>
      <c r="D31" s="268" t="s">
        <v>3</v>
      </c>
      <c r="E31" s="269"/>
      <c r="F31" s="142">
        <f>(F23-F24)/('2001'!F23-'2001'!F24)%-100</f>
        <v>-16.503800217155273</v>
      </c>
      <c r="G31" s="143">
        <f>(G23-G24)/('2001'!G23-'2001'!G24)%-100</f>
        <v>-14.628391663389692</v>
      </c>
      <c r="H31" s="143">
        <f>(H23-H24)/('2001'!H23-'2001'!H24)%-100</f>
        <v>-15.418786850819799</v>
      </c>
      <c r="I31" s="144">
        <f>(I23-I24)/('2001'!I23-'2001'!I24)%-100</f>
        <v>-17.614464858559344</v>
      </c>
      <c r="J31" s="141"/>
      <c r="K31" s="116">
        <f t="shared" si="37"/>
        <v>-17.603160667251984</v>
      </c>
      <c r="L31" s="137">
        <f t="shared" si="38"/>
        <v>-14.36837029893924</v>
      </c>
      <c r="M31" s="137">
        <f t="shared" si="39"/>
        <v>-19.881145326850358</v>
      </c>
      <c r="N31" s="137">
        <f t="shared" si="40"/>
        <v>-14.871194379391099</v>
      </c>
      <c r="O31" s="137">
        <f t="shared" si="41"/>
        <v>-12.406576980568019</v>
      </c>
      <c r="P31" s="143">
        <f>100-(P23%/((AZ23%)/(100-AZ31)+(BA23%)/(100-BA31)))</f>
        <v>-14.73228413599405</v>
      </c>
      <c r="Q31" s="146">
        <f>'2008'!AU31</f>
        <v>-19.11357340720221</v>
      </c>
      <c r="R31" s="143">
        <f>100-(R23%/((AT23%)/(100-AT31)+(AX23%)/(100-AX31)))</f>
        <v>-11.348012517026632</v>
      </c>
      <c r="S31" s="146">
        <f t="shared" si="43"/>
        <v>-16.388467374810318</v>
      </c>
      <c r="T31" s="146">
        <f t="shared" si="44"/>
        <v>-18.392581143740344</v>
      </c>
      <c r="U31" s="147">
        <f t="shared" si="45"/>
        <v>-17.130365659777425</v>
      </c>
      <c r="V31" s="143">
        <f>100-(V23%/((BG23%)/(100-BG31)+(BJ23%)/(100-BJ31)))</f>
        <v>-6.9569774860996887</v>
      </c>
      <c r="W31" s="146">
        <f t="shared" si="47"/>
        <v>-16.930379746835442</v>
      </c>
      <c r="X31" s="143">
        <f>100-(X23%/((BH23%)/(100-BH31)+(BI23%)/(100-BI31)))</f>
        <v>-12.625136266897684</v>
      </c>
      <c r="Y31" s="143">
        <f>100-(Y23%/((BK23%)/(100-BK31)+(BL23%)/(100-BL31)+(BN23%)/(100-BN31)))</f>
        <v>-15.221056483334152</v>
      </c>
      <c r="Z31" s="146">
        <f t="shared" si="50"/>
        <v>-15.727272727272734</v>
      </c>
      <c r="AA31" s="143">
        <f>100-(AA23%/((BO23%)/(100-BO31)+(BQ23%)/(100-BQ31)))</f>
        <v>-12.320124420285353</v>
      </c>
      <c r="AB31" s="147">
        <f t="shared" si="52"/>
        <v>-18.641114982578401</v>
      </c>
      <c r="AC31" s="146">
        <f t="shared" si="53"/>
        <v>-17.163009404388717</v>
      </c>
      <c r="AD31" s="146">
        <f t="shared" si="54"/>
        <v>-12.121212121212125</v>
      </c>
      <c r="AE31" s="143">
        <f>100-(AE23%/((BS23%)/(100-BS31)+(BT23%)/(100-BT31)))</f>
        <v>-13.098800393925458</v>
      </c>
      <c r="AF31" s="146">
        <f t="shared" si="56"/>
        <v>-15.843429636533088</v>
      </c>
      <c r="AG31" s="146">
        <f t="shared" si="57"/>
        <v>-13.049853372434015</v>
      </c>
      <c r="AH31" s="146">
        <f t="shared" si="58"/>
        <v>-17.083786724700758</v>
      </c>
      <c r="AI31" s="146">
        <f t="shared" si="59"/>
        <v>-17.694641051567245</v>
      </c>
      <c r="AJ31" s="146">
        <f t="shared" si="60"/>
        <v>-20</v>
      </c>
      <c r="AK31" s="147">
        <f t="shared" si="61"/>
        <v>-19.166666666666671</v>
      </c>
      <c r="AL31" s="146">
        <f t="shared" si="62"/>
        <v>-18.142548596112306</v>
      </c>
      <c r="AM31" s="146">
        <f t="shared" si="63"/>
        <v>-18.154246100519927</v>
      </c>
      <c r="AN31" s="146">
        <f t="shared" si="64"/>
        <v>-15.493421052631575</v>
      </c>
      <c r="AO31" s="146">
        <f t="shared" si="65"/>
        <v>-18.827160493827165</v>
      </c>
      <c r="AP31" s="146">
        <f t="shared" si="66"/>
        <v>-19.114688128772627</v>
      </c>
      <c r="AQ31" s="146">
        <f t="shared" si="67"/>
        <v>-19.531731361675909</v>
      </c>
      <c r="AR31" s="146">
        <f t="shared" si="68"/>
        <v>-14.391392064559511</v>
      </c>
      <c r="AS31" s="144">
        <f>100-(AS23%/((CF23%)/(100-CF31)+(CG23%)/(100-CG31)))</f>
        <v>-19.222851443449017</v>
      </c>
      <c r="AT31" s="146">
        <f>(AT23-AT24)/('2001'!AT23-'2001'!AT24)%-100</f>
        <v>-3.0612244897959187</v>
      </c>
      <c r="AU31" s="141">
        <f>(AU23-AU24)/('2001'!AU23-'2001'!AU24)%-100</f>
        <v>-19.11357340720221</v>
      </c>
      <c r="AV31" s="141">
        <f>(AV23-AV24)/('2001'!AV23-'2001'!AV24)%-100</f>
        <v>-16.388467374810318</v>
      </c>
      <c r="AW31" s="141">
        <f>(AW23-AW24)/('2001'!AW23-'2001'!AW24)%-100</f>
        <v>-14.871194379391099</v>
      </c>
      <c r="AX31" s="141">
        <f>(AX23-AX24)/('2001'!AX23-'2001'!AX24)%-100</f>
        <v>-12.636815920398021</v>
      </c>
      <c r="AY31" s="137">
        <f>(AY23-AY24)/('2001'!AY23-'2001'!AY24)%-100</f>
        <v>-14.36837029893924</v>
      </c>
      <c r="AZ31" s="137">
        <f>(AZ23-AZ24)/('2001'!AZ23-'2001'!AZ24)%-100</f>
        <v>-16.666666666666671</v>
      </c>
      <c r="BA31" s="137">
        <f>(BA23-BA24)/('2001'!BA23-'2001'!BA24)%-100</f>
        <v>-14.582023884349468</v>
      </c>
      <c r="BB31" s="137">
        <f>(BB23-BB24)/('2001'!BB23-'2001'!BB24)%-100</f>
        <v>-18.392581143740344</v>
      </c>
      <c r="BC31" s="137">
        <f>(BC23-BC24)/('2001'!BC23-'2001'!BC24)%-100</f>
        <v>-17.130365659777425</v>
      </c>
      <c r="BD31" s="137">
        <f>(BD23-BD24)/('2001'!BD23-'2001'!BD24)%-100</f>
        <v>-19.881145326850358</v>
      </c>
      <c r="BE31" s="137">
        <f>(BE23-BE24)/('2001'!BE23-'2001'!BE24)%-100</f>
        <v>-12.406576980568019</v>
      </c>
      <c r="BF31" s="139">
        <f>(BF23-BF24)/('2001'!BF23-'2001'!BF24)%-100</f>
        <v>-17.603160667251984</v>
      </c>
      <c r="BG31" s="137">
        <f>(BG23-BG24)/('2001'!BG23-'2001'!BG24)%-100</f>
        <v>-13.333333333333329</v>
      </c>
      <c r="BH31" s="137">
        <f>(BH23-BH24)/('2001'!BH23-'2001'!BH24)%-100</f>
        <v>-12.698412698412696</v>
      </c>
      <c r="BI31" s="137">
        <f>(BI23-BI24)/('2001'!BI23-'2001'!BI24)%-100</f>
        <v>-12.618724559023065</v>
      </c>
      <c r="BJ31" s="137">
        <f>(BJ23-BJ24)/('2001'!BJ23-'2001'!BJ24)%-100</f>
        <v>-5.6497175141242906</v>
      </c>
      <c r="BK31" s="137">
        <f>(BK23-BK24)/('2001'!BK23-'2001'!BK24)%-100</f>
        <v>-7.3529411764705941</v>
      </c>
      <c r="BL31" s="137">
        <f>(BL23-BL24)/('2001'!BL23-'2001'!BL24)%-100</f>
        <v>-24.324324324324323</v>
      </c>
      <c r="BM31" s="137">
        <f>(BM23-BM24)/('2001'!BM23-'2001'!BM24)%-100</f>
        <v>-15.727272727272734</v>
      </c>
      <c r="BN31" s="137">
        <f>(BN23-BN24)/('2001'!BN23-'2001'!BN24)%-100</f>
        <v>-15.392456676860348</v>
      </c>
      <c r="BO31" s="137">
        <f>(BO23-BO24)/('2001'!BO23-'2001'!BO24)%-100</f>
        <v>-19.047619047619051</v>
      </c>
      <c r="BP31" s="137">
        <f>(BP23-BP24)/('2001'!BP23-'2001'!BP24)%-100</f>
        <v>-18.641114982578401</v>
      </c>
      <c r="BQ31" s="137">
        <f>(BQ23-BQ24)/('2001'!BQ23-'2001'!BQ24)%-100</f>
        <v>-11.899313501144164</v>
      </c>
      <c r="BR31" s="139">
        <f>(BR23-BR24)/('2001'!BR23-'2001'!BR24)%-100</f>
        <v>-16.930379746835442</v>
      </c>
      <c r="BS31" s="137">
        <f>(BS23-BS24)/('2001'!BS23-'2001'!BS24)%-100</f>
        <v>-15.254237288135585</v>
      </c>
      <c r="BT31" s="137">
        <f>(BT23-BT24)/('2001'!BT23-'2001'!BT24)%-100</f>
        <v>-12.948593598448113</v>
      </c>
      <c r="BU31" s="137">
        <f>(BU23-BU24)/('2001'!BU23-'2001'!BU24)%-100</f>
        <v>-12.121212121212125</v>
      </c>
      <c r="BV31" s="137">
        <f>(BV23-BV24)/('2001'!BV23-'2001'!BV24)%-100</f>
        <v>-13.049853372434015</v>
      </c>
      <c r="BW31" s="137">
        <f>(BW23-BW24)/('2001'!BW23-'2001'!BW24)%-100</f>
        <v>-17.694641051567245</v>
      </c>
      <c r="BX31" s="137">
        <f>(BX23-BX24)/('2001'!BX23-'2001'!BX24)%-100</f>
        <v>-17.163009404388717</v>
      </c>
      <c r="BY31" s="137">
        <f>(BY23-BY24)/('2001'!BY23-'2001'!BY24)%-100</f>
        <v>-20</v>
      </c>
      <c r="BZ31" s="137">
        <f>(BZ23-BZ24)/('2001'!BZ23-'2001'!BZ24)%-100</f>
        <v>-17.083786724700758</v>
      </c>
      <c r="CA31" s="137">
        <f>(CA23-CA24)/('2001'!CA23-'2001'!CA24)%-100</f>
        <v>-15.843429636533088</v>
      </c>
      <c r="CB31" s="139">
        <f>(CB23-CB24)/('2001'!CB23-'2001'!CB24)%-100</f>
        <v>-19.166666666666671</v>
      </c>
      <c r="CC31" s="137">
        <f>(CC23-CC24)/('2001'!CC23-'2001'!CC24)%-100</f>
        <v>-18.827160493827165</v>
      </c>
      <c r="CD31" s="137">
        <f>(CD23-CD24)/('2001'!CD23-'2001'!CD24)%-100</f>
        <v>-19.114688128772627</v>
      </c>
      <c r="CE31" s="137">
        <f>(CE23-CE24)/('2001'!CE23-'2001'!CE24)%-100</f>
        <v>-18.142548596112306</v>
      </c>
      <c r="CF31" s="137">
        <f>(CF23-CF24)/('2001'!CF23-'2001'!CF24)%-100</f>
        <v>-19.565217391304344</v>
      </c>
      <c r="CG31" s="137">
        <f>(CG23-CG24)/('2001'!CG23-'2001'!CG24)%-100</f>
        <v>-19.200333194502292</v>
      </c>
      <c r="CH31" s="137">
        <f>(CH23-CH24)/('2001'!CH23-'2001'!CH24)%-100</f>
        <v>-18.154246100519927</v>
      </c>
      <c r="CI31" s="137">
        <f>(CI23-CI24)/('2001'!CI23-'2001'!CI24)%-100</f>
        <v>-14.391392064559511</v>
      </c>
      <c r="CJ31" s="137">
        <f>(CJ23-CJ24)/('2001'!CJ23-'2001'!CJ24)%-100</f>
        <v>-15.493421052631575</v>
      </c>
      <c r="CK31" s="138">
        <f>(CK23-CK24)/('2001'!CK23-'2001'!CK24)%-100</f>
        <v>-19.531731361675909</v>
      </c>
      <c r="CL31" s="140">
        <f>(CL23-CL24)/('2001'!CL23-'2001'!CL24)%-100</f>
        <v>-16.335286047170015</v>
      </c>
    </row>
    <row r="32" spans="1:90">
      <c r="A32" s="80">
        <f>ROWS($A$3:A30)</f>
        <v>28</v>
      </c>
      <c r="B32" s="53" t="s">
        <v>170</v>
      </c>
      <c r="C32" s="261"/>
      <c r="D32" s="268" t="s">
        <v>3</v>
      </c>
      <c r="E32" s="269"/>
      <c r="F32" s="116">
        <v>37</v>
      </c>
      <c r="G32" s="137">
        <v>31</v>
      </c>
      <c r="H32" s="137">
        <v>28</v>
      </c>
      <c r="I32" s="138">
        <v>42</v>
      </c>
      <c r="J32" s="141"/>
      <c r="K32" s="116">
        <f t="shared" si="37"/>
        <v>35</v>
      </c>
      <c r="L32" s="137">
        <f t="shared" si="38"/>
        <v>35</v>
      </c>
      <c r="M32" s="137">
        <f t="shared" si="39"/>
        <v>34</v>
      </c>
      <c r="N32" s="137">
        <f t="shared" si="40"/>
        <v>42</v>
      </c>
      <c r="O32" s="137">
        <f t="shared" si="41"/>
        <v>41</v>
      </c>
      <c r="P32" s="143">
        <f>(AZ23*AZ32+BA23*BA32)/P23</f>
        <v>40.539192399049881</v>
      </c>
      <c r="Q32" s="146">
        <f>'2008'!AU32</f>
        <v>30</v>
      </c>
      <c r="R32" s="143">
        <f>(AT23*AT32+AX23*AX32)/R23</f>
        <v>40.989820649539503</v>
      </c>
      <c r="S32" s="146">
        <f t="shared" si="43"/>
        <v>35</v>
      </c>
      <c r="T32" s="146">
        <f t="shared" si="44"/>
        <v>38</v>
      </c>
      <c r="U32" s="147">
        <f t="shared" si="45"/>
        <v>47</v>
      </c>
      <c r="V32" s="143">
        <f>(BG23*BG32+BJ23*BJ32)/V23</f>
        <v>16.819721115537849</v>
      </c>
      <c r="W32" s="146">
        <f t="shared" si="47"/>
        <v>25</v>
      </c>
      <c r="X32" s="143">
        <f>(BH23*BH32+BI23*BI32)/X23</f>
        <v>33.724611161939613</v>
      </c>
      <c r="Y32" s="143">
        <f>(BK23*BK32+BL23*BL32+BN23*BN32)/Y23</f>
        <v>43.571428571428569</v>
      </c>
      <c r="Z32" s="146">
        <f t="shared" si="50"/>
        <v>33</v>
      </c>
      <c r="AA32" s="143">
        <f>(BO23*BO32+BQ23*BQ32)/AA23</f>
        <v>32.18549747048904</v>
      </c>
      <c r="AB32" s="147">
        <f t="shared" si="52"/>
        <v>26</v>
      </c>
      <c r="AC32" s="146">
        <f t="shared" si="53"/>
        <v>36</v>
      </c>
      <c r="AD32" s="146">
        <f t="shared" si="54"/>
        <v>28</v>
      </c>
      <c r="AE32" s="143">
        <f>(BS23*BS32+BT23*BT32)/AE23</f>
        <v>32.132778049975499</v>
      </c>
      <c r="AF32" s="146">
        <f t="shared" si="56"/>
        <v>29</v>
      </c>
      <c r="AG32" s="146">
        <f t="shared" si="57"/>
        <v>30</v>
      </c>
      <c r="AH32" s="146">
        <f t="shared" si="58"/>
        <v>45</v>
      </c>
      <c r="AI32" s="146">
        <f t="shared" si="59"/>
        <v>26</v>
      </c>
      <c r="AJ32" s="146">
        <f t="shared" si="60"/>
        <v>26</v>
      </c>
      <c r="AK32" s="147">
        <f t="shared" si="61"/>
        <v>27</v>
      </c>
      <c r="AL32" s="146">
        <f t="shared" si="62"/>
        <v>23</v>
      </c>
      <c r="AM32" s="146">
        <f t="shared" si="63"/>
        <v>49</v>
      </c>
      <c r="AN32" s="146">
        <f t="shared" si="64"/>
        <v>59</v>
      </c>
      <c r="AO32" s="146">
        <f t="shared" si="65"/>
        <v>28</v>
      </c>
      <c r="AP32" s="146">
        <f t="shared" si="66"/>
        <v>24</v>
      </c>
      <c r="AQ32" s="146">
        <f t="shared" si="67"/>
        <v>34</v>
      </c>
      <c r="AR32" s="146">
        <f t="shared" si="68"/>
        <v>48</v>
      </c>
      <c r="AS32" s="144">
        <f>(CF23*CF32+CG23*CG32)/AS23</f>
        <v>41.433234421364986</v>
      </c>
      <c r="AT32" s="146">
        <v>62</v>
      </c>
      <c r="AU32" s="141">
        <v>30</v>
      </c>
      <c r="AV32" s="141">
        <v>35</v>
      </c>
      <c r="AW32" s="141">
        <v>42</v>
      </c>
      <c r="AX32" s="141">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c r="A33" s="80">
        <f>ROWS($A$3:A31)</f>
        <v>29</v>
      </c>
      <c r="B33" s="53" t="s">
        <v>68</v>
      </c>
      <c r="C33" s="261"/>
      <c r="D33" s="268" t="s">
        <v>3</v>
      </c>
      <c r="E33" s="269"/>
      <c r="F33" s="142">
        <f>100-F32</f>
        <v>63</v>
      </c>
      <c r="G33" s="143">
        <f>100-G32</f>
        <v>69</v>
      </c>
      <c r="H33" s="143">
        <f>100-H32</f>
        <v>72</v>
      </c>
      <c r="I33" s="144">
        <f>100-I32</f>
        <v>58</v>
      </c>
      <c r="J33" s="141"/>
      <c r="K33" s="145">
        <f t="shared" si="37"/>
        <v>65</v>
      </c>
      <c r="L33" s="146">
        <f t="shared" si="38"/>
        <v>65</v>
      </c>
      <c r="M33" s="146">
        <f t="shared" si="39"/>
        <v>66</v>
      </c>
      <c r="N33" s="146">
        <f t="shared" si="40"/>
        <v>58</v>
      </c>
      <c r="O33" s="146">
        <f t="shared" si="41"/>
        <v>59</v>
      </c>
      <c r="P33" s="143">
        <f>100-P32</f>
        <v>59.460807600950119</v>
      </c>
      <c r="Q33" s="146">
        <f>'2008'!AU33</f>
        <v>70</v>
      </c>
      <c r="R33" s="143">
        <f>100-R32</f>
        <v>59.010179350460497</v>
      </c>
      <c r="S33" s="146">
        <f t="shared" si="43"/>
        <v>65</v>
      </c>
      <c r="T33" s="146">
        <f t="shared" si="44"/>
        <v>62</v>
      </c>
      <c r="U33" s="147">
        <f t="shared" si="45"/>
        <v>53</v>
      </c>
      <c r="V33" s="143">
        <f>100-V32</f>
        <v>83.180278884462155</v>
      </c>
      <c r="W33" s="146">
        <f t="shared" si="47"/>
        <v>75</v>
      </c>
      <c r="X33" s="143">
        <f>100-X32</f>
        <v>66.275388838060394</v>
      </c>
      <c r="Y33" s="143">
        <f>100-Y32</f>
        <v>56.428571428571431</v>
      </c>
      <c r="Z33" s="146">
        <f t="shared" si="50"/>
        <v>67</v>
      </c>
      <c r="AA33" s="143">
        <f>100-AA32</f>
        <v>67.81450252951096</v>
      </c>
      <c r="AB33" s="147">
        <f t="shared" si="52"/>
        <v>74</v>
      </c>
      <c r="AC33" s="146">
        <f t="shared" si="53"/>
        <v>64</v>
      </c>
      <c r="AD33" s="146">
        <f t="shared" si="54"/>
        <v>72</v>
      </c>
      <c r="AE33" s="143">
        <f>100-AE32</f>
        <v>67.867221950024501</v>
      </c>
      <c r="AF33" s="146">
        <f t="shared" si="56"/>
        <v>71</v>
      </c>
      <c r="AG33" s="146">
        <f t="shared" si="57"/>
        <v>70</v>
      </c>
      <c r="AH33" s="146">
        <f t="shared" si="58"/>
        <v>55</v>
      </c>
      <c r="AI33" s="146">
        <f t="shared" si="59"/>
        <v>74</v>
      </c>
      <c r="AJ33" s="146">
        <f t="shared" si="60"/>
        <v>74</v>
      </c>
      <c r="AK33" s="147">
        <f t="shared" si="61"/>
        <v>73</v>
      </c>
      <c r="AL33" s="146">
        <f t="shared" si="62"/>
        <v>77</v>
      </c>
      <c r="AM33" s="146">
        <f t="shared" si="63"/>
        <v>51</v>
      </c>
      <c r="AN33" s="146">
        <f t="shared" si="64"/>
        <v>41</v>
      </c>
      <c r="AO33" s="146">
        <f t="shared" si="65"/>
        <v>72</v>
      </c>
      <c r="AP33" s="146">
        <f t="shared" si="66"/>
        <v>76</v>
      </c>
      <c r="AQ33" s="146">
        <f t="shared" si="67"/>
        <v>66</v>
      </c>
      <c r="AR33" s="146">
        <f t="shared" si="68"/>
        <v>52</v>
      </c>
      <c r="AS33" s="144">
        <f t="shared" ref="AS33:CL33" si="71">100-AS32</f>
        <v>58.566765578635014</v>
      </c>
      <c r="AT33" s="143">
        <f t="shared" si="71"/>
        <v>38</v>
      </c>
      <c r="AU33" s="143">
        <f t="shared" si="71"/>
        <v>70</v>
      </c>
      <c r="AV33" s="143">
        <f t="shared" si="71"/>
        <v>65</v>
      </c>
      <c r="AW33" s="143">
        <f t="shared" si="71"/>
        <v>58</v>
      </c>
      <c r="AX33" s="143">
        <f t="shared" si="71"/>
        <v>62</v>
      </c>
      <c r="AY33" s="143">
        <f t="shared" si="71"/>
        <v>65</v>
      </c>
      <c r="AZ33" s="143">
        <f t="shared" si="71"/>
        <v>40</v>
      </c>
      <c r="BA33" s="143">
        <f t="shared" si="71"/>
        <v>61</v>
      </c>
      <c r="BB33" s="143">
        <f t="shared" si="71"/>
        <v>62</v>
      </c>
      <c r="BC33" s="143">
        <f t="shared" si="71"/>
        <v>53</v>
      </c>
      <c r="BD33" s="143">
        <f t="shared" si="71"/>
        <v>66</v>
      </c>
      <c r="BE33" s="143">
        <f t="shared" si="71"/>
        <v>59</v>
      </c>
      <c r="BF33" s="148">
        <f t="shared" si="71"/>
        <v>65</v>
      </c>
      <c r="BG33" s="143">
        <f t="shared" si="71"/>
        <v>84</v>
      </c>
      <c r="BH33" s="143">
        <f t="shared" si="71"/>
        <v>58</v>
      </c>
      <c r="BI33" s="143">
        <f t="shared" si="71"/>
        <v>67</v>
      </c>
      <c r="BJ33" s="143">
        <f t="shared" si="71"/>
        <v>83</v>
      </c>
      <c r="BK33" s="143">
        <f t="shared" si="71"/>
        <v>42</v>
      </c>
      <c r="BL33" s="143">
        <f t="shared" si="71"/>
        <v>37</v>
      </c>
      <c r="BM33" s="143">
        <f t="shared" si="71"/>
        <v>67</v>
      </c>
      <c r="BN33" s="143">
        <f t="shared" si="71"/>
        <v>59</v>
      </c>
      <c r="BO33" s="143">
        <f t="shared" si="71"/>
        <v>50</v>
      </c>
      <c r="BP33" s="143">
        <f t="shared" si="71"/>
        <v>74</v>
      </c>
      <c r="BQ33" s="143">
        <f t="shared" si="71"/>
        <v>69</v>
      </c>
      <c r="BR33" s="148">
        <f t="shared" si="71"/>
        <v>75</v>
      </c>
      <c r="BS33" s="143">
        <f t="shared" si="71"/>
        <v>66</v>
      </c>
      <c r="BT33" s="143">
        <f t="shared" si="71"/>
        <v>68</v>
      </c>
      <c r="BU33" s="143">
        <f t="shared" si="71"/>
        <v>72</v>
      </c>
      <c r="BV33" s="143">
        <f t="shared" si="71"/>
        <v>70</v>
      </c>
      <c r="BW33" s="143">
        <f t="shared" si="71"/>
        <v>74</v>
      </c>
      <c r="BX33" s="143">
        <f t="shared" si="71"/>
        <v>64</v>
      </c>
      <c r="BY33" s="143">
        <f t="shared" si="71"/>
        <v>74</v>
      </c>
      <c r="BZ33" s="143">
        <f t="shared" si="71"/>
        <v>55</v>
      </c>
      <c r="CA33" s="143">
        <f t="shared" si="71"/>
        <v>71</v>
      </c>
      <c r="CB33" s="148">
        <f t="shared" si="71"/>
        <v>73</v>
      </c>
      <c r="CC33" s="143">
        <f t="shared" si="71"/>
        <v>72</v>
      </c>
      <c r="CD33" s="143">
        <f t="shared" si="71"/>
        <v>76</v>
      </c>
      <c r="CE33" s="143">
        <f t="shared" si="71"/>
        <v>77</v>
      </c>
      <c r="CF33" s="143">
        <f t="shared" si="71"/>
        <v>52</v>
      </c>
      <c r="CG33" s="143">
        <f t="shared" si="71"/>
        <v>59</v>
      </c>
      <c r="CH33" s="143">
        <f t="shared" si="71"/>
        <v>51</v>
      </c>
      <c r="CI33" s="143">
        <f t="shared" si="71"/>
        <v>52</v>
      </c>
      <c r="CJ33" s="143">
        <f t="shared" si="71"/>
        <v>41</v>
      </c>
      <c r="CK33" s="144">
        <f t="shared" si="71"/>
        <v>66</v>
      </c>
      <c r="CL33" s="149">
        <f t="shared" si="71"/>
        <v>64</v>
      </c>
    </row>
    <row r="34" spans="1:90">
      <c r="A34" s="80">
        <f>ROWS($A$3:A32)</f>
        <v>30</v>
      </c>
      <c r="B34" s="59" t="s">
        <v>69</v>
      </c>
      <c r="C34" s="201"/>
      <c r="D34" s="268"/>
      <c r="E34" s="269"/>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92" t="s">
        <v>71</v>
      </c>
      <c r="C35" s="202">
        <v>2007</v>
      </c>
      <c r="D35" s="254" t="s">
        <v>1</v>
      </c>
      <c r="E35" s="256">
        <v>40652</v>
      </c>
      <c r="F35" s="116">
        <v>472458</v>
      </c>
      <c r="G35" s="137">
        <v>203805</v>
      </c>
      <c r="H35" s="137">
        <v>327298</v>
      </c>
      <c r="I35" s="138">
        <v>432124</v>
      </c>
      <c r="J35" s="141"/>
      <c r="K35" s="116">
        <f>BF35</f>
        <v>66103</v>
      </c>
      <c r="L35" s="137">
        <f>AY35</f>
        <v>26231</v>
      </c>
      <c r="M35" s="137">
        <f>BD35</f>
        <v>69254</v>
      </c>
      <c r="N35" s="137">
        <f>AW35</f>
        <v>28454</v>
      </c>
      <c r="O35" s="137">
        <f>BE35</f>
        <v>26360</v>
      </c>
      <c r="P35" s="137">
        <f>'2008'!AZ35+'2008'!BA35</f>
        <v>58983</v>
      </c>
      <c r="Q35" s="137">
        <f>'2008'!AU35</f>
        <v>22578</v>
      </c>
      <c r="R35" s="137">
        <f>AT35+AX35</f>
        <v>35087</v>
      </c>
      <c r="S35" s="137">
        <f>AV35</f>
        <v>19929</v>
      </c>
      <c r="T35" s="137">
        <f t="shared" ref="T35:U39" si="72">BB35</f>
        <v>41956</v>
      </c>
      <c r="U35" s="139">
        <f t="shared" si="72"/>
        <v>77523</v>
      </c>
      <c r="V35" s="137">
        <f>BG35+BJ35</f>
        <v>16620</v>
      </c>
      <c r="W35" s="137">
        <f>BR35</f>
        <v>19529</v>
      </c>
      <c r="X35" s="137">
        <f>BH35+BI35</f>
        <v>40032</v>
      </c>
      <c r="Y35" s="137">
        <f>BK35+BL35+BN35</f>
        <v>43078</v>
      </c>
      <c r="Z35" s="137">
        <f>BM35</f>
        <v>46854</v>
      </c>
      <c r="AA35" s="137">
        <f>BO35+BQ35</f>
        <v>20148</v>
      </c>
      <c r="AB35" s="139">
        <f>BP35</f>
        <v>17544</v>
      </c>
      <c r="AC35" s="137">
        <f>BX35</f>
        <v>39470</v>
      </c>
      <c r="AD35" s="137">
        <f>BU35</f>
        <v>22931</v>
      </c>
      <c r="AE35" s="137">
        <f>BS35+BT35</f>
        <v>53336</v>
      </c>
      <c r="AF35" s="137">
        <f>CA35</f>
        <v>23906</v>
      </c>
      <c r="AG35" s="137">
        <f>BV35</f>
        <v>58801</v>
      </c>
      <c r="AH35" s="137">
        <f>BZ35</f>
        <v>34508</v>
      </c>
      <c r="AI35" s="137">
        <f>BW35</f>
        <v>30854</v>
      </c>
      <c r="AJ35" s="137">
        <f>BY35</f>
        <v>24325</v>
      </c>
      <c r="AK35" s="139">
        <f>CB35</f>
        <v>39167</v>
      </c>
      <c r="AL35" s="137">
        <f>CE35</f>
        <v>34109</v>
      </c>
      <c r="AM35" s="137">
        <f>CH35</f>
        <v>77582</v>
      </c>
      <c r="AN35" s="137">
        <f>CJ35</f>
        <v>87784</v>
      </c>
      <c r="AO35" s="137">
        <f t="shared" ref="AO35:AP39" si="73">CC35</f>
        <v>43348</v>
      </c>
      <c r="AP35" s="137">
        <f t="shared" si="73"/>
        <v>19868</v>
      </c>
      <c r="AQ35" s="137">
        <f>CK35</f>
        <v>55181</v>
      </c>
      <c r="AR35" s="137">
        <f>CI35</f>
        <v>34059</v>
      </c>
      <c r="AS35" s="138">
        <f>CF35+CG35</f>
        <v>80193</v>
      </c>
      <c r="AT35" s="137">
        <v>2542</v>
      </c>
      <c r="AU35" s="137">
        <v>22578</v>
      </c>
      <c r="AV35" s="137">
        <v>19929</v>
      </c>
      <c r="AW35" s="141">
        <v>28454</v>
      </c>
      <c r="AX35" s="137">
        <v>32545</v>
      </c>
      <c r="AY35" s="137">
        <v>26231</v>
      </c>
      <c r="AZ35" s="137">
        <v>4181</v>
      </c>
      <c r="BA35" s="137">
        <v>54802</v>
      </c>
      <c r="BB35" s="137">
        <v>41956</v>
      </c>
      <c r="BC35" s="137">
        <v>77523</v>
      </c>
      <c r="BD35" s="137">
        <v>69254</v>
      </c>
      <c r="BE35" s="137">
        <v>26360</v>
      </c>
      <c r="BF35" s="139">
        <v>66103</v>
      </c>
      <c r="BG35" s="137">
        <v>1745</v>
      </c>
      <c r="BH35" s="137">
        <v>2635</v>
      </c>
      <c r="BI35" s="137">
        <v>37397</v>
      </c>
      <c r="BJ35" s="137">
        <v>14875</v>
      </c>
      <c r="BK35" s="137">
        <v>1838</v>
      </c>
      <c r="BL35" s="137">
        <v>2756</v>
      </c>
      <c r="BM35" s="137">
        <v>46854</v>
      </c>
      <c r="BN35" s="137">
        <v>38484</v>
      </c>
      <c r="BO35" s="137">
        <v>991</v>
      </c>
      <c r="BP35" s="137">
        <v>17544</v>
      </c>
      <c r="BQ35" s="137">
        <v>19157</v>
      </c>
      <c r="BR35" s="139">
        <v>19529</v>
      </c>
      <c r="BS35" s="137">
        <v>3566</v>
      </c>
      <c r="BT35" s="137">
        <v>49770</v>
      </c>
      <c r="BU35" s="137">
        <v>22931</v>
      </c>
      <c r="BV35" s="137">
        <v>58801</v>
      </c>
      <c r="BW35" s="137">
        <v>30854</v>
      </c>
      <c r="BX35" s="137">
        <v>39470</v>
      </c>
      <c r="BY35" s="137">
        <v>24325</v>
      </c>
      <c r="BZ35" s="137">
        <v>34508</v>
      </c>
      <c r="CA35" s="137">
        <v>23906</v>
      </c>
      <c r="CB35" s="139">
        <v>39167</v>
      </c>
      <c r="CC35" s="137">
        <v>43348</v>
      </c>
      <c r="CD35" s="137">
        <v>19868</v>
      </c>
      <c r="CE35" s="137">
        <v>34109</v>
      </c>
      <c r="CF35" s="137">
        <v>4780</v>
      </c>
      <c r="CG35" s="137">
        <v>75413</v>
      </c>
      <c r="CH35" s="137">
        <v>77582</v>
      </c>
      <c r="CI35" s="137">
        <v>34059</v>
      </c>
      <c r="CJ35" s="137">
        <v>87784</v>
      </c>
      <c r="CK35" s="138">
        <v>55181</v>
      </c>
      <c r="CL35" s="140">
        <v>1435682</v>
      </c>
    </row>
    <row r="36" spans="1:90">
      <c r="A36" s="80">
        <f>ROWS($A$3:A34)</f>
        <v>32</v>
      </c>
      <c r="B36" s="92" t="s">
        <v>72</v>
      </c>
      <c r="C36" s="203"/>
      <c r="D36" s="254" t="s">
        <v>1</v>
      </c>
      <c r="E36" s="256">
        <v>40652</v>
      </c>
      <c r="F36" s="116">
        <v>314753</v>
      </c>
      <c r="G36" s="137">
        <v>142086</v>
      </c>
      <c r="H36" s="137">
        <v>144079</v>
      </c>
      <c r="I36" s="138">
        <v>233617</v>
      </c>
      <c r="J36" s="141"/>
      <c r="K36" s="116">
        <f>BF36</f>
        <v>34747</v>
      </c>
      <c r="L36" s="137">
        <f>AY36</f>
        <v>11937</v>
      </c>
      <c r="M36" s="137">
        <f>BD36</f>
        <v>60037</v>
      </c>
      <c r="N36" s="137">
        <f>AW36</f>
        <v>12710</v>
      </c>
      <c r="O36" s="137">
        <f>BE36</f>
        <v>16952</v>
      </c>
      <c r="P36" s="137">
        <f>'2008'!AZ36+'2008'!BA36</f>
        <v>44854</v>
      </c>
      <c r="Q36" s="137">
        <f>'2008'!AU36</f>
        <v>15628</v>
      </c>
      <c r="R36" s="137">
        <f>AT36+AX36</f>
        <v>26155</v>
      </c>
      <c r="S36" s="137">
        <f>AV36</f>
        <v>10216</v>
      </c>
      <c r="T36" s="137">
        <f t="shared" si="72"/>
        <v>30934</v>
      </c>
      <c r="U36" s="139">
        <f t="shared" si="72"/>
        <v>50583</v>
      </c>
      <c r="V36" s="137">
        <f>BG36+BJ36</f>
        <v>10522</v>
      </c>
      <c r="W36" s="137">
        <f>BR36</f>
        <v>9607</v>
      </c>
      <c r="X36" s="137">
        <f>BH36+BI36</f>
        <v>31786</v>
      </c>
      <c r="Y36" s="137">
        <f>BK36+BL36+BN36</f>
        <v>34032</v>
      </c>
      <c r="Z36" s="137">
        <f>BM36</f>
        <v>35126</v>
      </c>
      <c r="AA36" s="137">
        <f>BO36+BQ36</f>
        <v>12405</v>
      </c>
      <c r="AB36" s="139">
        <f>BP36</f>
        <v>8608</v>
      </c>
      <c r="AC36" s="137">
        <f>BX36</f>
        <v>15635</v>
      </c>
      <c r="AD36" s="137">
        <f>BU36</f>
        <v>10322</v>
      </c>
      <c r="AE36" s="137">
        <f>BS36+BT36</f>
        <v>21260</v>
      </c>
      <c r="AF36" s="137">
        <f>CA36</f>
        <v>7458</v>
      </c>
      <c r="AG36" s="137">
        <f>BV36</f>
        <v>28247</v>
      </c>
      <c r="AH36" s="137">
        <f>BZ36</f>
        <v>19618</v>
      </c>
      <c r="AI36" s="137">
        <f>BW36</f>
        <v>16995</v>
      </c>
      <c r="AJ36" s="137">
        <f>BY36</f>
        <v>9013</v>
      </c>
      <c r="AK36" s="139">
        <f>CB36</f>
        <v>15531</v>
      </c>
      <c r="AL36" s="137">
        <f>CE36</f>
        <v>13452</v>
      </c>
      <c r="AM36" s="137">
        <f>CH36</f>
        <v>51712</v>
      </c>
      <c r="AN36" s="137">
        <f>CJ36</f>
        <v>25547</v>
      </c>
      <c r="AO36" s="137">
        <f t="shared" si="73"/>
        <v>20487</v>
      </c>
      <c r="AP36" s="137">
        <f t="shared" si="73"/>
        <v>13585</v>
      </c>
      <c r="AQ36" s="137">
        <f>CK36</f>
        <v>34998</v>
      </c>
      <c r="AR36" s="137">
        <f>CI36</f>
        <v>13793</v>
      </c>
      <c r="AS36" s="138">
        <f>CF36+CG36</f>
        <v>60043</v>
      </c>
      <c r="AT36" s="137">
        <v>1538</v>
      </c>
      <c r="AU36" s="141">
        <v>15628</v>
      </c>
      <c r="AV36" s="141">
        <v>10216</v>
      </c>
      <c r="AW36" s="141">
        <v>12710</v>
      </c>
      <c r="AX36" s="141">
        <v>24617</v>
      </c>
      <c r="AY36" s="137">
        <v>11937</v>
      </c>
      <c r="AZ36" s="137">
        <v>3237</v>
      </c>
      <c r="BA36" s="137">
        <v>41617</v>
      </c>
      <c r="BB36" s="137">
        <v>30934</v>
      </c>
      <c r="BC36" s="137">
        <v>50583</v>
      </c>
      <c r="BD36" s="137">
        <v>60037</v>
      </c>
      <c r="BE36" s="137">
        <v>16952</v>
      </c>
      <c r="BF36" s="139">
        <v>34747</v>
      </c>
      <c r="BG36" s="137">
        <v>616</v>
      </c>
      <c r="BH36" s="137">
        <v>2065</v>
      </c>
      <c r="BI36" s="137">
        <v>29721</v>
      </c>
      <c r="BJ36" s="137">
        <v>9906</v>
      </c>
      <c r="BK36" s="137">
        <v>1524</v>
      </c>
      <c r="BL36" s="137">
        <v>2382</v>
      </c>
      <c r="BM36" s="137">
        <v>35126</v>
      </c>
      <c r="BN36" s="137">
        <v>30126</v>
      </c>
      <c r="BO36" s="137">
        <v>497</v>
      </c>
      <c r="BP36" s="137">
        <v>8608</v>
      </c>
      <c r="BQ36" s="137">
        <v>11908</v>
      </c>
      <c r="BR36" s="139">
        <v>9607</v>
      </c>
      <c r="BS36" s="137">
        <v>1630</v>
      </c>
      <c r="BT36" s="137">
        <v>19630</v>
      </c>
      <c r="BU36" s="137">
        <v>10322</v>
      </c>
      <c r="BV36" s="137">
        <v>28247</v>
      </c>
      <c r="BW36" s="137">
        <v>16995</v>
      </c>
      <c r="BX36" s="137">
        <v>15635</v>
      </c>
      <c r="BY36" s="137">
        <v>9013</v>
      </c>
      <c r="BZ36" s="137">
        <v>19618</v>
      </c>
      <c r="CA36" s="137">
        <v>7458</v>
      </c>
      <c r="CB36" s="139">
        <v>15531</v>
      </c>
      <c r="CC36" s="137">
        <v>20487</v>
      </c>
      <c r="CD36" s="137">
        <v>13585</v>
      </c>
      <c r="CE36" s="137">
        <v>13452</v>
      </c>
      <c r="CF36" s="137">
        <v>4083</v>
      </c>
      <c r="CG36" s="137">
        <v>55960</v>
      </c>
      <c r="CH36" s="137">
        <v>51712</v>
      </c>
      <c r="CI36" s="137">
        <v>13793</v>
      </c>
      <c r="CJ36" s="137">
        <v>25547</v>
      </c>
      <c r="CK36" s="138">
        <v>34998</v>
      </c>
      <c r="CL36" s="140">
        <v>834535</v>
      </c>
    </row>
    <row r="37" spans="1:90">
      <c r="A37" s="80">
        <f>ROWS($A$3:A35)</f>
        <v>33</v>
      </c>
      <c r="B37" s="92" t="s">
        <v>6</v>
      </c>
      <c r="C37" s="203"/>
      <c r="D37" s="254" t="s">
        <v>1</v>
      </c>
      <c r="E37" s="256">
        <v>40652</v>
      </c>
      <c r="F37" s="116">
        <v>142250</v>
      </c>
      <c r="G37" s="137">
        <v>57320</v>
      </c>
      <c r="H37" s="137">
        <v>163299</v>
      </c>
      <c r="I37" s="138">
        <v>188526</v>
      </c>
      <c r="J37" s="141"/>
      <c r="K37" s="116">
        <f>BF37</f>
        <v>30937</v>
      </c>
      <c r="L37" s="137">
        <f>AY37</f>
        <v>12581</v>
      </c>
      <c r="M37" s="137">
        <f>BD37</f>
        <v>8233</v>
      </c>
      <c r="N37" s="137">
        <f>AW37</f>
        <v>15586</v>
      </c>
      <c r="O37" s="137">
        <f>BE37</f>
        <v>9380</v>
      </c>
      <c r="P37" s="137">
        <f>'2008'!AZ37+'2008'!BA37</f>
        <v>7091</v>
      </c>
      <c r="Q37" s="137">
        <f>'2008'!AU37</f>
        <v>6801</v>
      </c>
      <c r="R37" s="137">
        <f>AT37+AX37</f>
        <v>6194</v>
      </c>
      <c r="S37" s="137">
        <f>AV37</f>
        <v>9319</v>
      </c>
      <c r="T37" s="137">
        <f t="shared" si="72"/>
        <v>9393</v>
      </c>
      <c r="U37" s="139">
        <f t="shared" si="72"/>
        <v>26735</v>
      </c>
      <c r="V37" s="137">
        <f>BG37+BJ37</f>
        <v>4915</v>
      </c>
      <c r="W37" s="137">
        <f>BR37</f>
        <v>9893</v>
      </c>
      <c r="X37" s="137">
        <f>BH37+BI37</f>
        <v>7208</v>
      </c>
      <c r="Y37" s="137">
        <f>BK37+BL37+BN37</f>
        <v>7791</v>
      </c>
      <c r="Z37" s="137">
        <f>BM37</f>
        <v>11151</v>
      </c>
      <c r="AA37" s="137">
        <f>BO37+BQ37</f>
        <v>7491</v>
      </c>
      <c r="AB37" s="139">
        <f>BP37</f>
        <v>8871</v>
      </c>
      <c r="AC37" s="137">
        <f>BX37</f>
        <v>23796</v>
      </c>
      <c r="AD37" s="137">
        <f>BU37</f>
        <v>10031</v>
      </c>
      <c r="AE37" s="137">
        <f>BS37+BT37</f>
        <v>25230</v>
      </c>
      <c r="AF37" s="137">
        <f>CA37</f>
        <v>14975</v>
      </c>
      <c r="AG37" s="137">
        <f>BV37</f>
        <v>23031</v>
      </c>
      <c r="AH37" s="137">
        <f>BZ37</f>
        <v>13778</v>
      </c>
      <c r="AI37" s="137">
        <f>BW37</f>
        <v>13818</v>
      </c>
      <c r="AJ37" s="137">
        <f>BY37</f>
        <v>15288</v>
      </c>
      <c r="AK37" s="139">
        <f>CB37</f>
        <v>23352</v>
      </c>
      <c r="AL37" s="137">
        <f>CE37</f>
        <v>20487</v>
      </c>
      <c r="AM37" s="137">
        <f>CH37</f>
        <v>25695</v>
      </c>
      <c r="AN37" s="137">
        <f>CJ37</f>
        <v>60769</v>
      </c>
      <c r="AO37" s="137">
        <f t="shared" si="73"/>
        <v>22679</v>
      </c>
      <c r="AP37" s="137">
        <f t="shared" si="73"/>
        <v>6198</v>
      </c>
      <c r="AQ37" s="137">
        <f>CK37</f>
        <v>20091</v>
      </c>
      <c r="AR37" s="137">
        <f>CI37</f>
        <v>12616</v>
      </c>
      <c r="AS37" s="138">
        <f>CF37+CG37</f>
        <v>19991</v>
      </c>
      <c r="AT37" s="141">
        <v>540</v>
      </c>
      <c r="AU37" s="141">
        <v>6801</v>
      </c>
      <c r="AV37" s="141">
        <v>9319</v>
      </c>
      <c r="AW37" s="141">
        <v>15586</v>
      </c>
      <c r="AX37" s="141">
        <v>5654</v>
      </c>
      <c r="AY37" s="137">
        <v>12581</v>
      </c>
      <c r="AZ37" s="137">
        <v>217</v>
      </c>
      <c r="BA37" s="137">
        <v>6874</v>
      </c>
      <c r="BB37" s="137">
        <v>9393</v>
      </c>
      <c r="BC37" s="137">
        <v>26735</v>
      </c>
      <c r="BD37" s="137">
        <v>8233</v>
      </c>
      <c r="BE37" s="137">
        <v>9380</v>
      </c>
      <c r="BF37" s="139">
        <v>30937</v>
      </c>
      <c r="BG37" s="137">
        <v>828</v>
      </c>
      <c r="BH37" s="137">
        <v>497</v>
      </c>
      <c r="BI37" s="137">
        <v>6711</v>
      </c>
      <c r="BJ37" s="137">
        <v>4087</v>
      </c>
      <c r="BK37" s="137">
        <v>230</v>
      </c>
      <c r="BL37" s="137">
        <v>363</v>
      </c>
      <c r="BM37" s="137">
        <v>11151</v>
      </c>
      <c r="BN37" s="137">
        <v>7198</v>
      </c>
      <c r="BO37" s="137">
        <v>493</v>
      </c>
      <c r="BP37" s="137">
        <v>8871</v>
      </c>
      <c r="BQ37" s="137">
        <v>6998</v>
      </c>
      <c r="BR37" s="139">
        <v>9893</v>
      </c>
      <c r="BS37" s="137">
        <v>1108</v>
      </c>
      <c r="BT37" s="137">
        <v>24122</v>
      </c>
      <c r="BU37" s="137">
        <v>10031</v>
      </c>
      <c r="BV37" s="137">
        <v>23031</v>
      </c>
      <c r="BW37" s="137">
        <v>13818</v>
      </c>
      <c r="BX37" s="137">
        <v>23796</v>
      </c>
      <c r="BY37" s="137">
        <v>15288</v>
      </c>
      <c r="BZ37" s="137">
        <v>13778</v>
      </c>
      <c r="CA37" s="137">
        <v>14975</v>
      </c>
      <c r="CB37" s="139">
        <v>23352</v>
      </c>
      <c r="CC37" s="137">
        <v>22679</v>
      </c>
      <c r="CD37" s="137">
        <v>6198</v>
      </c>
      <c r="CE37" s="137">
        <v>20487</v>
      </c>
      <c r="CF37" s="137">
        <v>674</v>
      </c>
      <c r="CG37" s="137">
        <v>19317</v>
      </c>
      <c r="CH37" s="137">
        <v>25695</v>
      </c>
      <c r="CI37" s="137">
        <v>12616</v>
      </c>
      <c r="CJ37" s="137">
        <v>60769</v>
      </c>
      <c r="CK37" s="138">
        <v>20091</v>
      </c>
      <c r="CL37" s="140">
        <v>551397</v>
      </c>
    </row>
    <row r="38" spans="1:90">
      <c r="A38" s="80">
        <f>ROWS($A$3:A36)</f>
        <v>34</v>
      </c>
      <c r="B38" s="92" t="s">
        <v>244</v>
      </c>
      <c r="C38" s="203"/>
      <c r="D38" s="254" t="s">
        <v>1</v>
      </c>
      <c r="E38" s="256">
        <v>40652</v>
      </c>
      <c r="F38" s="116">
        <v>3377</v>
      </c>
      <c r="G38" s="137">
        <v>1335</v>
      </c>
      <c r="H38" s="137">
        <v>7922</v>
      </c>
      <c r="I38" s="138">
        <v>8701</v>
      </c>
      <c r="J38" s="141"/>
      <c r="K38" s="116">
        <f>BF38</f>
        <v>18</v>
      </c>
      <c r="L38" s="137">
        <f>AY38</f>
        <v>524</v>
      </c>
      <c r="M38" s="137">
        <f>BD38</f>
        <v>86</v>
      </c>
      <c r="N38" s="137">
        <f>AW38</f>
        <v>100</v>
      </c>
      <c r="O38" s="137">
        <f>BE38</f>
        <v>2</v>
      </c>
      <c r="P38" s="137">
        <f>'2008'!AZ38+'2008'!BA38</f>
        <v>1022</v>
      </c>
      <c r="Q38" s="137">
        <f>'2008'!AU38</f>
        <v>96</v>
      </c>
      <c r="R38" s="137">
        <f>AT38+AX38</f>
        <v>501</v>
      </c>
      <c r="S38" s="137">
        <f>AV38</f>
        <v>167</v>
      </c>
      <c r="T38" s="137">
        <f t="shared" si="72"/>
        <v>738</v>
      </c>
      <c r="U38" s="139">
        <f t="shared" si="72"/>
        <v>123</v>
      </c>
      <c r="V38" s="137">
        <f>BG38+BJ38</f>
        <v>507</v>
      </c>
      <c r="W38" s="137">
        <f>BR38</f>
        <v>2</v>
      </c>
      <c r="X38" s="137">
        <f>BH38+BI38</f>
        <v>249</v>
      </c>
      <c r="Y38" s="137">
        <f>BK38+BN38</f>
        <v>424</v>
      </c>
      <c r="Z38" s="137">
        <f>BM38</f>
        <v>121</v>
      </c>
      <c r="AA38" s="137">
        <f>BQ38</f>
        <v>30</v>
      </c>
      <c r="AB38" s="139">
        <f>BP38</f>
        <v>2</v>
      </c>
      <c r="AC38" s="137">
        <f>BX38</f>
        <v>17</v>
      </c>
      <c r="AD38" s="137">
        <f>BU38</f>
        <v>668</v>
      </c>
      <c r="AE38" s="137">
        <f>BS38+BT38</f>
        <v>942</v>
      </c>
      <c r="AF38" s="137">
        <f>CA38</f>
        <v>675</v>
      </c>
      <c r="AG38" s="137">
        <f>BV38</f>
        <v>4487</v>
      </c>
      <c r="AH38" s="137">
        <f>BZ38</f>
        <v>960</v>
      </c>
      <c r="AI38" s="137">
        <f>BW38</f>
        <v>12</v>
      </c>
      <c r="AJ38" s="137">
        <f>BY38</f>
        <v>1</v>
      </c>
      <c r="AK38" s="139">
        <f>CB38</f>
        <v>160</v>
      </c>
      <c r="AL38" s="137">
        <f>CE38</f>
        <v>24</v>
      </c>
      <c r="AM38" s="137">
        <f>CH38</f>
        <v>43</v>
      </c>
      <c r="AN38" s="137">
        <f>CJ38</f>
        <v>1312</v>
      </c>
      <c r="AO38" s="137">
        <f t="shared" si="73"/>
        <v>88</v>
      </c>
      <c r="AP38" s="137">
        <f t="shared" si="73"/>
        <v>63</v>
      </c>
      <c r="AQ38" s="137">
        <f>CK38</f>
        <v>34</v>
      </c>
      <c r="AR38" s="137">
        <f>CI38</f>
        <v>7070</v>
      </c>
      <c r="AS38" s="138">
        <f>CF38+CG38</f>
        <v>67</v>
      </c>
      <c r="AT38" s="141">
        <v>71</v>
      </c>
      <c r="AU38" s="141">
        <v>96</v>
      </c>
      <c r="AV38" s="141">
        <v>167</v>
      </c>
      <c r="AW38" s="141">
        <v>100</v>
      </c>
      <c r="AX38" s="141">
        <v>430</v>
      </c>
      <c r="AY38" s="137">
        <v>524</v>
      </c>
      <c r="AZ38" s="137">
        <v>53</v>
      </c>
      <c r="BA38" s="137">
        <v>969</v>
      </c>
      <c r="BB38" s="137">
        <v>738</v>
      </c>
      <c r="BC38" s="137">
        <v>123</v>
      </c>
      <c r="BD38" s="137">
        <v>86</v>
      </c>
      <c r="BE38" s="137">
        <v>2</v>
      </c>
      <c r="BF38" s="139">
        <v>18</v>
      </c>
      <c r="BG38" s="137">
        <v>45</v>
      </c>
      <c r="BH38" s="137">
        <v>46</v>
      </c>
      <c r="BI38" s="137">
        <v>203</v>
      </c>
      <c r="BJ38" s="137">
        <v>462</v>
      </c>
      <c r="BK38" s="137">
        <v>23</v>
      </c>
      <c r="BL38" s="137" t="s">
        <v>233</v>
      </c>
      <c r="BM38" s="137">
        <v>121</v>
      </c>
      <c r="BN38" s="137">
        <v>401</v>
      </c>
      <c r="BO38" s="137" t="s">
        <v>233</v>
      </c>
      <c r="BP38" s="137">
        <v>2</v>
      </c>
      <c r="BQ38" s="137">
        <v>30</v>
      </c>
      <c r="BR38" s="139">
        <v>2</v>
      </c>
      <c r="BS38" s="137">
        <v>92</v>
      </c>
      <c r="BT38" s="137">
        <v>850</v>
      </c>
      <c r="BU38" s="137">
        <v>668</v>
      </c>
      <c r="BV38" s="137">
        <v>4487</v>
      </c>
      <c r="BW38" s="137">
        <v>12</v>
      </c>
      <c r="BX38" s="137">
        <v>17</v>
      </c>
      <c r="BY38" s="137">
        <v>1</v>
      </c>
      <c r="BZ38" s="137">
        <v>960</v>
      </c>
      <c r="CA38" s="137">
        <v>675</v>
      </c>
      <c r="CB38" s="139">
        <v>160</v>
      </c>
      <c r="CC38" s="137">
        <v>88</v>
      </c>
      <c r="CD38" s="137">
        <v>63</v>
      </c>
      <c r="CE38" s="137">
        <v>24</v>
      </c>
      <c r="CF38" s="137">
        <v>7</v>
      </c>
      <c r="CG38" s="137">
        <v>60</v>
      </c>
      <c r="CH38" s="137">
        <v>43</v>
      </c>
      <c r="CI38" s="137">
        <v>7070</v>
      </c>
      <c r="CJ38" s="137">
        <v>1312</v>
      </c>
      <c r="CK38" s="138">
        <v>34</v>
      </c>
      <c r="CL38" s="140">
        <v>21343</v>
      </c>
    </row>
    <row r="39" spans="1:90">
      <c r="A39" s="80">
        <f>ROWS($A$3:A37)</f>
        <v>35</v>
      </c>
      <c r="B39" s="92" t="s">
        <v>245</v>
      </c>
      <c r="C39" s="203"/>
      <c r="D39" s="254" t="s">
        <v>1</v>
      </c>
      <c r="E39" s="256">
        <v>40652</v>
      </c>
      <c r="F39" s="116">
        <v>10436</v>
      </c>
      <c r="G39" s="137">
        <v>2082</v>
      </c>
      <c r="H39" s="137">
        <v>10864</v>
      </c>
      <c r="I39" s="138">
        <v>537</v>
      </c>
      <c r="J39" s="141"/>
      <c r="K39" s="116" t="str">
        <f>BF39</f>
        <v>*</v>
      </c>
      <c r="L39" s="137">
        <f>AY39</f>
        <v>1049</v>
      </c>
      <c r="M39" s="137">
        <f>BD39</f>
        <v>762</v>
      </c>
      <c r="N39" s="137" t="str">
        <f>AW39</f>
        <v>*</v>
      </c>
      <c r="O39" s="137">
        <f>BE39</f>
        <v>0</v>
      </c>
      <c r="P39" s="137">
        <f>'2008'!AZ39+'2008'!BA39</f>
        <v>5675</v>
      </c>
      <c r="Q39" s="137">
        <f>'2008'!AU39</f>
        <v>3</v>
      </c>
      <c r="R39" s="137">
        <f>AT39+AX39</f>
        <v>2049</v>
      </c>
      <c r="S39" s="137">
        <f>AV39</f>
        <v>118</v>
      </c>
      <c r="T39" s="137">
        <f t="shared" si="72"/>
        <v>780</v>
      </c>
      <c r="U39" s="139" t="str">
        <f t="shared" si="72"/>
        <v>*</v>
      </c>
      <c r="V39" s="137">
        <f>BG39+BJ39</f>
        <v>530</v>
      </c>
      <c r="W39" s="137" t="str">
        <f>BR39</f>
        <v>*</v>
      </c>
      <c r="X39" s="137">
        <f>BH39+BI39</f>
        <v>712</v>
      </c>
      <c r="Y39" s="137">
        <f>BK39+BN39</f>
        <v>643</v>
      </c>
      <c r="Z39" s="137">
        <f>BM39</f>
        <v>10</v>
      </c>
      <c r="AA39" s="137">
        <f>BQ39</f>
        <v>187</v>
      </c>
      <c r="AB39" s="139">
        <f>BP39</f>
        <v>0</v>
      </c>
      <c r="AC39" s="137">
        <f>BX39</f>
        <v>0</v>
      </c>
      <c r="AD39" s="137">
        <f>BU39</f>
        <v>1793</v>
      </c>
      <c r="AE39" s="137">
        <f>BS39+BT39</f>
        <v>5790</v>
      </c>
      <c r="AF39" s="137">
        <f>CA39</f>
        <v>723</v>
      </c>
      <c r="AG39" s="137">
        <f>BV39</f>
        <v>2448</v>
      </c>
      <c r="AH39" s="137">
        <f>BZ39</f>
        <v>54</v>
      </c>
      <c r="AI39" s="137">
        <f>BW39</f>
        <v>0</v>
      </c>
      <c r="AJ39" s="137">
        <f>BY39</f>
        <v>0</v>
      </c>
      <c r="AK39" s="139">
        <f>CB39</f>
        <v>56</v>
      </c>
      <c r="AL39" s="137">
        <f>CE39</f>
        <v>0</v>
      </c>
      <c r="AM39" s="137">
        <f>CH39</f>
        <v>0</v>
      </c>
      <c r="AN39" s="137" t="str">
        <f>CJ39</f>
        <v>*</v>
      </c>
      <c r="AO39" s="137">
        <f t="shared" si="73"/>
        <v>18</v>
      </c>
      <c r="AP39" s="137">
        <f t="shared" si="73"/>
        <v>9</v>
      </c>
      <c r="AQ39" s="137">
        <f>CK39</f>
        <v>0</v>
      </c>
      <c r="AR39" s="137">
        <f>CI39</f>
        <v>510</v>
      </c>
      <c r="AS39" s="138" t="str">
        <f>CG39</f>
        <v>*</v>
      </c>
      <c r="AT39" s="141">
        <v>358</v>
      </c>
      <c r="AU39" s="141">
        <v>3</v>
      </c>
      <c r="AV39" s="141">
        <v>118</v>
      </c>
      <c r="AW39" s="137" t="s">
        <v>233</v>
      </c>
      <c r="AX39" s="141">
        <v>1691</v>
      </c>
      <c r="AY39" s="137">
        <v>1049</v>
      </c>
      <c r="AZ39" s="137">
        <v>626</v>
      </c>
      <c r="BA39" s="137">
        <v>5049</v>
      </c>
      <c r="BB39" s="137">
        <v>780</v>
      </c>
      <c r="BC39" s="137" t="s">
        <v>233</v>
      </c>
      <c r="BD39" s="137">
        <v>762</v>
      </c>
      <c r="BE39" s="137">
        <v>0</v>
      </c>
      <c r="BF39" s="139" t="s">
        <v>233</v>
      </c>
      <c r="BG39" s="137">
        <v>195</v>
      </c>
      <c r="BH39" s="137">
        <v>9</v>
      </c>
      <c r="BI39" s="137">
        <v>703</v>
      </c>
      <c r="BJ39" s="137">
        <v>335</v>
      </c>
      <c r="BK39" s="137">
        <v>53</v>
      </c>
      <c r="BL39" s="137" t="s">
        <v>233</v>
      </c>
      <c r="BM39" s="137">
        <v>10</v>
      </c>
      <c r="BN39" s="137">
        <v>590</v>
      </c>
      <c r="BO39" s="137">
        <v>0</v>
      </c>
      <c r="BP39" s="137">
        <v>0</v>
      </c>
      <c r="BQ39" s="137">
        <v>187</v>
      </c>
      <c r="BR39" s="139" t="s">
        <v>233</v>
      </c>
      <c r="BS39" s="137">
        <v>712</v>
      </c>
      <c r="BT39" s="137">
        <v>5078</v>
      </c>
      <c r="BU39" s="137">
        <v>1793</v>
      </c>
      <c r="BV39" s="137">
        <v>2448</v>
      </c>
      <c r="BW39" s="137">
        <v>0</v>
      </c>
      <c r="BX39" s="137">
        <v>0</v>
      </c>
      <c r="BY39" s="137">
        <v>0</v>
      </c>
      <c r="BZ39" s="137">
        <v>54</v>
      </c>
      <c r="CA39" s="137">
        <v>723</v>
      </c>
      <c r="CB39" s="139">
        <v>56</v>
      </c>
      <c r="CC39" s="137">
        <v>18</v>
      </c>
      <c r="CD39" s="137">
        <v>9</v>
      </c>
      <c r="CE39" s="137">
        <v>0</v>
      </c>
      <c r="CF39" s="137" t="s">
        <v>233</v>
      </c>
      <c r="CG39" s="137" t="s">
        <v>233</v>
      </c>
      <c r="CH39" s="137">
        <v>0</v>
      </c>
      <c r="CI39" s="137">
        <v>510</v>
      </c>
      <c r="CJ39" s="137" t="s">
        <v>233</v>
      </c>
      <c r="CK39" s="138">
        <v>0</v>
      </c>
      <c r="CL39" s="140">
        <v>23923</v>
      </c>
    </row>
    <row r="40" spans="1:90">
      <c r="A40" s="80">
        <f>ROWS($A$3:A38)</f>
        <v>36</v>
      </c>
      <c r="B40" s="59" t="s">
        <v>98</v>
      </c>
      <c r="C40" s="203"/>
      <c r="D40" s="254"/>
      <c r="E40" s="269"/>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202">
        <v>2008</v>
      </c>
      <c r="D41" s="254" t="s">
        <v>7</v>
      </c>
      <c r="E41" s="256">
        <v>40697</v>
      </c>
      <c r="F41" s="116">
        <v>315601</v>
      </c>
      <c r="G41" s="137">
        <v>85472</v>
      </c>
      <c r="H41" s="137">
        <v>229570</v>
      </c>
      <c r="I41" s="138">
        <v>418813</v>
      </c>
      <c r="J41" s="141"/>
      <c r="K41" s="116">
        <f t="shared" ref="K41:K54" si="74">BF41</f>
        <v>76619</v>
      </c>
      <c r="L41" s="137">
        <f t="shared" ref="L41:L54" si="75">AY41</f>
        <v>22454</v>
      </c>
      <c r="M41" s="137">
        <f t="shared" ref="M41:M54" si="76">BD41</f>
        <v>21355</v>
      </c>
      <c r="N41" s="137">
        <f t="shared" ref="N41:N54" si="77">AW41</f>
        <v>31238</v>
      </c>
      <c r="O41" s="137">
        <f t="shared" ref="O41:O54" si="78">BE41</f>
        <v>23670</v>
      </c>
      <c r="P41" s="137">
        <f>AZ41+BA41</f>
        <v>14095</v>
      </c>
      <c r="Q41" s="137">
        <f>'2008'!AU41</f>
        <v>9277</v>
      </c>
      <c r="R41" s="137">
        <f>AT41+AX41</f>
        <v>14752</v>
      </c>
      <c r="S41" s="137">
        <f t="shared" ref="S41:S54" si="79">AV41</f>
        <v>10064</v>
      </c>
      <c r="T41" s="137">
        <f t="shared" ref="T41:T54" si="80">BB41</f>
        <v>23201</v>
      </c>
      <c r="U41" s="139">
        <f t="shared" ref="U41:U54" si="81">BC41</f>
        <v>68876</v>
      </c>
      <c r="V41" s="137">
        <f>BG41+BJ41</f>
        <v>3045</v>
      </c>
      <c r="W41" s="137">
        <f t="shared" ref="W41:W54" si="82">BR41</f>
        <v>13004</v>
      </c>
      <c r="X41" s="137">
        <f>BH41+BI41</f>
        <v>6487</v>
      </c>
      <c r="Y41" s="137">
        <f>BK41+BL41+BN41</f>
        <v>13558</v>
      </c>
      <c r="Z41" s="137">
        <f t="shared" ref="Z41:Z54" si="83">BM41</f>
        <v>25716</v>
      </c>
      <c r="AA41" s="137">
        <f>BO41+BQ41</f>
        <v>11161</v>
      </c>
      <c r="AB41" s="139">
        <f t="shared" ref="AB41:AB54" si="84">BP41</f>
        <v>12501</v>
      </c>
      <c r="AC41" s="137">
        <f t="shared" ref="AC41:AC54" si="85">BX41</f>
        <v>33474</v>
      </c>
      <c r="AD41" s="137">
        <f t="shared" ref="AD41:AD54" si="86">BU41</f>
        <v>16281</v>
      </c>
      <c r="AE41" s="137">
        <f>BS41+BT41</f>
        <v>31928</v>
      </c>
      <c r="AF41" s="137">
        <f t="shared" ref="AF41:AF54" si="87">CA41</f>
        <v>16671</v>
      </c>
      <c r="AG41" s="137">
        <f t="shared" ref="AG41:AG54" si="88">BV41</f>
        <v>33483</v>
      </c>
      <c r="AH41" s="137">
        <f t="shared" ref="AH41:AH54" si="89">BZ41</f>
        <v>26381</v>
      </c>
      <c r="AI41" s="137">
        <f t="shared" ref="AI41:AI54" si="90">BW41</f>
        <v>19843</v>
      </c>
      <c r="AJ41" s="137">
        <f t="shared" ref="AJ41:AJ54" si="91">BY41</f>
        <v>16492</v>
      </c>
      <c r="AK41" s="139">
        <f t="shared" ref="AK41:AK54" si="92">CB41</f>
        <v>36881</v>
      </c>
      <c r="AL41" s="137">
        <f t="shared" ref="AL41:AL54" si="93">CE41</f>
        <v>14066</v>
      </c>
      <c r="AM41" s="137">
        <f t="shared" ref="AM41:AM54" si="94">CH41</f>
        <v>95284</v>
      </c>
      <c r="AN41" s="137">
        <f t="shared" ref="AN41:AN54" si="95">CJ41</f>
        <v>151166</v>
      </c>
      <c r="AO41" s="137">
        <f t="shared" ref="AO41:AO54" si="96">CC41</f>
        <v>30556</v>
      </c>
      <c r="AP41" s="137">
        <f t="shared" ref="AP41:AP54" si="97">CD41</f>
        <v>6474</v>
      </c>
      <c r="AQ41" s="137">
        <f t="shared" ref="AQ41:AQ54" si="98">CK41</f>
        <v>38793</v>
      </c>
      <c r="AR41" s="137">
        <f t="shared" ref="AR41:AR54" si="99">CI41</f>
        <v>26759</v>
      </c>
      <c r="AS41" s="138">
        <f>CF41+CG41</f>
        <v>55715</v>
      </c>
      <c r="AT41" s="141">
        <v>949</v>
      </c>
      <c r="AU41" s="141">
        <v>9277</v>
      </c>
      <c r="AV41" s="141">
        <v>10064</v>
      </c>
      <c r="AW41" s="141">
        <v>31238</v>
      </c>
      <c r="AX41" s="141">
        <v>13803</v>
      </c>
      <c r="AY41" s="137">
        <v>22454</v>
      </c>
      <c r="AZ41" s="137">
        <v>272</v>
      </c>
      <c r="BA41" s="137">
        <v>13823</v>
      </c>
      <c r="BB41" s="137">
        <v>23201</v>
      </c>
      <c r="BC41" s="137">
        <v>68876</v>
      </c>
      <c r="BD41" s="137">
        <v>21355</v>
      </c>
      <c r="BE41" s="137">
        <v>23670</v>
      </c>
      <c r="BF41" s="139">
        <v>76619</v>
      </c>
      <c r="BG41" s="137">
        <v>239</v>
      </c>
      <c r="BH41" s="137">
        <v>322</v>
      </c>
      <c r="BI41" s="137">
        <v>6165</v>
      </c>
      <c r="BJ41" s="137">
        <v>2806</v>
      </c>
      <c r="BK41" s="137">
        <v>516</v>
      </c>
      <c r="BL41" s="137">
        <v>145</v>
      </c>
      <c r="BM41" s="137">
        <v>25716</v>
      </c>
      <c r="BN41" s="137">
        <v>12897</v>
      </c>
      <c r="BO41" s="137">
        <v>231</v>
      </c>
      <c r="BP41" s="137">
        <v>12501</v>
      </c>
      <c r="BQ41" s="137">
        <v>10930</v>
      </c>
      <c r="BR41" s="139">
        <v>13004</v>
      </c>
      <c r="BS41" s="137">
        <v>682</v>
      </c>
      <c r="BT41" s="137">
        <v>31246</v>
      </c>
      <c r="BU41" s="137">
        <v>16281</v>
      </c>
      <c r="BV41" s="137">
        <v>33483</v>
      </c>
      <c r="BW41" s="137">
        <v>19843</v>
      </c>
      <c r="BX41" s="137">
        <v>33474</v>
      </c>
      <c r="BY41" s="137">
        <v>16492</v>
      </c>
      <c r="BZ41" s="137">
        <v>26381</v>
      </c>
      <c r="CA41" s="137">
        <v>16671</v>
      </c>
      <c r="CB41" s="139">
        <v>36881</v>
      </c>
      <c r="CC41" s="137">
        <v>30556</v>
      </c>
      <c r="CD41" s="137">
        <v>6474</v>
      </c>
      <c r="CE41" s="137">
        <v>14066</v>
      </c>
      <c r="CF41" s="137">
        <v>2097</v>
      </c>
      <c r="CG41" s="137">
        <v>53618</v>
      </c>
      <c r="CH41" s="137">
        <v>95284</v>
      </c>
      <c r="CI41" s="137">
        <v>26759</v>
      </c>
      <c r="CJ41" s="137">
        <v>151166</v>
      </c>
      <c r="CK41" s="138">
        <v>38793</v>
      </c>
      <c r="CL41" s="140">
        <v>1051320</v>
      </c>
    </row>
    <row r="42" spans="1:90">
      <c r="A42" s="80">
        <f>ROWS($A$3:A40)</f>
        <v>38</v>
      </c>
      <c r="B42" s="92" t="s">
        <v>305</v>
      </c>
      <c r="C42" s="203"/>
      <c r="D42" s="254" t="s">
        <v>7</v>
      </c>
      <c r="E42" s="256">
        <v>40697</v>
      </c>
      <c r="F42" s="116">
        <v>120290</v>
      </c>
      <c r="G42" s="137">
        <v>31065</v>
      </c>
      <c r="H42" s="137">
        <v>92732</v>
      </c>
      <c r="I42" s="138">
        <v>178706</v>
      </c>
      <c r="J42" s="141"/>
      <c r="K42" s="116">
        <f t="shared" si="74"/>
        <v>29211</v>
      </c>
      <c r="L42" s="137">
        <f t="shared" si="75"/>
        <v>8789</v>
      </c>
      <c r="M42" s="137">
        <f t="shared" si="76"/>
        <v>7864</v>
      </c>
      <c r="N42" s="137">
        <f t="shared" si="77"/>
        <v>12422</v>
      </c>
      <c r="O42" s="137">
        <f t="shared" si="78"/>
        <v>8813</v>
      </c>
      <c r="P42" s="137">
        <f>AZ42+BA42</f>
        <v>5445</v>
      </c>
      <c r="Q42" s="137">
        <f>'2008'!AU42</f>
        <v>3782</v>
      </c>
      <c r="R42" s="137">
        <f>AT42+AX42</f>
        <v>5331</v>
      </c>
      <c r="S42" s="137">
        <f t="shared" si="79"/>
        <v>3574</v>
      </c>
      <c r="T42" s="137">
        <f t="shared" si="80"/>
        <v>8889</v>
      </c>
      <c r="U42" s="139">
        <f t="shared" si="81"/>
        <v>25843</v>
      </c>
      <c r="V42" s="137">
        <f>BJ42</f>
        <v>1104</v>
      </c>
      <c r="W42" s="137">
        <f t="shared" si="82"/>
        <v>5139</v>
      </c>
      <c r="X42" s="137">
        <f>BI42</f>
        <v>2125</v>
      </c>
      <c r="Y42" s="137">
        <f>BK42+BN42</f>
        <v>4925</v>
      </c>
      <c r="Z42" s="137">
        <f t="shared" si="83"/>
        <v>9421</v>
      </c>
      <c r="AA42" s="137">
        <f>BQ42</f>
        <v>3987</v>
      </c>
      <c r="AB42" s="139">
        <f t="shared" si="84"/>
        <v>4809</v>
      </c>
      <c r="AC42" s="137">
        <f t="shared" si="85"/>
        <v>14621</v>
      </c>
      <c r="AD42" s="137">
        <f t="shared" si="86"/>
        <v>6095</v>
      </c>
      <c r="AE42" s="137">
        <f>BS42+BT42</f>
        <v>14295</v>
      </c>
      <c r="AF42" s="137">
        <f t="shared" si="87"/>
        <v>7046</v>
      </c>
      <c r="AG42" s="137">
        <f t="shared" si="88"/>
        <v>12798</v>
      </c>
      <c r="AH42" s="137">
        <f t="shared" si="89"/>
        <v>10575</v>
      </c>
      <c r="AI42" s="137">
        <f t="shared" si="90"/>
        <v>7374</v>
      </c>
      <c r="AJ42" s="137">
        <f t="shared" si="91"/>
        <v>6759</v>
      </c>
      <c r="AK42" s="139">
        <f t="shared" si="92"/>
        <v>14251</v>
      </c>
      <c r="AL42" s="137">
        <f t="shared" si="93"/>
        <v>5261</v>
      </c>
      <c r="AM42" s="137">
        <f t="shared" si="94"/>
        <v>37945</v>
      </c>
      <c r="AN42" s="137">
        <f t="shared" si="95"/>
        <v>74307</v>
      </c>
      <c r="AO42" s="137">
        <f t="shared" si="96"/>
        <v>10013</v>
      </c>
      <c r="AP42" s="137">
        <f t="shared" si="97"/>
        <v>2224</v>
      </c>
      <c r="AQ42" s="137">
        <f t="shared" si="98"/>
        <v>15518</v>
      </c>
      <c r="AR42" s="137">
        <f t="shared" si="99"/>
        <v>11903</v>
      </c>
      <c r="AS42" s="138">
        <f>CF42+CG42</f>
        <v>21535</v>
      </c>
      <c r="AT42" s="141">
        <v>458</v>
      </c>
      <c r="AU42" s="141">
        <v>3782</v>
      </c>
      <c r="AV42" s="141">
        <v>3574</v>
      </c>
      <c r="AW42" s="141">
        <v>12422</v>
      </c>
      <c r="AX42" s="141">
        <v>4873</v>
      </c>
      <c r="AY42" s="137">
        <v>8789</v>
      </c>
      <c r="AZ42" s="137">
        <v>126</v>
      </c>
      <c r="BA42" s="137">
        <v>5319</v>
      </c>
      <c r="BB42" s="137">
        <v>8889</v>
      </c>
      <c r="BC42" s="137">
        <v>25843</v>
      </c>
      <c r="BD42" s="137">
        <v>7864</v>
      </c>
      <c r="BE42" s="137">
        <v>8813</v>
      </c>
      <c r="BF42" s="139">
        <v>29211</v>
      </c>
      <c r="BG42" s="137">
        <v>85</v>
      </c>
      <c r="BH42" s="137">
        <v>64</v>
      </c>
      <c r="BI42" s="137">
        <v>2125</v>
      </c>
      <c r="BJ42" s="137">
        <v>1104</v>
      </c>
      <c r="BK42" s="137">
        <v>253</v>
      </c>
      <c r="BL42" s="137">
        <v>36</v>
      </c>
      <c r="BM42" s="137">
        <v>9421</v>
      </c>
      <c r="BN42" s="137">
        <v>4672</v>
      </c>
      <c r="BO42" s="137">
        <v>79</v>
      </c>
      <c r="BP42" s="137">
        <v>4809</v>
      </c>
      <c r="BQ42" s="137">
        <v>3987</v>
      </c>
      <c r="BR42" s="139">
        <v>5139</v>
      </c>
      <c r="BS42" s="137">
        <v>200</v>
      </c>
      <c r="BT42" s="137">
        <v>14095</v>
      </c>
      <c r="BU42" s="137">
        <v>6095</v>
      </c>
      <c r="BV42" s="137">
        <v>12798</v>
      </c>
      <c r="BW42" s="137">
        <v>7374</v>
      </c>
      <c r="BX42" s="137">
        <v>14621</v>
      </c>
      <c r="BY42" s="137">
        <v>6759</v>
      </c>
      <c r="BZ42" s="137">
        <v>10575</v>
      </c>
      <c r="CA42" s="137">
        <v>7046</v>
      </c>
      <c r="CB42" s="139">
        <v>14251</v>
      </c>
      <c r="CC42" s="137">
        <v>10013</v>
      </c>
      <c r="CD42" s="137">
        <v>2224</v>
      </c>
      <c r="CE42" s="137">
        <v>5261</v>
      </c>
      <c r="CF42" s="137">
        <v>869</v>
      </c>
      <c r="CG42" s="137">
        <v>20666</v>
      </c>
      <c r="CH42" s="137">
        <v>37945</v>
      </c>
      <c r="CI42" s="137">
        <v>11903</v>
      </c>
      <c r="CJ42" s="137">
        <v>74307</v>
      </c>
      <c r="CK42" s="138">
        <v>15518</v>
      </c>
      <c r="CL42" s="140">
        <v>424257</v>
      </c>
    </row>
    <row r="43" spans="1:90">
      <c r="A43" s="80">
        <f>ROWS($A$3:A41)</f>
        <v>39</v>
      </c>
      <c r="B43" s="92" t="s">
        <v>14</v>
      </c>
      <c r="C43" s="203"/>
      <c r="D43" s="254" t="s">
        <v>7</v>
      </c>
      <c r="E43" s="256">
        <v>40697</v>
      </c>
      <c r="F43" s="116">
        <v>103389</v>
      </c>
      <c r="G43" s="137">
        <v>24016</v>
      </c>
      <c r="H43" s="137">
        <v>69047</v>
      </c>
      <c r="I43" s="138">
        <v>164157</v>
      </c>
      <c r="J43" s="141"/>
      <c r="K43" s="116">
        <f>BF43</f>
        <v>24976</v>
      </c>
      <c r="L43" s="137">
        <f>AY43</f>
        <v>7233</v>
      </c>
      <c r="M43" s="137">
        <f>BD43</f>
        <v>7141</v>
      </c>
      <c r="N43" s="137">
        <f>AW43</f>
        <v>10476</v>
      </c>
      <c r="O43" s="137">
        <f>BE43</f>
        <v>7996</v>
      </c>
      <c r="P43" s="137">
        <f>AZ43+BA43</f>
        <v>4744</v>
      </c>
      <c r="Q43" s="137">
        <f>'2008'!AU43</f>
        <v>3144</v>
      </c>
      <c r="R43" s="137">
        <f>AT43+AX43</f>
        <v>4986</v>
      </c>
      <c r="S43" s="137">
        <f>AV43</f>
        <v>2635</v>
      </c>
      <c r="T43" s="137">
        <f>BB43</f>
        <v>7680</v>
      </c>
      <c r="U43" s="139">
        <f>BC43</f>
        <v>22408</v>
      </c>
      <c r="V43" s="137">
        <f>BJ43</f>
        <v>428</v>
      </c>
      <c r="W43" s="137">
        <f>BR43</f>
        <v>3916</v>
      </c>
      <c r="X43" s="137">
        <f>BI43</f>
        <v>1282</v>
      </c>
      <c r="Y43" s="137">
        <f>BK43+BN43</f>
        <v>3740</v>
      </c>
      <c r="Z43" s="137">
        <f>BM43</f>
        <v>8073</v>
      </c>
      <c r="AA43" s="137">
        <f>BQ43</f>
        <v>2987</v>
      </c>
      <c r="AB43" s="139">
        <f>BP43</f>
        <v>3496</v>
      </c>
      <c r="AC43" s="137">
        <f>BX43</f>
        <v>12310</v>
      </c>
      <c r="AD43" s="137">
        <f>BU43</f>
        <v>3715</v>
      </c>
      <c r="AE43" s="137">
        <f>BS43+BT43</f>
        <v>10771</v>
      </c>
      <c r="AF43" s="137">
        <f>CA43</f>
        <v>3703</v>
      </c>
      <c r="AG43" s="137">
        <f>BV43</f>
        <v>8451</v>
      </c>
      <c r="AH43" s="137">
        <f>BZ43</f>
        <v>9240</v>
      </c>
      <c r="AI43" s="137">
        <f>BW43</f>
        <v>5250</v>
      </c>
      <c r="AJ43" s="137">
        <f>BY43</f>
        <v>5284</v>
      </c>
      <c r="AK43" s="139">
        <f>CB43</f>
        <v>10323</v>
      </c>
      <c r="AL43" s="137">
        <f>CE43</f>
        <v>3360</v>
      </c>
      <c r="AM43" s="137">
        <f>CH43</f>
        <v>35419</v>
      </c>
      <c r="AN43" s="137">
        <f>CJ43</f>
        <v>71578</v>
      </c>
      <c r="AO43" s="137">
        <f>CC43</f>
        <v>8595</v>
      </c>
      <c r="AP43" s="137">
        <f>CD43</f>
        <v>1579</v>
      </c>
      <c r="AQ43" s="137">
        <f>CK43</f>
        <v>13437</v>
      </c>
      <c r="AR43" s="137">
        <f>CI43</f>
        <v>10896</v>
      </c>
      <c r="AS43" s="138">
        <f>CF43+CG43</f>
        <v>19484</v>
      </c>
      <c r="AT43" s="141">
        <v>441</v>
      </c>
      <c r="AU43" s="141">
        <v>3144</v>
      </c>
      <c r="AV43" s="141">
        <v>2635</v>
      </c>
      <c r="AW43" s="141">
        <v>10476</v>
      </c>
      <c r="AX43" s="141">
        <v>4545</v>
      </c>
      <c r="AY43" s="137">
        <v>7233</v>
      </c>
      <c r="AZ43" s="137">
        <v>108</v>
      </c>
      <c r="BA43" s="137">
        <v>4636</v>
      </c>
      <c r="BB43" s="137">
        <v>7680</v>
      </c>
      <c r="BC43" s="137">
        <v>22408</v>
      </c>
      <c r="BD43" s="137">
        <v>7141</v>
      </c>
      <c r="BE43" s="137">
        <v>7996</v>
      </c>
      <c r="BF43" s="139">
        <v>24976</v>
      </c>
      <c r="BG43" s="137" t="s">
        <v>233</v>
      </c>
      <c r="BH43" s="137" t="s">
        <v>233</v>
      </c>
      <c r="BI43" s="137">
        <v>1282</v>
      </c>
      <c r="BJ43" s="137">
        <v>428</v>
      </c>
      <c r="BK43" s="137">
        <v>147</v>
      </c>
      <c r="BL43" s="137" t="s">
        <v>233</v>
      </c>
      <c r="BM43" s="137">
        <v>8073</v>
      </c>
      <c r="BN43" s="137">
        <v>3593</v>
      </c>
      <c r="BO43" s="137" t="s">
        <v>233</v>
      </c>
      <c r="BP43" s="137">
        <v>3496</v>
      </c>
      <c r="BQ43" s="137">
        <v>2987</v>
      </c>
      <c r="BR43" s="139">
        <v>3916</v>
      </c>
      <c r="BS43" s="137">
        <v>83</v>
      </c>
      <c r="BT43" s="137">
        <v>10688</v>
      </c>
      <c r="BU43" s="137">
        <v>3715</v>
      </c>
      <c r="BV43" s="137">
        <v>8451</v>
      </c>
      <c r="BW43" s="137">
        <v>5250</v>
      </c>
      <c r="BX43" s="137">
        <v>12310</v>
      </c>
      <c r="BY43" s="137">
        <v>5284</v>
      </c>
      <c r="BZ43" s="137">
        <v>9240</v>
      </c>
      <c r="CA43" s="137">
        <v>3703</v>
      </c>
      <c r="CB43" s="139">
        <v>10323</v>
      </c>
      <c r="CC43" s="137">
        <v>8595</v>
      </c>
      <c r="CD43" s="137">
        <v>1579</v>
      </c>
      <c r="CE43" s="137">
        <v>3360</v>
      </c>
      <c r="CF43" s="137">
        <v>860</v>
      </c>
      <c r="CG43" s="137">
        <v>18624</v>
      </c>
      <c r="CH43" s="137">
        <v>35419</v>
      </c>
      <c r="CI43" s="137">
        <v>10896</v>
      </c>
      <c r="CJ43" s="137">
        <v>71578</v>
      </c>
      <c r="CK43" s="138">
        <v>13437</v>
      </c>
      <c r="CL43" s="140">
        <v>360609</v>
      </c>
    </row>
    <row r="44" spans="1:90">
      <c r="A44" s="80">
        <f>ROWS($A$3:A42)</f>
        <v>40</v>
      </c>
      <c r="B44" s="54" t="s">
        <v>20</v>
      </c>
      <c r="C44" s="202">
        <v>2008</v>
      </c>
      <c r="D44" s="254" t="s">
        <v>241</v>
      </c>
      <c r="E44" s="256">
        <v>40697</v>
      </c>
      <c r="F44" s="116">
        <f>F42/F124</f>
        <v>34.957861086893345</v>
      </c>
      <c r="G44" s="137">
        <f>G42/G124</f>
        <v>40.344155844155843</v>
      </c>
      <c r="H44" s="137">
        <f>H42/H124</f>
        <v>31.768413840356285</v>
      </c>
      <c r="I44" s="138">
        <f>I42/I124</f>
        <v>38.406619385342786</v>
      </c>
      <c r="J44" s="141"/>
      <c r="K44" s="116">
        <f t="shared" si="74"/>
        <v>36.062962962962963</v>
      </c>
      <c r="L44" s="137">
        <f t="shared" si="75"/>
        <v>31.277580071174377</v>
      </c>
      <c r="M44" s="137">
        <f t="shared" si="76"/>
        <v>27.211072664359861</v>
      </c>
      <c r="N44" s="137">
        <f t="shared" si="77"/>
        <v>38.458204334365327</v>
      </c>
      <c r="O44" s="137">
        <f t="shared" si="78"/>
        <v>39.168888888888887</v>
      </c>
      <c r="P44" s="143">
        <f>(AZ42*AZ44+BA42*BA44)/P42</f>
        <v>36.918215338380627</v>
      </c>
      <c r="Q44" s="137">
        <f>'2008'!AU44</f>
        <v>42.49438202247191</v>
      </c>
      <c r="R44" s="143">
        <f>(AT42*AT44+AX42*AX44)/R42</f>
        <v>31.218842244212123</v>
      </c>
      <c r="S44" s="137">
        <f t="shared" si="79"/>
        <v>36.469387755102041</v>
      </c>
      <c r="T44" s="137">
        <f t="shared" si="80"/>
        <v>35.987854251012145</v>
      </c>
      <c r="U44" s="139">
        <f t="shared" si="81"/>
        <v>34.003947368421052</v>
      </c>
      <c r="V44" s="143">
        <f>(BJ42*BJ44)/V42</f>
        <v>42.46153846153846</v>
      </c>
      <c r="W44" s="137">
        <f t="shared" si="82"/>
        <v>35.6875</v>
      </c>
      <c r="X44" s="143">
        <f>(BI42*BI44)/X42</f>
        <v>57.432432432432435</v>
      </c>
      <c r="Y44" s="143">
        <f>(BK42*BK44+BN42*BN44)/Y42</f>
        <v>45.307627294572654</v>
      </c>
      <c r="Z44" s="137">
        <f t="shared" si="83"/>
        <v>40.089361702127661</v>
      </c>
      <c r="AA44" s="143">
        <f>(BQ42*BQ44)/AA42</f>
        <v>52.460526315789473</v>
      </c>
      <c r="AB44" s="139">
        <f t="shared" si="84"/>
        <v>35.360294117647058</v>
      </c>
      <c r="AC44" s="137">
        <f t="shared" si="85"/>
        <v>30.334024896265561</v>
      </c>
      <c r="AD44" s="137">
        <f t="shared" si="86"/>
        <v>31.580310880829014</v>
      </c>
      <c r="AE44" s="143">
        <f>(BS42*BS44+BT42*BT44)/AE42</f>
        <v>28.775905257542192</v>
      </c>
      <c r="AF44" s="137">
        <f t="shared" si="87"/>
        <v>33.875</v>
      </c>
      <c r="AG44" s="137">
        <f t="shared" si="88"/>
        <v>24.850485436893205</v>
      </c>
      <c r="AH44" s="137">
        <f t="shared" si="89"/>
        <v>40.20912547528517</v>
      </c>
      <c r="AI44" s="137">
        <f t="shared" si="90"/>
        <v>32.342105263157897</v>
      </c>
      <c r="AJ44" s="137">
        <f t="shared" si="91"/>
        <v>48.278571428571432</v>
      </c>
      <c r="AK44" s="139">
        <f t="shared" si="92"/>
        <v>36.447570332480815</v>
      </c>
      <c r="AL44" s="137">
        <f t="shared" si="93"/>
        <v>61.89411764705882</v>
      </c>
      <c r="AM44" s="137">
        <f t="shared" si="94"/>
        <v>38.522842639593911</v>
      </c>
      <c r="AN44" s="137">
        <f t="shared" si="95"/>
        <v>41.076285240464344</v>
      </c>
      <c r="AO44" s="137">
        <f t="shared" si="96"/>
        <v>35.888888888888886</v>
      </c>
      <c r="AP44" s="137">
        <f t="shared" si="97"/>
        <v>51.720930232558139</v>
      </c>
      <c r="AQ44" s="137">
        <f t="shared" si="98"/>
        <v>34.871910112359551</v>
      </c>
      <c r="AR44" s="137">
        <f t="shared" si="99"/>
        <v>31.572944297082227</v>
      </c>
      <c r="AS44" s="144">
        <f>(CF42*CF44+CG42*CG44)/AS42</f>
        <v>34.196906364269552</v>
      </c>
      <c r="AT44" s="137">
        <f t="shared" ref="AT44:BF44" si="100">AT42/AT124</f>
        <v>35.230769230769234</v>
      </c>
      <c r="AU44" s="137">
        <f t="shared" si="100"/>
        <v>42.49438202247191</v>
      </c>
      <c r="AV44" s="137">
        <f t="shared" si="100"/>
        <v>36.469387755102041</v>
      </c>
      <c r="AW44" s="137">
        <f t="shared" si="100"/>
        <v>38.458204334365327</v>
      </c>
      <c r="AX44" s="137">
        <f t="shared" si="100"/>
        <v>30.841772151898734</v>
      </c>
      <c r="AY44" s="137">
        <f t="shared" si="100"/>
        <v>31.277580071174377</v>
      </c>
      <c r="AZ44" s="137">
        <f t="shared" si="100"/>
        <v>25.2</v>
      </c>
      <c r="BA44" s="137">
        <f t="shared" si="100"/>
        <v>37.195804195804193</v>
      </c>
      <c r="BB44" s="137">
        <f t="shared" si="100"/>
        <v>35.987854251012145</v>
      </c>
      <c r="BC44" s="137">
        <f t="shared" si="100"/>
        <v>34.003947368421052</v>
      </c>
      <c r="BD44" s="137">
        <f t="shared" si="100"/>
        <v>27.211072664359861</v>
      </c>
      <c r="BE44" s="137">
        <f t="shared" si="100"/>
        <v>39.168888888888887</v>
      </c>
      <c r="BF44" s="139">
        <f t="shared" si="100"/>
        <v>36.062962962962963</v>
      </c>
      <c r="BG44" s="137" t="s">
        <v>233</v>
      </c>
      <c r="BH44" s="137" t="s">
        <v>233</v>
      </c>
      <c r="BI44" s="137">
        <f>BI42/BI124</f>
        <v>57.432432432432435</v>
      </c>
      <c r="BJ44" s="137">
        <f>BJ42/BJ124</f>
        <v>42.46153846153846</v>
      </c>
      <c r="BK44" s="137">
        <f>BK42/BK124</f>
        <v>36.142857142857146</v>
      </c>
      <c r="BL44" s="137" t="s">
        <v>233</v>
      </c>
      <c r="BM44" s="137">
        <f>BM42/BM124</f>
        <v>40.089361702127661</v>
      </c>
      <c r="BN44" s="137">
        <f>BN42/BN124</f>
        <v>45.803921568627452</v>
      </c>
      <c r="BO44" s="137" t="s">
        <v>233</v>
      </c>
      <c r="BP44" s="137">
        <f t="shared" ref="BP44:CL44" si="101">BP42/BP124</f>
        <v>35.360294117647058</v>
      </c>
      <c r="BQ44" s="137">
        <f t="shared" si="101"/>
        <v>52.460526315789473</v>
      </c>
      <c r="BR44" s="139">
        <f t="shared" si="101"/>
        <v>35.6875</v>
      </c>
      <c r="BS44" s="137">
        <f t="shared" si="101"/>
        <v>50</v>
      </c>
      <c r="BT44" s="137">
        <f t="shared" si="101"/>
        <v>28.474747474747474</v>
      </c>
      <c r="BU44" s="137">
        <f t="shared" si="101"/>
        <v>31.580310880829014</v>
      </c>
      <c r="BV44" s="137">
        <f t="shared" si="101"/>
        <v>24.850485436893205</v>
      </c>
      <c r="BW44" s="137">
        <f t="shared" si="101"/>
        <v>32.342105263157897</v>
      </c>
      <c r="BX44" s="137">
        <f t="shared" si="101"/>
        <v>30.334024896265561</v>
      </c>
      <c r="BY44" s="137">
        <f t="shared" si="101"/>
        <v>48.278571428571432</v>
      </c>
      <c r="BZ44" s="137">
        <f t="shared" si="101"/>
        <v>40.20912547528517</v>
      </c>
      <c r="CA44" s="137">
        <f t="shared" si="101"/>
        <v>33.875</v>
      </c>
      <c r="CB44" s="139">
        <f t="shared" si="101"/>
        <v>36.447570332480815</v>
      </c>
      <c r="CC44" s="137">
        <f t="shared" si="101"/>
        <v>35.888888888888886</v>
      </c>
      <c r="CD44" s="137">
        <f t="shared" si="101"/>
        <v>51.720930232558139</v>
      </c>
      <c r="CE44" s="137">
        <f t="shared" si="101"/>
        <v>61.89411764705882</v>
      </c>
      <c r="CF44" s="137">
        <f t="shared" si="101"/>
        <v>37.782608695652172</v>
      </c>
      <c r="CG44" s="137">
        <f t="shared" si="101"/>
        <v>34.04612850082372</v>
      </c>
      <c r="CH44" s="137">
        <f t="shared" si="101"/>
        <v>38.522842639593911</v>
      </c>
      <c r="CI44" s="137">
        <f t="shared" si="101"/>
        <v>31.572944297082227</v>
      </c>
      <c r="CJ44" s="137">
        <f t="shared" si="101"/>
        <v>41.076285240464344</v>
      </c>
      <c r="CK44" s="138">
        <f t="shared" si="101"/>
        <v>34.871910112359551</v>
      </c>
      <c r="CL44" s="140">
        <f t="shared" si="101"/>
        <v>36.005855894084696</v>
      </c>
    </row>
    <row r="45" spans="1:90">
      <c r="A45" s="80">
        <f>ROWS($A$3:A43)</f>
        <v>41</v>
      </c>
      <c r="B45" s="92" t="s">
        <v>74</v>
      </c>
      <c r="C45" s="202">
        <v>2007</v>
      </c>
      <c r="D45" s="254" t="s">
        <v>7</v>
      </c>
      <c r="E45" s="256">
        <v>40652</v>
      </c>
      <c r="F45" s="116">
        <v>1180197</v>
      </c>
      <c r="G45" s="137">
        <v>127805</v>
      </c>
      <c r="H45" s="137">
        <v>180992</v>
      </c>
      <c r="I45" s="138">
        <v>746925</v>
      </c>
      <c r="J45" s="141"/>
      <c r="K45" s="116">
        <f t="shared" si="74"/>
        <v>140592</v>
      </c>
      <c r="L45" s="137">
        <f t="shared" si="75"/>
        <v>19474</v>
      </c>
      <c r="M45" s="137">
        <f t="shared" si="76"/>
        <v>160206</v>
      </c>
      <c r="N45" s="137">
        <f t="shared" si="77"/>
        <v>28195</v>
      </c>
      <c r="O45" s="137">
        <f t="shared" si="78"/>
        <v>50959</v>
      </c>
      <c r="P45" s="808">
        <f>IF(ISERROR(AZ45+BA45),BA45,AZ45+BA45)</f>
        <v>36359</v>
      </c>
      <c r="Q45" s="137">
        <f>'2008'!AU45</f>
        <v>20889</v>
      </c>
      <c r="R45" s="808">
        <f>IF(ISERROR(AT45+AX45),AX45,AT45+AX45)</f>
        <v>42918</v>
      </c>
      <c r="S45" s="137">
        <f t="shared" si="79"/>
        <v>8426</v>
      </c>
      <c r="T45" s="137">
        <f t="shared" si="80"/>
        <v>194362</v>
      </c>
      <c r="U45" s="139">
        <f t="shared" si="81"/>
        <v>477817</v>
      </c>
      <c r="V45" s="808">
        <f>IF(ISERROR(BG45+BJ45),BJ45,(BG45+BJ45))</f>
        <v>7440</v>
      </c>
      <c r="W45" s="137">
        <f t="shared" si="82"/>
        <v>14753</v>
      </c>
      <c r="X45" s="808">
        <f>IF(ISERROR(BH45+BI45),BI45,(BH45+BI45))</f>
        <v>13037</v>
      </c>
      <c r="Y45" s="808">
        <f>IF(ISERROR(BK45+BL45+BN45),BK45+BN45,(BK45+BL45+BN45))</f>
        <v>33131</v>
      </c>
      <c r="Z45" s="137">
        <f t="shared" si="83"/>
        <v>43654</v>
      </c>
      <c r="AA45" s="808">
        <f>IF(ISERROR(BO45+BQ45),BQ45,(BO45+BQ45))</f>
        <v>8295</v>
      </c>
      <c r="AB45" s="139">
        <f t="shared" si="84"/>
        <v>8817</v>
      </c>
      <c r="AC45" s="137">
        <f t="shared" si="85"/>
        <v>24208</v>
      </c>
      <c r="AD45" s="137">
        <f t="shared" si="86"/>
        <v>7935</v>
      </c>
      <c r="AE45" s="808">
        <f>BS45+BT45</f>
        <v>10268</v>
      </c>
      <c r="AF45" s="137">
        <f t="shared" si="87"/>
        <v>4880</v>
      </c>
      <c r="AG45" s="137">
        <f t="shared" si="88"/>
        <v>38468</v>
      </c>
      <c r="AH45" s="137">
        <f t="shared" si="89"/>
        <v>22788</v>
      </c>
      <c r="AI45" s="137">
        <f t="shared" si="90"/>
        <v>39860</v>
      </c>
      <c r="AJ45" s="137">
        <f t="shared" si="91"/>
        <v>12198</v>
      </c>
      <c r="AK45" s="139">
        <f t="shared" si="92"/>
        <v>20387</v>
      </c>
      <c r="AL45" s="137">
        <f t="shared" si="93"/>
        <v>11586</v>
      </c>
      <c r="AM45" s="137">
        <f t="shared" si="94"/>
        <v>174636</v>
      </c>
      <c r="AN45" s="137">
        <f t="shared" si="95"/>
        <v>64349</v>
      </c>
      <c r="AO45" s="137">
        <f t="shared" si="96"/>
        <v>35347</v>
      </c>
      <c r="AP45" s="137">
        <f t="shared" si="97"/>
        <v>15667</v>
      </c>
      <c r="AQ45" s="137">
        <f t="shared" si="98"/>
        <v>109636</v>
      </c>
      <c r="AR45" s="137">
        <f t="shared" si="99"/>
        <v>21765</v>
      </c>
      <c r="AS45" s="138">
        <f>CF45+CG45</f>
        <v>313939</v>
      </c>
      <c r="AT45" s="137" t="s">
        <v>233</v>
      </c>
      <c r="AU45" s="141">
        <v>20889</v>
      </c>
      <c r="AV45" s="141">
        <v>8426</v>
      </c>
      <c r="AW45" s="141">
        <v>28195</v>
      </c>
      <c r="AX45" s="141">
        <v>42918</v>
      </c>
      <c r="AY45" s="137">
        <v>19474</v>
      </c>
      <c r="AZ45" s="137" t="s">
        <v>233</v>
      </c>
      <c r="BA45" s="137">
        <v>36359</v>
      </c>
      <c r="BB45" s="137">
        <v>194362</v>
      </c>
      <c r="BC45" s="137">
        <v>477817</v>
      </c>
      <c r="BD45" s="137">
        <v>160206</v>
      </c>
      <c r="BE45" s="137">
        <v>50959</v>
      </c>
      <c r="BF45" s="139">
        <v>140592</v>
      </c>
      <c r="BG45" s="137" t="s">
        <v>233</v>
      </c>
      <c r="BH45" s="137">
        <v>1322</v>
      </c>
      <c r="BI45" s="137">
        <v>11715</v>
      </c>
      <c r="BJ45" s="137">
        <v>7440</v>
      </c>
      <c r="BK45" s="137">
        <v>792</v>
      </c>
      <c r="BL45" s="137">
        <v>841</v>
      </c>
      <c r="BM45" s="137">
        <v>43654</v>
      </c>
      <c r="BN45" s="137">
        <v>31498</v>
      </c>
      <c r="BO45" s="137" t="s">
        <v>233</v>
      </c>
      <c r="BP45" s="137">
        <v>8817</v>
      </c>
      <c r="BQ45" s="137">
        <v>8295</v>
      </c>
      <c r="BR45" s="139">
        <v>14753</v>
      </c>
      <c r="BS45" s="137">
        <v>411</v>
      </c>
      <c r="BT45" s="137">
        <v>9857</v>
      </c>
      <c r="BU45" s="137">
        <v>7935</v>
      </c>
      <c r="BV45" s="137">
        <v>38468</v>
      </c>
      <c r="BW45" s="137">
        <v>39860</v>
      </c>
      <c r="BX45" s="137">
        <v>24208</v>
      </c>
      <c r="BY45" s="137">
        <v>12198</v>
      </c>
      <c r="BZ45" s="137">
        <v>22788</v>
      </c>
      <c r="CA45" s="137">
        <v>4880</v>
      </c>
      <c r="CB45" s="139">
        <v>20387</v>
      </c>
      <c r="CC45" s="137">
        <v>35347</v>
      </c>
      <c r="CD45" s="137">
        <v>15667</v>
      </c>
      <c r="CE45" s="137">
        <v>11586</v>
      </c>
      <c r="CF45" s="137">
        <v>21147</v>
      </c>
      <c r="CG45" s="137">
        <v>292792</v>
      </c>
      <c r="CH45" s="137">
        <v>174636</v>
      </c>
      <c r="CI45" s="137">
        <v>21765</v>
      </c>
      <c r="CJ45" s="137">
        <v>64349</v>
      </c>
      <c r="CK45" s="138">
        <v>109636</v>
      </c>
      <c r="CL45" s="140">
        <v>2238322</v>
      </c>
    </row>
    <row r="46" spans="1:90">
      <c r="A46" s="80">
        <f>ROWS($A$3:A44)</f>
        <v>42</v>
      </c>
      <c r="B46" s="92" t="s">
        <v>8</v>
      </c>
      <c r="C46" s="203"/>
      <c r="D46" s="254" t="s">
        <v>7</v>
      </c>
      <c r="E46" s="256">
        <v>40652</v>
      </c>
      <c r="F46" s="116">
        <v>161288</v>
      </c>
      <c r="G46" s="137">
        <v>11514</v>
      </c>
      <c r="H46" s="137">
        <v>15185</v>
      </c>
      <c r="I46" s="138">
        <v>83191</v>
      </c>
      <c r="J46" s="141"/>
      <c r="K46" s="116">
        <f t="shared" si="74"/>
        <v>20873</v>
      </c>
      <c r="L46" s="137">
        <f t="shared" si="75"/>
        <v>1661</v>
      </c>
      <c r="M46" s="137">
        <f t="shared" si="76"/>
        <v>23900</v>
      </c>
      <c r="N46" s="137">
        <f t="shared" si="77"/>
        <v>1821</v>
      </c>
      <c r="O46" s="137">
        <f t="shared" si="78"/>
        <v>5178</v>
      </c>
      <c r="P46" s="808">
        <f>IF(ISERROR(AZ46+BA46),BA46,AZ46+BA46)</f>
        <v>3905</v>
      </c>
      <c r="Q46" s="137">
        <f>'2008'!AU46</f>
        <v>2440</v>
      </c>
      <c r="R46" s="808">
        <f>IF(ISERROR(AT46+AX46),AX46,AT46+AX46)</f>
        <v>3610</v>
      </c>
      <c r="S46" s="137">
        <f t="shared" si="79"/>
        <v>545</v>
      </c>
      <c r="T46" s="137">
        <f t="shared" si="80"/>
        <v>29758</v>
      </c>
      <c r="U46" s="139">
        <f t="shared" si="81"/>
        <v>67597</v>
      </c>
      <c r="V46" s="808">
        <f>IF(ISERROR(BG46+BJ46),BJ46,(BG46+BJ46))</f>
        <v>615</v>
      </c>
      <c r="W46" s="137">
        <f t="shared" si="82"/>
        <v>1828</v>
      </c>
      <c r="X46" s="808">
        <f>IF(ISERROR(BH46+BI46),BI46,(BH46+BI46))</f>
        <v>1240</v>
      </c>
      <c r="Y46" s="808">
        <f>IF(ISERROR(BK46+BL46+BN46),BN46,(BK46+BL46+BN46))</f>
        <v>2582</v>
      </c>
      <c r="Z46" s="137">
        <f t="shared" si="83"/>
        <v>4450</v>
      </c>
      <c r="AA46" s="808">
        <f>IF(ISERROR(BO46+BQ46),BQ46,(BO46+BQ46))</f>
        <v>408</v>
      </c>
      <c r="AB46" s="139">
        <f t="shared" si="84"/>
        <v>554</v>
      </c>
      <c r="AC46" s="137">
        <f t="shared" si="85"/>
        <v>1807</v>
      </c>
      <c r="AD46" s="137">
        <f t="shared" si="86"/>
        <v>614</v>
      </c>
      <c r="AE46" s="808">
        <f>IF(ISERROR(BS46+BT46),BT46,(BS46+BT46))</f>
        <v>745</v>
      </c>
      <c r="AF46" s="137" t="str">
        <f t="shared" si="87"/>
        <v>*</v>
      </c>
      <c r="AG46" s="137">
        <f t="shared" si="88"/>
        <v>4152</v>
      </c>
      <c r="AH46" s="137">
        <f t="shared" si="89"/>
        <v>1541</v>
      </c>
      <c r="AI46" s="137">
        <f t="shared" si="90"/>
        <v>3227</v>
      </c>
      <c r="AJ46" s="137">
        <f t="shared" si="91"/>
        <v>1096</v>
      </c>
      <c r="AK46" s="139">
        <f t="shared" si="92"/>
        <v>2003</v>
      </c>
      <c r="AL46" s="137">
        <f t="shared" si="93"/>
        <v>850</v>
      </c>
      <c r="AM46" s="137">
        <f t="shared" si="94"/>
        <v>19510</v>
      </c>
      <c r="AN46" s="137">
        <f t="shared" si="95"/>
        <v>7843</v>
      </c>
      <c r="AO46" s="137">
        <f t="shared" si="96"/>
        <v>4324</v>
      </c>
      <c r="AP46" s="137">
        <f t="shared" si="97"/>
        <v>988</v>
      </c>
      <c r="AQ46" s="137">
        <f t="shared" si="98"/>
        <v>12657</v>
      </c>
      <c r="AR46" s="137">
        <f t="shared" si="99"/>
        <v>1948</v>
      </c>
      <c r="AS46" s="138">
        <f>CF46+CG46</f>
        <v>35071</v>
      </c>
      <c r="AT46" s="137" t="s">
        <v>233</v>
      </c>
      <c r="AU46" s="141">
        <v>2440</v>
      </c>
      <c r="AV46" s="141">
        <v>545</v>
      </c>
      <c r="AW46" s="141">
        <v>1821</v>
      </c>
      <c r="AX46" s="141">
        <v>3610</v>
      </c>
      <c r="AY46" s="137">
        <v>1661</v>
      </c>
      <c r="AZ46" s="137" t="s">
        <v>233</v>
      </c>
      <c r="BA46" s="137">
        <v>3905</v>
      </c>
      <c r="BB46" s="137">
        <v>29758</v>
      </c>
      <c r="BC46" s="137">
        <v>67597</v>
      </c>
      <c r="BD46" s="137">
        <v>23900</v>
      </c>
      <c r="BE46" s="137">
        <v>5178</v>
      </c>
      <c r="BF46" s="139">
        <v>20873</v>
      </c>
      <c r="BG46" s="137" t="s">
        <v>233</v>
      </c>
      <c r="BH46" s="137">
        <v>163</v>
      </c>
      <c r="BI46" s="137">
        <v>1077</v>
      </c>
      <c r="BJ46" s="137">
        <v>615</v>
      </c>
      <c r="BK46" s="137" t="s">
        <v>233</v>
      </c>
      <c r="BL46" s="137">
        <v>0</v>
      </c>
      <c r="BM46" s="137">
        <v>4450</v>
      </c>
      <c r="BN46" s="137">
        <v>2582</v>
      </c>
      <c r="BO46" s="137" t="s">
        <v>233</v>
      </c>
      <c r="BP46" s="137">
        <v>554</v>
      </c>
      <c r="BQ46" s="137">
        <v>408</v>
      </c>
      <c r="BR46" s="139">
        <v>1828</v>
      </c>
      <c r="BS46" s="137" t="s">
        <v>233</v>
      </c>
      <c r="BT46" s="137">
        <v>745</v>
      </c>
      <c r="BU46" s="137">
        <v>614</v>
      </c>
      <c r="BV46" s="137">
        <v>4152</v>
      </c>
      <c r="BW46" s="137">
        <v>3227</v>
      </c>
      <c r="BX46" s="137">
        <v>1807</v>
      </c>
      <c r="BY46" s="137">
        <v>1096</v>
      </c>
      <c r="BZ46" s="137">
        <v>1541</v>
      </c>
      <c r="CA46" s="137" t="s">
        <v>233</v>
      </c>
      <c r="CB46" s="139">
        <v>2003</v>
      </c>
      <c r="CC46" s="137">
        <v>4324</v>
      </c>
      <c r="CD46" s="137">
        <v>988</v>
      </c>
      <c r="CE46" s="137">
        <v>850</v>
      </c>
      <c r="CF46" s="137">
        <v>1599</v>
      </c>
      <c r="CG46" s="137">
        <v>33472</v>
      </c>
      <c r="CH46" s="137">
        <v>19510</v>
      </c>
      <c r="CI46" s="137">
        <v>1948</v>
      </c>
      <c r="CJ46" s="137">
        <v>7843</v>
      </c>
      <c r="CK46" s="138">
        <v>12657</v>
      </c>
      <c r="CL46" s="140">
        <v>271854</v>
      </c>
    </row>
    <row r="47" spans="1:90">
      <c r="A47" s="80">
        <f>ROWS($A$3:A45)</f>
        <v>43</v>
      </c>
      <c r="B47" s="54" t="s">
        <v>19</v>
      </c>
      <c r="C47" s="252"/>
      <c r="D47" s="254" t="s">
        <v>241</v>
      </c>
      <c r="E47" s="256">
        <v>40652</v>
      </c>
      <c r="F47" s="116">
        <v>95</v>
      </c>
      <c r="G47" s="137">
        <v>57</v>
      </c>
      <c r="H47" s="137">
        <v>30</v>
      </c>
      <c r="I47" s="138">
        <v>92</v>
      </c>
      <c r="J47" s="141"/>
      <c r="K47" s="116">
        <f t="shared" si="74"/>
        <v>57</v>
      </c>
      <c r="L47" s="137">
        <f t="shared" si="75"/>
        <v>45</v>
      </c>
      <c r="M47" s="137">
        <f t="shared" si="76"/>
        <v>70</v>
      </c>
      <c r="N47" s="137">
        <f t="shared" si="77"/>
        <v>61</v>
      </c>
      <c r="O47" s="137">
        <f t="shared" si="78"/>
        <v>98</v>
      </c>
      <c r="P47" s="808">
        <f>IF(ISERROR((BA45*BA47+AZ45*AZ47)/P45),BA47,(BA45*BA47+AZ45*AZ47)/P45)</f>
        <v>100</v>
      </c>
      <c r="Q47" s="137">
        <f>'2008'!AU47</f>
        <v>85</v>
      </c>
      <c r="R47" s="808">
        <f>IF(ISERROR((AT47*AT45+AX45*AX47)/R45),AX47,(AT47*AT45+AX45*AX47)/R45)</f>
        <v>123</v>
      </c>
      <c r="S47" s="137">
        <f t="shared" si="79"/>
        <v>38</v>
      </c>
      <c r="T47" s="137">
        <f t="shared" si="80"/>
        <v>134</v>
      </c>
      <c r="U47" s="139">
        <f t="shared" si="81"/>
        <v>132</v>
      </c>
      <c r="V47" s="808">
        <f>IF(ISERROR((BG47*BG45+BJ45*BJ47)/V45),BJ47,(BG47*BG45+BJ45*BJ47)/V45)</f>
        <v>60</v>
      </c>
      <c r="W47" s="137">
        <f t="shared" si="82"/>
        <v>32</v>
      </c>
      <c r="X47" s="808">
        <f>(BH45*BH47+BI45*BI47)/X45</f>
        <v>57.23088133773107</v>
      </c>
      <c r="Y47" s="808">
        <f>IF(ISERROR((BK47*BK45+BL47*BL45+BN47*BN45)/Y45),(BL47*BL45+BN47*BN45)/(BL45+BN45),(BK47*BK45+BL47*BL45+BN47*BN45)/Y45)</f>
        <v>88.895976993722755</v>
      </c>
      <c r="Z47" s="137">
        <f t="shared" si="83"/>
        <v>72</v>
      </c>
      <c r="AA47" s="808">
        <f>IF(ISERROR((BO47*BO45+BQ47*BQ45)/AA45),BQ47,(BO47*BO45+BQ47*BQ45)/AA45)</f>
        <v>49</v>
      </c>
      <c r="AB47" s="139">
        <f t="shared" si="84"/>
        <v>26</v>
      </c>
      <c r="AC47" s="137">
        <f t="shared" si="85"/>
        <v>30</v>
      </c>
      <c r="AD47" s="137">
        <f t="shared" si="86"/>
        <v>16</v>
      </c>
      <c r="AE47" s="808">
        <f>(BS45*BS47+BT45*BT47)/AE45</f>
        <v>13.87991819244254</v>
      </c>
      <c r="AF47" s="137">
        <f t="shared" si="87"/>
        <v>24</v>
      </c>
      <c r="AG47" s="137">
        <f t="shared" si="88"/>
        <v>20</v>
      </c>
      <c r="AH47" s="137">
        <f t="shared" si="89"/>
        <v>70</v>
      </c>
      <c r="AI47" s="137">
        <f t="shared" si="90"/>
        <v>54</v>
      </c>
      <c r="AJ47" s="137">
        <f t="shared" si="91"/>
        <v>44</v>
      </c>
      <c r="AK47" s="139">
        <f t="shared" si="92"/>
        <v>27</v>
      </c>
      <c r="AL47" s="137">
        <f t="shared" si="93"/>
        <v>47</v>
      </c>
      <c r="AM47" s="137">
        <f t="shared" si="94"/>
        <v>103</v>
      </c>
      <c r="AN47" s="137">
        <f t="shared" si="95"/>
        <v>88</v>
      </c>
      <c r="AO47" s="137">
        <f t="shared" si="96"/>
        <v>36</v>
      </c>
      <c r="AP47" s="137">
        <f t="shared" si="97"/>
        <v>66</v>
      </c>
      <c r="AQ47" s="137">
        <f t="shared" si="98"/>
        <v>81</v>
      </c>
      <c r="AR47" s="137">
        <f t="shared" si="99"/>
        <v>68</v>
      </c>
      <c r="AS47" s="144">
        <f>(CF45*CF47+CG45*CG47)/AS45</f>
        <v>124.44577449759348</v>
      </c>
      <c r="AT47" s="137" t="s">
        <v>233</v>
      </c>
      <c r="AU47" s="137">
        <v>85</v>
      </c>
      <c r="AV47" s="137">
        <v>38</v>
      </c>
      <c r="AW47" s="137">
        <v>61</v>
      </c>
      <c r="AX47" s="137">
        <v>123</v>
      </c>
      <c r="AY47" s="137">
        <v>45</v>
      </c>
      <c r="AZ47" s="137" t="s">
        <v>233</v>
      </c>
      <c r="BA47" s="137">
        <v>100</v>
      </c>
      <c r="BB47" s="137">
        <v>134</v>
      </c>
      <c r="BC47" s="137">
        <v>132</v>
      </c>
      <c r="BD47" s="137">
        <v>70</v>
      </c>
      <c r="BE47" s="137">
        <v>98</v>
      </c>
      <c r="BF47" s="139">
        <v>57</v>
      </c>
      <c r="BG47" s="137">
        <v>0</v>
      </c>
      <c r="BH47" s="137">
        <v>77</v>
      </c>
      <c r="BI47" s="137">
        <v>55</v>
      </c>
      <c r="BJ47" s="137">
        <v>60</v>
      </c>
      <c r="BK47" s="137" t="s">
        <v>233</v>
      </c>
      <c r="BL47" s="137">
        <v>85</v>
      </c>
      <c r="BM47" s="137">
        <v>72</v>
      </c>
      <c r="BN47" s="137">
        <v>89</v>
      </c>
      <c r="BO47" s="137" t="s">
        <v>233</v>
      </c>
      <c r="BP47" s="137">
        <v>26</v>
      </c>
      <c r="BQ47" s="137">
        <v>49</v>
      </c>
      <c r="BR47" s="139">
        <v>32</v>
      </c>
      <c r="BS47" s="137">
        <v>11</v>
      </c>
      <c r="BT47" s="137">
        <v>14</v>
      </c>
      <c r="BU47" s="137">
        <v>16</v>
      </c>
      <c r="BV47" s="137">
        <v>20</v>
      </c>
      <c r="BW47" s="137">
        <v>54</v>
      </c>
      <c r="BX47" s="137">
        <v>30</v>
      </c>
      <c r="BY47" s="137">
        <v>44</v>
      </c>
      <c r="BZ47" s="137">
        <v>70</v>
      </c>
      <c r="CA47" s="137">
        <v>24</v>
      </c>
      <c r="CB47" s="139">
        <v>27</v>
      </c>
      <c r="CC47" s="137">
        <v>36</v>
      </c>
      <c r="CD47" s="137">
        <v>66</v>
      </c>
      <c r="CE47" s="137">
        <v>47</v>
      </c>
      <c r="CF47" s="137">
        <v>186</v>
      </c>
      <c r="CG47" s="137">
        <v>120</v>
      </c>
      <c r="CH47" s="137">
        <v>103</v>
      </c>
      <c r="CI47" s="137">
        <v>68</v>
      </c>
      <c r="CJ47" s="137">
        <v>88</v>
      </c>
      <c r="CK47" s="138">
        <v>81</v>
      </c>
      <c r="CL47" s="140">
        <v>74</v>
      </c>
    </row>
    <row r="48" spans="1:90">
      <c r="A48" s="80">
        <f>ROWS($A$3:A46)</f>
        <v>44</v>
      </c>
      <c r="B48" s="196" t="s">
        <v>239</v>
      </c>
      <c r="C48" s="202">
        <v>2007</v>
      </c>
      <c r="D48" s="254" t="s">
        <v>7</v>
      </c>
      <c r="E48" s="256">
        <v>40652</v>
      </c>
      <c r="F48" s="116">
        <v>21010</v>
      </c>
      <c r="G48" s="137">
        <v>12940</v>
      </c>
      <c r="H48" s="137">
        <v>15249</v>
      </c>
      <c r="I48" s="138">
        <v>18617</v>
      </c>
      <c r="J48" s="141"/>
      <c r="K48" s="116">
        <f t="shared" si="74"/>
        <v>3648</v>
      </c>
      <c r="L48" s="137">
        <f t="shared" si="75"/>
        <v>2101</v>
      </c>
      <c r="M48" s="137">
        <f t="shared" si="76"/>
        <v>973</v>
      </c>
      <c r="N48" s="137">
        <f t="shared" si="77"/>
        <v>1831</v>
      </c>
      <c r="O48" s="137">
        <f t="shared" si="78"/>
        <v>931</v>
      </c>
      <c r="P48" s="137">
        <f>AZ48+BA48</f>
        <v>1659</v>
      </c>
      <c r="Q48" s="137">
        <f>'2008'!AU48</f>
        <v>2372</v>
      </c>
      <c r="R48" s="137">
        <f>AT48+AX48</f>
        <v>2573</v>
      </c>
      <c r="S48" s="137">
        <f t="shared" si="79"/>
        <v>2186</v>
      </c>
      <c r="T48" s="137">
        <f t="shared" si="80"/>
        <v>917</v>
      </c>
      <c r="U48" s="139">
        <f t="shared" si="81"/>
        <v>1819</v>
      </c>
      <c r="V48" s="137">
        <f>BG48+BJ48</f>
        <v>839</v>
      </c>
      <c r="W48" s="137">
        <f t="shared" si="82"/>
        <v>1202</v>
      </c>
      <c r="X48" s="137">
        <f>BH48+BI48</f>
        <v>2766</v>
      </c>
      <c r="Y48" s="137">
        <f>BK48+BL48+BN48</f>
        <v>3143</v>
      </c>
      <c r="Z48" s="137">
        <f t="shared" si="83"/>
        <v>1855</v>
      </c>
      <c r="AA48" s="137">
        <f>BO48+BQ48</f>
        <v>1630</v>
      </c>
      <c r="AB48" s="139">
        <f t="shared" si="84"/>
        <v>1505</v>
      </c>
      <c r="AC48" s="137">
        <f t="shared" si="85"/>
        <v>1374</v>
      </c>
      <c r="AD48" s="137">
        <f t="shared" si="86"/>
        <v>1092</v>
      </c>
      <c r="AE48" s="137">
        <f>BS48+BT48</f>
        <v>2820</v>
      </c>
      <c r="AF48" s="137">
        <f t="shared" si="87"/>
        <v>1822</v>
      </c>
      <c r="AG48" s="137">
        <f t="shared" si="88"/>
        <v>1978</v>
      </c>
      <c r="AH48" s="137">
        <f t="shared" si="89"/>
        <v>1799</v>
      </c>
      <c r="AI48" s="137">
        <f t="shared" si="90"/>
        <v>1100</v>
      </c>
      <c r="AJ48" s="137">
        <f t="shared" si="91"/>
        <v>908</v>
      </c>
      <c r="AK48" s="139">
        <f t="shared" si="92"/>
        <v>2356</v>
      </c>
      <c r="AL48" s="137">
        <f t="shared" si="93"/>
        <v>1861</v>
      </c>
      <c r="AM48" s="137">
        <f t="shared" si="94"/>
        <v>2346</v>
      </c>
      <c r="AN48" s="137">
        <f t="shared" si="95"/>
        <v>4253</v>
      </c>
      <c r="AO48" s="137">
        <f t="shared" si="96"/>
        <v>2871</v>
      </c>
      <c r="AP48" s="137">
        <f t="shared" si="97"/>
        <v>986</v>
      </c>
      <c r="AQ48" s="137">
        <f t="shared" si="98"/>
        <v>1856</v>
      </c>
      <c r="AR48" s="137">
        <f t="shared" si="99"/>
        <v>1984</v>
      </c>
      <c r="AS48" s="138">
        <f>CF48+CG48</f>
        <v>2460</v>
      </c>
      <c r="AT48" s="137">
        <v>255</v>
      </c>
      <c r="AU48" s="141">
        <v>2372</v>
      </c>
      <c r="AV48" s="141">
        <v>2186</v>
      </c>
      <c r="AW48" s="141">
        <v>1831</v>
      </c>
      <c r="AX48" s="141">
        <v>2318</v>
      </c>
      <c r="AY48" s="137">
        <v>2101</v>
      </c>
      <c r="AZ48" s="137">
        <v>41</v>
      </c>
      <c r="BA48" s="137">
        <v>1618</v>
      </c>
      <c r="BB48" s="137">
        <v>917</v>
      </c>
      <c r="BC48" s="137">
        <v>1819</v>
      </c>
      <c r="BD48" s="137">
        <v>973</v>
      </c>
      <c r="BE48" s="137">
        <v>931</v>
      </c>
      <c r="BF48" s="139">
        <v>3648</v>
      </c>
      <c r="BG48" s="137">
        <v>61</v>
      </c>
      <c r="BH48" s="137">
        <v>171</v>
      </c>
      <c r="BI48" s="137">
        <v>2595</v>
      </c>
      <c r="BJ48" s="137">
        <v>778</v>
      </c>
      <c r="BK48" s="137">
        <v>176</v>
      </c>
      <c r="BL48" s="137">
        <v>444</v>
      </c>
      <c r="BM48" s="137">
        <v>1855</v>
      </c>
      <c r="BN48" s="137">
        <v>2523</v>
      </c>
      <c r="BO48" s="137">
        <v>173</v>
      </c>
      <c r="BP48" s="137">
        <v>1505</v>
      </c>
      <c r="BQ48" s="137">
        <v>1457</v>
      </c>
      <c r="BR48" s="139">
        <v>1202</v>
      </c>
      <c r="BS48" s="137">
        <v>214</v>
      </c>
      <c r="BT48" s="137">
        <v>2606</v>
      </c>
      <c r="BU48" s="137">
        <v>1092</v>
      </c>
      <c r="BV48" s="137">
        <v>1978</v>
      </c>
      <c r="BW48" s="137">
        <v>1100</v>
      </c>
      <c r="BX48" s="137">
        <v>1374</v>
      </c>
      <c r="BY48" s="137">
        <v>908</v>
      </c>
      <c r="BZ48" s="137">
        <v>1799</v>
      </c>
      <c r="CA48" s="137">
        <v>1822</v>
      </c>
      <c r="CB48" s="139">
        <v>2356</v>
      </c>
      <c r="CC48" s="137">
        <v>2871</v>
      </c>
      <c r="CD48" s="137">
        <v>986</v>
      </c>
      <c r="CE48" s="137">
        <v>1861</v>
      </c>
      <c r="CF48" s="137">
        <v>249</v>
      </c>
      <c r="CG48" s="137">
        <v>2211</v>
      </c>
      <c r="CH48" s="137">
        <v>2346</v>
      </c>
      <c r="CI48" s="137">
        <v>1984</v>
      </c>
      <c r="CJ48" s="137">
        <v>4253</v>
      </c>
      <c r="CK48" s="138">
        <v>1856</v>
      </c>
      <c r="CL48" s="140">
        <v>67816</v>
      </c>
    </row>
    <row r="49" spans="1:90">
      <c r="A49" s="80">
        <f>ROWS($A$3:A47)</f>
        <v>45</v>
      </c>
      <c r="B49" s="92" t="s">
        <v>75</v>
      </c>
      <c r="C49" s="202">
        <v>2007</v>
      </c>
      <c r="D49" s="254" t="s">
        <v>7</v>
      </c>
      <c r="E49" s="256">
        <v>40652</v>
      </c>
      <c r="F49" s="116">
        <v>89942</v>
      </c>
      <c r="G49" s="137">
        <v>37333</v>
      </c>
      <c r="H49" s="137">
        <v>58301</v>
      </c>
      <c r="I49" s="138">
        <v>80552</v>
      </c>
      <c r="J49" s="141"/>
      <c r="K49" s="116">
        <f t="shared" si="74"/>
        <v>11991</v>
      </c>
      <c r="L49" s="137">
        <f t="shared" si="75"/>
        <v>7878</v>
      </c>
      <c r="M49" s="137">
        <f t="shared" si="76"/>
        <v>5265</v>
      </c>
      <c r="N49" s="137">
        <f t="shared" si="77"/>
        <v>10904</v>
      </c>
      <c r="O49" s="137">
        <f t="shared" si="78"/>
        <v>9890</v>
      </c>
      <c r="P49" s="137">
        <f>AZ49+BA49</f>
        <v>8353</v>
      </c>
      <c r="Q49" s="137" t="str">
        <f>'2008'!AU49</f>
        <v>*</v>
      </c>
      <c r="R49" s="137">
        <f>AX49</f>
        <v>3392</v>
      </c>
      <c r="S49" s="137">
        <f t="shared" si="79"/>
        <v>15210</v>
      </c>
      <c r="T49" s="137">
        <f t="shared" si="80"/>
        <v>5129</v>
      </c>
      <c r="U49" s="139">
        <f t="shared" si="81"/>
        <v>11930</v>
      </c>
      <c r="V49" s="137">
        <f>BG49+BJ49</f>
        <v>4810</v>
      </c>
      <c r="W49" s="137">
        <f t="shared" si="82"/>
        <v>8680</v>
      </c>
      <c r="X49" s="137">
        <f>BI49</f>
        <v>4163</v>
      </c>
      <c r="Y49" s="137">
        <f>BK49+BN49</f>
        <v>5602</v>
      </c>
      <c r="Z49" s="137">
        <f t="shared" si="83"/>
        <v>3542</v>
      </c>
      <c r="AA49" s="137">
        <f>BQ49</f>
        <v>1825</v>
      </c>
      <c r="AB49" s="139">
        <f t="shared" si="84"/>
        <v>8711</v>
      </c>
      <c r="AC49" s="137">
        <f t="shared" si="85"/>
        <v>4487</v>
      </c>
      <c r="AD49" s="137">
        <f t="shared" si="86"/>
        <v>2542</v>
      </c>
      <c r="AE49" s="137">
        <f>BS49+BT49</f>
        <v>10824</v>
      </c>
      <c r="AF49" s="137">
        <f t="shared" si="87"/>
        <v>6289</v>
      </c>
      <c r="AG49" s="137">
        <f t="shared" si="88"/>
        <v>8615</v>
      </c>
      <c r="AH49" s="137">
        <f t="shared" si="89"/>
        <v>4780</v>
      </c>
      <c r="AI49" s="137">
        <f t="shared" si="90"/>
        <v>8579</v>
      </c>
      <c r="AJ49" s="137">
        <f t="shared" si="91"/>
        <v>5877</v>
      </c>
      <c r="AK49" s="139">
        <f t="shared" si="92"/>
        <v>6308</v>
      </c>
      <c r="AL49" s="137">
        <f t="shared" si="93"/>
        <v>16954</v>
      </c>
      <c r="AM49" s="137">
        <f t="shared" si="94"/>
        <v>6344</v>
      </c>
      <c r="AN49" s="137">
        <f t="shared" si="95"/>
        <v>5993</v>
      </c>
      <c r="AO49" s="137">
        <f t="shared" si="96"/>
        <v>21478</v>
      </c>
      <c r="AP49" s="137">
        <f t="shared" si="97"/>
        <v>6610</v>
      </c>
      <c r="AQ49" s="137">
        <f t="shared" si="98"/>
        <v>5780</v>
      </c>
      <c r="AR49" s="137">
        <f t="shared" si="99"/>
        <v>5166</v>
      </c>
      <c r="AS49" s="138">
        <f>CF49+CG49</f>
        <v>12227</v>
      </c>
      <c r="AT49" s="141" t="s">
        <v>233</v>
      </c>
      <c r="AU49" s="137" t="s">
        <v>233</v>
      </c>
      <c r="AV49" s="141">
        <v>15210</v>
      </c>
      <c r="AW49" s="141">
        <v>10904</v>
      </c>
      <c r="AX49" s="141">
        <v>3392</v>
      </c>
      <c r="AY49" s="137">
        <v>7878</v>
      </c>
      <c r="AZ49" s="137">
        <v>0</v>
      </c>
      <c r="BA49" s="137">
        <v>8353</v>
      </c>
      <c r="BB49" s="137">
        <v>5129</v>
      </c>
      <c r="BC49" s="137">
        <v>11930</v>
      </c>
      <c r="BD49" s="137">
        <v>5265</v>
      </c>
      <c r="BE49" s="137">
        <v>9890</v>
      </c>
      <c r="BF49" s="139">
        <v>11991</v>
      </c>
      <c r="BG49" s="137">
        <v>1814</v>
      </c>
      <c r="BH49" s="137" t="s">
        <v>233</v>
      </c>
      <c r="BI49" s="137">
        <v>4163</v>
      </c>
      <c r="BJ49" s="137">
        <v>2996</v>
      </c>
      <c r="BK49" s="137">
        <v>107</v>
      </c>
      <c r="BL49" s="137" t="s">
        <v>233</v>
      </c>
      <c r="BM49" s="137">
        <v>3542</v>
      </c>
      <c r="BN49" s="137">
        <v>5495</v>
      </c>
      <c r="BO49" s="137" t="s">
        <v>233</v>
      </c>
      <c r="BP49" s="137">
        <v>8711</v>
      </c>
      <c r="BQ49" s="137">
        <v>1825</v>
      </c>
      <c r="BR49" s="139">
        <v>8680</v>
      </c>
      <c r="BS49" s="137">
        <v>3705</v>
      </c>
      <c r="BT49" s="137">
        <v>7119</v>
      </c>
      <c r="BU49" s="137">
        <v>2542</v>
      </c>
      <c r="BV49" s="137">
        <v>8615</v>
      </c>
      <c r="BW49" s="137">
        <v>8579</v>
      </c>
      <c r="BX49" s="137">
        <v>4487</v>
      </c>
      <c r="BY49" s="137">
        <v>5877</v>
      </c>
      <c r="BZ49" s="137">
        <v>4780</v>
      </c>
      <c r="CA49" s="137">
        <v>6289</v>
      </c>
      <c r="CB49" s="139">
        <v>6308</v>
      </c>
      <c r="CC49" s="137">
        <v>21478</v>
      </c>
      <c r="CD49" s="137">
        <v>6610</v>
      </c>
      <c r="CE49" s="137">
        <v>16954</v>
      </c>
      <c r="CF49" s="137">
        <v>372</v>
      </c>
      <c r="CG49" s="137">
        <v>11855</v>
      </c>
      <c r="CH49" s="137">
        <v>6344</v>
      </c>
      <c r="CI49" s="137">
        <v>5166</v>
      </c>
      <c r="CJ49" s="137">
        <v>5993</v>
      </c>
      <c r="CK49" s="138">
        <v>5780</v>
      </c>
      <c r="CL49" s="140">
        <v>274311</v>
      </c>
    </row>
    <row r="50" spans="1:90">
      <c r="A50" s="80">
        <f>ROWS($A$3:A48)</f>
        <v>46</v>
      </c>
      <c r="B50" s="92" t="s">
        <v>76</v>
      </c>
      <c r="C50" s="202">
        <v>2007</v>
      </c>
      <c r="D50" s="254" t="s">
        <v>21</v>
      </c>
      <c r="E50" s="269"/>
      <c r="F50" s="116">
        <v>81</v>
      </c>
      <c r="G50" s="137">
        <v>45</v>
      </c>
      <c r="H50" s="137">
        <v>63</v>
      </c>
      <c r="I50" s="138">
        <v>95</v>
      </c>
      <c r="J50" s="141"/>
      <c r="K50" s="116">
        <f t="shared" si="74"/>
        <v>111</v>
      </c>
      <c r="L50" s="137">
        <f t="shared" si="75"/>
        <v>81</v>
      </c>
      <c r="M50" s="137">
        <f t="shared" si="76"/>
        <v>48</v>
      </c>
      <c r="N50" s="137">
        <f t="shared" si="77"/>
        <v>98</v>
      </c>
      <c r="O50" s="137">
        <f t="shared" si="78"/>
        <v>91</v>
      </c>
      <c r="P50" s="143">
        <f>(AZ50*AZ35+BA50*BA35)/P35</f>
        <v>30.653188206771443</v>
      </c>
      <c r="Q50" s="137">
        <f>'2008'!AU50</f>
        <v>53</v>
      </c>
      <c r="R50" s="143">
        <f>(AT50*AT35+AX50*AX35)/R35</f>
        <v>53.913272722090802</v>
      </c>
      <c r="S50" s="137">
        <f t="shared" si="79"/>
        <v>58</v>
      </c>
      <c r="T50" s="137">
        <f t="shared" si="80"/>
        <v>94</v>
      </c>
      <c r="U50" s="139">
        <f t="shared" si="81"/>
        <v>130</v>
      </c>
      <c r="V50" s="143">
        <f>(BG50*BG35+BJ50*BJ35)/V35</f>
        <v>23.895006016847173</v>
      </c>
      <c r="W50" s="137">
        <f t="shared" si="82"/>
        <v>66</v>
      </c>
      <c r="X50" s="143">
        <f>(BH50*BH35+BI50*BI35)/X35</f>
        <v>23</v>
      </c>
      <c r="Y50" s="143">
        <f>(BK50*BK35+BL50*BL35+BN50*BN35)/Y35</f>
        <v>41.784437531918847</v>
      </c>
      <c r="Z50" s="137">
        <f t="shared" si="83"/>
        <v>55</v>
      </c>
      <c r="AA50" s="143">
        <f>(BO50*BO35+BQ50*BQ35)/AA35</f>
        <v>51.704883859440145</v>
      </c>
      <c r="AB50" s="139">
        <f t="shared" si="84"/>
        <v>67</v>
      </c>
      <c r="AC50" s="137">
        <f t="shared" si="85"/>
        <v>73</v>
      </c>
      <c r="AD50" s="137">
        <f t="shared" si="86"/>
        <v>61</v>
      </c>
      <c r="AE50" s="143">
        <f>(BS50*BS35+BT50*BT35)/AE35</f>
        <v>54.127943602819862</v>
      </c>
      <c r="AF50" s="137">
        <f t="shared" si="87"/>
        <v>64</v>
      </c>
      <c r="AG50" s="137">
        <f t="shared" si="88"/>
        <v>52</v>
      </c>
      <c r="AH50" s="137">
        <f t="shared" si="89"/>
        <v>69</v>
      </c>
      <c r="AI50" s="137">
        <f t="shared" si="90"/>
        <v>65</v>
      </c>
      <c r="AJ50" s="137">
        <f t="shared" si="91"/>
        <v>60</v>
      </c>
      <c r="AK50" s="139">
        <f t="shared" si="92"/>
        <v>80</v>
      </c>
      <c r="AL50" s="137">
        <f t="shared" si="93"/>
        <v>42</v>
      </c>
      <c r="AM50" s="137">
        <f t="shared" si="94"/>
        <v>115</v>
      </c>
      <c r="AN50" s="137">
        <f t="shared" si="95"/>
        <v>142</v>
      </c>
      <c r="AO50" s="137">
        <f t="shared" si="96"/>
        <v>67</v>
      </c>
      <c r="AP50" s="137">
        <f t="shared" si="97"/>
        <v>39</v>
      </c>
      <c r="AQ50" s="137">
        <f t="shared" si="98"/>
        <v>79</v>
      </c>
      <c r="AR50" s="137">
        <f t="shared" si="99"/>
        <v>72</v>
      </c>
      <c r="AS50" s="144">
        <f>(CF50*CF35+CG50*CG35)/AS35</f>
        <v>98.34433179953362</v>
      </c>
      <c r="AT50" s="137">
        <v>40</v>
      </c>
      <c r="AU50" s="141">
        <v>53</v>
      </c>
      <c r="AV50" s="141">
        <v>58</v>
      </c>
      <c r="AW50" s="141">
        <v>98</v>
      </c>
      <c r="AX50" s="141">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c r="A51" s="80">
        <f>ROWS($A$3:A49)</f>
        <v>47</v>
      </c>
      <c r="B51" s="54" t="s">
        <v>92</v>
      </c>
      <c r="C51" s="252">
        <f>C95</f>
        <v>2008</v>
      </c>
      <c r="D51" s="254" t="s">
        <v>9</v>
      </c>
      <c r="E51" s="256">
        <v>40441</v>
      </c>
      <c r="F51" s="142">
        <f>ROUND(F96/F95*1000,0)</f>
        <v>6189</v>
      </c>
      <c r="G51" s="143">
        <f>ROUND(G96/G95*1000,0)</f>
        <v>5800</v>
      </c>
      <c r="H51" s="143">
        <f>ROUND(H96/H95*1000,0)</f>
        <v>5483</v>
      </c>
      <c r="I51" s="144">
        <f>ROUND(I96/I95*1000,0)</f>
        <v>6312</v>
      </c>
      <c r="J51" s="141"/>
      <c r="K51" s="145">
        <f t="shared" si="74"/>
        <v>6547</v>
      </c>
      <c r="L51" s="146">
        <f t="shared" si="75"/>
        <v>6140</v>
      </c>
      <c r="M51" s="146">
        <f t="shared" si="76"/>
        <v>6070</v>
      </c>
      <c r="N51" s="146">
        <f t="shared" si="77"/>
        <v>5641</v>
      </c>
      <c r="O51" s="146">
        <f t="shared" si="78"/>
        <v>5931</v>
      </c>
      <c r="P51" s="143">
        <f>ROUND(P96/P95*1000,0)</f>
        <v>5937</v>
      </c>
      <c r="Q51" s="146">
        <f>'2008'!AU51</f>
        <v>5965</v>
      </c>
      <c r="R51" s="143">
        <f>ROUND(R96/R95*1000,0)</f>
        <v>5652</v>
      </c>
      <c r="S51" s="146">
        <f t="shared" si="79"/>
        <v>4808</v>
      </c>
      <c r="T51" s="146">
        <f t="shared" si="80"/>
        <v>6195</v>
      </c>
      <c r="U51" s="147">
        <f t="shared" si="81"/>
        <v>6486</v>
      </c>
      <c r="V51" s="143">
        <f>ROUND(V96/V95*1000,0)</f>
        <v>4312</v>
      </c>
      <c r="W51" s="146">
        <f t="shared" si="82"/>
        <v>5676</v>
      </c>
      <c r="X51" s="143">
        <f>ROUND(X96/X95*1000,0)</f>
        <v>4766</v>
      </c>
      <c r="Y51" s="143">
        <f>ROUND(Y96/Y95*1000,0)</f>
        <v>5783</v>
      </c>
      <c r="Z51" s="146">
        <f t="shared" si="83"/>
        <v>6089</v>
      </c>
      <c r="AA51" s="143">
        <f>ROUND(AA96/AA95*1000,0)</f>
        <v>6049</v>
      </c>
      <c r="AB51" s="147">
        <f t="shared" si="84"/>
        <v>5735</v>
      </c>
      <c r="AC51" s="146">
        <f t="shared" si="85"/>
        <v>5274</v>
      </c>
      <c r="AD51" s="146">
        <f t="shared" si="86"/>
        <v>4967</v>
      </c>
      <c r="AE51" s="143">
        <f>ROUND(AE96/AE95*1000,0)</f>
        <v>5502</v>
      </c>
      <c r="AF51" s="146">
        <f t="shared" si="87"/>
        <v>4804</v>
      </c>
      <c r="AG51" s="146">
        <f t="shared" si="88"/>
        <v>4629</v>
      </c>
      <c r="AH51" s="146">
        <f t="shared" si="89"/>
        <v>6408</v>
      </c>
      <c r="AI51" s="146">
        <f t="shared" si="90"/>
        <v>5198</v>
      </c>
      <c r="AJ51" s="146">
        <f t="shared" si="91"/>
        <v>6251</v>
      </c>
      <c r="AK51" s="147">
        <f t="shared" si="92"/>
        <v>5872</v>
      </c>
      <c r="AL51" s="146">
        <f t="shared" si="93"/>
        <v>6500</v>
      </c>
      <c r="AM51" s="146">
        <f t="shared" si="94"/>
        <v>6297</v>
      </c>
      <c r="AN51" s="146">
        <f t="shared" si="95"/>
        <v>6568</v>
      </c>
      <c r="AO51" s="146">
        <f t="shared" si="96"/>
        <v>5866</v>
      </c>
      <c r="AP51" s="146">
        <f t="shared" si="97"/>
        <v>5410</v>
      </c>
      <c r="AQ51" s="146">
        <f t="shared" si="98"/>
        <v>5897</v>
      </c>
      <c r="AR51" s="146">
        <f t="shared" si="99"/>
        <v>6003</v>
      </c>
      <c r="AS51" s="144">
        <f>ROUND(AS96/AS95*1000,0)</f>
        <v>6146</v>
      </c>
      <c r="AT51" s="143">
        <f>IF(ISERROR(AT96/AT95)=TRUE,0,ROUND(AT96/AT95*1000,0))</f>
        <v>5295</v>
      </c>
      <c r="AU51" s="143">
        <f t="shared" ref="AU51:CL51" si="102">IF(ISERROR(AU96/AU95)=TRUE,0,ROUND(AU96/AU95*1000,0))</f>
        <v>5965</v>
      </c>
      <c r="AV51" s="143">
        <f t="shared" si="102"/>
        <v>4808</v>
      </c>
      <c r="AW51" s="143">
        <f t="shared" si="102"/>
        <v>5641</v>
      </c>
      <c r="AX51" s="143">
        <f t="shared" si="102"/>
        <v>6146</v>
      </c>
      <c r="AY51" s="143">
        <f t="shared" si="102"/>
        <v>6140</v>
      </c>
      <c r="AZ51" s="143">
        <f t="shared" si="102"/>
        <v>3503</v>
      </c>
      <c r="BA51" s="143">
        <f t="shared" si="102"/>
        <v>6010</v>
      </c>
      <c r="BB51" s="143">
        <f t="shared" si="102"/>
        <v>6195</v>
      </c>
      <c r="BC51" s="143">
        <f t="shared" si="102"/>
        <v>6486</v>
      </c>
      <c r="BD51" s="143">
        <f t="shared" si="102"/>
        <v>6070</v>
      </c>
      <c r="BE51" s="143">
        <f t="shared" si="102"/>
        <v>5931</v>
      </c>
      <c r="BF51" s="148">
        <f t="shared" si="102"/>
        <v>6547</v>
      </c>
      <c r="BG51" s="143">
        <f t="shared" si="102"/>
        <v>0</v>
      </c>
      <c r="BH51" s="143">
        <f t="shared" si="102"/>
        <v>4135</v>
      </c>
      <c r="BI51" s="143">
        <f t="shared" si="102"/>
        <v>4804</v>
      </c>
      <c r="BJ51" s="143">
        <f t="shared" si="102"/>
        <v>4312</v>
      </c>
      <c r="BK51" s="143">
        <f t="shared" si="102"/>
        <v>4737</v>
      </c>
      <c r="BL51" s="143">
        <f t="shared" si="102"/>
        <v>3563</v>
      </c>
      <c r="BM51" s="143">
        <f t="shared" si="102"/>
        <v>6089</v>
      </c>
      <c r="BN51" s="143">
        <f t="shared" si="102"/>
        <v>5847</v>
      </c>
      <c r="BO51" s="143">
        <f t="shared" si="102"/>
        <v>2244</v>
      </c>
      <c r="BP51" s="143">
        <f t="shared" si="102"/>
        <v>5735</v>
      </c>
      <c r="BQ51" s="143">
        <f t="shared" si="102"/>
        <v>6154</v>
      </c>
      <c r="BR51" s="148">
        <f t="shared" si="102"/>
        <v>5676</v>
      </c>
      <c r="BS51" s="143">
        <f t="shared" si="102"/>
        <v>0</v>
      </c>
      <c r="BT51" s="143">
        <f t="shared" si="102"/>
        <v>5502</v>
      </c>
      <c r="BU51" s="143">
        <f t="shared" si="102"/>
        <v>4967</v>
      </c>
      <c r="BV51" s="143">
        <f t="shared" si="102"/>
        <v>4629</v>
      </c>
      <c r="BW51" s="143">
        <f t="shared" si="102"/>
        <v>5198</v>
      </c>
      <c r="BX51" s="143">
        <f t="shared" si="102"/>
        <v>5274</v>
      </c>
      <c r="BY51" s="143">
        <f t="shared" si="102"/>
        <v>6251</v>
      </c>
      <c r="BZ51" s="143">
        <f t="shared" si="102"/>
        <v>6408</v>
      </c>
      <c r="CA51" s="143">
        <f t="shared" si="102"/>
        <v>4804</v>
      </c>
      <c r="CB51" s="148">
        <f t="shared" si="102"/>
        <v>5872</v>
      </c>
      <c r="CC51" s="143">
        <f t="shared" si="102"/>
        <v>5866</v>
      </c>
      <c r="CD51" s="143">
        <f t="shared" si="102"/>
        <v>5410</v>
      </c>
      <c r="CE51" s="143">
        <f t="shared" si="102"/>
        <v>6500</v>
      </c>
      <c r="CF51" s="143">
        <f t="shared" si="102"/>
        <v>7285</v>
      </c>
      <c r="CG51" s="143">
        <f t="shared" si="102"/>
        <v>6095</v>
      </c>
      <c r="CH51" s="143">
        <f t="shared" si="102"/>
        <v>6297</v>
      </c>
      <c r="CI51" s="143">
        <f t="shared" si="102"/>
        <v>6003</v>
      </c>
      <c r="CJ51" s="143">
        <f t="shared" si="102"/>
        <v>6568</v>
      </c>
      <c r="CK51" s="144">
        <f t="shared" si="102"/>
        <v>5897</v>
      </c>
      <c r="CL51" s="149">
        <f t="shared" si="102"/>
        <v>6082</v>
      </c>
    </row>
    <row r="52" spans="1:90">
      <c r="A52" s="80">
        <f>ROWS($A$3:A50)</f>
        <v>48</v>
      </c>
      <c r="B52" s="388" t="str">
        <f>'Stand der Daten'!B53</f>
        <v>Milcherzeugung</v>
      </c>
      <c r="C52" s="204">
        <v>2008</v>
      </c>
      <c r="D52" s="259" t="s">
        <v>358</v>
      </c>
      <c r="E52" s="437">
        <v>42919</v>
      </c>
      <c r="F52" s="389">
        <v>645.1</v>
      </c>
      <c r="G52" s="390">
        <v>146.1</v>
      </c>
      <c r="H52" s="390">
        <v>380.1</v>
      </c>
      <c r="I52" s="391">
        <v>1026.2</v>
      </c>
      <c r="J52" s="390"/>
      <c r="K52" s="389">
        <f t="shared" si="74"/>
        <v>165.2</v>
      </c>
      <c r="L52" s="390">
        <f t="shared" si="75"/>
        <v>43.9</v>
      </c>
      <c r="M52" s="390">
        <f t="shared" si="76"/>
        <v>46.5</v>
      </c>
      <c r="N52" s="390">
        <f t="shared" si="77"/>
        <v>59.4</v>
      </c>
      <c r="O52" s="390">
        <f t="shared" si="78"/>
        <v>46.9</v>
      </c>
      <c r="P52" s="390">
        <f>AZ52+BA52</f>
        <v>30.8</v>
      </c>
      <c r="Q52" s="390">
        <f>'2009'!AU52</f>
        <v>18.2</v>
      </c>
      <c r="R52" s="390">
        <f>AT52+AX52</f>
        <v>31.5</v>
      </c>
      <c r="S52" s="390">
        <f t="shared" si="79"/>
        <v>13.9</v>
      </c>
      <c r="T52" s="390">
        <f t="shared" si="80"/>
        <v>46.6</v>
      </c>
      <c r="U52" s="514">
        <f t="shared" si="81"/>
        <v>142.30000000000001</v>
      </c>
      <c r="V52" s="390">
        <f>BG52+BJ52</f>
        <v>2.1</v>
      </c>
      <c r="W52" s="390">
        <f t="shared" si="82"/>
        <v>22.7</v>
      </c>
      <c r="X52" s="390">
        <f>BH52+BI52</f>
        <v>375.4</v>
      </c>
      <c r="Y52" s="390">
        <f>BK52+BL52+BN52</f>
        <v>24.1</v>
      </c>
      <c r="Z52" s="390">
        <f t="shared" si="83"/>
        <v>50.9</v>
      </c>
      <c r="AA52" s="390">
        <f>BO52+BQ52</f>
        <v>17.600000000000001</v>
      </c>
      <c r="AB52" s="514">
        <f t="shared" si="84"/>
        <v>21.1</v>
      </c>
      <c r="AC52" s="390">
        <f t="shared" si="85"/>
        <v>63.4</v>
      </c>
      <c r="AD52" s="390">
        <f t="shared" si="86"/>
        <v>19.100000000000001</v>
      </c>
      <c r="AE52" s="390">
        <f>BS52+BT52</f>
        <v>57.8</v>
      </c>
      <c r="AF52" s="390">
        <f t="shared" si="87"/>
        <v>19.2</v>
      </c>
      <c r="AG52" s="390">
        <f t="shared" si="88"/>
        <v>41.8</v>
      </c>
      <c r="AH52" s="390">
        <f t="shared" si="89"/>
        <v>58.2</v>
      </c>
      <c r="AI52" s="390">
        <f t="shared" si="90"/>
        <v>28.9</v>
      </c>
      <c r="AJ52" s="390">
        <f t="shared" si="91"/>
        <v>32.1</v>
      </c>
      <c r="AK52" s="514">
        <f t="shared" si="92"/>
        <v>59.8</v>
      </c>
      <c r="AL52" s="390">
        <f t="shared" si="93"/>
        <v>20.7</v>
      </c>
      <c r="AM52" s="390">
        <f t="shared" si="94"/>
        <v>222</v>
      </c>
      <c r="AN52" s="390">
        <f t="shared" si="95"/>
        <v>454.6</v>
      </c>
      <c r="AO52" s="390">
        <f t="shared" si="96"/>
        <v>51.4</v>
      </c>
      <c r="AP52" s="390">
        <f t="shared" si="97"/>
        <v>9.6999999999999993</v>
      </c>
      <c r="AQ52" s="390">
        <f t="shared" si="98"/>
        <v>79.599999999999994</v>
      </c>
      <c r="AR52" s="390">
        <f t="shared" si="99"/>
        <v>66.900000000000006</v>
      </c>
      <c r="AS52" s="391">
        <f>CF52+CG52</f>
        <v>121.3</v>
      </c>
      <c r="AT52" s="390">
        <v>2.2000000000000002</v>
      </c>
      <c r="AU52" s="390">
        <v>18.2</v>
      </c>
      <c r="AV52" s="390">
        <v>13.9</v>
      </c>
      <c r="AW52" s="390">
        <v>59.4</v>
      </c>
      <c r="AX52" s="390">
        <v>29.3</v>
      </c>
      <c r="AY52" s="390">
        <v>43.9</v>
      </c>
      <c r="AZ52" s="390">
        <v>0</v>
      </c>
      <c r="BA52" s="390">
        <v>30.8</v>
      </c>
      <c r="BB52" s="390">
        <v>46.6</v>
      </c>
      <c r="BC52" s="390">
        <v>142.30000000000001</v>
      </c>
      <c r="BD52" s="390">
        <v>46.5</v>
      </c>
      <c r="BE52" s="390">
        <v>46.9</v>
      </c>
      <c r="BF52" s="514">
        <v>165.2</v>
      </c>
      <c r="BG52" s="390">
        <v>0</v>
      </c>
      <c r="BH52" s="390">
        <f>BH96</f>
        <v>368</v>
      </c>
      <c r="BI52" s="390">
        <v>7.4</v>
      </c>
      <c r="BJ52" s="390">
        <v>2.1</v>
      </c>
      <c r="BK52" s="390">
        <v>0</v>
      </c>
      <c r="BL52" s="390">
        <v>0</v>
      </c>
      <c r="BM52" s="390">
        <v>50.9</v>
      </c>
      <c r="BN52" s="390">
        <v>24.1</v>
      </c>
      <c r="BO52" s="390">
        <v>0</v>
      </c>
      <c r="BP52" s="390">
        <v>21.1</v>
      </c>
      <c r="BQ52" s="390">
        <v>17.600000000000001</v>
      </c>
      <c r="BR52" s="514">
        <v>22.7</v>
      </c>
      <c r="BS52" s="390">
        <v>0</v>
      </c>
      <c r="BT52" s="390">
        <v>57.8</v>
      </c>
      <c r="BU52" s="390">
        <v>19.100000000000001</v>
      </c>
      <c r="BV52" s="390">
        <v>41.8</v>
      </c>
      <c r="BW52" s="390">
        <v>28.9</v>
      </c>
      <c r="BX52" s="390">
        <v>63.4</v>
      </c>
      <c r="BY52" s="390">
        <v>32.1</v>
      </c>
      <c r="BZ52" s="390">
        <v>58.2</v>
      </c>
      <c r="CA52" s="390">
        <v>19.2</v>
      </c>
      <c r="CB52" s="514">
        <v>59.8</v>
      </c>
      <c r="CC52" s="390">
        <v>51.4</v>
      </c>
      <c r="CD52" s="390">
        <v>9.6999999999999993</v>
      </c>
      <c r="CE52" s="390">
        <v>20.7</v>
      </c>
      <c r="CF52" s="390">
        <v>0</v>
      </c>
      <c r="CG52" s="390">
        <v>121.3</v>
      </c>
      <c r="CH52" s="390">
        <v>222</v>
      </c>
      <c r="CI52" s="390">
        <v>66.900000000000006</v>
      </c>
      <c r="CJ52" s="390">
        <v>454.6</v>
      </c>
      <c r="CK52" s="391">
        <v>79.599999999999994</v>
      </c>
      <c r="CL52" s="515">
        <v>2197.5</v>
      </c>
    </row>
    <row r="53" spans="1:90">
      <c r="A53" s="80">
        <f>ROWS($A$3:A51)</f>
        <v>49</v>
      </c>
      <c r="B53" s="54" t="str">
        <f>"Änderung der Milcherzeugung "&amp;C95&amp;"/"&amp;C98</f>
        <v>Änderung der Milcherzeugung 2008/2001</v>
      </c>
      <c r="C53" s="252"/>
      <c r="D53" s="254" t="s">
        <v>3</v>
      </c>
      <c r="E53" s="483">
        <v>42919</v>
      </c>
      <c r="F53" s="167">
        <f>F52/'2001'!F52%-100</f>
        <v>-2.9625674079979518</v>
      </c>
      <c r="G53" s="168">
        <f>G52/'2001'!G52%-100</f>
        <v>-6.9124365239663916</v>
      </c>
      <c r="H53" s="168">
        <f>H52/'2001'!H52%-100</f>
        <v>-4.2860991989846724</v>
      </c>
      <c r="I53" s="169">
        <f>I52/'2001'!I52%-100</f>
        <v>-3.430921866751234</v>
      </c>
      <c r="J53" s="173"/>
      <c r="K53" s="178">
        <f>K52/'2001'!K52%-100</f>
        <v>2.2720237726738048</v>
      </c>
      <c r="L53" s="179">
        <f>L52/'2001'!L52%-100</f>
        <v>-4.8011449885067492</v>
      </c>
      <c r="M53" s="179">
        <f>M52/'2001'!M52%-100</f>
        <v>-6.3104448742746513</v>
      </c>
      <c r="N53" s="179">
        <f>N52/'2001'!N52%-100</f>
        <v>-4.3724644214051267</v>
      </c>
      <c r="O53" s="179">
        <f>O52/'2001'!O52%-100</f>
        <v>3.4452335788962927</v>
      </c>
      <c r="P53" s="168">
        <f>P52/'2001'!P52%-100</f>
        <v>-16.456451569153984</v>
      </c>
      <c r="Q53" s="179">
        <f>Q52/'2001'!Q52%-100</f>
        <v>0</v>
      </c>
      <c r="R53" s="168">
        <f>R52/'2001'!R52%-100</f>
        <v>-7.4291759727283306</v>
      </c>
      <c r="S53" s="179">
        <f>S52/'2001'!S52%-100</f>
        <v>-12.765156269612135</v>
      </c>
      <c r="T53" s="179">
        <f>T52/'2001'!T52%-100</f>
        <v>-3.7528140942230976</v>
      </c>
      <c r="U53" s="180">
        <f>U52/'2001'!U52%-100</f>
        <v>-1.8864281971372634</v>
      </c>
      <c r="V53" s="168">
        <f>V52/'2001'!V52%-100</f>
        <v>-30.2557289936898</v>
      </c>
      <c r="W53" s="179">
        <f>W52/'2001'!W52%-100</f>
        <v>-2.7212341975573224</v>
      </c>
      <c r="X53" s="168">
        <f>X52/'2001'!X52%-100</f>
        <v>3906.4034151547494</v>
      </c>
      <c r="Y53" s="168">
        <f>Y52/'2001'!Y52%-100</f>
        <v>-11.514172418857385</v>
      </c>
      <c r="Z53" s="179">
        <f>Z52/'2001'!Z52%-100</f>
        <v>-6.2131485849056531</v>
      </c>
      <c r="AA53" s="168">
        <f>AA52/'2001'!AA52%-100</f>
        <v>3.1592520954223033</v>
      </c>
      <c r="AB53" s="180">
        <f>AB52/'2001'!AB52%-100</f>
        <v>-6.9008118602188517</v>
      </c>
      <c r="AC53" s="179">
        <f>AC52/'2001'!AC52%-100</f>
        <v>-5.067081935793027</v>
      </c>
      <c r="AD53" s="179">
        <f>AD52/'2001'!AD52%-100</f>
        <v>-10.007538635506975</v>
      </c>
      <c r="AE53" s="168">
        <f>AE52/'2001'!AE52%-100</f>
        <v>-3.5042321240755285</v>
      </c>
      <c r="AF53" s="179">
        <f>AF52/'2001'!AF52%-100</f>
        <v>-12.631962140516919</v>
      </c>
      <c r="AG53" s="179">
        <f>AG52/'2001'!AG52%-100</f>
        <v>-14.466953140986291</v>
      </c>
      <c r="AH53" s="179">
        <f>AH52/'2001'!AH52%-100</f>
        <v>1.7180208679238831</v>
      </c>
      <c r="AI53" s="179">
        <f>AI52/'2001'!AI52%-100</f>
        <v>-9.8677644710578818</v>
      </c>
      <c r="AJ53" s="179">
        <f>AJ52/'2001'!AJ52%-100</f>
        <v>4.9431149470380689</v>
      </c>
      <c r="AK53" s="180">
        <f>AK52/'2001'!AK52%-100</f>
        <v>2.2239696405066667</v>
      </c>
      <c r="AL53" s="179">
        <f>AL52/'2001'!AL52%-100</f>
        <v>3.0414654786201396</v>
      </c>
      <c r="AM53" s="179">
        <f>AM52/'2001'!AM52%-100</f>
        <v>-4.0564251942641363</v>
      </c>
      <c r="AN53" s="179">
        <f>AN52/'2001'!AN52%-100</f>
        <v>-1.0340698813540996</v>
      </c>
      <c r="AO53" s="179">
        <f>AO52/'2001'!AO52%-100</f>
        <v>-6.6845793544170533</v>
      </c>
      <c r="AP53" s="179">
        <f>AP52/'2001'!AP52%-100</f>
        <v>-3.8461538461538538</v>
      </c>
      <c r="AQ53" s="179">
        <f>AQ52/'2001'!AQ52%-100</f>
        <v>-6.198444496818297</v>
      </c>
      <c r="AR53" s="179">
        <f>AR52/'2001'!AR52%-100</f>
        <v>-11.266148499880629</v>
      </c>
      <c r="AS53" s="169">
        <f>AS52/'2001'!AS52%-100</f>
        <v>-4.0424017087255777</v>
      </c>
      <c r="AT53" s="168">
        <f>AT52/'2001'!AT52%-100</f>
        <v>-5.3763440860215042</v>
      </c>
      <c r="AU53" s="168">
        <f>AU52/'2001'!AU52%-100</f>
        <v>-8.0018197442248464</v>
      </c>
      <c r="AV53" s="168">
        <f>AV52/'2001'!AV52%-100</f>
        <v>-12.765156269612135</v>
      </c>
      <c r="AW53" s="168">
        <f>AW52/'2001'!AW52%-100</f>
        <v>-4.3724644214051267</v>
      </c>
      <c r="AX53" s="168">
        <f>AX52/'2001'!AX52%-100</f>
        <v>-7.5797243163107453</v>
      </c>
      <c r="AY53" s="168">
        <f>AY52/'2001'!AY52%-100</f>
        <v>-4.8011449885067492</v>
      </c>
      <c r="AZ53" s="521" t="s">
        <v>233</v>
      </c>
      <c r="BA53" s="168">
        <f>BA52/'2001'!BA52%-100</f>
        <v>-16.456451569153984</v>
      </c>
      <c r="BB53" s="168">
        <f>BB52/'2001'!BB52%-100</f>
        <v>-3.7528140942230976</v>
      </c>
      <c r="BC53" s="168">
        <f>BC52/'2001'!BC52%-100</f>
        <v>-1.8864281971372634</v>
      </c>
      <c r="BD53" s="168">
        <f>BD52/'2001'!BD52%-100</f>
        <v>-6.3104448742746513</v>
      </c>
      <c r="BE53" s="168">
        <f>BE52/'2001'!BE52%-100</f>
        <v>3.4452335788962927</v>
      </c>
      <c r="BF53" s="176">
        <f>BF52/'2001'!BF52%-100</f>
        <v>2.2720237726738048</v>
      </c>
      <c r="BG53" s="521" t="s">
        <v>233</v>
      </c>
      <c r="BH53" s="521" t="s">
        <v>233</v>
      </c>
      <c r="BI53" s="168">
        <f>BI52/'2001'!BI52%-100</f>
        <v>-21.024546424759862</v>
      </c>
      <c r="BJ53" s="168">
        <f>BJ52/'2001'!BJ52%-100</f>
        <v>-30.2557289936898</v>
      </c>
      <c r="BK53" s="521" t="s">
        <v>233</v>
      </c>
      <c r="BL53" s="521" t="s">
        <v>233</v>
      </c>
      <c r="BM53" s="168">
        <f>BM52/'2001'!BM52%-100</f>
        <v>-6.2131485849056531</v>
      </c>
      <c r="BN53" s="168">
        <f>BN52/'2001'!BN52%-100</f>
        <v>-11.514172418857385</v>
      </c>
      <c r="BO53" s="521" t="s">
        <v>233</v>
      </c>
      <c r="BP53" s="168">
        <f>BP52/'2001'!BP52%-100</f>
        <v>-6.9008118602188517</v>
      </c>
      <c r="BQ53" s="168">
        <f>BQ52/'2001'!BQ52%-100</f>
        <v>3.1592520954223033</v>
      </c>
      <c r="BR53" s="176">
        <f>BR52/'2001'!BR52%-100</f>
        <v>-2.7212341975573224</v>
      </c>
      <c r="BS53" s="521" t="s">
        <v>233</v>
      </c>
      <c r="BT53" s="168">
        <f>BT52/'2001'!BT52%-100</f>
        <v>-3.5042321240755285</v>
      </c>
      <c r="BU53" s="168">
        <f>BU52/'2001'!BU52%-100</f>
        <v>-10.007538635506975</v>
      </c>
      <c r="BV53" s="168">
        <f>BV52/'2001'!BV52%-100</f>
        <v>-14.466953140986291</v>
      </c>
      <c r="BW53" s="168">
        <f>BW52/'2001'!BW52%-100</f>
        <v>-9.8677644710578818</v>
      </c>
      <c r="BX53" s="168">
        <f>BX52/'2001'!BX52%-100</f>
        <v>-5.067081935793027</v>
      </c>
      <c r="BY53" s="168">
        <f>BY52/'2001'!BY52%-100</f>
        <v>4.9431149470380689</v>
      </c>
      <c r="BZ53" s="168">
        <f>BZ52/'2001'!BZ52%-100</f>
        <v>1.7180208679238831</v>
      </c>
      <c r="CA53" s="168">
        <f>CA52/'2001'!CA52%-100</f>
        <v>-12.631962140516919</v>
      </c>
      <c r="CB53" s="176">
        <f>CB52/'2001'!CB52%-100</f>
        <v>2.2239696405066667</v>
      </c>
      <c r="CC53" s="168">
        <f>CC52/'2001'!CC52%-100</f>
        <v>-6.6845793544170533</v>
      </c>
      <c r="CD53" s="168">
        <f>CD52/'2001'!CD52%-100</f>
        <v>-3.8461538461538538</v>
      </c>
      <c r="CE53" s="168">
        <f>CE52/'2001'!CE52%-100</f>
        <v>3.0414654786201396</v>
      </c>
      <c r="CF53" s="521" t="s">
        <v>233</v>
      </c>
      <c r="CG53" s="168">
        <f>CG52/'2001'!CG52%-100</f>
        <v>-4.0424017087255777</v>
      </c>
      <c r="CH53" s="168">
        <f>CH52/'2001'!CH52%-100</f>
        <v>-4.0564251942641363</v>
      </c>
      <c r="CI53" s="168">
        <f>CI52/'2001'!CI52%-100</f>
        <v>-11.266148499880629</v>
      </c>
      <c r="CJ53" s="168">
        <f>CJ52/'2001'!CJ52%-100</f>
        <v>-1.0340698813540996</v>
      </c>
      <c r="CK53" s="169">
        <f>CK52/'2001'!CK52%-100</f>
        <v>-6.198444496818297</v>
      </c>
      <c r="CL53" s="177">
        <f>CL52/'2001'!CL52%-100</f>
        <v>-3.6828014958422557</v>
      </c>
    </row>
    <row r="54" spans="1:90">
      <c r="A54" s="80">
        <f>ROWS($A$3:A52)</f>
        <v>50</v>
      </c>
      <c r="B54" s="93" t="str">
        <f>"Änderung der Milchkühe "&amp;C95&amp;"/"&amp;C98</f>
        <v>Änderung der Milchkühe 2008/2001</v>
      </c>
      <c r="C54" s="253"/>
      <c r="D54" s="255" t="s">
        <v>3</v>
      </c>
      <c r="E54" s="257">
        <v>40441</v>
      </c>
      <c r="F54" s="181">
        <f>ROUND((F95-F98)/F98%,3)</f>
        <v>-15.077</v>
      </c>
      <c r="G54" s="182">
        <f>ROUND((G95-G98)/G98%,3)</f>
        <v>-16.677</v>
      </c>
      <c r="H54" s="182">
        <f>ROUND((H95-H98)/H98%,3)</f>
        <v>-15.558</v>
      </c>
      <c r="I54" s="183">
        <f>ROUND((I95-I98)/I98%,3)</f>
        <v>-12.977</v>
      </c>
      <c r="J54" s="279"/>
      <c r="K54" s="184">
        <f t="shared" si="74"/>
        <v>-13.090999999999999</v>
      </c>
      <c r="L54" s="185">
        <f t="shared" si="75"/>
        <v>-17.587</v>
      </c>
      <c r="M54" s="185">
        <f t="shared" si="76"/>
        <v>-20.67</v>
      </c>
      <c r="N54" s="185">
        <f t="shared" si="77"/>
        <v>-13.417999999999999</v>
      </c>
      <c r="O54" s="185">
        <f t="shared" si="78"/>
        <v>-11.045</v>
      </c>
      <c r="P54" s="182">
        <f>ROUND((P95-P98)/P98%,3)</f>
        <v>-23.215</v>
      </c>
      <c r="Q54" s="185">
        <f>'2008'!AU54</f>
        <v>-15.266999999999999</v>
      </c>
      <c r="R54" s="182">
        <f>ROUND((R95-R98)/R98%,3)</f>
        <v>-18.524999999999999</v>
      </c>
      <c r="S54" s="185">
        <f t="shared" si="79"/>
        <v>-19.544</v>
      </c>
      <c r="T54" s="185">
        <f t="shared" si="80"/>
        <v>-16.832000000000001</v>
      </c>
      <c r="U54" s="186">
        <f t="shared" si="81"/>
        <v>-12.271000000000001</v>
      </c>
      <c r="V54" s="182">
        <f>ROUND((V95-V98)/V98%,3)</f>
        <v>-32.606000000000002</v>
      </c>
      <c r="W54" s="185">
        <f t="shared" si="82"/>
        <v>-15.555999999999999</v>
      </c>
      <c r="X54" s="182">
        <f>ROUND((X95-X98)/X98%,3)</f>
        <v>-25.736999999999998</v>
      </c>
      <c r="Y54" s="182">
        <f>ROUND((Y95-Y98)/Y98%,3)</f>
        <v>-19.440000000000001</v>
      </c>
      <c r="Z54" s="185">
        <f t="shared" si="83"/>
        <v>-13.868</v>
      </c>
      <c r="AA54" s="182">
        <f>ROUND((AA95-AA98)/AA98%,3)</f>
        <v>-11.72</v>
      </c>
      <c r="AB54" s="186">
        <f t="shared" si="84"/>
        <v>-17.562000000000001</v>
      </c>
      <c r="AC54" s="185">
        <f t="shared" si="85"/>
        <v>-12.337999999999999</v>
      </c>
      <c r="AD54" s="185">
        <f t="shared" si="86"/>
        <v>-16.385999999999999</v>
      </c>
      <c r="AE54" s="182">
        <f>ROUND((AE95-AE98)/AE98%,3)</f>
        <v>-16.420999999999999</v>
      </c>
      <c r="AF54" s="185">
        <f t="shared" si="87"/>
        <v>-21.422000000000001</v>
      </c>
      <c r="AG54" s="185">
        <f t="shared" si="88"/>
        <v>-20.622</v>
      </c>
      <c r="AH54" s="185">
        <f t="shared" si="89"/>
        <v>-11.781000000000001</v>
      </c>
      <c r="AI54" s="185">
        <f t="shared" si="90"/>
        <v>-20.283999999999999</v>
      </c>
      <c r="AJ54" s="185">
        <f t="shared" si="91"/>
        <v>-9.4730000000000008</v>
      </c>
      <c r="AK54" s="186">
        <f t="shared" si="92"/>
        <v>-14.081</v>
      </c>
      <c r="AL54" s="185">
        <f t="shared" si="93"/>
        <v>-13.688000000000001</v>
      </c>
      <c r="AM54" s="185">
        <f t="shared" si="94"/>
        <v>-11.965999999999999</v>
      </c>
      <c r="AN54" s="185">
        <f t="shared" si="95"/>
        <v>-11.115</v>
      </c>
      <c r="AO54" s="185">
        <f t="shared" si="96"/>
        <v>-16.248000000000001</v>
      </c>
      <c r="AP54" s="185">
        <f t="shared" si="97"/>
        <v>-18.236000000000001</v>
      </c>
      <c r="AQ54" s="185">
        <f t="shared" si="98"/>
        <v>-15.907</v>
      </c>
      <c r="AR54" s="185">
        <f t="shared" si="99"/>
        <v>-15.773</v>
      </c>
      <c r="AS54" s="183">
        <f>ROUND((AS95-AS98)/AS98%,3)</f>
        <v>-15.255000000000001</v>
      </c>
      <c r="AT54" s="182">
        <f t="shared" ref="AT54:CJ54" si="103">IF(AT95=0,0,ROUND((AT95-AT98)/AT98%,3))</f>
        <v>-14.548999999999999</v>
      </c>
      <c r="AU54" s="182">
        <f t="shared" si="103"/>
        <v>-15.266999999999999</v>
      </c>
      <c r="AV54" s="182">
        <f t="shared" si="103"/>
        <v>-19.544</v>
      </c>
      <c r="AW54" s="182">
        <f t="shared" si="103"/>
        <v>-13.417999999999999</v>
      </c>
      <c r="AX54" s="182">
        <f t="shared" si="103"/>
        <v>-18.855</v>
      </c>
      <c r="AY54" s="182">
        <f t="shared" si="103"/>
        <v>-17.587</v>
      </c>
      <c r="AZ54" s="182">
        <f t="shared" si="103"/>
        <v>-43.232999999999997</v>
      </c>
      <c r="BA54" s="182">
        <f t="shared" si="103"/>
        <v>-22.393999999999998</v>
      </c>
      <c r="BB54" s="182">
        <f t="shared" si="103"/>
        <v>-16.832000000000001</v>
      </c>
      <c r="BC54" s="182">
        <f t="shared" si="103"/>
        <v>-12.271000000000001</v>
      </c>
      <c r="BD54" s="182">
        <f t="shared" si="103"/>
        <v>-20.67</v>
      </c>
      <c r="BE54" s="182">
        <f t="shared" si="103"/>
        <v>-11.045</v>
      </c>
      <c r="BF54" s="187">
        <f t="shared" si="103"/>
        <v>-13.090999999999999</v>
      </c>
      <c r="BG54" s="182">
        <f t="shared" si="103"/>
        <v>0</v>
      </c>
      <c r="BH54" s="182">
        <f t="shared" si="103"/>
        <v>-21.239000000000001</v>
      </c>
      <c r="BI54" s="182">
        <f t="shared" si="103"/>
        <v>-25.992999999999999</v>
      </c>
      <c r="BJ54" s="182">
        <f t="shared" si="103"/>
        <v>-32.606000000000002</v>
      </c>
      <c r="BK54" s="182">
        <f t="shared" si="103"/>
        <v>-19.922000000000001</v>
      </c>
      <c r="BL54" s="182">
        <f t="shared" si="103"/>
        <v>-58.973999999999997</v>
      </c>
      <c r="BM54" s="182">
        <f t="shared" si="103"/>
        <v>-13.868</v>
      </c>
      <c r="BN54" s="182">
        <f t="shared" si="103"/>
        <v>-19.097999999999999</v>
      </c>
      <c r="BO54" s="182">
        <f t="shared" si="103"/>
        <v>-30.972999999999999</v>
      </c>
      <c r="BP54" s="182">
        <f t="shared" si="103"/>
        <v>-17.562000000000001</v>
      </c>
      <c r="BQ54" s="182">
        <f t="shared" si="103"/>
        <v>-11.038</v>
      </c>
      <c r="BR54" s="187">
        <f t="shared" si="103"/>
        <v>-15.555999999999999</v>
      </c>
      <c r="BS54" s="182">
        <f t="shared" si="103"/>
        <v>0</v>
      </c>
      <c r="BT54" s="182">
        <f t="shared" si="103"/>
        <v>-16.420999999999999</v>
      </c>
      <c r="BU54" s="182">
        <f t="shared" si="103"/>
        <v>-16.385999999999999</v>
      </c>
      <c r="BV54" s="182">
        <f t="shared" si="103"/>
        <v>-20.622</v>
      </c>
      <c r="BW54" s="182">
        <f t="shared" si="103"/>
        <v>-20.283999999999999</v>
      </c>
      <c r="BX54" s="182">
        <f t="shared" si="103"/>
        <v>-12.337999999999999</v>
      </c>
      <c r="BY54" s="182">
        <f t="shared" si="103"/>
        <v>-9.4730000000000008</v>
      </c>
      <c r="BZ54" s="182">
        <f t="shared" si="103"/>
        <v>-11.781000000000001</v>
      </c>
      <c r="CA54" s="182">
        <f t="shared" si="103"/>
        <v>-21.422000000000001</v>
      </c>
      <c r="CB54" s="187">
        <f t="shared" si="103"/>
        <v>-14.081</v>
      </c>
      <c r="CC54" s="182">
        <f t="shared" si="103"/>
        <v>-16.248000000000001</v>
      </c>
      <c r="CD54" s="182">
        <f t="shared" si="103"/>
        <v>-18.236000000000001</v>
      </c>
      <c r="CE54" s="182">
        <f t="shared" si="103"/>
        <v>-13.688000000000001</v>
      </c>
      <c r="CF54" s="182">
        <f t="shared" si="103"/>
        <v>-15.468999999999999</v>
      </c>
      <c r="CG54" s="182">
        <f t="shared" si="103"/>
        <v>-15.246</v>
      </c>
      <c r="CH54" s="182">
        <f t="shared" si="103"/>
        <v>-11.965999999999999</v>
      </c>
      <c r="CI54" s="182">
        <f t="shared" si="103"/>
        <v>-15.773</v>
      </c>
      <c r="CJ54" s="182">
        <f t="shared" si="103"/>
        <v>-11.115</v>
      </c>
      <c r="CK54" s="183">
        <f>IF(CK95=0,0,ROUND((CK95-CK98)/CK98%,3))</f>
        <v>-15.907</v>
      </c>
      <c r="CL54" s="188">
        <f>ROUND((CL95-CL98)/CL98%,3)</f>
        <v>-14.355</v>
      </c>
    </row>
    <row r="55" spans="1:90" ht="14.25">
      <c r="A55" s="80">
        <f>ROWS($A$3:A53)</f>
        <v>51</v>
      </c>
      <c r="B55" s="59" t="s">
        <v>208</v>
      </c>
      <c r="C55" s="203"/>
      <c r="D55" s="254"/>
      <c r="E55" s="269"/>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2">
        <v>2008</v>
      </c>
      <c r="D56" s="254" t="s">
        <v>13</v>
      </c>
      <c r="E56" s="256">
        <v>40441</v>
      </c>
      <c r="F56" s="116">
        <v>268</v>
      </c>
      <c r="G56" s="137">
        <v>238</v>
      </c>
      <c r="H56" s="137">
        <v>272</v>
      </c>
      <c r="I56" s="138">
        <v>316</v>
      </c>
      <c r="J56" s="141"/>
      <c r="K56" s="116">
        <f t="shared" ref="K56:K63" si="104">BF56</f>
        <v>41</v>
      </c>
      <c r="L56" s="137">
        <f t="shared" ref="L56:L63" si="105">AY56</f>
        <v>25</v>
      </c>
      <c r="M56" s="137">
        <f t="shared" ref="M56:M63" si="106">BD56</f>
        <v>35</v>
      </c>
      <c r="N56" s="137">
        <f t="shared" ref="N56:N63" si="107">AW56</f>
        <v>19</v>
      </c>
      <c r="O56" s="137">
        <f t="shared" ref="O56:O63" si="108">BE56</f>
        <v>11</v>
      </c>
      <c r="P56" s="137">
        <f t="shared" ref="P56:P63" si="109">AZ56+BA56</f>
        <v>24</v>
      </c>
      <c r="Q56" s="137">
        <f>'2008'!AU56</f>
        <v>19</v>
      </c>
      <c r="R56" s="137">
        <f t="shared" ref="R56:R63" si="110">AT56+AX56</f>
        <v>27</v>
      </c>
      <c r="S56" s="137">
        <f t="shared" ref="S56:S63" si="111">AV56</f>
        <v>28</v>
      </c>
      <c r="T56" s="137">
        <f t="shared" ref="T56:U63" si="112">BB56</f>
        <v>21</v>
      </c>
      <c r="U56" s="139">
        <f t="shared" si="112"/>
        <v>18</v>
      </c>
      <c r="V56" s="137">
        <f t="shared" ref="V56:V63" si="113">BG56+BJ56</f>
        <v>32</v>
      </c>
      <c r="W56" s="137">
        <f t="shared" ref="W56:W63" si="114">BR56</f>
        <v>18</v>
      </c>
      <c r="X56" s="137">
        <f t="shared" ref="X56:X63" si="115">BH56+BI56</f>
        <v>47</v>
      </c>
      <c r="Y56" s="137">
        <f t="shared" ref="Y56:Y63" si="116">BK56+BL56+BN56</f>
        <v>61</v>
      </c>
      <c r="Z56" s="137">
        <f t="shared" ref="Z56:Z63" si="117">BM56</f>
        <v>25</v>
      </c>
      <c r="AA56" s="137">
        <f t="shared" ref="AA56:AA63" si="118">BO56+BQ56</f>
        <v>29</v>
      </c>
      <c r="AB56" s="139">
        <f t="shared" ref="AB56:AB63" si="119">BP56</f>
        <v>26</v>
      </c>
      <c r="AC56" s="137">
        <f t="shared" ref="AC56:AC63" si="120">BX56</f>
        <v>24</v>
      </c>
      <c r="AD56" s="137">
        <f t="shared" ref="AD56:AD63" si="121">BU56</f>
        <v>20</v>
      </c>
      <c r="AE56" s="137">
        <f t="shared" ref="AE56:AE63" si="122">BS56+BT56</f>
        <v>51</v>
      </c>
      <c r="AF56" s="137">
        <f t="shared" ref="AF56:AF63" si="123">CA56</f>
        <v>25</v>
      </c>
      <c r="AG56" s="137">
        <f t="shared" ref="AG56:AG63" si="124">BV56</f>
        <v>23</v>
      </c>
      <c r="AH56" s="137">
        <f t="shared" ref="AH56:AH63" si="125">BZ56</f>
        <v>59</v>
      </c>
      <c r="AI56" s="137">
        <f t="shared" ref="AI56:AI63" si="126">BW56</f>
        <v>10</v>
      </c>
      <c r="AJ56" s="137">
        <f t="shared" ref="AJ56:AJ63" si="127">BY56</f>
        <v>23</v>
      </c>
      <c r="AK56" s="139">
        <f t="shared" ref="AK56:AK63" si="128">CB56</f>
        <v>37</v>
      </c>
      <c r="AL56" s="137">
        <f t="shared" ref="AL56:AL63" si="129">CE56</f>
        <v>53</v>
      </c>
      <c r="AM56" s="137">
        <f t="shared" ref="AM56:AM63" si="130">CH56</f>
        <v>31</v>
      </c>
      <c r="AN56" s="137">
        <f t="shared" ref="AN56:AN63" si="131">CJ56</f>
        <v>76</v>
      </c>
      <c r="AO56" s="137">
        <f t="shared" ref="AO56:AP63" si="132">CC56</f>
        <v>42</v>
      </c>
      <c r="AP56" s="137">
        <f t="shared" si="132"/>
        <v>22</v>
      </c>
      <c r="AQ56" s="137">
        <f t="shared" ref="AQ56:AQ63" si="133">CK56</f>
        <v>25</v>
      </c>
      <c r="AR56" s="137">
        <f t="shared" ref="AR56:AR63" si="134">CI56</f>
        <v>33</v>
      </c>
      <c r="AS56" s="138">
        <f t="shared" ref="AS56:AS63" si="135">CF56+CG56</f>
        <v>34</v>
      </c>
      <c r="AT56" s="146">
        <v>7</v>
      </c>
      <c r="AU56" s="137">
        <v>19</v>
      </c>
      <c r="AV56" s="137">
        <v>28</v>
      </c>
      <c r="AW56" s="141">
        <v>19</v>
      </c>
      <c r="AX56" s="137">
        <v>20</v>
      </c>
      <c r="AY56" s="137">
        <v>25</v>
      </c>
      <c r="AZ56" s="137">
        <v>4</v>
      </c>
      <c r="BA56" s="137">
        <v>20</v>
      </c>
      <c r="BB56" s="137">
        <v>21</v>
      </c>
      <c r="BC56" s="137">
        <v>18</v>
      </c>
      <c r="BD56" s="137">
        <v>35</v>
      </c>
      <c r="BE56" s="137">
        <v>11</v>
      </c>
      <c r="BF56" s="139">
        <v>41</v>
      </c>
      <c r="BG56" s="137">
        <v>5</v>
      </c>
      <c r="BH56" s="137">
        <v>7</v>
      </c>
      <c r="BI56" s="137">
        <v>40</v>
      </c>
      <c r="BJ56" s="137">
        <v>27</v>
      </c>
      <c r="BK56" s="137">
        <v>5</v>
      </c>
      <c r="BL56" s="137">
        <v>9</v>
      </c>
      <c r="BM56" s="137">
        <v>25</v>
      </c>
      <c r="BN56" s="137">
        <v>47</v>
      </c>
      <c r="BO56" s="137">
        <v>3</v>
      </c>
      <c r="BP56" s="137">
        <v>26</v>
      </c>
      <c r="BQ56" s="137">
        <v>26</v>
      </c>
      <c r="BR56" s="139">
        <v>18</v>
      </c>
      <c r="BS56" s="137">
        <v>6</v>
      </c>
      <c r="BT56" s="137">
        <v>45</v>
      </c>
      <c r="BU56" s="137">
        <v>20</v>
      </c>
      <c r="BV56" s="137">
        <v>23</v>
      </c>
      <c r="BW56" s="137">
        <v>10</v>
      </c>
      <c r="BX56" s="137">
        <v>24</v>
      </c>
      <c r="BY56" s="137">
        <v>23</v>
      </c>
      <c r="BZ56" s="137">
        <v>59</v>
      </c>
      <c r="CA56" s="137">
        <v>25</v>
      </c>
      <c r="CB56" s="139">
        <v>37</v>
      </c>
      <c r="CC56" s="137">
        <v>42</v>
      </c>
      <c r="CD56" s="137">
        <v>22</v>
      </c>
      <c r="CE56" s="137">
        <v>53</v>
      </c>
      <c r="CF56" s="137">
        <v>1</v>
      </c>
      <c r="CG56" s="137">
        <v>33</v>
      </c>
      <c r="CH56" s="137">
        <v>31</v>
      </c>
      <c r="CI56" s="137">
        <v>33</v>
      </c>
      <c r="CJ56" s="137">
        <v>76</v>
      </c>
      <c r="CK56" s="138">
        <v>25</v>
      </c>
      <c r="CL56" s="140">
        <v>1094</v>
      </c>
    </row>
    <row r="57" spans="1:90">
      <c r="A57" s="80">
        <f>ROWS($A$3:A55)</f>
        <v>53</v>
      </c>
      <c r="B57" s="92"/>
      <c r="C57" s="203"/>
      <c r="D57" s="254" t="s">
        <v>1</v>
      </c>
      <c r="E57" s="269"/>
      <c r="F57" s="116">
        <v>14335</v>
      </c>
      <c r="G57" s="137">
        <v>19519</v>
      </c>
      <c r="H57" s="137">
        <v>31216</v>
      </c>
      <c r="I57" s="138">
        <v>18974</v>
      </c>
      <c r="J57" s="141"/>
      <c r="K57" s="116">
        <f t="shared" si="104"/>
        <v>1872</v>
      </c>
      <c r="L57" s="137">
        <f t="shared" si="105"/>
        <v>776</v>
      </c>
      <c r="M57" s="137">
        <f t="shared" si="106"/>
        <v>1042</v>
      </c>
      <c r="N57" s="137">
        <f t="shared" si="107"/>
        <v>2872</v>
      </c>
      <c r="O57" s="137">
        <f t="shared" si="108"/>
        <v>504</v>
      </c>
      <c r="P57" s="137">
        <f t="shared" si="109"/>
        <v>489</v>
      </c>
      <c r="Q57" s="137">
        <f>'2008'!AU57</f>
        <v>709</v>
      </c>
      <c r="R57" s="137">
        <f t="shared" si="110"/>
        <v>1904</v>
      </c>
      <c r="S57" s="137">
        <f t="shared" si="111"/>
        <v>2283</v>
      </c>
      <c r="T57" s="137">
        <f t="shared" si="112"/>
        <v>487</v>
      </c>
      <c r="U57" s="139">
        <f t="shared" si="112"/>
        <v>1397</v>
      </c>
      <c r="V57" s="137">
        <f t="shared" si="113"/>
        <v>4371</v>
      </c>
      <c r="W57" s="137">
        <f t="shared" si="114"/>
        <v>2885</v>
      </c>
      <c r="X57" s="137">
        <f t="shared" si="115"/>
        <v>3858</v>
      </c>
      <c r="Y57" s="137">
        <f t="shared" si="116"/>
        <v>3679</v>
      </c>
      <c r="Z57" s="137">
        <f t="shared" si="117"/>
        <v>903</v>
      </c>
      <c r="AA57" s="137">
        <f t="shared" si="118"/>
        <v>1545</v>
      </c>
      <c r="AB57" s="139">
        <f t="shared" si="119"/>
        <v>2278</v>
      </c>
      <c r="AC57" s="137">
        <f t="shared" si="120"/>
        <v>1949</v>
      </c>
      <c r="AD57" s="137">
        <f t="shared" si="121"/>
        <v>3809</v>
      </c>
      <c r="AE57" s="137">
        <f t="shared" si="122"/>
        <v>6157</v>
      </c>
      <c r="AF57" s="137">
        <f t="shared" si="123"/>
        <v>5582</v>
      </c>
      <c r="AG57" s="137">
        <f t="shared" si="124"/>
        <v>3514</v>
      </c>
      <c r="AH57" s="137">
        <f t="shared" si="125"/>
        <v>4251</v>
      </c>
      <c r="AI57" s="137">
        <f t="shared" si="126"/>
        <v>436</v>
      </c>
      <c r="AJ57" s="137">
        <f t="shared" si="127"/>
        <v>1880</v>
      </c>
      <c r="AK57" s="139">
        <f t="shared" si="128"/>
        <v>3638</v>
      </c>
      <c r="AL57" s="137">
        <f t="shared" si="129"/>
        <v>1545</v>
      </c>
      <c r="AM57" s="137">
        <f t="shared" si="130"/>
        <v>3578</v>
      </c>
      <c r="AN57" s="137">
        <f t="shared" si="131"/>
        <v>5915</v>
      </c>
      <c r="AO57" s="137">
        <f t="shared" si="132"/>
        <v>1979</v>
      </c>
      <c r="AP57" s="137">
        <f t="shared" si="132"/>
        <v>1184</v>
      </c>
      <c r="AQ57" s="137">
        <f t="shared" si="133"/>
        <v>2011</v>
      </c>
      <c r="AR57" s="137">
        <f t="shared" si="134"/>
        <v>1514</v>
      </c>
      <c r="AS57" s="138">
        <f t="shared" si="135"/>
        <v>1248</v>
      </c>
      <c r="AT57" s="137">
        <v>1360</v>
      </c>
      <c r="AU57" s="137">
        <v>709</v>
      </c>
      <c r="AV57" s="137">
        <v>2283</v>
      </c>
      <c r="AW57" s="137">
        <v>2872</v>
      </c>
      <c r="AX57" s="137">
        <v>544</v>
      </c>
      <c r="AY57" s="137">
        <v>776</v>
      </c>
      <c r="AZ57" s="137">
        <v>93</v>
      </c>
      <c r="BA57" s="137">
        <v>396</v>
      </c>
      <c r="BB57" s="137">
        <v>487</v>
      </c>
      <c r="BC57" s="137">
        <v>1397</v>
      </c>
      <c r="BD57" s="137">
        <v>1042</v>
      </c>
      <c r="BE57" s="137">
        <v>504</v>
      </c>
      <c r="BF57" s="139">
        <v>1872</v>
      </c>
      <c r="BG57" s="137">
        <v>438</v>
      </c>
      <c r="BH57" s="137">
        <v>646</v>
      </c>
      <c r="BI57" s="137">
        <v>3212</v>
      </c>
      <c r="BJ57" s="137">
        <v>3933</v>
      </c>
      <c r="BK57" s="137">
        <v>84</v>
      </c>
      <c r="BL57" s="137">
        <v>691</v>
      </c>
      <c r="BM57" s="137">
        <v>903</v>
      </c>
      <c r="BN57" s="137">
        <v>2904</v>
      </c>
      <c r="BO57" s="137">
        <v>197</v>
      </c>
      <c r="BP57" s="137">
        <v>2278</v>
      </c>
      <c r="BQ57" s="137">
        <v>1348</v>
      </c>
      <c r="BR57" s="139">
        <v>2885</v>
      </c>
      <c r="BS57" s="137">
        <v>655</v>
      </c>
      <c r="BT57" s="137">
        <v>5502</v>
      </c>
      <c r="BU57" s="137">
        <v>3809</v>
      </c>
      <c r="BV57" s="137">
        <v>3514</v>
      </c>
      <c r="BW57" s="137">
        <v>436</v>
      </c>
      <c r="BX57" s="137">
        <v>1949</v>
      </c>
      <c r="BY57" s="137">
        <v>1880</v>
      </c>
      <c r="BZ57" s="137">
        <v>4251</v>
      </c>
      <c r="CA57" s="137">
        <v>5582</v>
      </c>
      <c r="CB57" s="139">
        <v>3638</v>
      </c>
      <c r="CC57" s="137">
        <v>1979</v>
      </c>
      <c r="CD57" s="137">
        <v>1184</v>
      </c>
      <c r="CE57" s="137">
        <v>1545</v>
      </c>
      <c r="CF57" s="137">
        <v>39</v>
      </c>
      <c r="CG57" s="137">
        <v>1209</v>
      </c>
      <c r="CH57" s="137">
        <v>3578</v>
      </c>
      <c r="CI57" s="137">
        <v>1514</v>
      </c>
      <c r="CJ57" s="137">
        <v>5915</v>
      </c>
      <c r="CK57" s="138">
        <v>2011</v>
      </c>
      <c r="CL57" s="140">
        <v>84044</v>
      </c>
    </row>
    <row r="58" spans="1:90">
      <c r="A58" s="80">
        <f>ROWS($A$3:A56)</f>
        <v>54</v>
      </c>
      <c r="B58" s="236" t="s">
        <v>231</v>
      </c>
      <c r="C58" s="203"/>
      <c r="D58" s="254" t="s">
        <v>13</v>
      </c>
      <c r="E58" s="273"/>
      <c r="F58" s="116"/>
      <c r="G58" s="137"/>
      <c r="H58" s="137"/>
      <c r="I58" s="138"/>
      <c r="J58" s="141"/>
      <c r="K58" s="116">
        <f t="shared" si="104"/>
        <v>0</v>
      </c>
      <c r="L58" s="137">
        <f t="shared" si="105"/>
        <v>0</v>
      </c>
      <c r="M58" s="137">
        <f t="shared" si="106"/>
        <v>0</v>
      </c>
      <c r="N58" s="137">
        <f t="shared" si="107"/>
        <v>0</v>
      </c>
      <c r="O58" s="137">
        <f t="shared" si="108"/>
        <v>0</v>
      </c>
      <c r="P58" s="137">
        <f t="shared" si="109"/>
        <v>0</v>
      </c>
      <c r="Q58" s="137">
        <f>'2008'!AU58</f>
        <v>0</v>
      </c>
      <c r="R58" s="137">
        <f t="shared" si="110"/>
        <v>0</v>
      </c>
      <c r="S58" s="137">
        <f t="shared" si="111"/>
        <v>0</v>
      </c>
      <c r="T58" s="137">
        <f t="shared" si="112"/>
        <v>0</v>
      </c>
      <c r="U58" s="139">
        <f t="shared" si="112"/>
        <v>0</v>
      </c>
      <c r="V58" s="137">
        <f t="shared" si="113"/>
        <v>0</v>
      </c>
      <c r="W58" s="137">
        <f t="shared" si="114"/>
        <v>0</v>
      </c>
      <c r="X58" s="137">
        <f t="shared" si="115"/>
        <v>0</v>
      </c>
      <c r="Y58" s="137">
        <f t="shared" si="116"/>
        <v>0</v>
      </c>
      <c r="Z58" s="137">
        <f t="shared" si="117"/>
        <v>0</v>
      </c>
      <c r="AA58" s="137">
        <f t="shared" si="118"/>
        <v>0</v>
      </c>
      <c r="AB58" s="139">
        <f t="shared" si="119"/>
        <v>0</v>
      </c>
      <c r="AC58" s="137">
        <f t="shared" si="120"/>
        <v>0</v>
      </c>
      <c r="AD58" s="137">
        <f t="shared" si="121"/>
        <v>0</v>
      </c>
      <c r="AE58" s="137">
        <f t="shared" si="122"/>
        <v>0</v>
      </c>
      <c r="AF58" s="137">
        <f t="shared" si="123"/>
        <v>0</v>
      </c>
      <c r="AG58" s="137">
        <f t="shared" si="124"/>
        <v>0</v>
      </c>
      <c r="AH58" s="137">
        <f t="shared" si="125"/>
        <v>0</v>
      </c>
      <c r="AI58" s="137">
        <f t="shared" si="126"/>
        <v>0</v>
      </c>
      <c r="AJ58" s="137">
        <f t="shared" si="127"/>
        <v>0</v>
      </c>
      <c r="AK58" s="139">
        <f t="shared" si="128"/>
        <v>0</v>
      </c>
      <c r="AL58" s="137">
        <f t="shared" si="129"/>
        <v>0</v>
      </c>
      <c r="AM58" s="137">
        <f t="shared" si="130"/>
        <v>0</v>
      </c>
      <c r="AN58" s="137">
        <f t="shared" si="131"/>
        <v>0</v>
      </c>
      <c r="AO58" s="137">
        <f t="shared" si="132"/>
        <v>0</v>
      </c>
      <c r="AP58" s="137">
        <f t="shared" si="132"/>
        <v>0</v>
      </c>
      <c r="AQ58" s="137">
        <f t="shared" si="133"/>
        <v>0</v>
      </c>
      <c r="AR58" s="137">
        <f t="shared" si="134"/>
        <v>0</v>
      </c>
      <c r="AS58" s="138">
        <f t="shared" si="135"/>
        <v>0</v>
      </c>
      <c r="AT58" s="146"/>
      <c r="AU58" s="137"/>
      <c r="AV58" s="141"/>
      <c r="AW58" s="141"/>
      <c r="AX58" s="141"/>
      <c r="AY58" s="141"/>
      <c r="AZ58" s="141"/>
      <c r="BA58" s="141"/>
      <c r="BB58" s="141"/>
      <c r="BC58" s="141"/>
      <c r="BD58" s="141"/>
      <c r="BE58" s="141"/>
      <c r="BF58" s="139"/>
      <c r="BG58" s="141"/>
      <c r="BH58" s="141"/>
      <c r="BI58" s="141"/>
      <c r="BJ58" s="141"/>
      <c r="BK58" s="141"/>
      <c r="BL58" s="141"/>
      <c r="BM58" s="141"/>
      <c r="BN58" s="141"/>
      <c r="BO58" s="141"/>
      <c r="BP58" s="141"/>
      <c r="BQ58" s="141"/>
      <c r="BR58" s="139"/>
      <c r="BS58" s="141"/>
      <c r="BT58" s="141"/>
      <c r="BU58" s="141"/>
      <c r="BV58" s="141"/>
      <c r="BW58" s="141"/>
      <c r="BX58" s="141"/>
      <c r="BY58" s="141"/>
      <c r="BZ58" s="141"/>
      <c r="CA58" s="141"/>
      <c r="CB58" s="139"/>
      <c r="CC58" s="141"/>
      <c r="CD58" s="141"/>
      <c r="CE58" s="141"/>
      <c r="CF58" s="141"/>
      <c r="CG58" s="141"/>
      <c r="CH58" s="141"/>
      <c r="CI58" s="141"/>
      <c r="CJ58" s="141"/>
      <c r="CK58" s="138"/>
      <c r="CL58" s="140">
        <v>1446</v>
      </c>
    </row>
    <row r="59" spans="1:90">
      <c r="A59" s="80">
        <f>ROWS($A$3:A57)</f>
        <v>55</v>
      </c>
      <c r="B59" s="236"/>
      <c r="C59" s="203"/>
      <c r="D59" s="254" t="s">
        <v>1</v>
      </c>
      <c r="E59" s="269"/>
      <c r="F59" s="116"/>
      <c r="G59" s="137"/>
      <c r="H59" s="137"/>
      <c r="I59" s="138"/>
      <c r="J59" s="141"/>
      <c r="K59" s="116">
        <f t="shared" si="104"/>
        <v>0</v>
      </c>
      <c r="L59" s="137">
        <f t="shared" si="105"/>
        <v>0</v>
      </c>
      <c r="M59" s="137">
        <f t="shared" si="106"/>
        <v>0</v>
      </c>
      <c r="N59" s="137">
        <f t="shared" si="107"/>
        <v>0</v>
      </c>
      <c r="O59" s="137">
        <f t="shared" si="108"/>
        <v>0</v>
      </c>
      <c r="P59" s="137">
        <f t="shared" si="109"/>
        <v>0</v>
      </c>
      <c r="Q59" s="137">
        <f>'2008'!AU59</f>
        <v>0</v>
      </c>
      <c r="R59" s="137">
        <f t="shared" si="110"/>
        <v>0</v>
      </c>
      <c r="S59" s="137">
        <f t="shared" si="111"/>
        <v>0</v>
      </c>
      <c r="T59" s="137">
        <f t="shared" si="112"/>
        <v>0</v>
      </c>
      <c r="U59" s="139">
        <f t="shared" si="112"/>
        <v>0</v>
      </c>
      <c r="V59" s="137">
        <f t="shared" si="113"/>
        <v>0</v>
      </c>
      <c r="W59" s="137">
        <f t="shared" si="114"/>
        <v>0</v>
      </c>
      <c r="X59" s="137">
        <f t="shared" si="115"/>
        <v>0</v>
      </c>
      <c r="Y59" s="137">
        <f t="shared" si="116"/>
        <v>0</v>
      </c>
      <c r="Z59" s="137">
        <f t="shared" si="117"/>
        <v>0</v>
      </c>
      <c r="AA59" s="137">
        <f t="shared" si="118"/>
        <v>0</v>
      </c>
      <c r="AB59" s="139">
        <f t="shared" si="119"/>
        <v>0</v>
      </c>
      <c r="AC59" s="137">
        <f t="shared" si="120"/>
        <v>0</v>
      </c>
      <c r="AD59" s="137">
        <f t="shared" si="121"/>
        <v>0</v>
      </c>
      <c r="AE59" s="137">
        <f t="shared" si="122"/>
        <v>0</v>
      </c>
      <c r="AF59" s="137">
        <f t="shared" si="123"/>
        <v>0</v>
      </c>
      <c r="AG59" s="137">
        <f t="shared" si="124"/>
        <v>0</v>
      </c>
      <c r="AH59" s="137">
        <f t="shared" si="125"/>
        <v>0</v>
      </c>
      <c r="AI59" s="137">
        <f t="shared" si="126"/>
        <v>0</v>
      </c>
      <c r="AJ59" s="137">
        <f t="shared" si="127"/>
        <v>0</v>
      </c>
      <c r="AK59" s="139">
        <f t="shared" si="128"/>
        <v>0</v>
      </c>
      <c r="AL59" s="137">
        <f t="shared" si="129"/>
        <v>0</v>
      </c>
      <c r="AM59" s="137">
        <f t="shared" si="130"/>
        <v>0</v>
      </c>
      <c r="AN59" s="137">
        <f t="shared" si="131"/>
        <v>0</v>
      </c>
      <c r="AO59" s="137">
        <f t="shared" si="132"/>
        <v>0</v>
      </c>
      <c r="AP59" s="137">
        <f t="shared" si="132"/>
        <v>0</v>
      </c>
      <c r="AQ59" s="137">
        <f t="shared" si="133"/>
        <v>0</v>
      </c>
      <c r="AR59" s="137">
        <f t="shared" si="134"/>
        <v>0</v>
      </c>
      <c r="AS59" s="138">
        <f t="shared" si="135"/>
        <v>0</v>
      </c>
      <c r="AT59" s="137"/>
      <c r="AU59" s="137"/>
      <c r="AV59" s="137"/>
      <c r="AW59" s="137"/>
      <c r="AX59" s="137"/>
      <c r="AY59" s="137"/>
      <c r="AZ59" s="137"/>
      <c r="BA59" s="137"/>
      <c r="BB59" s="137"/>
      <c r="BC59" s="137"/>
      <c r="BD59" s="137"/>
      <c r="BE59" s="137"/>
      <c r="BF59" s="139"/>
      <c r="BG59" s="137"/>
      <c r="BH59" s="137"/>
      <c r="BI59" s="137"/>
      <c r="BJ59" s="137"/>
      <c r="BK59" s="137"/>
      <c r="BL59" s="137"/>
      <c r="BM59" s="137"/>
      <c r="BN59" s="137"/>
      <c r="BO59" s="137"/>
      <c r="BP59" s="137"/>
      <c r="BQ59" s="137"/>
      <c r="BR59" s="139"/>
      <c r="BS59" s="137"/>
      <c r="BT59" s="137"/>
      <c r="BU59" s="137"/>
      <c r="BV59" s="137"/>
      <c r="BW59" s="137"/>
      <c r="BX59" s="137"/>
      <c r="BY59" s="137"/>
      <c r="BZ59" s="137"/>
      <c r="CA59" s="137"/>
      <c r="CB59" s="139"/>
      <c r="CC59" s="137"/>
      <c r="CD59" s="137"/>
      <c r="CE59" s="137"/>
      <c r="CF59" s="137"/>
      <c r="CG59" s="137"/>
      <c r="CH59" s="137"/>
      <c r="CI59" s="137"/>
      <c r="CJ59" s="137"/>
      <c r="CK59" s="138"/>
      <c r="CL59" s="140">
        <v>807059</v>
      </c>
    </row>
    <row r="60" spans="1:90">
      <c r="A60" s="80">
        <f>ROWS($A$3:A58)</f>
        <v>56</v>
      </c>
      <c r="B60" s="236" t="s">
        <v>232</v>
      </c>
      <c r="C60" s="203"/>
      <c r="D60" s="254" t="s">
        <v>13</v>
      </c>
      <c r="E60" s="273"/>
      <c r="F60" s="116"/>
      <c r="G60" s="141"/>
      <c r="H60" s="141"/>
      <c r="I60" s="138"/>
      <c r="J60" s="141"/>
      <c r="K60" s="116">
        <f t="shared" si="104"/>
        <v>0</v>
      </c>
      <c r="L60" s="137">
        <f t="shared" si="105"/>
        <v>0</v>
      </c>
      <c r="M60" s="137">
        <f t="shared" si="106"/>
        <v>0</v>
      </c>
      <c r="N60" s="137">
        <f t="shared" si="107"/>
        <v>0</v>
      </c>
      <c r="O60" s="137">
        <f t="shared" si="108"/>
        <v>0</v>
      </c>
      <c r="P60" s="137">
        <f t="shared" si="109"/>
        <v>0</v>
      </c>
      <c r="Q60" s="137">
        <f>'2008'!AU60</f>
        <v>0</v>
      </c>
      <c r="R60" s="137">
        <f t="shared" si="110"/>
        <v>0</v>
      </c>
      <c r="S60" s="137">
        <f t="shared" si="111"/>
        <v>0</v>
      </c>
      <c r="T60" s="137">
        <f t="shared" si="112"/>
        <v>0</v>
      </c>
      <c r="U60" s="139">
        <f t="shared" si="112"/>
        <v>0</v>
      </c>
      <c r="V60" s="137">
        <f t="shared" si="113"/>
        <v>0</v>
      </c>
      <c r="W60" s="137">
        <f t="shared" si="114"/>
        <v>0</v>
      </c>
      <c r="X60" s="137">
        <f t="shared" si="115"/>
        <v>0</v>
      </c>
      <c r="Y60" s="137">
        <f t="shared" si="116"/>
        <v>0</v>
      </c>
      <c r="Z60" s="137">
        <f t="shared" si="117"/>
        <v>0</v>
      </c>
      <c r="AA60" s="137">
        <f t="shared" si="118"/>
        <v>0</v>
      </c>
      <c r="AB60" s="139">
        <f t="shared" si="119"/>
        <v>0</v>
      </c>
      <c r="AC60" s="137">
        <f t="shared" si="120"/>
        <v>0</v>
      </c>
      <c r="AD60" s="137">
        <f t="shared" si="121"/>
        <v>0</v>
      </c>
      <c r="AE60" s="137">
        <f t="shared" si="122"/>
        <v>0</v>
      </c>
      <c r="AF60" s="137">
        <f t="shared" si="123"/>
        <v>0</v>
      </c>
      <c r="AG60" s="137">
        <f t="shared" si="124"/>
        <v>0</v>
      </c>
      <c r="AH60" s="137">
        <f t="shared" si="125"/>
        <v>0</v>
      </c>
      <c r="AI60" s="137">
        <f t="shared" si="126"/>
        <v>0</v>
      </c>
      <c r="AJ60" s="137">
        <f t="shared" si="127"/>
        <v>0</v>
      </c>
      <c r="AK60" s="139">
        <f t="shared" si="128"/>
        <v>0</v>
      </c>
      <c r="AL60" s="137">
        <f t="shared" si="129"/>
        <v>0</v>
      </c>
      <c r="AM60" s="137">
        <f t="shared" si="130"/>
        <v>0</v>
      </c>
      <c r="AN60" s="137">
        <f t="shared" si="131"/>
        <v>0</v>
      </c>
      <c r="AO60" s="137">
        <f t="shared" si="132"/>
        <v>0</v>
      </c>
      <c r="AP60" s="137">
        <f t="shared" si="132"/>
        <v>0</v>
      </c>
      <c r="AQ60" s="137">
        <f t="shared" si="133"/>
        <v>0</v>
      </c>
      <c r="AR60" s="137">
        <f t="shared" si="134"/>
        <v>0</v>
      </c>
      <c r="AS60" s="138">
        <f t="shared" si="135"/>
        <v>0</v>
      </c>
      <c r="AT60" s="137"/>
      <c r="AU60" s="141"/>
      <c r="AV60" s="141"/>
      <c r="AW60" s="141"/>
      <c r="AX60" s="141"/>
      <c r="AY60" s="141"/>
      <c r="AZ60" s="141"/>
      <c r="BA60" s="141"/>
      <c r="BB60" s="141"/>
      <c r="BC60" s="141"/>
      <c r="BD60" s="141"/>
      <c r="BE60" s="141"/>
      <c r="BF60" s="139"/>
      <c r="BG60" s="141"/>
      <c r="BH60" s="141"/>
      <c r="BI60" s="141"/>
      <c r="BJ60" s="141"/>
      <c r="BK60" s="141"/>
      <c r="BL60" s="141"/>
      <c r="BM60" s="141"/>
      <c r="BN60" s="141"/>
      <c r="BO60" s="141"/>
      <c r="BP60" s="141"/>
      <c r="BQ60" s="141"/>
      <c r="BR60" s="139"/>
      <c r="BS60" s="141"/>
      <c r="BT60" s="141"/>
      <c r="BU60" s="141"/>
      <c r="BV60" s="141"/>
      <c r="BW60" s="141"/>
      <c r="BX60" s="141"/>
      <c r="BY60" s="141"/>
      <c r="BZ60" s="141"/>
      <c r="CA60" s="141"/>
      <c r="CB60" s="139"/>
      <c r="CC60" s="141"/>
      <c r="CD60" s="141"/>
      <c r="CE60" s="141"/>
      <c r="CF60" s="141"/>
      <c r="CG60" s="141"/>
      <c r="CH60" s="141"/>
      <c r="CI60" s="141"/>
      <c r="CJ60" s="141"/>
      <c r="CK60" s="138"/>
      <c r="CL60" s="140">
        <v>2627</v>
      </c>
    </row>
    <row r="61" spans="1:90">
      <c r="A61" s="80">
        <f>ROWS($A$3:A59)</f>
        <v>57</v>
      </c>
      <c r="B61" s="236"/>
      <c r="C61" s="203"/>
      <c r="D61" s="254" t="s">
        <v>1</v>
      </c>
      <c r="E61" s="269"/>
      <c r="F61" s="116"/>
      <c r="G61" s="137"/>
      <c r="H61" s="137"/>
      <c r="I61" s="138"/>
      <c r="J61" s="141"/>
      <c r="K61" s="116">
        <f t="shared" si="104"/>
        <v>0</v>
      </c>
      <c r="L61" s="137">
        <f t="shared" si="105"/>
        <v>0</v>
      </c>
      <c r="M61" s="137">
        <f t="shared" si="106"/>
        <v>0</v>
      </c>
      <c r="N61" s="137">
        <f t="shared" si="107"/>
        <v>0</v>
      </c>
      <c r="O61" s="137">
        <f t="shared" si="108"/>
        <v>0</v>
      </c>
      <c r="P61" s="137">
        <f t="shared" si="109"/>
        <v>0</v>
      </c>
      <c r="Q61" s="137">
        <f>'2008'!AU61</f>
        <v>0</v>
      </c>
      <c r="R61" s="137">
        <f t="shared" si="110"/>
        <v>0</v>
      </c>
      <c r="S61" s="137">
        <f t="shared" si="111"/>
        <v>0</v>
      </c>
      <c r="T61" s="137">
        <f t="shared" si="112"/>
        <v>0</v>
      </c>
      <c r="U61" s="139">
        <f t="shared" si="112"/>
        <v>0</v>
      </c>
      <c r="V61" s="137">
        <f t="shared" si="113"/>
        <v>0</v>
      </c>
      <c r="W61" s="137">
        <f t="shared" si="114"/>
        <v>0</v>
      </c>
      <c r="X61" s="137">
        <f t="shared" si="115"/>
        <v>0</v>
      </c>
      <c r="Y61" s="137">
        <f t="shared" si="116"/>
        <v>0</v>
      </c>
      <c r="Z61" s="137">
        <f t="shared" si="117"/>
        <v>0</v>
      </c>
      <c r="AA61" s="137">
        <f t="shared" si="118"/>
        <v>0</v>
      </c>
      <c r="AB61" s="139">
        <f t="shared" si="119"/>
        <v>0</v>
      </c>
      <c r="AC61" s="137">
        <f t="shared" si="120"/>
        <v>0</v>
      </c>
      <c r="AD61" s="137">
        <f t="shared" si="121"/>
        <v>0</v>
      </c>
      <c r="AE61" s="137">
        <f t="shared" si="122"/>
        <v>0</v>
      </c>
      <c r="AF61" s="137">
        <f t="shared" si="123"/>
        <v>0</v>
      </c>
      <c r="AG61" s="137">
        <f t="shared" si="124"/>
        <v>0</v>
      </c>
      <c r="AH61" s="137">
        <f t="shared" si="125"/>
        <v>0</v>
      </c>
      <c r="AI61" s="137">
        <f t="shared" si="126"/>
        <v>0</v>
      </c>
      <c r="AJ61" s="137">
        <f t="shared" si="127"/>
        <v>0</v>
      </c>
      <c r="AK61" s="139">
        <f t="shared" si="128"/>
        <v>0</v>
      </c>
      <c r="AL61" s="137">
        <f t="shared" si="129"/>
        <v>0</v>
      </c>
      <c r="AM61" s="137">
        <f t="shared" si="130"/>
        <v>0</v>
      </c>
      <c r="AN61" s="137">
        <f t="shared" si="131"/>
        <v>0</v>
      </c>
      <c r="AO61" s="137">
        <f t="shared" si="132"/>
        <v>0</v>
      </c>
      <c r="AP61" s="137">
        <f t="shared" si="132"/>
        <v>0</v>
      </c>
      <c r="AQ61" s="137">
        <f t="shared" si="133"/>
        <v>0</v>
      </c>
      <c r="AR61" s="137">
        <f t="shared" si="134"/>
        <v>0</v>
      </c>
      <c r="AS61" s="138">
        <f t="shared" si="135"/>
        <v>0</v>
      </c>
      <c r="AT61" s="137"/>
      <c r="AU61" s="137"/>
      <c r="AV61" s="137"/>
      <c r="AW61" s="137"/>
      <c r="AX61" s="137"/>
      <c r="AY61" s="137"/>
      <c r="AZ61" s="137"/>
      <c r="BA61" s="137"/>
      <c r="BB61" s="137"/>
      <c r="BC61" s="137"/>
      <c r="BD61" s="137"/>
      <c r="BE61" s="137"/>
      <c r="BF61" s="139"/>
      <c r="BG61" s="137"/>
      <c r="BH61" s="137"/>
      <c r="BI61" s="137"/>
      <c r="BJ61" s="137"/>
      <c r="BK61" s="137"/>
      <c r="BL61" s="137"/>
      <c r="BM61" s="137"/>
      <c r="BN61" s="137"/>
      <c r="BO61" s="137"/>
      <c r="BP61" s="137"/>
      <c r="BQ61" s="137"/>
      <c r="BR61" s="139"/>
      <c r="BS61" s="137"/>
      <c r="BT61" s="137"/>
      <c r="BU61" s="137"/>
      <c r="BV61" s="137"/>
      <c r="BW61" s="137"/>
      <c r="BX61" s="137"/>
      <c r="BY61" s="137"/>
      <c r="BZ61" s="137"/>
      <c r="CA61" s="137"/>
      <c r="CB61" s="139"/>
      <c r="CC61" s="137"/>
      <c r="CD61" s="137"/>
      <c r="CE61" s="137"/>
      <c r="CF61" s="137"/>
      <c r="CG61" s="137"/>
      <c r="CH61" s="137"/>
      <c r="CI61" s="137"/>
      <c r="CJ61" s="137"/>
      <c r="CK61" s="138"/>
      <c r="CL61" s="140">
        <v>907545</v>
      </c>
    </row>
    <row r="62" spans="1:90">
      <c r="A62" s="80">
        <f>ROWS($A$3:A60)</f>
        <v>58</v>
      </c>
      <c r="B62" s="92" t="s">
        <v>56</v>
      </c>
      <c r="C62" s="202">
        <v>2008</v>
      </c>
      <c r="D62" s="254" t="s">
        <v>13</v>
      </c>
      <c r="E62" s="256">
        <v>40442</v>
      </c>
      <c r="F62" s="116">
        <v>791</v>
      </c>
      <c r="G62" s="137">
        <v>406</v>
      </c>
      <c r="H62" s="137">
        <v>1015</v>
      </c>
      <c r="I62" s="138">
        <v>385</v>
      </c>
      <c r="J62" s="141"/>
      <c r="K62" s="116">
        <f t="shared" si="104"/>
        <v>87</v>
      </c>
      <c r="L62" s="137">
        <f t="shared" si="105"/>
        <v>179</v>
      </c>
      <c r="M62" s="137">
        <f t="shared" si="106"/>
        <v>51</v>
      </c>
      <c r="N62" s="137">
        <f t="shared" si="107"/>
        <v>41</v>
      </c>
      <c r="O62" s="137">
        <f t="shared" si="108"/>
        <v>16</v>
      </c>
      <c r="P62" s="137">
        <f t="shared" si="109"/>
        <v>122</v>
      </c>
      <c r="Q62" s="137">
        <f>'2008'!AU62</f>
        <v>29</v>
      </c>
      <c r="R62" s="137">
        <f t="shared" si="110"/>
        <v>52</v>
      </c>
      <c r="S62" s="137">
        <f t="shared" si="111"/>
        <v>41</v>
      </c>
      <c r="T62" s="137">
        <f t="shared" si="112"/>
        <v>80</v>
      </c>
      <c r="U62" s="139">
        <f t="shared" si="112"/>
        <v>93</v>
      </c>
      <c r="V62" s="137">
        <f t="shared" si="113"/>
        <v>78</v>
      </c>
      <c r="W62" s="137">
        <f t="shared" si="114"/>
        <v>51</v>
      </c>
      <c r="X62" s="137">
        <f t="shared" si="115"/>
        <v>54</v>
      </c>
      <c r="Y62" s="137">
        <f t="shared" si="116"/>
        <v>66</v>
      </c>
      <c r="Z62" s="137">
        <f t="shared" si="117"/>
        <v>42</v>
      </c>
      <c r="AA62" s="137">
        <f t="shared" si="118"/>
        <v>51</v>
      </c>
      <c r="AB62" s="139">
        <f t="shared" si="119"/>
        <v>64</v>
      </c>
      <c r="AC62" s="137">
        <f t="shared" si="120"/>
        <v>123</v>
      </c>
      <c r="AD62" s="137">
        <f t="shared" si="121"/>
        <v>78</v>
      </c>
      <c r="AE62" s="137">
        <f t="shared" si="122"/>
        <v>127</v>
      </c>
      <c r="AF62" s="137">
        <f t="shared" si="123"/>
        <v>132</v>
      </c>
      <c r="AG62" s="137">
        <f t="shared" si="124"/>
        <v>146</v>
      </c>
      <c r="AH62" s="137">
        <f t="shared" si="125"/>
        <v>101</v>
      </c>
      <c r="AI62" s="137">
        <f t="shared" si="126"/>
        <v>44</v>
      </c>
      <c r="AJ62" s="137">
        <f t="shared" si="127"/>
        <v>71</v>
      </c>
      <c r="AK62" s="139">
        <f t="shared" si="128"/>
        <v>193</v>
      </c>
      <c r="AL62" s="137">
        <f t="shared" si="129"/>
        <v>42</v>
      </c>
      <c r="AM62" s="137">
        <f t="shared" si="130"/>
        <v>52</v>
      </c>
      <c r="AN62" s="137">
        <f t="shared" si="131"/>
        <v>81</v>
      </c>
      <c r="AO62" s="137">
        <f t="shared" si="132"/>
        <v>45</v>
      </c>
      <c r="AP62" s="137">
        <f t="shared" si="132"/>
        <v>14</v>
      </c>
      <c r="AQ62" s="137">
        <f t="shared" si="133"/>
        <v>66</v>
      </c>
      <c r="AR62" s="137">
        <f t="shared" si="134"/>
        <v>42</v>
      </c>
      <c r="AS62" s="138">
        <f t="shared" si="135"/>
        <v>43</v>
      </c>
      <c r="AT62" s="141">
        <v>4</v>
      </c>
      <c r="AU62" s="141">
        <v>29</v>
      </c>
      <c r="AV62" s="141">
        <v>41</v>
      </c>
      <c r="AW62" s="141">
        <v>41</v>
      </c>
      <c r="AX62" s="141">
        <v>48</v>
      </c>
      <c r="AY62" s="137">
        <v>179</v>
      </c>
      <c r="AZ62" s="137">
        <v>8</v>
      </c>
      <c r="BA62" s="137">
        <v>114</v>
      </c>
      <c r="BB62" s="137">
        <v>80</v>
      </c>
      <c r="BC62" s="137">
        <v>93</v>
      </c>
      <c r="BD62" s="137">
        <v>51</v>
      </c>
      <c r="BE62" s="137">
        <v>16</v>
      </c>
      <c r="BF62" s="139">
        <v>87</v>
      </c>
      <c r="BG62" s="137">
        <v>9</v>
      </c>
      <c r="BH62" s="137">
        <v>4</v>
      </c>
      <c r="BI62" s="137">
        <v>50</v>
      </c>
      <c r="BJ62" s="137">
        <v>69</v>
      </c>
      <c r="BK62" s="137">
        <v>9</v>
      </c>
      <c r="BL62" s="137">
        <v>3</v>
      </c>
      <c r="BM62" s="137">
        <v>42</v>
      </c>
      <c r="BN62" s="137">
        <v>54</v>
      </c>
      <c r="BO62" s="137">
        <v>7</v>
      </c>
      <c r="BP62" s="137">
        <v>64</v>
      </c>
      <c r="BQ62" s="137">
        <v>44</v>
      </c>
      <c r="BR62" s="139">
        <v>51</v>
      </c>
      <c r="BS62" s="137">
        <v>9</v>
      </c>
      <c r="BT62" s="137">
        <v>118</v>
      </c>
      <c r="BU62" s="137">
        <v>78</v>
      </c>
      <c r="BV62" s="137">
        <v>146</v>
      </c>
      <c r="BW62" s="137">
        <v>44</v>
      </c>
      <c r="BX62" s="137">
        <v>123</v>
      </c>
      <c r="BY62" s="137">
        <v>71</v>
      </c>
      <c r="BZ62" s="137">
        <v>101</v>
      </c>
      <c r="CA62" s="137">
        <v>132</v>
      </c>
      <c r="CB62" s="139">
        <v>193</v>
      </c>
      <c r="CC62" s="137">
        <v>45</v>
      </c>
      <c r="CD62" s="137">
        <v>14</v>
      </c>
      <c r="CE62" s="137">
        <v>42</v>
      </c>
      <c r="CF62" s="137">
        <v>3</v>
      </c>
      <c r="CG62" s="137">
        <v>40</v>
      </c>
      <c r="CH62" s="137">
        <v>52</v>
      </c>
      <c r="CI62" s="137">
        <v>42</v>
      </c>
      <c r="CJ62" s="137">
        <v>81</v>
      </c>
      <c r="CK62" s="138">
        <v>66</v>
      </c>
      <c r="CL62" s="140">
        <v>2597</v>
      </c>
    </row>
    <row r="63" spans="1:90">
      <c r="A63" s="80">
        <f>ROWS($A$3:A61)</f>
        <v>59</v>
      </c>
      <c r="B63" s="92"/>
      <c r="C63" s="203"/>
      <c r="D63" s="254" t="s">
        <v>1</v>
      </c>
      <c r="E63" s="269"/>
      <c r="F63" s="116">
        <v>279632</v>
      </c>
      <c r="G63" s="137">
        <v>195662</v>
      </c>
      <c r="H63" s="137">
        <v>147874</v>
      </c>
      <c r="I63" s="138">
        <v>295189</v>
      </c>
      <c r="J63" s="141"/>
      <c r="K63" s="116">
        <f t="shared" si="104"/>
        <v>40281</v>
      </c>
      <c r="L63" s="137">
        <f t="shared" si="105"/>
        <v>7673</v>
      </c>
      <c r="M63" s="137">
        <f t="shared" si="106"/>
        <v>51742</v>
      </c>
      <c r="N63" s="137">
        <f t="shared" si="107"/>
        <v>21225</v>
      </c>
      <c r="O63" s="137">
        <f t="shared" si="108"/>
        <v>59207</v>
      </c>
      <c r="P63" s="137">
        <f t="shared" si="109"/>
        <v>27456</v>
      </c>
      <c r="Q63" s="137">
        <f>'2008'!AU63</f>
        <v>26417</v>
      </c>
      <c r="R63" s="137">
        <f t="shared" si="110"/>
        <v>16873</v>
      </c>
      <c r="S63" s="137">
        <f t="shared" si="111"/>
        <v>9075</v>
      </c>
      <c r="T63" s="137">
        <f t="shared" si="112"/>
        <v>13640</v>
      </c>
      <c r="U63" s="139">
        <f t="shared" si="112"/>
        <v>6042</v>
      </c>
      <c r="V63" s="137">
        <f t="shared" si="113"/>
        <v>17344</v>
      </c>
      <c r="W63" s="137">
        <f t="shared" si="114"/>
        <v>16949</v>
      </c>
      <c r="X63" s="137">
        <f t="shared" si="115"/>
        <v>41890</v>
      </c>
      <c r="Y63" s="137">
        <f t="shared" si="116"/>
        <v>40175</v>
      </c>
      <c r="Z63" s="137">
        <f t="shared" si="117"/>
        <v>29657</v>
      </c>
      <c r="AA63" s="137">
        <f t="shared" si="118"/>
        <v>27461</v>
      </c>
      <c r="AB63" s="139">
        <f t="shared" si="119"/>
        <v>22186</v>
      </c>
      <c r="AC63" s="137">
        <f t="shared" si="120"/>
        <v>17138</v>
      </c>
      <c r="AD63" s="137">
        <f t="shared" si="121"/>
        <v>8052</v>
      </c>
      <c r="AE63" s="137">
        <f t="shared" si="122"/>
        <v>18998</v>
      </c>
      <c r="AF63" s="137">
        <f t="shared" si="123"/>
        <v>9538</v>
      </c>
      <c r="AG63" s="137">
        <f t="shared" si="124"/>
        <v>19314</v>
      </c>
      <c r="AH63" s="137">
        <f t="shared" si="125"/>
        <v>20918</v>
      </c>
      <c r="AI63" s="137">
        <f t="shared" si="126"/>
        <v>18038</v>
      </c>
      <c r="AJ63" s="137">
        <f t="shared" si="127"/>
        <v>14778</v>
      </c>
      <c r="AK63" s="139">
        <f t="shared" si="128"/>
        <v>21098</v>
      </c>
      <c r="AL63" s="137">
        <f t="shared" si="129"/>
        <v>27350</v>
      </c>
      <c r="AM63" s="137">
        <f t="shared" si="130"/>
        <v>26428</v>
      </c>
      <c r="AN63" s="137">
        <f t="shared" si="131"/>
        <v>20580</v>
      </c>
      <c r="AO63" s="137">
        <f t="shared" si="132"/>
        <v>65812</v>
      </c>
      <c r="AP63" s="137">
        <f t="shared" si="132"/>
        <v>12118</v>
      </c>
      <c r="AQ63" s="137">
        <f t="shared" si="133"/>
        <v>40540</v>
      </c>
      <c r="AR63" s="137">
        <f t="shared" si="134"/>
        <v>8313</v>
      </c>
      <c r="AS63" s="138">
        <f t="shared" si="135"/>
        <v>94048</v>
      </c>
      <c r="AT63" s="137">
        <v>1262</v>
      </c>
      <c r="AU63" s="137">
        <v>26417</v>
      </c>
      <c r="AV63" s="137">
        <v>9075</v>
      </c>
      <c r="AW63" s="137">
        <v>21225</v>
      </c>
      <c r="AX63" s="137">
        <v>15611</v>
      </c>
      <c r="AY63" s="137">
        <v>7673</v>
      </c>
      <c r="AZ63" s="137">
        <v>2749</v>
      </c>
      <c r="BA63" s="137">
        <v>24707</v>
      </c>
      <c r="BB63" s="137">
        <v>13640</v>
      </c>
      <c r="BC63" s="137">
        <v>6042</v>
      </c>
      <c r="BD63" s="137">
        <v>51742</v>
      </c>
      <c r="BE63" s="137">
        <v>59207</v>
      </c>
      <c r="BF63" s="139">
        <v>40281</v>
      </c>
      <c r="BG63" s="137">
        <v>2570</v>
      </c>
      <c r="BH63" s="137">
        <v>6757</v>
      </c>
      <c r="BI63" s="137">
        <v>35133</v>
      </c>
      <c r="BJ63" s="137">
        <v>14774</v>
      </c>
      <c r="BK63" s="137">
        <v>4213</v>
      </c>
      <c r="BL63" s="137">
        <v>2956</v>
      </c>
      <c r="BM63" s="137">
        <v>29657</v>
      </c>
      <c r="BN63" s="137">
        <v>33006</v>
      </c>
      <c r="BO63" s="137">
        <v>3968</v>
      </c>
      <c r="BP63" s="137">
        <v>22186</v>
      </c>
      <c r="BQ63" s="137">
        <v>23493</v>
      </c>
      <c r="BR63" s="139">
        <v>16949</v>
      </c>
      <c r="BS63" s="137">
        <v>2004</v>
      </c>
      <c r="BT63" s="137">
        <v>16994</v>
      </c>
      <c r="BU63" s="137">
        <v>8052</v>
      </c>
      <c r="BV63" s="137">
        <v>19314</v>
      </c>
      <c r="BW63" s="137">
        <v>18038</v>
      </c>
      <c r="BX63" s="137">
        <v>17138</v>
      </c>
      <c r="BY63" s="137">
        <v>14778</v>
      </c>
      <c r="BZ63" s="137">
        <v>20918</v>
      </c>
      <c r="CA63" s="137">
        <v>9538</v>
      </c>
      <c r="CB63" s="139">
        <v>21098</v>
      </c>
      <c r="CC63" s="137">
        <v>65812</v>
      </c>
      <c r="CD63" s="137">
        <v>12118</v>
      </c>
      <c r="CE63" s="137">
        <v>27350</v>
      </c>
      <c r="CF63" s="137">
        <v>827</v>
      </c>
      <c r="CG63" s="137">
        <v>93221</v>
      </c>
      <c r="CH63" s="137">
        <v>26428</v>
      </c>
      <c r="CI63" s="137">
        <v>8313</v>
      </c>
      <c r="CJ63" s="137">
        <v>20580</v>
      </c>
      <c r="CK63" s="138">
        <v>40540</v>
      </c>
      <c r="CL63" s="140">
        <v>918358</v>
      </c>
    </row>
    <row r="64" spans="1:90">
      <c r="A64" s="80">
        <f>ROWS($A$3:A62)</f>
        <v>60</v>
      </c>
      <c r="B64" s="59" t="s">
        <v>80</v>
      </c>
      <c r="C64" s="203"/>
      <c r="D64" s="254"/>
      <c r="E64" s="269"/>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f>1168+10492</f>
        <v>11660</v>
      </c>
      <c r="AW65" s="493">
        <f>4624+16926</f>
        <v>21550</v>
      </c>
      <c r="AX65" s="493">
        <v>184</v>
      </c>
      <c r="AY65" s="493">
        <v>17583</v>
      </c>
      <c r="AZ65" s="493">
        <v>0</v>
      </c>
      <c r="BA65" s="493">
        <v>4301</v>
      </c>
      <c r="BB65" s="493">
        <v>20868</v>
      </c>
      <c r="BC65" s="493">
        <v>72802</v>
      </c>
      <c r="BD65" s="493">
        <v>44936</v>
      </c>
      <c r="BE65" s="493">
        <v>13465</v>
      </c>
      <c r="BF65" s="510">
        <f>325+64388</f>
        <v>64713</v>
      </c>
      <c r="BG65" s="493">
        <v>0</v>
      </c>
      <c r="BH65" s="493">
        <v>0</v>
      </c>
      <c r="BI65" s="493">
        <v>1416</v>
      </c>
      <c r="BJ65" s="493">
        <v>1994</v>
      </c>
      <c r="BK65" s="493">
        <v>0</v>
      </c>
      <c r="BL65" s="493">
        <v>0</v>
      </c>
      <c r="BM65" s="493">
        <v>29776</v>
      </c>
      <c r="BN65" s="493">
        <v>2994</v>
      </c>
      <c r="BO65" s="493">
        <v>0</v>
      </c>
      <c r="BP65" s="493">
        <v>11776</v>
      </c>
      <c r="BQ65" s="493">
        <v>7224</v>
      </c>
      <c r="BR65" s="510">
        <f>1582+14783</f>
        <v>16365</v>
      </c>
      <c r="BS65" s="493">
        <v>0</v>
      </c>
      <c r="BT65" s="493">
        <f>20148+5700</f>
        <v>25848</v>
      </c>
      <c r="BU65" s="493">
        <f>1668+8614</f>
        <v>10282</v>
      </c>
      <c r="BV65" s="493">
        <f>2692+21113</f>
        <v>23805</v>
      </c>
      <c r="BW65" s="493">
        <f>2362+28923</f>
        <v>31285</v>
      </c>
      <c r="BX65" s="493">
        <f>13560+24494</f>
        <v>38054</v>
      </c>
      <c r="BY65" s="493">
        <f>8825+15815</f>
        <v>24640</v>
      </c>
      <c r="BZ65" s="493">
        <v>19530</v>
      </c>
      <c r="CA65" s="493">
        <f>9601+4568</f>
        <v>14169</v>
      </c>
      <c r="CB65" s="510">
        <f>13376+26805</f>
        <v>40181</v>
      </c>
      <c r="CC65" s="493">
        <f>1824+39164</f>
        <v>40988</v>
      </c>
      <c r="CD65" s="493">
        <v>10760</v>
      </c>
      <c r="CE65" s="493">
        <f>13639+20171</f>
        <v>33810</v>
      </c>
      <c r="CF65" s="493">
        <v>0</v>
      </c>
      <c r="CG65" s="493">
        <f>1526+32713</f>
        <v>34239</v>
      </c>
      <c r="CH65" s="493">
        <v>10710</v>
      </c>
      <c r="CI65" s="493">
        <f>415+7783</f>
        <v>8198</v>
      </c>
      <c r="CJ65" s="493">
        <f>1289+50919</f>
        <v>52208</v>
      </c>
      <c r="CK65" s="509">
        <f>2073+38498</f>
        <v>40571</v>
      </c>
      <c r="CL65" s="511">
        <f>101444+714003</f>
        <v>815447</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2008</v>
      </c>
      <c r="D67" s="260" t="s">
        <v>3</v>
      </c>
      <c r="E67" s="483">
        <v>42909</v>
      </c>
      <c r="F67" s="526">
        <f>IF(F65/F35%&gt;100,100,F65/F35%)</f>
        <v>60.085129260167044</v>
      </c>
      <c r="G67" s="523">
        <f t="shared" ref="G67:BR67" si="136">IF(G65/G35%&gt;100,100,G65/G35%)</f>
        <v>35.104634331836806</v>
      </c>
      <c r="H67" s="523">
        <f t="shared" si="136"/>
        <v>69.598347683151133</v>
      </c>
      <c r="I67" s="525">
        <f t="shared" si="136"/>
        <v>53.56888300580389</v>
      </c>
      <c r="J67" s="173"/>
      <c r="K67" s="170">
        <f t="shared" si="136"/>
        <v>97.897221003585315</v>
      </c>
      <c r="L67" s="171">
        <f t="shared" si="136"/>
        <v>67.031375090541729</v>
      </c>
      <c r="M67" s="171">
        <f t="shared" si="136"/>
        <v>64.885782770670289</v>
      </c>
      <c r="N67" s="171">
        <f t="shared" si="136"/>
        <v>75.736276094749414</v>
      </c>
      <c r="O67" s="171">
        <f t="shared" si="136"/>
        <v>51.081183611532623</v>
      </c>
      <c r="P67" s="171">
        <f t="shared" si="136"/>
        <v>12.344771652792836</v>
      </c>
      <c r="Q67" s="171">
        <f t="shared" si="136"/>
        <v>58.64742265353398</v>
      </c>
      <c r="R67" s="171">
        <f t="shared" si="136"/>
        <v>0.52441075042038365</v>
      </c>
      <c r="S67" s="171">
        <f t="shared" si="136"/>
        <v>58.507702343318783</v>
      </c>
      <c r="T67" s="171">
        <f t="shared" si="136"/>
        <v>49.737820573934599</v>
      </c>
      <c r="U67" s="172">
        <f t="shared" si="136"/>
        <v>93.910194393921799</v>
      </c>
      <c r="V67" s="171">
        <f t="shared" si="136"/>
        <v>11.997593261131168</v>
      </c>
      <c r="W67" s="171">
        <f t="shared" si="136"/>
        <v>83.798453581852627</v>
      </c>
      <c r="X67" s="171">
        <f t="shared" si="136"/>
        <v>3.537170263788969</v>
      </c>
      <c r="Y67" s="171">
        <f t="shared" si="136"/>
        <v>6.9501833882724364</v>
      </c>
      <c r="Z67" s="171">
        <f t="shared" si="136"/>
        <v>63.550604003927091</v>
      </c>
      <c r="AA67" s="171">
        <f t="shared" si="136"/>
        <v>35.854675402025016</v>
      </c>
      <c r="AB67" s="172">
        <f t="shared" si="136"/>
        <v>67.122663018695846</v>
      </c>
      <c r="AC67" s="171">
        <f t="shared" si="136"/>
        <v>96.412465163415249</v>
      </c>
      <c r="AD67" s="171">
        <f t="shared" si="136"/>
        <v>44.838864419344993</v>
      </c>
      <c r="AE67" s="171">
        <f t="shared" si="136"/>
        <v>48.462576871156443</v>
      </c>
      <c r="AF67" s="171">
        <f t="shared" si="136"/>
        <v>59.26963942106584</v>
      </c>
      <c r="AG67" s="171">
        <f t="shared" si="136"/>
        <v>40.484005374058263</v>
      </c>
      <c r="AH67" s="171">
        <f t="shared" si="136"/>
        <v>56.595572041265797</v>
      </c>
      <c r="AI67" s="171">
        <f t="shared" si="136"/>
        <v>100</v>
      </c>
      <c r="AJ67" s="171">
        <f t="shared" si="136"/>
        <v>100</v>
      </c>
      <c r="AK67" s="172">
        <f t="shared" si="136"/>
        <v>100</v>
      </c>
      <c r="AL67" s="171">
        <f t="shared" si="136"/>
        <v>99.123398516520567</v>
      </c>
      <c r="AM67" s="171">
        <f t="shared" si="136"/>
        <v>13.804748524142196</v>
      </c>
      <c r="AN67" s="171">
        <f t="shared" si="136"/>
        <v>59.473252528934658</v>
      </c>
      <c r="AO67" s="171">
        <f t="shared" si="136"/>
        <v>94.555688843775954</v>
      </c>
      <c r="AP67" s="171">
        <f t="shared" si="136"/>
        <v>54.157439098047107</v>
      </c>
      <c r="AQ67" s="171">
        <f t="shared" si="136"/>
        <v>73.52349540602745</v>
      </c>
      <c r="AR67" s="171">
        <f t="shared" si="136"/>
        <v>24.069996183094045</v>
      </c>
      <c r="AS67" s="174">
        <f t="shared" si="136"/>
        <v>42.695746511540911</v>
      </c>
      <c r="AT67" s="523">
        <f t="shared" si="136"/>
        <v>0</v>
      </c>
      <c r="AU67" s="523">
        <f t="shared" si="136"/>
        <v>52.329701479316149</v>
      </c>
      <c r="AV67" s="523">
        <f t="shared" si="136"/>
        <v>58.507702343318783</v>
      </c>
      <c r="AW67" s="523">
        <f t="shared" si="136"/>
        <v>75.736276094749414</v>
      </c>
      <c r="AX67" s="523">
        <f t="shared" si="136"/>
        <v>0.56537102473498235</v>
      </c>
      <c r="AY67" s="523">
        <f t="shared" si="136"/>
        <v>67.031375090541729</v>
      </c>
      <c r="AZ67" s="523">
        <f t="shared" si="136"/>
        <v>0</v>
      </c>
      <c r="BA67" s="523">
        <f t="shared" si="136"/>
        <v>7.8482537133681252</v>
      </c>
      <c r="BB67" s="523">
        <f t="shared" si="136"/>
        <v>49.737820573934599</v>
      </c>
      <c r="BC67" s="523">
        <f t="shared" si="136"/>
        <v>93.910194393921799</v>
      </c>
      <c r="BD67" s="523">
        <f t="shared" si="136"/>
        <v>64.885782770670289</v>
      </c>
      <c r="BE67" s="523">
        <f t="shared" si="136"/>
        <v>51.081183611532623</v>
      </c>
      <c r="BF67" s="524">
        <f t="shared" si="136"/>
        <v>97.897221003585315</v>
      </c>
      <c r="BG67" s="523">
        <f t="shared" si="136"/>
        <v>0</v>
      </c>
      <c r="BH67" s="523">
        <f t="shared" si="136"/>
        <v>0</v>
      </c>
      <c r="BI67" s="523">
        <f t="shared" si="136"/>
        <v>3.7863999786079097</v>
      </c>
      <c r="BJ67" s="523">
        <f t="shared" si="136"/>
        <v>13.405042016806723</v>
      </c>
      <c r="BK67" s="523">
        <f t="shared" si="136"/>
        <v>0</v>
      </c>
      <c r="BL67" s="523">
        <f t="shared" si="136"/>
        <v>0</v>
      </c>
      <c r="BM67" s="523">
        <f t="shared" si="136"/>
        <v>63.550604003927091</v>
      </c>
      <c r="BN67" s="523">
        <f t="shared" si="136"/>
        <v>7.7798565637667609</v>
      </c>
      <c r="BO67" s="523">
        <f t="shared" si="136"/>
        <v>0</v>
      </c>
      <c r="BP67" s="523">
        <f t="shared" si="136"/>
        <v>67.122663018695846</v>
      </c>
      <c r="BQ67" s="523">
        <f t="shared" si="136"/>
        <v>37.709453463485936</v>
      </c>
      <c r="BR67" s="524">
        <f t="shared" si="136"/>
        <v>83.798453581852627</v>
      </c>
      <c r="BS67" s="523">
        <f t="shared" ref="BS67:CL67" si="137">IF(BS65/BS35%&gt;100,100,BS65/BS35%)</f>
        <v>0</v>
      </c>
      <c r="BT67" s="523">
        <f t="shared" si="137"/>
        <v>51.934900542495484</v>
      </c>
      <c r="BU67" s="523">
        <f t="shared" si="137"/>
        <v>44.838864419344993</v>
      </c>
      <c r="BV67" s="523">
        <f t="shared" si="137"/>
        <v>40.484005374058263</v>
      </c>
      <c r="BW67" s="523">
        <f t="shared" si="137"/>
        <v>100</v>
      </c>
      <c r="BX67" s="523">
        <f t="shared" si="137"/>
        <v>96.412465163415249</v>
      </c>
      <c r="BY67" s="523">
        <f t="shared" si="137"/>
        <v>100</v>
      </c>
      <c r="BZ67" s="523">
        <f t="shared" si="137"/>
        <v>56.595572041265797</v>
      </c>
      <c r="CA67" s="523">
        <f t="shared" si="137"/>
        <v>59.26963942106584</v>
      </c>
      <c r="CB67" s="524">
        <f t="shared" si="137"/>
        <v>100</v>
      </c>
      <c r="CC67" s="523">
        <f t="shared" si="137"/>
        <v>94.555688843775954</v>
      </c>
      <c r="CD67" s="523">
        <f t="shared" si="137"/>
        <v>54.157439098047107</v>
      </c>
      <c r="CE67" s="523">
        <f t="shared" si="137"/>
        <v>99.123398516520567</v>
      </c>
      <c r="CF67" s="523">
        <f t="shared" si="137"/>
        <v>0</v>
      </c>
      <c r="CG67" s="523">
        <f t="shared" si="137"/>
        <v>45.401986394918652</v>
      </c>
      <c r="CH67" s="523">
        <f t="shared" si="137"/>
        <v>13.804748524142196</v>
      </c>
      <c r="CI67" s="523">
        <f t="shared" si="137"/>
        <v>24.069996183094045</v>
      </c>
      <c r="CJ67" s="523">
        <f t="shared" si="137"/>
        <v>59.473252528934658</v>
      </c>
      <c r="CK67" s="525">
        <f t="shared" si="137"/>
        <v>73.52349540602745</v>
      </c>
      <c r="CL67" s="478">
        <f t="shared" si="137"/>
        <v>56.798580744203804</v>
      </c>
    </row>
    <row r="68" spans="1:90">
      <c r="A68" s="80">
        <f>ROWS($A$3:A66)</f>
        <v>64</v>
      </c>
      <c r="B68" s="59" t="s">
        <v>81</v>
      </c>
      <c r="C68" s="203"/>
      <c r="D68" s="254"/>
      <c r="E68" s="269"/>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82</v>
      </c>
      <c r="C69" s="202">
        <v>2007</v>
      </c>
      <c r="D69" s="254" t="s">
        <v>13</v>
      </c>
      <c r="E69" s="269"/>
      <c r="F69" s="116">
        <v>756</v>
      </c>
      <c r="G69" s="137">
        <v>221</v>
      </c>
      <c r="H69" s="137">
        <v>1049</v>
      </c>
      <c r="I69" s="138">
        <v>870</v>
      </c>
      <c r="J69" s="141"/>
      <c r="K69" s="116">
        <f>BF69</f>
        <v>91</v>
      </c>
      <c r="L69" s="137">
        <f>AY69</f>
        <v>119</v>
      </c>
      <c r="M69" s="137">
        <f>BD69</f>
        <v>104</v>
      </c>
      <c r="N69" s="137">
        <f>AW69</f>
        <v>40</v>
      </c>
      <c r="O69" s="137">
        <f>BE69</f>
        <v>40</v>
      </c>
      <c r="P69" s="137">
        <f>'2008'!AZ69+'2008'!BA69</f>
        <v>60</v>
      </c>
      <c r="Q69" s="137">
        <f>'2008'!AU69</f>
        <v>26</v>
      </c>
      <c r="R69" s="137">
        <f>AT69+AX69</f>
        <v>52</v>
      </c>
      <c r="S69" s="137">
        <f>AV69</f>
        <v>40</v>
      </c>
      <c r="T69" s="137">
        <f t="shared" ref="T69:U71" si="138">BB69</f>
        <v>64</v>
      </c>
      <c r="U69" s="139">
        <f t="shared" si="138"/>
        <v>120</v>
      </c>
      <c r="V69" s="137">
        <f>BG69+BJ69</f>
        <v>18</v>
      </c>
      <c r="W69" s="137">
        <f>BR69</f>
        <v>35</v>
      </c>
      <c r="X69" s="137">
        <f>BH69+BI69</f>
        <v>38</v>
      </c>
      <c r="Y69" s="137">
        <f>BK69+BL69+BN69</f>
        <v>35</v>
      </c>
      <c r="Z69" s="137">
        <f>BM69</f>
        <v>35</v>
      </c>
      <c r="AA69" s="137">
        <f>BO69+BQ69</f>
        <v>35</v>
      </c>
      <c r="AB69" s="139">
        <f>BP69</f>
        <v>25</v>
      </c>
      <c r="AC69" s="137">
        <f>BX69</f>
        <v>98</v>
      </c>
      <c r="AD69" s="137">
        <f>BU69</f>
        <v>77</v>
      </c>
      <c r="AE69" s="137">
        <f>BS69+BT69</f>
        <v>261</v>
      </c>
      <c r="AF69" s="137">
        <f>CA69</f>
        <v>101</v>
      </c>
      <c r="AG69" s="137">
        <f>BV69</f>
        <v>137</v>
      </c>
      <c r="AH69" s="137">
        <f>BZ69</f>
        <v>98</v>
      </c>
      <c r="AI69" s="137">
        <f>BW69</f>
        <v>46</v>
      </c>
      <c r="AJ69" s="137">
        <f>BY69</f>
        <v>40</v>
      </c>
      <c r="AK69" s="139">
        <f>CB69</f>
        <v>191</v>
      </c>
      <c r="AL69" s="137">
        <f>CE69</f>
        <v>55</v>
      </c>
      <c r="AM69" s="137">
        <f>CH69</f>
        <v>60</v>
      </c>
      <c r="AN69" s="137">
        <f>CJ69</f>
        <v>325</v>
      </c>
      <c r="AO69" s="137">
        <f t="shared" ref="AO69:AP71" si="139">CC69</f>
        <v>66</v>
      </c>
      <c r="AP69" s="137">
        <f t="shared" si="139"/>
        <v>40</v>
      </c>
      <c r="AQ69" s="137">
        <f>CK69</f>
        <v>77</v>
      </c>
      <c r="AR69" s="137">
        <f>CI69</f>
        <v>178</v>
      </c>
      <c r="AS69" s="138">
        <f>CF69+CG69</f>
        <v>69</v>
      </c>
      <c r="AT69" s="137">
        <v>7</v>
      </c>
      <c r="AU69" s="137">
        <v>26</v>
      </c>
      <c r="AV69" s="137">
        <v>40</v>
      </c>
      <c r="AW69" s="141">
        <v>40</v>
      </c>
      <c r="AX69" s="137">
        <v>45</v>
      </c>
      <c r="AY69" s="137">
        <v>119</v>
      </c>
      <c r="AZ69" s="137">
        <v>7</v>
      </c>
      <c r="BA69" s="137">
        <v>53</v>
      </c>
      <c r="BB69" s="137">
        <v>64</v>
      </c>
      <c r="BC69" s="137">
        <v>120</v>
      </c>
      <c r="BD69" s="137">
        <v>104</v>
      </c>
      <c r="BE69" s="137">
        <v>40</v>
      </c>
      <c r="BF69" s="139">
        <v>91</v>
      </c>
      <c r="BG69" s="137">
        <v>4</v>
      </c>
      <c r="BH69" s="137">
        <v>6</v>
      </c>
      <c r="BI69" s="137">
        <v>32</v>
      </c>
      <c r="BJ69" s="137">
        <v>14</v>
      </c>
      <c r="BK69" s="137">
        <v>3</v>
      </c>
      <c r="BL69" s="137">
        <v>0</v>
      </c>
      <c r="BM69" s="137">
        <v>35</v>
      </c>
      <c r="BN69" s="137">
        <v>32</v>
      </c>
      <c r="BO69" s="137">
        <v>2</v>
      </c>
      <c r="BP69" s="137">
        <v>25</v>
      </c>
      <c r="BQ69" s="137">
        <v>33</v>
      </c>
      <c r="BR69" s="139">
        <v>35</v>
      </c>
      <c r="BS69" s="137">
        <v>15</v>
      </c>
      <c r="BT69" s="137">
        <v>246</v>
      </c>
      <c r="BU69" s="137">
        <v>77</v>
      </c>
      <c r="BV69" s="137">
        <v>137</v>
      </c>
      <c r="BW69" s="137">
        <v>46</v>
      </c>
      <c r="BX69" s="137">
        <v>98</v>
      </c>
      <c r="BY69" s="137">
        <v>40</v>
      </c>
      <c r="BZ69" s="137">
        <v>98</v>
      </c>
      <c r="CA69" s="137">
        <v>101</v>
      </c>
      <c r="CB69" s="139">
        <v>191</v>
      </c>
      <c r="CC69" s="137">
        <v>66</v>
      </c>
      <c r="CD69" s="137">
        <v>40</v>
      </c>
      <c r="CE69" s="137">
        <v>55</v>
      </c>
      <c r="CF69" s="137">
        <v>1</v>
      </c>
      <c r="CG69" s="137">
        <v>68</v>
      </c>
      <c r="CH69" s="137">
        <v>60</v>
      </c>
      <c r="CI69" s="137">
        <v>178</v>
      </c>
      <c r="CJ69" s="137">
        <v>325</v>
      </c>
      <c r="CK69" s="138">
        <v>77</v>
      </c>
      <c r="CL69" s="140">
        <v>2896</v>
      </c>
    </row>
    <row r="70" spans="1:90">
      <c r="A70" s="80">
        <f>ROWS($A$3:A68)</f>
        <v>66</v>
      </c>
      <c r="B70" s="92" t="s">
        <v>70</v>
      </c>
      <c r="C70" s="203"/>
      <c r="D70" s="254" t="s">
        <v>1</v>
      </c>
      <c r="E70" s="269"/>
      <c r="F70" s="116">
        <v>24805</v>
      </c>
      <c r="G70" s="137">
        <v>8359</v>
      </c>
      <c r="H70" s="137">
        <v>31034</v>
      </c>
      <c r="I70" s="138">
        <v>30108</v>
      </c>
      <c r="J70" s="141"/>
      <c r="K70" s="116">
        <f>BF70</f>
        <v>2642</v>
      </c>
      <c r="L70" s="137">
        <f>AY70</f>
        <v>3591</v>
      </c>
      <c r="M70" s="137">
        <f>BD70</f>
        <v>3673</v>
      </c>
      <c r="N70" s="137">
        <f>AW70</f>
        <v>1503</v>
      </c>
      <c r="O70" s="137">
        <f>BE70</f>
        <v>2148</v>
      </c>
      <c r="P70" s="137">
        <f>'2008'!AZ70+'2008'!BA70</f>
        <v>1599</v>
      </c>
      <c r="Q70" s="137">
        <f>'2008'!AU70</f>
        <v>1022</v>
      </c>
      <c r="R70" s="137">
        <f>AT70+AX70</f>
        <v>1365</v>
      </c>
      <c r="S70" s="137">
        <f>AV70</f>
        <v>1181</v>
      </c>
      <c r="T70" s="137">
        <f t="shared" si="138"/>
        <v>2074</v>
      </c>
      <c r="U70" s="139">
        <f t="shared" si="138"/>
        <v>4007</v>
      </c>
      <c r="V70" s="137">
        <f>BG70+BJ70</f>
        <v>559</v>
      </c>
      <c r="W70" s="137">
        <f>BR70</f>
        <v>1270</v>
      </c>
      <c r="X70" s="137">
        <f>BH70+BI70</f>
        <v>1145</v>
      </c>
      <c r="Y70" s="137">
        <f>BL70+BN70</f>
        <v>1278</v>
      </c>
      <c r="Z70" s="137">
        <f>BM70</f>
        <v>1872</v>
      </c>
      <c r="AA70" s="137">
        <f>BQ70</f>
        <v>1486</v>
      </c>
      <c r="AB70" s="139">
        <f>BP70</f>
        <v>749</v>
      </c>
      <c r="AC70" s="137">
        <f>BX70</f>
        <v>3007</v>
      </c>
      <c r="AD70" s="137">
        <f>BU70</f>
        <v>1334</v>
      </c>
      <c r="AE70" s="137">
        <f>BS70+BT70</f>
        <v>5979</v>
      </c>
      <c r="AF70" s="137">
        <f>CA70</f>
        <v>2677</v>
      </c>
      <c r="AG70" s="137">
        <f>BV70</f>
        <v>2883</v>
      </c>
      <c r="AH70" s="137">
        <f>BZ70</f>
        <v>4133</v>
      </c>
      <c r="AI70" s="137">
        <f>BW70</f>
        <v>1627</v>
      </c>
      <c r="AJ70" s="137">
        <f>BY70</f>
        <v>2784</v>
      </c>
      <c r="AK70" s="139">
        <f>CB70</f>
        <v>6610</v>
      </c>
      <c r="AL70" s="137">
        <f>CE70</f>
        <v>3211</v>
      </c>
      <c r="AM70" s="137">
        <f>CH70</f>
        <v>2501</v>
      </c>
      <c r="AN70" s="137">
        <f>CJ70</f>
        <v>9892</v>
      </c>
      <c r="AO70" s="137">
        <f t="shared" si="139"/>
        <v>2429</v>
      </c>
      <c r="AP70" s="137">
        <f t="shared" si="139"/>
        <v>2971</v>
      </c>
      <c r="AQ70" s="137">
        <f>CK70</f>
        <v>3153</v>
      </c>
      <c r="AR70" s="137">
        <f>CI70</f>
        <v>3609</v>
      </c>
      <c r="AS70" s="138">
        <f>CG70</f>
        <v>2342</v>
      </c>
      <c r="AT70" s="137">
        <v>266</v>
      </c>
      <c r="AU70" s="141">
        <v>1022</v>
      </c>
      <c r="AV70" s="141">
        <v>1181</v>
      </c>
      <c r="AW70" s="141">
        <v>1503</v>
      </c>
      <c r="AX70" s="141">
        <v>1099</v>
      </c>
      <c r="AY70" s="137">
        <v>3591</v>
      </c>
      <c r="AZ70" s="137">
        <v>87</v>
      </c>
      <c r="BA70" s="137">
        <v>1512</v>
      </c>
      <c r="BB70" s="137">
        <v>2074</v>
      </c>
      <c r="BC70" s="137">
        <v>4007</v>
      </c>
      <c r="BD70" s="137">
        <v>3673</v>
      </c>
      <c r="BE70" s="137">
        <v>2148</v>
      </c>
      <c r="BF70" s="139">
        <v>2642</v>
      </c>
      <c r="BG70" s="137">
        <v>217</v>
      </c>
      <c r="BH70" s="137">
        <v>147</v>
      </c>
      <c r="BI70" s="137">
        <v>998</v>
      </c>
      <c r="BJ70" s="137">
        <v>342</v>
      </c>
      <c r="BK70" s="137" t="s">
        <v>233</v>
      </c>
      <c r="BL70" s="137">
        <v>0</v>
      </c>
      <c r="BM70" s="137">
        <v>1872</v>
      </c>
      <c r="BN70" s="137">
        <v>1278</v>
      </c>
      <c r="BO70" s="137" t="s">
        <v>233</v>
      </c>
      <c r="BP70" s="137">
        <v>749</v>
      </c>
      <c r="BQ70" s="137">
        <v>1486</v>
      </c>
      <c r="BR70" s="139">
        <v>1270</v>
      </c>
      <c r="BS70" s="137">
        <v>215</v>
      </c>
      <c r="BT70" s="137">
        <v>5764</v>
      </c>
      <c r="BU70" s="137">
        <v>1334</v>
      </c>
      <c r="BV70" s="137">
        <v>2883</v>
      </c>
      <c r="BW70" s="137">
        <v>1627</v>
      </c>
      <c r="BX70" s="137">
        <v>3007</v>
      </c>
      <c r="BY70" s="137">
        <v>2784</v>
      </c>
      <c r="BZ70" s="137">
        <v>4133</v>
      </c>
      <c r="CA70" s="137">
        <v>2677</v>
      </c>
      <c r="CB70" s="139">
        <v>6610</v>
      </c>
      <c r="CC70" s="137">
        <v>2429</v>
      </c>
      <c r="CD70" s="137">
        <v>2971</v>
      </c>
      <c r="CE70" s="137">
        <v>3211</v>
      </c>
      <c r="CF70" s="137" t="s">
        <v>233</v>
      </c>
      <c r="CG70" s="137">
        <v>2342</v>
      </c>
      <c r="CH70" s="137">
        <v>2501</v>
      </c>
      <c r="CI70" s="137">
        <v>3609</v>
      </c>
      <c r="CJ70" s="137">
        <v>9892</v>
      </c>
      <c r="CK70" s="138">
        <v>3153</v>
      </c>
      <c r="CL70" s="140">
        <v>94593</v>
      </c>
    </row>
    <row r="71" spans="1:90">
      <c r="A71" s="80">
        <f>ROWS($A$3:A69)</f>
        <v>67</v>
      </c>
      <c r="B71" s="54" t="s">
        <v>67</v>
      </c>
      <c r="C71" s="252"/>
      <c r="D71" s="254" t="s">
        <v>1</v>
      </c>
      <c r="E71" s="269"/>
      <c r="F71" s="167">
        <f>IF(OR(F69&lt;0.1,F70&lt;0.1),0,F70/F69)</f>
        <v>32.810846560846564</v>
      </c>
      <c r="G71" s="168">
        <f>IF(OR(G69&lt;0.1,G70&lt;0.1),0,G70/G69)</f>
        <v>37.823529411764703</v>
      </c>
      <c r="H71" s="168">
        <f>IF(OR(H69&lt;0.1,H70&lt;0.1),0,H70/H69)</f>
        <v>29.584366062917063</v>
      </c>
      <c r="I71" s="169">
        <f>IF(OR(I69&lt;0.1,I70&lt;0.1),0,I70/I69)</f>
        <v>34.606896551724141</v>
      </c>
      <c r="J71" s="173"/>
      <c r="K71" s="178">
        <f>BF71</f>
        <v>29.032967032967033</v>
      </c>
      <c r="L71" s="179">
        <f>AY71</f>
        <v>30.176470588235293</v>
      </c>
      <c r="M71" s="179">
        <f>BD71</f>
        <v>35.317307692307693</v>
      </c>
      <c r="N71" s="179">
        <f>AW71</f>
        <v>37.575000000000003</v>
      </c>
      <c r="O71" s="179">
        <f>BE71</f>
        <v>53.7</v>
      </c>
      <c r="P71" s="168">
        <f>IF(OR(P69&lt;0.1,P70&lt;0.1),0,P70/P69)</f>
        <v>26.65</v>
      </c>
      <c r="Q71" s="179">
        <f>'2008'!AU71</f>
        <v>39.307692307692307</v>
      </c>
      <c r="R71" s="168">
        <f>IF(OR(R69&lt;0.1,R70&lt;0.1),0,R70/R69)</f>
        <v>26.25</v>
      </c>
      <c r="S71" s="179">
        <f>AV71</f>
        <v>29.524999999999999</v>
      </c>
      <c r="T71" s="179">
        <f t="shared" si="138"/>
        <v>32.40625</v>
      </c>
      <c r="U71" s="180">
        <f t="shared" si="138"/>
        <v>33.391666666666666</v>
      </c>
      <c r="V71" s="168">
        <f>IF(OR(V69&lt;0.1,V70&lt;0.1),0,V70/V69)</f>
        <v>31.055555555555557</v>
      </c>
      <c r="W71" s="179">
        <f>BR71</f>
        <v>36.285714285714285</v>
      </c>
      <c r="X71" s="168">
        <f>IF(OR(X69&lt;0.1,X70&lt;0.1),0,X70/X69)</f>
        <v>30.131578947368421</v>
      </c>
      <c r="Y71" s="168">
        <f>IF(OR(Y69&lt;0.1,Y70&lt;0.1),0,Y70/Y69)</f>
        <v>36.514285714285712</v>
      </c>
      <c r="Z71" s="179">
        <f>BM71</f>
        <v>53.485714285714288</v>
      </c>
      <c r="AA71" s="168">
        <f>IF(OR(AA69&lt;0.1,AA70&lt;0.1),0,AA70/AA69)</f>
        <v>42.457142857142856</v>
      </c>
      <c r="AB71" s="180">
        <f>BP71</f>
        <v>29.96</v>
      </c>
      <c r="AC71" s="179">
        <f>BX71</f>
        <v>30.683673469387756</v>
      </c>
      <c r="AD71" s="179">
        <f>BU71</f>
        <v>17.324675324675326</v>
      </c>
      <c r="AE71" s="168">
        <f>IF(OR(AE69&lt;0.1,AE70&lt;0.1),0,AE70/AE69)</f>
        <v>22.908045977011493</v>
      </c>
      <c r="AF71" s="179">
        <f>CA71</f>
        <v>26.504950495049506</v>
      </c>
      <c r="AG71" s="179">
        <f>BV71</f>
        <v>21.043795620437955</v>
      </c>
      <c r="AH71" s="179">
        <f>BZ71</f>
        <v>42.173469387755105</v>
      </c>
      <c r="AI71" s="179">
        <f>BW71</f>
        <v>35.369565217391305</v>
      </c>
      <c r="AJ71" s="179">
        <f>BY71</f>
        <v>69.599999999999994</v>
      </c>
      <c r="AK71" s="180">
        <f>CB71</f>
        <v>34.607329842931939</v>
      </c>
      <c r="AL71" s="179">
        <f>CE71</f>
        <v>58.381818181818183</v>
      </c>
      <c r="AM71" s="179">
        <f>CH71</f>
        <v>41.68333333333333</v>
      </c>
      <c r="AN71" s="179">
        <f>CJ71</f>
        <v>30.436923076923076</v>
      </c>
      <c r="AO71" s="179">
        <f t="shared" si="139"/>
        <v>36.803030303030305</v>
      </c>
      <c r="AP71" s="179">
        <f t="shared" si="139"/>
        <v>74.275000000000006</v>
      </c>
      <c r="AQ71" s="179">
        <f>CK71</f>
        <v>40.948051948051948</v>
      </c>
      <c r="AR71" s="179">
        <f>CI71</f>
        <v>20.275280898876403</v>
      </c>
      <c r="AS71" s="169">
        <f t="shared" ref="AS71:BJ71" si="140">IF(OR(AS69&lt;0.1,AS70&lt;0.1),0,AS70/AS69)</f>
        <v>33.94202898550725</v>
      </c>
      <c r="AT71" s="168">
        <f t="shared" si="140"/>
        <v>38</v>
      </c>
      <c r="AU71" s="168">
        <f t="shared" si="140"/>
        <v>39.307692307692307</v>
      </c>
      <c r="AV71" s="168">
        <f t="shared" si="140"/>
        <v>29.524999999999999</v>
      </c>
      <c r="AW71" s="168">
        <f t="shared" si="140"/>
        <v>37.575000000000003</v>
      </c>
      <c r="AX71" s="168">
        <f t="shared" si="140"/>
        <v>24.422222222222221</v>
      </c>
      <c r="AY71" s="168">
        <f t="shared" si="140"/>
        <v>30.176470588235293</v>
      </c>
      <c r="AZ71" s="168">
        <f t="shared" si="140"/>
        <v>12.428571428571429</v>
      </c>
      <c r="BA71" s="168">
        <f t="shared" si="140"/>
        <v>28.528301886792452</v>
      </c>
      <c r="BB71" s="168">
        <f t="shared" si="140"/>
        <v>32.40625</v>
      </c>
      <c r="BC71" s="168">
        <f t="shared" si="140"/>
        <v>33.391666666666666</v>
      </c>
      <c r="BD71" s="168">
        <f t="shared" si="140"/>
        <v>35.317307692307693</v>
      </c>
      <c r="BE71" s="168">
        <f t="shared" si="140"/>
        <v>53.7</v>
      </c>
      <c r="BF71" s="176">
        <f t="shared" si="140"/>
        <v>29.032967032967033</v>
      </c>
      <c r="BG71" s="168">
        <f t="shared" si="140"/>
        <v>54.25</v>
      </c>
      <c r="BH71" s="168">
        <f t="shared" si="140"/>
        <v>24.5</v>
      </c>
      <c r="BI71" s="168">
        <f t="shared" si="140"/>
        <v>31.1875</v>
      </c>
      <c r="BJ71" s="168">
        <f t="shared" si="140"/>
        <v>24.428571428571427</v>
      </c>
      <c r="BK71" s="168">
        <v>0</v>
      </c>
      <c r="BL71" s="168">
        <f>IF(OR(BL69&lt;0.1,BL70&lt;0.1),0,BL70/BL69)</f>
        <v>0</v>
      </c>
      <c r="BM71" s="168">
        <f>IF(OR(BM69&lt;0.1,BM70&lt;0.1),0,BM70/BM69)</f>
        <v>53.485714285714288</v>
      </c>
      <c r="BN71" s="168">
        <f>IF(OR(BN69&lt;0.1,BN70&lt;0.1),0,BN70/BN69)</f>
        <v>39.9375</v>
      </c>
      <c r="BO71" s="168">
        <v>0</v>
      </c>
      <c r="BP71" s="168">
        <f t="shared" ref="BP71:CE71" si="141">IF(OR(BP69&lt;0.1,BP70&lt;0.1),0,BP70/BP69)</f>
        <v>29.96</v>
      </c>
      <c r="BQ71" s="168">
        <f t="shared" si="141"/>
        <v>45.030303030303031</v>
      </c>
      <c r="BR71" s="176">
        <f t="shared" si="141"/>
        <v>36.285714285714285</v>
      </c>
      <c r="BS71" s="168">
        <f t="shared" si="141"/>
        <v>14.333333333333334</v>
      </c>
      <c r="BT71" s="168">
        <f t="shared" si="141"/>
        <v>23.430894308943088</v>
      </c>
      <c r="BU71" s="168">
        <f t="shared" si="141"/>
        <v>17.324675324675326</v>
      </c>
      <c r="BV71" s="168">
        <f t="shared" si="141"/>
        <v>21.043795620437955</v>
      </c>
      <c r="BW71" s="168">
        <f t="shared" si="141"/>
        <v>35.369565217391305</v>
      </c>
      <c r="BX71" s="168">
        <f t="shared" si="141"/>
        <v>30.683673469387756</v>
      </c>
      <c r="BY71" s="168">
        <f t="shared" si="141"/>
        <v>69.599999999999994</v>
      </c>
      <c r="BZ71" s="168">
        <f t="shared" si="141"/>
        <v>42.173469387755105</v>
      </c>
      <c r="CA71" s="168">
        <f t="shared" si="141"/>
        <v>26.504950495049506</v>
      </c>
      <c r="CB71" s="176">
        <f t="shared" si="141"/>
        <v>34.607329842931939</v>
      </c>
      <c r="CC71" s="168">
        <f t="shared" si="141"/>
        <v>36.803030303030305</v>
      </c>
      <c r="CD71" s="168">
        <f t="shared" si="141"/>
        <v>74.275000000000006</v>
      </c>
      <c r="CE71" s="168">
        <f t="shared" si="141"/>
        <v>58.381818181818183</v>
      </c>
      <c r="CF71" s="168">
        <v>0</v>
      </c>
      <c r="CG71" s="168">
        <f t="shared" ref="CG71:CL71" si="142">IF(OR(CG69&lt;0.1,CG70&lt;0.1),0,CG70/CG69)</f>
        <v>34.441176470588232</v>
      </c>
      <c r="CH71" s="168">
        <f t="shared" si="142"/>
        <v>41.68333333333333</v>
      </c>
      <c r="CI71" s="168">
        <f t="shared" si="142"/>
        <v>20.275280898876403</v>
      </c>
      <c r="CJ71" s="168">
        <f t="shared" si="142"/>
        <v>30.436923076923076</v>
      </c>
      <c r="CK71" s="169">
        <f t="shared" si="142"/>
        <v>40.948051948051948</v>
      </c>
      <c r="CL71" s="177">
        <f t="shared" si="142"/>
        <v>32.663328729281766</v>
      </c>
    </row>
    <row r="72" spans="1:90">
      <c r="A72" s="80">
        <f>ROWS($A$3:A70)</f>
        <v>68</v>
      </c>
      <c r="B72" s="59" t="s">
        <v>83</v>
      </c>
      <c r="C72" s="203"/>
      <c r="D72" s="254"/>
      <c r="E72" s="269"/>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202">
        <v>2007</v>
      </c>
      <c r="D73" s="254" t="s">
        <v>13</v>
      </c>
      <c r="E73" s="269"/>
      <c r="F73" s="116">
        <v>3236</v>
      </c>
      <c r="G73" s="137">
        <v>1923</v>
      </c>
      <c r="H73" s="137">
        <v>1605</v>
      </c>
      <c r="I73" s="138">
        <v>2415</v>
      </c>
      <c r="J73" s="141"/>
      <c r="K73" s="116">
        <f t="shared" ref="K73:K78" si="143">BF73</f>
        <v>258</v>
      </c>
      <c r="L73" s="137">
        <f t="shared" ref="L73:L78" si="144">AY73</f>
        <v>124</v>
      </c>
      <c r="M73" s="137">
        <f t="shared" ref="M73:M78" si="145">BD73</f>
        <v>783</v>
      </c>
      <c r="N73" s="137">
        <f t="shared" ref="N73:N78" si="146">AW73</f>
        <v>78</v>
      </c>
      <c r="O73" s="137">
        <f t="shared" ref="O73:O78" si="147">BE73</f>
        <v>164</v>
      </c>
      <c r="P73" s="137">
        <f>'2008'!AZ73+'2008'!BA73</f>
        <v>528</v>
      </c>
      <c r="Q73" s="137">
        <f>'2008'!AU73</f>
        <v>343</v>
      </c>
      <c r="R73" s="137">
        <f t="shared" ref="R73:R78" si="148">AT73+AX73</f>
        <v>373</v>
      </c>
      <c r="S73" s="137">
        <f t="shared" ref="S73:S78" si="149">AV73</f>
        <v>189</v>
      </c>
      <c r="T73" s="137">
        <f t="shared" ref="T73:U78" si="150">BB73</f>
        <v>211</v>
      </c>
      <c r="U73" s="139">
        <f t="shared" si="150"/>
        <v>185</v>
      </c>
      <c r="V73" s="137">
        <f t="shared" ref="V73:V78" si="151">BG73+BJ73</f>
        <v>146</v>
      </c>
      <c r="W73" s="137">
        <f t="shared" ref="W73:W78" si="152">BR73</f>
        <v>159</v>
      </c>
      <c r="X73" s="137">
        <f t="shared" ref="X73:X78" si="153">BH73+BI73</f>
        <v>423</v>
      </c>
      <c r="Y73" s="137">
        <f t="shared" ref="Y73:Y78" si="154">BK73+BL73+BN73</f>
        <v>513</v>
      </c>
      <c r="Z73" s="137">
        <f t="shared" ref="Z73:Z78" si="155">BM73</f>
        <v>398</v>
      </c>
      <c r="AA73" s="137">
        <f t="shared" ref="AA73:AA78" si="156">BO73+BQ73</f>
        <v>148</v>
      </c>
      <c r="AB73" s="139">
        <f t="shared" ref="AB73:AB78" si="157">BP73</f>
        <v>136</v>
      </c>
      <c r="AC73" s="137">
        <f t="shared" ref="AC73:AC78" si="158">BX73</f>
        <v>124</v>
      </c>
      <c r="AD73" s="137">
        <f t="shared" ref="AD73:AD78" si="159">BU73</f>
        <v>143</v>
      </c>
      <c r="AE73" s="137">
        <f t="shared" ref="AE73:AE78" si="160">BS73+BT73</f>
        <v>261</v>
      </c>
      <c r="AF73" s="137">
        <f t="shared" ref="AF73:AF78" si="161">CA73</f>
        <v>54</v>
      </c>
      <c r="AG73" s="137">
        <f t="shared" ref="AG73:AG78" si="162">BV73</f>
        <v>438</v>
      </c>
      <c r="AH73" s="137">
        <f t="shared" ref="AH73:AH78" si="163">BZ73</f>
        <v>209</v>
      </c>
      <c r="AI73" s="137">
        <f t="shared" ref="AI73:AI78" si="164">BW73</f>
        <v>192</v>
      </c>
      <c r="AJ73" s="137">
        <f t="shared" ref="AJ73:AJ78" si="165">BY73</f>
        <v>58</v>
      </c>
      <c r="AK73" s="139">
        <f t="shared" ref="AK73:AK78" si="166">CB73</f>
        <v>126</v>
      </c>
      <c r="AL73" s="137">
        <f t="shared" ref="AL73:AL78" si="167">CE73</f>
        <v>213</v>
      </c>
      <c r="AM73" s="137">
        <f t="shared" ref="AM73:AM78" si="168">CH73</f>
        <v>407</v>
      </c>
      <c r="AN73" s="137">
        <f t="shared" ref="AN73:AN78" si="169">CJ73</f>
        <v>132</v>
      </c>
      <c r="AO73" s="137">
        <f t="shared" ref="AO73:AP78" si="170">CC73</f>
        <v>318</v>
      </c>
      <c r="AP73" s="137">
        <f t="shared" si="170"/>
        <v>233</v>
      </c>
      <c r="AQ73" s="137">
        <f t="shared" ref="AQ73:AQ78" si="171">CK73</f>
        <v>351</v>
      </c>
      <c r="AR73" s="137">
        <f t="shared" ref="AR73:AR78" si="172">CI73</f>
        <v>154</v>
      </c>
      <c r="AS73" s="138">
        <f t="shared" ref="AS73:AS78" si="173">CF73+CG73</f>
        <v>607</v>
      </c>
      <c r="AT73" s="137">
        <v>29</v>
      </c>
      <c r="AU73" s="137">
        <v>343</v>
      </c>
      <c r="AV73" s="137">
        <v>189</v>
      </c>
      <c r="AW73" s="141">
        <v>78</v>
      </c>
      <c r="AX73" s="137">
        <v>344</v>
      </c>
      <c r="AY73" s="137">
        <v>124</v>
      </c>
      <c r="AZ73" s="137">
        <v>63</v>
      </c>
      <c r="BA73" s="137">
        <v>465</v>
      </c>
      <c r="BB73" s="137">
        <v>211</v>
      </c>
      <c r="BC73" s="137">
        <v>185</v>
      </c>
      <c r="BD73" s="137">
        <v>783</v>
      </c>
      <c r="BE73" s="137">
        <v>164</v>
      </c>
      <c r="BF73" s="139">
        <v>258</v>
      </c>
      <c r="BG73" s="137">
        <v>5</v>
      </c>
      <c r="BH73" s="137">
        <v>30</v>
      </c>
      <c r="BI73" s="137">
        <v>393</v>
      </c>
      <c r="BJ73" s="137">
        <v>141</v>
      </c>
      <c r="BK73" s="137">
        <v>31</v>
      </c>
      <c r="BL73" s="137">
        <v>48</v>
      </c>
      <c r="BM73" s="137">
        <v>398</v>
      </c>
      <c r="BN73" s="137">
        <v>434</v>
      </c>
      <c r="BO73" s="137">
        <v>4</v>
      </c>
      <c r="BP73" s="137">
        <v>136</v>
      </c>
      <c r="BQ73" s="137">
        <v>144</v>
      </c>
      <c r="BR73" s="139">
        <v>159</v>
      </c>
      <c r="BS73" s="137">
        <v>16</v>
      </c>
      <c r="BT73" s="137">
        <v>245</v>
      </c>
      <c r="BU73" s="137">
        <v>143</v>
      </c>
      <c r="BV73" s="137">
        <v>438</v>
      </c>
      <c r="BW73" s="137">
        <v>192</v>
      </c>
      <c r="BX73" s="137">
        <v>124</v>
      </c>
      <c r="BY73" s="137">
        <v>58</v>
      </c>
      <c r="BZ73" s="137">
        <v>209</v>
      </c>
      <c r="CA73" s="137">
        <v>54</v>
      </c>
      <c r="CB73" s="139">
        <v>126</v>
      </c>
      <c r="CC73" s="137">
        <v>318</v>
      </c>
      <c r="CD73" s="137">
        <v>233</v>
      </c>
      <c r="CE73" s="137">
        <v>213</v>
      </c>
      <c r="CF73" s="137">
        <v>44</v>
      </c>
      <c r="CG73" s="137">
        <v>563</v>
      </c>
      <c r="CH73" s="137">
        <v>407</v>
      </c>
      <c r="CI73" s="137">
        <v>154</v>
      </c>
      <c r="CJ73" s="137">
        <v>132</v>
      </c>
      <c r="CK73" s="138">
        <v>351</v>
      </c>
      <c r="CL73" s="140">
        <v>9179</v>
      </c>
    </row>
    <row r="74" spans="1:90">
      <c r="A74" s="80">
        <f>ROWS($A$3:A72)</f>
        <v>70</v>
      </c>
      <c r="B74" s="92" t="s">
        <v>85</v>
      </c>
      <c r="C74" s="203"/>
      <c r="D74" s="254" t="s">
        <v>13</v>
      </c>
      <c r="E74" s="269"/>
      <c r="F74" s="116">
        <v>598</v>
      </c>
      <c r="G74" s="137">
        <v>342</v>
      </c>
      <c r="H74" s="137">
        <v>417</v>
      </c>
      <c r="I74" s="138">
        <v>243</v>
      </c>
      <c r="J74" s="141"/>
      <c r="K74" s="116">
        <f t="shared" si="143"/>
        <v>55</v>
      </c>
      <c r="L74" s="137">
        <f t="shared" si="144"/>
        <v>96</v>
      </c>
      <c r="M74" s="137">
        <f t="shared" si="145"/>
        <v>15</v>
      </c>
      <c r="N74" s="137">
        <f t="shared" si="146"/>
        <v>39</v>
      </c>
      <c r="O74" s="137">
        <f t="shared" si="147"/>
        <v>14</v>
      </c>
      <c r="P74" s="137">
        <f>'2008'!AZ74+'2008'!BA74</f>
        <v>64</v>
      </c>
      <c r="Q74" s="137">
        <f>'2008'!AU74</f>
        <v>30</v>
      </c>
      <c r="R74" s="137">
        <f t="shared" si="148"/>
        <v>172</v>
      </c>
      <c r="S74" s="137">
        <f t="shared" si="149"/>
        <v>71</v>
      </c>
      <c r="T74" s="137">
        <f t="shared" si="150"/>
        <v>18</v>
      </c>
      <c r="U74" s="139">
        <f t="shared" si="150"/>
        <v>24</v>
      </c>
      <c r="V74" s="137">
        <f t="shared" si="151"/>
        <v>39</v>
      </c>
      <c r="W74" s="137">
        <f t="shared" si="152"/>
        <v>18</v>
      </c>
      <c r="X74" s="137">
        <f t="shared" si="153"/>
        <v>78</v>
      </c>
      <c r="Y74" s="137">
        <f t="shared" si="154"/>
        <v>107</v>
      </c>
      <c r="Z74" s="137">
        <f t="shared" si="155"/>
        <v>24</v>
      </c>
      <c r="AA74" s="137">
        <f t="shared" si="156"/>
        <v>42</v>
      </c>
      <c r="AB74" s="139">
        <f t="shared" si="157"/>
        <v>34</v>
      </c>
      <c r="AC74" s="137">
        <f t="shared" si="158"/>
        <v>18</v>
      </c>
      <c r="AD74" s="137">
        <f t="shared" si="159"/>
        <v>39</v>
      </c>
      <c r="AE74" s="137">
        <f t="shared" si="160"/>
        <v>73</v>
      </c>
      <c r="AF74" s="137">
        <f t="shared" si="161"/>
        <v>35</v>
      </c>
      <c r="AG74" s="137">
        <f t="shared" si="162"/>
        <v>78</v>
      </c>
      <c r="AH74" s="137">
        <f t="shared" si="163"/>
        <v>133</v>
      </c>
      <c r="AI74" s="137">
        <f t="shared" si="164"/>
        <v>14</v>
      </c>
      <c r="AJ74" s="137">
        <f t="shared" si="165"/>
        <v>6</v>
      </c>
      <c r="AK74" s="139">
        <f t="shared" si="166"/>
        <v>21</v>
      </c>
      <c r="AL74" s="137">
        <f t="shared" si="167"/>
        <v>24</v>
      </c>
      <c r="AM74" s="137">
        <f t="shared" si="168"/>
        <v>35</v>
      </c>
      <c r="AN74" s="137">
        <f t="shared" si="169"/>
        <v>32</v>
      </c>
      <c r="AO74" s="137">
        <f t="shared" si="170"/>
        <v>38</v>
      </c>
      <c r="AP74" s="137">
        <f t="shared" si="170"/>
        <v>26</v>
      </c>
      <c r="AQ74" s="137">
        <f t="shared" si="171"/>
        <v>20</v>
      </c>
      <c r="AR74" s="137">
        <f t="shared" si="172"/>
        <v>32</v>
      </c>
      <c r="AS74" s="138">
        <f t="shared" si="173"/>
        <v>36</v>
      </c>
      <c r="AT74" s="141">
        <v>63</v>
      </c>
      <c r="AU74" s="141">
        <v>30</v>
      </c>
      <c r="AV74" s="141">
        <v>71</v>
      </c>
      <c r="AW74" s="141">
        <v>39</v>
      </c>
      <c r="AX74" s="141">
        <v>109</v>
      </c>
      <c r="AY74" s="137">
        <v>96</v>
      </c>
      <c r="AZ74" s="137">
        <v>14</v>
      </c>
      <c r="BA74" s="137">
        <v>50</v>
      </c>
      <c r="BB74" s="137">
        <v>18</v>
      </c>
      <c r="BC74" s="137">
        <v>24</v>
      </c>
      <c r="BD74" s="137">
        <v>15</v>
      </c>
      <c r="BE74" s="137">
        <v>14</v>
      </c>
      <c r="BF74" s="139">
        <v>55</v>
      </c>
      <c r="BG74" s="137">
        <v>12</v>
      </c>
      <c r="BH74" s="137">
        <v>22</v>
      </c>
      <c r="BI74" s="137">
        <v>56</v>
      </c>
      <c r="BJ74" s="137">
        <v>27</v>
      </c>
      <c r="BK74" s="137">
        <v>33</v>
      </c>
      <c r="BL74" s="137">
        <v>18</v>
      </c>
      <c r="BM74" s="137">
        <v>24</v>
      </c>
      <c r="BN74" s="137">
        <v>56</v>
      </c>
      <c r="BO74" s="137">
        <v>13</v>
      </c>
      <c r="BP74" s="137">
        <v>34</v>
      </c>
      <c r="BQ74" s="137">
        <v>29</v>
      </c>
      <c r="BR74" s="139">
        <v>18</v>
      </c>
      <c r="BS74" s="137">
        <v>14</v>
      </c>
      <c r="BT74" s="137">
        <v>59</v>
      </c>
      <c r="BU74" s="137">
        <v>39</v>
      </c>
      <c r="BV74" s="137">
        <v>78</v>
      </c>
      <c r="BW74" s="137">
        <v>14</v>
      </c>
      <c r="BX74" s="137">
        <v>18</v>
      </c>
      <c r="BY74" s="137">
        <v>6</v>
      </c>
      <c r="BZ74" s="137">
        <v>133</v>
      </c>
      <c r="CA74" s="137">
        <v>35</v>
      </c>
      <c r="CB74" s="139">
        <v>21</v>
      </c>
      <c r="CC74" s="137">
        <v>38</v>
      </c>
      <c r="CD74" s="137">
        <v>26</v>
      </c>
      <c r="CE74" s="137">
        <v>24</v>
      </c>
      <c r="CF74" s="137">
        <v>15</v>
      </c>
      <c r="CG74" s="137">
        <v>21</v>
      </c>
      <c r="CH74" s="137">
        <v>35</v>
      </c>
      <c r="CI74" s="137">
        <v>32</v>
      </c>
      <c r="CJ74" s="137">
        <v>32</v>
      </c>
      <c r="CK74" s="138">
        <v>20</v>
      </c>
      <c r="CL74" s="140">
        <v>1600</v>
      </c>
    </row>
    <row r="75" spans="1:90">
      <c r="A75" s="80">
        <f>ROWS($A$3:A73)</f>
        <v>71</v>
      </c>
      <c r="B75" s="92" t="s">
        <v>86</v>
      </c>
      <c r="C75" s="203"/>
      <c r="D75" s="254" t="s">
        <v>13</v>
      </c>
      <c r="E75" s="269"/>
      <c r="F75" s="116">
        <v>4333</v>
      </c>
      <c r="G75" s="137">
        <v>1187</v>
      </c>
      <c r="H75" s="137">
        <v>6063</v>
      </c>
      <c r="I75" s="138">
        <v>1239</v>
      </c>
      <c r="J75" s="141"/>
      <c r="K75" s="116">
        <f t="shared" si="143"/>
        <v>10</v>
      </c>
      <c r="L75" s="137">
        <f t="shared" si="144"/>
        <v>611</v>
      </c>
      <c r="M75" s="137">
        <f t="shared" si="145"/>
        <v>306</v>
      </c>
      <c r="N75" s="137">
        <f t="shared" si="146"/>
        <v>44</v>
      </c>
      <c r="O75" s="137">
        <f t="shared" si="147"/>
        <v>4</v>
      </c>
      <c r="P75" s="137">
        <f>'2008'!AZ75+'2008'!BA75</f>
        <v>1739</v>
      </c>
      <c r="Q75" s="137">
        <f>'2008'!AU75</f>
        <v>51</v>
      </c>
      <c r="R75" s="137">
        <f t="shared" si="148"/>
        <v>994</v>
      </c>
      <c r="S75" s="137">
        <f t="shared" si="149"/>
        <v>115</v>
      </c>
      <c r="T75" s="137">
        <f t="shared" si="150"/>
        <v>444</v>
      </c>
      <c r="U75" s="139">
        <f t="shared" si="150"/>
        <v>15</v>
      </c>
      <c r="V75" s="137">
        <f t="shared" si="151"/>
        <v>554</v>
      </c>
      <c r="W75" s="137">
        <f t="shared" si="152"/>
        <v>5</v>
      </c>
      <c r="X75" s="137">
        <f t="shared" si="153"/>
        <v>237</v>
      </c>
      <c r="Y75" s="137">
        <f t="shared" si="154"/>
        <v>248</v>
      </c>
      <c r="Z75" s="137">
        <f t="shared" si="155"/>
        <v>51</v>
      </c>
      <c r="AA75" s="137">
        <f t="shared" si="156"/>
        <v>87</v>
      </c>
      <c r="AB75" s="139">
        <f t="shared" si="157"/>
        <v>5</v>
      </c>
      <c r="AC75" s="137">
        <f t="shared" si="158"/>
        <v>3</v>
      </c>
      <c r="AD75" s="137">
        <f t="shared" si="159"/>
        <v>930</v>
      </c>
      <c r="AE75" s="137">
        <f t="shared" si="160"/>
        <v>2240</v>
      </c>
      <c r="AF75" s="137">
        <f t="shared" si="161"/>
        <v>335</v>
      </c>
      <c r="AG75" s="137">
        <f t="shared" si="162"/>
        <v>2339</v>
      </c>
      <c r="AH75" s="137">
        <f t="shared" si="163"/>
        <v>144</v>
      </c>
      <c r="AI75" s="137">
        <f t="shared" si="164"/>
        <v>9</v>
      </c>
      <c r="AJ75" s="137">
        <f t="shared" si="165"/>
        <v>3</v>
      </c>
      <c r="AK75" s="139">
        <f t="shared" si="166"/>
        <v>60</v>
      </c>
      <c r="AL75" s="137">
        <f t="shared" si="167"/>
        <v>5</v>
      </c>
      <c r="AM75" s="137">
        <f t="shared" si="168"/>
        <v>9</v>
      </c>
      <c r="AN75" s="137">
        <f t="shared" si="169"/>
        <v>155</v>
      </c>
      <c r="AO75" s="137">
        <f t="shared" si="170"/>
        <v>43</v>
      </c>
      <c r="AP75" s="137">
        <f t="shared" si="170"/>
        <v>25</v>
      </c>
      <c r="AQ75" s="137">
        <f t="shared" si="171"/>
        <v>13</v>
      </c>
      <c r="AR75" s="137">
        <f t="shared" si="172"/>
        <v>968</v>
      </c>
      <c r="AS75" s="138">
        <f t="shared" si="173"/>
        <v>21</v>
      </c>
      <c r="AT75" s="141">
        <v>119</v>
      </c>
      <c r="AU75" s="141">
        <v>51</v>
      </c>
      <c r="AV75" s="141">
        <v>115</v>
      </c>
      <c r="AW75" s="141">
        <v>44</v>
      </c>
      <c r="AX75" s="141">
        <v>875</v>
      </c>
      <c r="AY75" s="137">
        <v>611</v>
      </c>
      <c r="AZ75" s="137">
        <v>115</v>
      </c>
      <c r="BA75" s="137">
        <v>1624</v>
      </c>
      <c r="BB75" s="137">
        <v>444</v>
      </c>
      <c r="BC75" s="137">
        <v>15</v>
      </c>
      <c r="BD75" s="137">
        <v>306</v>
      </c>
      <c r="BE75" s="137">
        <v>4</v>
      </c>
      <c r="BF75" s="139">
        <v>10</v>
      </c>
      <c r="BG75" s="137">
        <v>130</v>
      </c>
      <c r="BH75" s="137">
        <v>6</v>
      </c>
      <c r="BI75" s="137">
        <v>231</v>
      </c>
      <c r="BJ75" s="137">
        <v>424</v>
      </c>
      <c r="BK75" s="137">
        <v>15</v>
      </c>
      <c r="BL75" s="137">
        <v>1</v>
      </c>
      <c r="BM75" s="137">
        <v>51</v>
      </c>
      <c r="BN75" s="137">
        <v>232</v>
      </c>
      <c r="BO75" s="137">
        <v>0</v>
      </c>
      <c r="BP75" s="137">
        <v>5</v>
      </c>
      <c r="BQ75" s="137">
        <v>87</v>
      </c>
      <c r="BR75" s="139">
        <v>5</v>
      </c>
      <c r="BS75" s="137">
        <v>190</v>
      </c>
      <c r="BT75" s="137">
        <v>2050</v>
      </c>
      <c r="BU75" s="137">
        <v>930</v>
      </c>
      <c r="BV75" s="137">
        <v>2339</v>
      </c>
      <c r="BW75" s="137">
        <v>9</v>
      </c>
      <c r="BX75" s="137">
        <v>3</v>
      </c>
      <c r="BY75" s="137">
        <v>3</v>
      </c>
      <c r="BZ75" s="137">
        <v>144</v>
      </c>
      <c r="CA75" s="137">
        <v>335</v>
      </c>
      <c r="CB75" s="139">
        <v>60</v>
      </c>
      <c r="CC75" s="137">
        <v>43</v>
      </c>
      <c r="CD75" s="137">
        <v>25</v>
      </c>
      <c r="CE75" s="137">
        <v>5</v>
      </c>
      <c r="CF75" s="137">
        <v>3</v>
      </c>
      <c r="CG75" s="137">
        <v>18</v>
      </c>
      <c r="CH75" s="137">
        <v>9</v>
      </c>
      <c r="CI75" s="137">
        <v>968</v>
      </c>
      <c r="CJ75" s="137">
        <v>155</v>
      </c>
      <c r="CK75" s="138">
        <v>13</v>
      </c>
      <c r="CL75" s="140">
        <v>12822</v>
      </c>
    </row>
    <row r="76" spans="1:90">
      <c r="A76" s="80">
        <f>ROWS($A$3:A74)</f>
        <v>72</v>
      </c>
      <c r="B76" s="92" t="s">
        <v>87</v>
      </c>
      <c r="C76" s="203"/>
      <c r="D76" s="254" t="s">
        <v>13</v>
      </c>
      <c r="E76" s="269"/>
      <c r="F76" s="116">
        <v>5370</v>
      </c>
      <c r="G76" s="137">
        <v>1872</v>
      </c>
      <c r="H76" s="137">
        <v>7638</v>
      </c>
      <c r="I76" s="138">
        <v>6768</v>
      </c>
      <c r="J76" s="141"/>
      <c r="K76" s="116">
        <f t="shared" si="143"/>
        <v>1438</v>
      </c>
      <c r="L76" s="137">
        <f t="shared" si="144"/>
        <v>584</v>
      </c>
      <c r="M76" s="137">
        <f t="shared" si="145"/>
        <v>220</v>
      </c>
      <c r="N76" s="137">
        <f t="shared" si="146"/>
        <v>573</v>
      </c>
      <c r="O76" s="137">
        <f t="shared" si="147"/>
        <v>270</v>
      </c>
      <c r="P76" s="137">
        <f>'2008'!AZ76+'2008'!BA76</f>
        <v>179</v>
      </c>
      <c r="Q76" s="137">
        <f>'2008'!AU76</f>
        <v>149</v>
      </c>
      <c r="R76" s="137">
        <f t="shared" si="148"/>
        <v>141</v>
      </c>
      <c r="S76" s="137">
        <f t="shared" si="149"/>
        <v>277</v>
      </c>
      <c r="T76" s="137">
        <f t="shared" si="150"/>
        <v>357</v>
      </c>
      <c r="U76" s="139">
        <f t="shared" si="150"/>
        <v>1182</v>
      </c>
      <c r="V76" s="137">
        <f t="shared" si="151"/>
        <v>157</v>
      </c>
      <c r="W76" s="137">
        <f t="shared" si="152"/>
        <v>441</v>
      </c>
      <c r="X76" s="137">
        <f t="shared" si="153"/>
        <v>171</v>
      </c>
      <c r="Y76" s="137">
        <f t="shared" si="154"/>
        <v>258</v>
      </c>
      <c r="Z76" s="137">
        <f t="shared" si="155"/>
        <v>335</v>
      </c>
      <c r="AA76" s="137">
        <f t="shared" si="156"/>
        <v>164</v>
      </c>
      <c r="AB76" s="139">
        <f t="shared" si="157"/>
        <v>346</v>
      </c>
      <c r="AC76" s="137">
        <f t="shared" si="158"/>
        <v>950</v>
      </c>
      <c r="AD76" s="137">
        <f t="shared" si="159"/>
        <v>717</v>
      </c>
      <c r="AE76" s="137">
        <f t="shared" si="160"/>
        <v>1214</v>
      </c>
      <c r="AF76" s="137">
        <f t="shared" si="161"/>
        <v>766</v>
      </c>
      <c r="AG76" s="137">
        <f t="shared" si="162"/>
        <v>1509</v>
      </c>
      <c r="AH76" s="137">
        <f t="shared" si="163"/>
        <v>384</v>
      </c>
      <c r="AI76" s="137">
        <f t="shared" si="164"/>
        <v>591</v>
      </c>
      <c r="AJ76" s="137">
        <f t="shared" si="165"/>
        <v>332</v>
      </c>
      <c r="AK76" s="139">
        <f t="shared" si="166"/>
        <v>1175</v>
      </c>
      <c r="AL76" s="137">
        <f t="shared" si="167"/>
        <v>493</v>
      </c>
      <c r="AM76" s="137">
        <f t="shared" si="168"/>
        <v>1206</v>
      </c>
      <c r="AN76" s="137">
        <f t="shared" si="169"/>
        <v>2488</v>
      </c>
      <c r="AO76" s="137">
        <f t="shared" si="170"/>
        <v>545</v>
      </c>
      <c r="AP76" s="137">
        <f t="shared" si="170"/>
        <v>122</v>
      </c>
      <c r="AQ76" s="137">
        <f t="shared" si="171"/>
        <v>655</v>
      </c>
      <c r="AR76" s="137">
        <f t="shared" si="172"/>
        <v>515</v>
      </c>
      <c r="AS76" s="138">
        <f t="shared" si="173"/>
        <v>744</v>
      </c>
      <c r="AT76" s="141">
        <v>16</v>
      </c>
      <c r="AU76" s="141">
        <v>149</v>
      </c>
      <c r="AV76" s="141">
        <v>277</v>
      </c>
      <c r="AW76" s="141">
        <v>573</v>
      </c>
      <c r="AX76" s="141">
        <v>125</v>
      </c>
      <c r="AY76" s="137">
        <v>584</v>
      </c>
      <c r="AZ76" s="137">
        <v>5</v>
      </c>
      <c r="BA76" s="137">
        <v>174</v>
      </c>
      <c r="BB76" s="137">
        <v>357</v>
      </c>
      <c r="BC76" s="137">
        <v>1182</v>
      </c>
      <c r="BD76" s="137">
        <v>220</v>
      </c>
      <c r="BE76" s="137">
        <v>270</v>
      </c>
      <c r="BF76" s="139">
        <v>1438</v>
      </c>
      <c r="BG76" s="137">
        <v>28</v>
      </c>
      <c r="BH76" s="137">
        <v>15</v>
      </c>
      <c r="BI76" s="137">
        <v>156</v>
      </c>
      <c r="BJ76" s="137">
        <v>129</v>
      </c>
      <c r="BK76" s="137">
        <v>6</v>
      </c>
      <c r="BL76" s="137">
        <v>8</v>
      </c>
      <c r="BM76" s="137">
        <v>335</v>
      </c>
      <c r="BN76" s="137">
        <v>244</v>
      </c>
      <c r="BO76" s="137">
        <v>13</v>
      </c>
      <c r="BP76" s="137">
        <v>346</v>
      </c>
      <c r="BQ76" s="137">
        <v>151</v>
      </c>
      <c r="BR76" s="139">
        <v>441</v>
      </c>
      <c r="BS76" s="137">
        <v>22</v>
      </c>
      <c r="BT76" s="137">
        <v>1192</v>
      </c>
      <c r="BU76" s="137">
        <v>717</v>
      </c>
      <c r="BV76" s="137">
        <v>1509</v>
      </c>
      <c r="BW76" s="137">
        <v>591</v>
      </c>
      <c r="BX76" s="137">
        <v>950</v>
      </c>
      <c r="BY76" s="137">
        <v>332</v>
      </c>
      <c r="BZ76" s="137">
        <v>384</v>
      </c>
      <c r="CA76" s="137">
        <v>766</v>
      </c>
      <c r="CB76" s="139">
        <v>1175</v>
      </c>
      <c r="CC76" s="137">
        <v>545</v>
      </c>
      <c r="CD76" s="137">
        <v>122</v>
      </c>
      <c r="CE76" s="137">
        <v>493</v>
      </c>
      <c r="CF76" s="137">
        <v>29</v>
      </c>
      <c r="CG76" s="137">
        <v>715</v>
      </c>
      <c r="CH76" s="137">
        <v>1206</v>
      </c>
      <c r="CI76" s="137">
        <v>515</v>
      </c>
      <c r="CJ76" s="137">
        <v>2488</v>
      </c>
      <c r="CK76" s="138">
        <v>655</v>
      </c>
      <c r="CL76" s="140">
        <v>21648</v>
      </c>
    </row>
    <row r="77" spans="1:90">
      <c r="A77" s="80">
        <f>ROWS($A$3:A75)</f>
        <v>73</v>
      </c>
      <c r="B77" s="92" t="s">
        <v>88</v>
      </c>
      <c r="C77" s="203"/>
      <c r="D77" s="254" t="s">
        <v>13</v>
      </c>
      <c r="E77" s="269"/>
      <c r="F77" s="116">
        <v>806</v>
      </c>
      <c r="G77" s="137">
        <v>55</v>
      </c>
      <c r="H77" s="137">
        <v>94</v>
      </c>
      <c r="I77" s="138">
        <v>392</v>
      </c>
      <c r="J77" s="141"/>
      <c r="K77" s="116">
        <f t="shared" si="143"/>
        <v>84</v>
      </c>
      <c r="L77" s="137">
        <f t="shared" si="144"/>
        <v>16</v>
      </c>
      <c r="M77" s="137">
        <f t="shared" si="145"/>
        <v>93</v>
      </c>
      <c r="N77" s="137">
        <f t="shared" si="146"/>
        <v>14</v>
      </c>
      <c r="O77" s="137">
        <f t="shared" si="147"/>
        <v>19</v>
      </c>
      <c r="P77" s="137">
        <f>'2008'!AZ77+'2008'!BA77</f>
        <v>14</v>
      </c>
      <c r="Q77" s="137">
        <f>'2008'!AU77</f>
        <v>8</v>
      </c>
      <c r="R77" s="137">
        <f t="shared" si="148"/>
        <v>14</v>
      </c>
      <c r="S77" s="137">
        <f t="shared" si="149"/>
        <v>7</v>
      </c>
      <c r="T77" s="137">
        <f t="shared" si="150"/>
        <v>119</v>
      </c>
      <c r="U77" s="139">
        <f t="shared" si="150"/>
        <v>418</v>
      </c>
      <c r="V77" s="137">
        <f t="shared" si="151"/>
        <v>3</v>
      </c>
      <c r="W77" s="137">
        <f t="shared" si="152"/>
        <v>8</v>
      </c>
      <c r="X77" s="137">
        <f t="shared" si="153"/>
        <v>3</v>
      </c>
      <c r="Y77" s="137">
        <f t="shared" si="154"/>
        <v>17</v>
      </c>
      <c r="Z77" s="137">
        <f t="shared" si="155"/>
        <v>13</v>
      </c>
      <c r="AA77" s="137">
        <f t="shared" si="156"/>
        <v>4</v>
      </c>
      <c r="AB77" s="139">
        <f t="shared" si="157"/>
        <v>7</v>
      </c>
      <c r="AC77" s="137">
        <f t="shared" si="158"/>
        <v>14</v>
      </c>
      <c r="AD77" s="137">
        <f t="shared" si="159"/>
        <v>6</v>
      </c>
      <c r="AE77" s="137">
        <f t="shared" si="160"/>
        <v>6</v>
      </c>
      <c r="AF77" s="137">
        <f t="shared" si="161"/>
        <v>2</v>
      </c>
      <c r="AG77" s="137">
        <f t="shared" si="162"/>
        <v>20</v>
      </c>
      <c r="AH77" s="137">
        <f t="shared" si="163"/>
        <v>14</v>
      </c>
      <c r="AI77" s="137">
        <f t="shared" si="164"/>
        <v>13</v>
      </c>
      <c r="AJ77" s="137">
        <f t="shared" si="165"/>
        <v>3</v>
      </c>
      <c r="AK77" s="139">
        <f t="shared" si="166"/>
        <v>16</v>
      </c>
      <c r="AL77" s="137">
        <f t="shared" si="167"/>
        <v>3</v>
      </c>
      <c r="AM77" s="137">
        <f t="shared" si="168"/>
        <v>92</v>
      </c>
      <c r="AN77" s="137">
        <f t="shared" si="169"/>
        <v>52</v>
      </c>
      <c r="AO77" s="137">
        <f t="shared" si="170"/>
        <v>26</v>
      </c>
      <c r="AP77" s="137">
        <f t="shared" si="170"/>
        <v>3</v>
      </c>
      <c r="AQ77" s="137">
        <f t="shared" si="171"/>
        <v>42</v>
      </c>
      <c r="AR77" s="137">
        <f t="shared" si="172"/>
        <v>10</v>
      </c>
      <c r="AS77" s="138">
        <f t="shared" si="173"/>
        <v>164</v>
      </c>
      <c r="AT77" s="141">
        <v>1</v>
      </c>
      <c r="AU77" s="141">
        <v>8</v>
      </c>
      <c r="AV77" s="141">
        <v>7</v>
      </c>
      <c r="AW77" s="141">
        <v>14</v>
      </c>
      <c r="AX77" s="141">
        <v>13</v>
      </c>
      <c r="AY77" s="137">
        <v>16</v>
      </c>
      <c r="AZ77" s="137">
        <v>1</v>
      </c>
      <c r="BA77" s="137">
        <v>13</v>
      </c>
      <c r="BB77" s="137">
        <v>119</v>
      </c>
      <c r="BC77" s="137">
        <v>418</v>
      </c>
      <c r="BD77" s="137">
        <v>93</v>
      </c>
      <c r="BE77" s="137">
        <v>19</v>
      </c>
      <c r="BF77" s="139">
        <v>84</v>
      </c>
      <c r="BG77" s="137">
        <v>0</v>
      </c>
      <c r="BH77" s="137">
        <v>0</v>
      </c>
      <c r="BI77" s="137">
        <v>3</v>
      </c>
      <c r="BJ77" s="137">
        <v>3</v>
      </c>
      <c r="BK77" s="137">
        <v>0</v>
      </c>
      <c r="BL77" s="137">
        <v>1</v>
      </c>
      <c r="BM77" s="137">
        <v>13</v>
      </c>
      <c r="BN77" s="137">
        <v>16</v>
      </c>
      <c r="BO77" s="137">
        <v>0</v>
      </c>
      <c r="BP77" s="137">
        <v>7</v>
      </c>
      <c r="BQ77" s="137">
        <v>4</v>
      </c>
      <c r="BR77" s="139">
        <v>8</v>
      </c>
      <c r="BS77" s="137">
        <v>0</v>
      </c>
      <c r="BT77" s="137">
        <v>6</v>
      </c>
      <c r="BU77" s="137">
        <v>6</v>
      </c>
      <c r="BV77" s="137">
        <v>20</v>
      </c>
      <c r="BW77" s="137">
        <v>13</v>
      </c>
      <c r="BX77" s="137">
        <v>14</v>
      </c>
      <c r="BY77" s="137">
        <v>3</v>
      </c>
      <c r="BZ77" s="137">
        <v>14</v>
      </c>
      <c r="CA77" s="137">
        <v>2</v>
      </c>
      <c r="CB77" s="139">
        <v>16</v>
      </c>
      <c r="CC77" s="137">
        <v>26</v>
      </c>
      <c r="CD77" s="137">
        <v>3</v>
      </c>
      <c r="CE77" s="137">
        <v>3</v>
      </c>
      <c r="CF77" s="137">
        <v>8</v>
      </c>
      <c r="CG77" s="137">
        <v>156</v>
      </c>
      <c r="CH77" s="137">
        <v>92</v>
      </c>
      <c r="CI77" s="137">
        <v>10</v>
      </c>
      <c r="CJ77" s="137">
        <v>52</v>
      </c>
      <c r="CK77" s="138">
        <v>42</v>
      </c>
      <c r="CL77" s="140">
        <v>1347</v>
      </c>
    </row>
    <row r="78" spans="1:90">
      <c r="A78" s="80">
        <f>ROWS($A$3:A76)</f>
        <v>74</v>
      </c>
      <c r="B78" s="92" t="s">
        <v>89</v>
      </c>
      <c r="C78" s="203"/>
      <c r="D78" s="254" t="s">
        <v>13</v>
      </c>
      <c r="E78" s="269"/>
      <c r="F78" s="116">
        <v>3870</v>
      </c>
      <c r="G78" s="137">
        <v>1268</v>
      </c>
      <c r="H78" s="137">
        <v>2311</v>
      </c>
      <c r="I78" s="138">
        <v>3004</v>
      </c>
      <c r="J78" s="141"/>
      <c r="K78" s="116">
        <f t="shared" si="143"/>
        <v>447</v>
      </c>
      <c r="L78" s="137">
        <f t="shared" si="144"/>
        <v>277</v>
      </c>
      <c r="M78" s="137">
        <f t="shared" si="145"/>
        <v>487</v>
      </c>
      <c r="N78" s="137">
        <f t="shared" si="146"/>
        <v>185</v>
      </c>
      <c r="O78" s="137">
        <f t="shared" si="147"/>
        <v>192</v>
      </c>
      <c r="P78" s="137">
        <f>'2008'!AZ78+'2008'!BA78</f>
        <v>423</v>
      </c>
      <c r="Q78" s="137">
        <f>'2008'!AU78</f>
        <v>202</v>
      </c>
      <c r="R78" s="137">
        <f t="shared" si="148"/>
        <v>369</v>
      </c>
      <c r="S78" s="137">
        <f t="shared" si="149"/>
        <v>192</v>
      </c>
      <c r="T78" s="137">
        <f t="shared" si="150"/>
        <v>435</v>
      </c>
      <c r="U78" s="139">
        <f t="shared" si="150"/>
        <v>661</v>
      </c>
      <c r="V78" s="137">
        <f t="shared" si="151"/>
        <v>105</v>
      </c>
      <c r="W78" s="137">
        <f t="shared" si="152"/>
        <v>115</v>
      </c>
      <c r="X78" s="137">
        <f t="shared" si="153"/>
        <v>181</v>
      </c>
      <c r="Y78" s="137">
        <f t="shared" si="154"/>
        <v>229</v>
      </c>
      <c r="Z78" s="137">
        <f t="shared" si="155"/>
        <v>330</v>
      </c>
      <c r="AA78" s="137">
        <f t="shared" si="156"/>
        <v>148</v>
      </c>
      <c r="AB78" s="139">
        <f t="shared" si="157"/>
        <v>160</v>
      </c>
      <c r="AC78" s="137">
        <f t="shared" si="158"/>
        <v>216</v>
      </c>
      <c r="AD78" s="137">
        <f t="shared" si="159"/>
        <v>160</v>
      </c>
      <c r="AE78" s="137">
        <f t="shared" si="160"/>
        <v>288</v>
      </c>
      <c r="AF78" s="137">
        <f t="shared" si="161"/>
        <v>179</v>
      </c>
      <c r="AG78" s="137">
        <f t="shared" si="162"/>
        <v>584</v>
      </c>
      <c r="AH78" s="137">
        <f t="shared" si="163"/>
        <v>239</v>
      </c>
      <c r="AI78" s="137">
        <f t="shared" si="164"/>
        <v>247</v>
      </c>
      <c r="AJ78" s="137">
        <f t="shared" si="165"/>
        <v>165</v>
      </c>
      <c r="AK78" s="139">
        <f t="shared" si="166"/>
        <v>233</v>
      </c>
      <c r="AL78" s="137">
        <f t="shared" si="167"/>
        <v>186</v>
      </c>
      <c r="AM78" s="137">
        <f t="shared" si="168"/>
        <v>458</v>
      </c>
      <c r="AN78" s="137">
        <f t="shared" si="169"/>
        <v>251</v>
      </c>
      <c r="AO78" s="137">
        <f t="shared" si="170"/>
        <v>366</v>
      </c>
      <c r="AP78" s="137">
        <f t="shared" si="170"/>
        <v>137</v>
      </c>
      <c r="AQ78" s="137">
        <f t="shared" si="171"/>
        <v>502</v>
      </c>
      <c r="AR78" s="137">
        <f t="shared" si="172"/>
        <v>317</v>
      </c>
      <c r="AS78" s="138">
        <f t="shared" si="173"/>
        <v>787</v>
      </c>
      <c r="AT78" s="141">
        <v>29</v>
      </c>
      <c r="AU78" s="141">
        <v>202</v>
      </c>
      <c r="AV78" s="141">
        <v>192</v>
      </c>
      <c r="AW78" s="141">
        <v>185</v>
      </c>
      <c r="AX78" s="141">
        <v>340</v>
      </c>
      <c r="AY78" s="137">
        <v>277</v>
      </c>
      <c r="AZ78" s="137">
        <v>18</v>
      </c>
      <c r="BA78" s="137">
        <v>405</v>
      </c>
      <c r="BB78" s="137">
        <v>435</v>
      </c>
      <c r="BC78" s="137">
        <v>661</v>
      </c>
      <c r="BD78" s="137">
        <v>487</v>
      </c>
      <c r="BE78" s="137">
        <v>192</v>
      </c>
      <c r="BF78" s="139">
        <v>447</v>
      </c>
      <c r="BG78" s="137">
        <v>6</v>
      </c>
      <c r="BH78" s="137">
        <v>15</v>
      </c>
      <c r="BI78" s="137">
        <v>166</v>
      </c>
      <c r="BJ78" s="137">
        <v>99</v>
      </c>
      <c r="BK78" s="137">
        <v>19</v>
      </c>
      <c r="BL78" s="137">
        <v>4</v>
      </c>
      <c r="BM78" s="137">
        <v>330</v>
      </c>
      <c r="BN78" s="137">
        <v>206</v>
      </c>
      <c r="BO78" s="137">
        <v>7</v>
      </c>
      <c r="BP78" s="137">
        <v>160</v>
      </c>
      <c r="BQ78" s="137">
        <v>141</v>
      </c>
      <c r="BR78" s="139">
        <v>115</v>
      </c>
      <c r="BS78" s="137">
        <v>29</v>
      </c>
      <c r="BT78" s="137">
        <v>259</v>
      </c>
      <c r="BU78" s="137">
        <v>160</v>
      </c>
      <c r="BV78" s="137">
        <v>584</v>
      </c>
      <c r="BW78" s="137">
        <v>247</v>
      </c>
      <c r="BX78" s="137">
        <v>216</v>
      </c>
      <c r="BY78" s="137">
        <v>165</v>
      </c>
      <c r="BZ78" s="137">
        <v>239</v>
      </c>
      <c r="CA78" s="137">
        <v>179</v>
      </c>
      <c r="CB78" s="139">
        <v>233</v>
      </c>
      <c r="CC78" s="137">
        <v>366</v>
      </c>
      <c r="CD78" s="137">
        <v>137</v>
      </c>
      <c r="CE78" s="137">
        <v>186</v>
      </c>
      <c r="CF78" s="137">
        <v>47</v>
      </c>
      <c r="CG78" s="137">
        <v>740</v>
      </c>
      <c r="CH78" s="137">
        <v>458</v>
      </c>
      <c r="CI78" s="137">
        <v>317</v>
      </c>
      <c r="CJ78" s="137">
        <v>251</v>
      </c>
      <c r="CK78" s="138">
        <v>502</v>
      </c>
      <c r="CL78" s="140">
        <v>10453</v>
      </c>
    </row>
    <row r="79" spans="1:90">
      <c r="A79" s="80">
        <f>ROWS($A$3:A77)</f>
        <v>75</v>
      </c>
      <c r="B79" s="59" t="s">
        <v>79</v>
      </c>
      <c r="C79" s="202">
        <v>2008</v>
      </c>
      <c r="D79" s="254"/>
      <c r="E79" s="269"/>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c r="A80" s="80">
        <f>ROWS($A$3:A78)</f>
        <v>76</v>
      </c>
      <c r="B80" s="92" t="s">
        <v>90</v>
      </c>
      <c r="C80" s="205">
        <v>2008</v>
      </c>
      <c r="D80" s="254" t="s">
        <v>13</v>
      </c>
      <c r="E80" s="270"/>
      <c r="F80" s="116">
        <v>16240</v>
      </c>
      <c r="G80" s="137">
        <v>5846</v>
      </c>
      <c r="H80" s="137">
        <v>14532</v>
      </c>
      <c r="I80" s="138">
        <v>14317</v>
      </c>
      <c r="J80" s="141"/>
      <c r="K80" s="116">
        <f>BF80</f>
        <v>2584</v>
      </c>
      <c r="L80" s="137">
        <f>AY80</f>
        <v>1202</v>
      </c>
      <c r="M80" s="137">
        <f>BD80</f>
        <v>1953</v>
      </c>
      <c r="N80" s="137">
        <f>AW80</f>
        <v>897</v>
      </c>
      <c r="O80" s="137">
        <f>BE80</f>
        <v>685</v>
      </c>
      <c r="P80" s="137">
        <f>'2008'!AZ80+'2008'!BA80</f>
        <v>1953</v>
      </c>
      <c r="Q80" s="137">
        <f>'2008'!AU80</f>
        <v>725</v>
      </c>
      <c r="R80" s="137">
        <f>AT80+AX80</f>
        <v>1181</v>
      </c>
      <c r="S80" s="137">
        <f>AV80</f>
        <v>637</v>
      </c>
      <c r="T80" s="137">
        <f>BB80</f>
        <v>1588</v>
      </c>
      <c r="U80" s="139">
        <f>BC80</f>
        <v>2844</v>
      </c>
      <c r="V80" s="137">
        <f>BG80+BJ80</f>
        <v>570</v>
      </c>
      <c r="W80" s="137">
        <f>BR80</f>
        <v>949</v>
      </c>
      <c r="X80" s="137">
        <f>BH80+BI80</f>
        <v>812</v>
      </c>
      <c r="Y80" s="137">
        <f>BK80+BL80+BN80</f>
        <v>1082</v>
      </c>
      <c r="Z80" s="137">
        <f>BM80</f>
        <v>1246</v>
      </c>
      <c r="AA80" s="137">
        <f>BO80+BQ80</f>
        <v>468</v>
      </c>
      <c r="AB80" s="139">
        <f>BP80</f>
        <v>723</v>
      </c>
      <c r="AC80" s="137">
        <f>BX80</f>
        <v>1373</v>
      </c>
      <c r="AD80" s="137">
        <f>BU80</f>
        <v>1274</v>
      </c>
      <c r="AE80" s="137">
        <f>BS80+BT80</f>
        <v>2288</v>
      </c>
      <c r="AF80" s="137">
        <f>CA80</f>
        <v>1225</v>
      </c>
      <c r="AG80" s="137">
        <f>BV80</f>
        <v>3640</v>
      </c>
      <c r="AH80" s="137">
        <f>BZ80</f>
        <v>1046</v>
      </c>
      <c r="AI80" s="137">
        <f>BW80</f>
        <v>1159</v>
      </c>
      <c r="AJ80" s="137">
        <f>BY80</f>
        <v>603</v>
      </c>
      <c r="AK80" s="139">
        <f>CB80</f>
        <v>1924</v>
      </c>
      <c r="AL80" s="137">
        <f>CE80</f>
        <v>990</v>
      </c>
      <c r="AM80" s="137">
        <f>CH80</f>
        <v>2354</v>
      </c>
      <c r="AN80" s="137">
        <f>CJ80</f>
        <v>3359</v>
      </c>
      <c r="AO80" s="137">
        <f>CC80</f>
        <v>1277</v>
      </c>
      <c r="AP80" s="137">
        <f>CD80</f>
        <v>513</v>
      </c>
      <c r="AQ80" s="137">
        <f>CK80</f>
        <v>1722</v>
      </c>
      <c r="AR80" s="137">
        <f>CI80</f>
        <v>1576</v>
      </c>
      <c r="AS80" s="138">
        <f>CF80+CG80</f>
        <v>2541</v>
      </c>
      <c r="AT80" s="141">
        <v>129</v>
      </c>
      <c r="AU80" s="141">
        <v>725</v>
      </c>
      <c r="AV80" s="141">
        <v>637</v>
      </c>
      <c r="AW80" s="141">
        <v>897</v>
      </c>
      <c r="AX80" s="141">
        <v>1052</v>
      </c>
      <c r="AY80" s="137">
        <v>1202</v>
      </c>
      <c r="AZ80" s="137">
        <v>172</v>
      </c>
      <c r="BA80" s="137">
        <v>1781</v>
      </c>
      <c r="BB80" s="137">
        <v>1588</v>
      </c>
      <c r="BC80" s="137">
        <v>2844</v>
      </c>
      <c r="BD80" s="137">
        <v>1953</v>
      </c>
      <c r="BE80" s="137">
        <v>685</v>
      </c>
      <c r="BF80" s="139">
        <v>2584</v>
      </c>
      <c r="BG80" s="137">
        <v>65</v>
      </c>
      <c r="BH80" s="137">
        <v>49</v>
      </c>
      <c r="BI80" s="137">
        <v>763</v>
      </c>
      <c r="BJ80" s="137">
        <v>505</v>
      </c>
      <c r="BK80" s="137">
        <v>70</v>
      </c>
      <c r="BL80" s="137">
        <v>67</v>
      </c>
      <c r="BM80" s="137">
        <v>1246</v>
      </c>
      <c r="BN80" s="137">
        <v>945</v>
      </c>
      <c r="BO80" s="137">
        <v>18</v>
      </c>
      <c r="BP80" s="137">
        <v>723</v>
      </c>
      <c r="BQ80" s="137">
        <v>450</v>
      </c>
      <c r="BR80" s="139">
        <v>949</v>
      </c>
      <c r="BS80" s="137">
        <v>143</v>
      </c>
      <c r="BT80" s="137">
        <v>2145</v>
      </c>
      <c r="BU80" s="137">
        <v>1274</v>
      </c>
      <c r="BV80" s="137">
        <v>3640</v>
      </c>
      <c r="BW80" s="137">
        <v>1159</v>
      </c>
      <c r="BX80" s="137">
        <v>1373</v>
      </c>
      <c r="BY80" s="137">
        <v>603</v>
      </c>
      <c r="BZ80" s="137">
        <v>1046</v>
      </c>
      <c r="CA80" s="137">
        <v>1225</v>
      </c>
      <c r="CB80" s="139">
        <v>1924</v>
      </c>
      <c r="CC80" s="137">
        <v>1277</v>
      </c>
      <c r="CD80" s="137">
        <v>513</v>
      </c>
      <c r="CE80" s="137">
        <v>990</v>
      </c>
      <c r="CF80" s="137">
        <v>137</v>
      </c>
      <c r="CG80" s="137">
        <v>2404</v>
      </c>
      <c r="CH80" s="137">
        <v>2354</v>
      </c>
      <c r="CI80" s="137">
        <v>1576</v>
      </c>
      <c r="CJ80" s="137">
        <v>3359</v>
      </c>
      <c r="CK80" s="138">
        <v>1722</v>
      </c>
      <c r="CL80" s="149">
        <f>SUM(AT80:CK80)</f>
        <v>50963</v>
      </c>
    </row>
    <row r="81" spans="1:90">
      <c r="A81" s="80">
        <f>ROWS($A$3:A79)</f>
        <v>77</v>
      </c>
      <c r="B81" s="602" t="s">
        <v>365</v>
      </c>
      <c r="C81" s="590">
        <v>2008</v>
      </c>
      <c r="D81" s="603" t="s">
        <v>13</v>
      </c>
      <c r="E81" s="522">
        <v>43320</v>
      </c>
      <c r="F81" s="154">
        <f>SUM(AT81:BF81)</f>
        <v>1008596</v>
      </c>
      <c r="G81" s="155">
        <f>SUM(BG81:BR81)</f>
        <v>650272</v>
      </c>
      <c r="H81" s="155">
        <f>SUM(BS81:CB81)</f>
        <v>638803</v>
      </c>
      <c r="I81" s="156">
        <f>SUM(CC81:CK81)</f>
        <v>586869</v>
      </c>
      <c r="J81" s="141"/>
      <c r="K81" s="154">
        <f>BF81</f>
        <v>82134</v>
      </c>
      <c r="L81" s="155">
        <f>AY81</f>
        <v>117242</v>
      </c>
      <c r="M81" s="155">
        <f>BD81</f>
        <v>99599</v>
      </c>
      <c r="N81" s="155">
        <f>AW81</f>
        <v>50045</v>
      </c>
      <c r="O81" s="155">
        <f>BE81</f>
        <v>28655</v>
      </c>
      <c r="P81" s="155">
        <f>AZ81+BA81</f>
        <v>152533</v>
      </c>
      <c r="Q81" s="155">
        <f>AU81</f>
        <v>99069</v>
      </c>
      <c r="R81" s="155">
        <f>AT81+AX81</f>
        <v>141393</v>
      </c>
      <c r="S81" s="155">
        <f>AV81</f>
        <v>99160</v>
      </c>
      <c r="T81" s="155">
        <f>BB81</f>
        <v>53896</v>
      </c>
      <c r="U81" s="552">
        <f>BC81</f>
        <v>84870</v>
      </c>
      <c r="V81" s="155">
        <f>BG81+BJ81</f>
        <v>88050</v>
      </c>
      <c r="W81" s="155">
        <f>BR81</f>
        <v>52718</v>
      </c>
      <c r="X81" s="155">
        <f>BH81+BI81</f>
        <v>170412</v>
      </c>
      <c r="Y81" s="155">
        <f>BK81+BL81+BN81</f>
        <v>98496</v>
      </c>
      <c r="Z81" s="155">
        <f>BM81</f>
        <v>79326</v>
      </c>
      <c r="AA81" s="155">
        <f>BO81+BQ81</f>
        <v>105669</v>
      </c>
      <c r="AB81" s="552">
        <f>BP81</f>
        <v>55601</v>
      </c>
      <c r="AC81" s="155">
        <f>BX81</f>
        <v>34524</v>
      </c>
      <c r="AD81" s="155">
        <f>BU81</f>
        <v>51689</v>
      </c>
      <c r="AE81" s="155">
        <f>BS81+BT81</f>
        <v>89155</v>
      </c>
      <c r="AF81" s="155">
        <f>CA81</f>
        <v>72166</v>
      </c>
      <c r="AG81" s="155">
        <f>BV81</f>
        <v>132109</v>
      </c>
      <c r="AH81" s="155">
        <f>BZ81</f>
        <v>56261</v>
      </c>
      <c r="AI81" s="155">
        <f>BW81</f>
        <v>60116</v>
      </c>
      <c r="AJ81" s="155">
        <f>BY81</f>
        <v>76030</v>
      </c>
      <c r="AK81" s="552">
        <f>CB81</f>
        <v>66753</v>
      </c>
      <c r="AL81" s="155">
        <f>CE81</f>
        <v>101007</v>
      </c>
      <c r="AM81" s="155">
        <f>CH81</f>
        <v>76179</v>
      </c>
      <c r="AN81" s="155">
        <f>CJ81</f>
        <v>31624</v>
      </c>
      <c r="AO81" s="155">
        <f>CC81</f>
        <v>82008</v>
      </c>
      <c r="AP81" s="155">
        <f>CD81</f>
        <v>93265</v>
      </c>
      <c r="AQ81" s="155">
        <f>CK81</f>
        <v>69986</v>
      </c>
      <c r="AR81" s="155">
        <f>CI81</f>
        <v>58780</v>
      </c>
      <c r="AS81" s="156">
        <f>CF81+CG81</f>
        <v>74020</v>
      </c>
      <c r="AT81" s="155">
        <v>12152</v>
      </c>
      <c r="AU81" s="155">
        <v>99069</v>
      </c>
      <c r="AV81" s="155">
        <v>99160</v>
      </c>
      <c r="AW81" s="155">
        <v>50045</v>
      </c>
      <c r="AX81" s="155">
        <v>129241</v>
      </c>
      <c r="AY81" s="155">
        <v>117242</v>
      </c>
      <c r="AZ81" s="155">
        <v>15615</v>
      </c>
      <c r="BA81" s="155">
        <v>136918</v>
      </c>
      <c r="BB81" s="155">
        <v>53896</v>
      </c>
      <c r="BC81" s="155">
        <v>84870</v>
      </c>
      <c r="BD81" s="155">
        <v>99599</v>
      </c>
      <c r="BE81" s="155">
        <v>28655</v>
      </c>
      <c r="BF81" s="552">
        <v>82134</v>
      </c>
      <c r="BG81" s="155">
        <v>10547</v>
      </c>
      <c r="BH81" s="155">
        <v>9020</v>
      </c>
      <c r="BI81" s="155">
        <v>161392</v>
      </c>
      <c r="BJ81" s="155">
        <v>77503</v>
      </c>
      <c r="BK81" s="155">
        <v>3321</v>
      </c>
      <c r="BL81" s="155">
        <v>5121</v>
      </c>
      <c r="BM81" s="155">
        <v>79326</v>
      </c>
      <c r="BN81" s="155">
        <v>90054</v>
      </c>
      <c r="BO81" s="155">
        <v>4122</v>
      </c>
      <c r="BP81" s="155">
        <v>55601</v>
      </c>
      <c r="BQ81" s="155">
        <v>101547</v>
      </c>
      <c r="BR81" s="552">
        <v>52718</v>
      </c>
      <c r="BS81" s="155">
        <v>8793</v>
      </c>
      <c r="BT81" s="155">
        <v>80362</v>
      </c>
      <c r="BU81" s="155">
        <v>51689</v>
      </c>
      <c r="BV81" s="155">
        <v>132109</v>
      </c>
      <c r="BW81" s="155">
        <v>60116</v>
      </c>
      <c r="BX81" s="155">
        <v>34524</v>
      </c>
      <c r="BY81" s="155">
        <v>76030</v>
      </c>
      <c r="BZ81" s="155">
        <v>56261</v>
      </c>
      <c r="CA81" s="155">
        <v>72166</v>
      </c>
      <c r="CB81" s="552">
        <v>66753</v>
      </c>
      <c r="CC81" s="155">
        <v>82008</v>
      </c>
      <c r="CD81" s="155">
        <v>93265</v>
      </c>
      <c r="CE81" s="155">
        <v>101007</v>
      </c>
      <c r="CF81" s="155">
        <v>5574</v>
      </c>
      <c r="CG81" s="155">
        <v>68446</v>
      </c>
      <c r="CH81" s="155">
        <v>76179</v>
      </c>
      <c r="CI81" s="155">
        <v>58780</v>
      </c>
      <c r="CJ81" s="155">
        <v>31624</v>
      </c>
      <c r="CK81" s="156">
        <v>69986</v>
      </c>
      <c r="CL81" s="553">
        <f>SUM(AT81:CK81)</f>
        <v>2884540</v>
      </c>
    </row>
    <row r="82" spans="1:90">
      <c r="A82" s="80">
        <f>ROWS($A$3:A80)</f>
        <v>78</v>
      </c>
      <c r="B82" s="610" t="s">
        <v>367</v>
      </c>
      <c r="C82" s="590">
        <v>2008</v>
      </c>
      <c r="D82" s="603" t="s">
        <v>13</v>
      </c>
      <c r="E82" s="522">
        <v>43320</v>
      </c>
      <c r="F82" s="530">
        <f t="shared" ref="F82:AQ82" si="174">F81/F80</f>
        <v>62.10566502463054</v>
      </c>
      <c r="G82" s="531">
        <f t="shared" si="174"/>
        <v>111.23366404379063</v>
      </c>
      <c r="H82" s="531">
        <f t="shared" si="174"/>
        <v>43.958367740159645</v>
      </c>
      <c r="I82" s="532">
        <f t="shared" si="174"/>
        <v>40.991059579520851</v>
      </c>
      <c r="J82" s="141"/>
      <c r="K82" s="530">
        <f t="shared" si="174"/>
        <v>31.785603715170279</v>
      </c>
      <c r="L82" s="531">
        <f t="shared" si="174"/>
        <v>97.539101497504163</v>
      </c>
      <c r="M82" s="531">
        <f t="shared" si="174"/>
        <v>50.997951868919614</v>
      </c>
      <c r="N82" s="531">
        <f t="shared" si="174"/>
        <v>55.791527313266442</v>
      </c>
      <c r="O82" s="531">
        <f t="shared" si="174"/>
        <v>41.832116788321166</v>
      </c>
      <c r="P82" s="531">
        <f t="shared" si="174"/>
        <v>78.101894521249363</v>
      </c>
      <c r="Q82" s="531">
        <f t="shared" si="174"/>
        <v>136.64689655172413</v>
      </c>
      <c r="R82" s="531">
        <f t="shared" si="174"/>
        <v>119.72311600338696</v>
      </c>
      <c r="S82" s="531">
        <f t="shared" si="174"/>
        <v>155.66718995290424</v>
      </c>
      <c r="T82" s="531">
        <f t="shared" si="174"/>
        <v>33.939546599496225</v>
      </c>
      <c r="U82" s="555">
        <f t="shared" si="174"/>
        <v>29.841772151898734</v>
      </c>
      <c r="V82" s="531">
        <f t="shared" si="174"/>
        <v>154.47368421052633</v>
      </c>
      <c r="W82" s="531">
        <f t="shared" si="174"/>
        <v>55.551106427818759</v>
      </c>
      <c r="X82" s="531">
        <f t="shared" si="174"/>
        <v>209.86699507389162</v>
      </c>
      <c r="Y82" s="531">
        <f t="shared" si="174"/>
        <v>91.031423290203321</v>
      </c>
      <c r="Z82" s="531">
        <f t="shared" si="174"/>
        <v>63.664526484751207</v>
      </c>
      <c r="AA82" s="531">
        <f t="shared" si="174"/>
        <v>225.78846153846155</v>
      </c>
      <c r="AB82" s="555">
        <f t="shared" si="174"/>
        <v>76.903181189488237</v>
      </c>
      <c r="AC82" s="531">
        <f t="shared" si="174"/>
        <v>25.144938091769848</v>
      </c>
      <c r="AD82" s="531">
        <f t="shared" si="174"/>
        <v>40.572213500784926</v>
      </c>
      <c r="AE82" s="531">
        <f t="shared" si="174"/>
        <v>38.966346153846153</v>
      </c>
      <c r="AF82" s="531">
        <f t="shared" si="174"/>
        <v>58.911020408163267</v>
      </c>
      <c r="AG82" s="531">
        <f t="shared" si="174"/>
        <v>36.293681318681315</v>
      </c>
      <c r="AH82" s="531">
        <f t="shared" si="174"/>
        <v>53.786806883365202</v>
      </c>
      <c r="AI82" s="531">
        <f t="shared" si="174"/>
        <v>51.868852459016395</v>
      </c>
      <c r="AJ82" s="531">
        <f t="shared" si="174"/>
        <v>126.08623548922057</v>
      </c>
      <c r="AK82" s="555">
        <f t="shared" si="174"/>
        <v>34.694906444906444</v>
      </c>
      <c r="AL82" s="531">
        <f t="shared" si="174"/>
        <v>102.02727272727273</v>
      </c>
      <c r="AM82" s="531">
        <f t="shared" si="174"/>
        <v>32.361512319456246</v>
      </c>
      <c r="AN82" s="531">
        <f t="shared" si="174"/>
        <v>9.4147067579636801</v>
      </c>
      <c r="AO82" s="531">
        <f t="shared" si="174"/>
        <v>64.219263899765068</v>
      </c>
      <c r="AP82" s="531">
        <f t="shared" si="174"/>
        <v>181.80311890838206</v>
      </c>
      <c r="AQ82" s="531">
        <f t="shared" si="174"/>
        <v>40.642276422764226</v>
      </c>
      <c r="AR82" s="531">
        <f>AR81/AR80</f>
        <v>37.296954314720814</v>
      </c>
      <c r="AS82" s="532">
        <f>AS81/AS80</f>
        <v>29.130263675718222</v>
      </c>
      <c r="AT82" s="531">
        <f>IF(OR(AT80&lt;0.1,AT81&lt;0.1),0,AT81/AT80)</f>
        <v>94.201550387596896</v>
      </c>
      <c r="AU82" s="531">
        <f>IF(OR(AU80&lt;0.1,AU81&lt;0.1),0,AU81/AU80)</f>
        <v>136.64689655172413</v>
      </c>
      <c r="AV82" s="531">
        <f t="shared" ref="AV82:CK82" si="175">IF(OR(AV80&lt;0.1,AV81&lt;0.1),0,AV81/AV80)</f>
        <v>155.66718995290424</v>
      </c>
      <c r="AW82" s="531">
        <f t="shared" si="175"/>
        <v>55.791527313266442</v>
      </c>
      <c r="AX82" s="531">
        <f>IF(OR(AX80&lt;0.1,AX81&lt;0.1),0,AX81/AX80)</f>
        <v>122.85266159695817</v>
      </c>
      <c r="AY82" s="531">
        <f t="shared" si="175"/>
        <v>97.539101497504163</v>
      </c>
      <c r="AZ82" s="531">
        <f t="shared" si="175"/>
        <v>90.784883720930239</v>
      </c>
      <c r="BA82" s="531">
        <f t="shared" si="175"/>
        <v>76.877035373385738</v>
      </c>
      <c r="BB82" s="531">
        <f t="shared" si="175"/>
        <v>33.939546599496225</v>
      </c>
      <c r="BC82" s="531">
        <f t="shared" si="175"/>
        <v>29.841772151898734</v>
      </c>
      <c r="BD82" s="531">
        <f t="shared" si="175"/>
        <v>50.997951868919614</v>
      </c>
      <c r="BE82" s="531">
        <f t="shared" si="175"/>
        <v>41.832116788321166</v>
      </c>
      <c r="BF82" s="555">
        <f t="shared" si="175"/>
        <v>31.785603715170279</v>
      </c>
      <c r="BG82" s="531">
        <f t="shared" si="175"/>
        <v>162.26153846153846</v>
      </c>
      <c r="BH82" s="531">
        <f>IF(OR(BH80&lt;0.1,BH81&lt;0.1),0,BH81/BH80)</f>
        <v>184.08163265306123</v>
      </c>
      <c r="BI82" s="531">
        <f>IF(OR(BI80&lt;0.1,BI81&lt;0.1),0,BI81/BI80)</f>
        <v>211.52293577981652</v>
      </c>
      <c r="BJ82" s="531">
        <f>IF(OR(BJ80&lt;0.1,BJ81&lt;0.1),0,BJ81/BJ80)</f>
        <v>153.47128712871287</v>
      </c>
      <c r="BK82" s="531">
        <f t="shared" si="175"/>
        <v>47.442857142857143</v>
      </c>
      <c r="BL82" s="531">
        <f t="shared" si="175"/>
        <v>76.432835820895519</v>
      </c>
      <c r="BM82" s="531">
        <f>IF(OR(BM80&lt;0.1,BM81&lt;0.1),0,BM81/BM80)</f>
        <v>63.664526484751207</v>
      </c>
      <c r="BN82" s="531">
        <f t="shared" si="175"/>
        <v>95.295238095238091</v>
      </c>
      <c r="BO82" s="531">
        <f t="shared" si="175"/>
        <v>229</v>
      </c>
      <c r="BP82" s="531">
        <f t="shared" si="175"/>
        <v>76.903181189488237</v>
      </c>
      <c r="BQ82" s="531">
        <f>IF(OR(BQ80&lt;0.1,BQ81&lt;0.1),0,BQ81/BQ80)</f>
        <v>225.66</v>
      </c>
      <c r="BR82" s="555">
        <f t="shared" si="175"/>
        <v>55.551106427818759</v>
      </c>
      <c r="BS82" s="531">
        <f t="shared" si="175"/>
        <v>61.489510489510486</v>
      </c>
      <c r="BT82" s="531">
        <f t="shared" si="175"/>
        <v>37.464801864801863</v>
      </c>
      <c r="BU82" s="531">
        <f t="shared" si="175"/>
        <v>40.572213500784926</v>
      </c>
      <c r="BV82" s="531">
        <f t="shared" si="175"/>
        <v>36.293681318681315</v>
      </c>
      <c r="BW82" s="531">
        <f t="shared" si="175"/>
        <v>51.868852459016395</v>
      </c>
      <c r="BX82" s="531">
        <f t="shared" si="175"/>
        <v>25.144938091769848</v>
      </c>
      <c r="BY82" s="531">
        <f t="shared" si="175"/>
        <v>126.08623548922057</v>
      </c>
      <c r="BZ82" s="531">
        <f t="shared" si="175"/>
        <v>53.786806883365202</v>
      </c>
      <c r="CA82" s="531">
        <f t="shared" si="175"/>
        <v>58.911020408163267</v>
      </c>
      <c r="CB82" s="555">
        <f t="shared" si="175"/>
        <v>34.694906444906444</v>
      </c>
      <c r="CC82" s="531">
        <f t="shared" si="175"/>
        <v>64.219263899765068</v>
      </c>
      <c r="CD82" s="531">
        <f t="shared" si="175"/>
        <v>181.80311890838206</v>
      </c>
      <c r="CE82" s="531">
        <f t="shared" si="175"/>
        <v>102.02727272727273</v>
      </c>
      <c r="CF82" s="531">
        <f t="shared" si="175"/>
        <v>40.686131386861312</v>
      </c>
      <c r="CG82" s="531">
        <f t="shared" si="175"/>
        <v>28.471713810316139</v>
      </c>
      <c r="CH82" s="531">
        <f t="shared" si="175"/>
        <v>32.361512319456246</v>
      </c>
      <c r="CI82" s="531">
        <f t="shared" si="175"/>
        <v>37.296954314720814</v>
      </c>
      <c r="CJ82" s="531">
        <f t="shared" si="175"/>
        <v>9.4147067579636801</v>
      </c>
      <c r="CK82" s="532">
        <f t="shared" si="175"/>
        <v>40.642276422764226</v>
      </c>
      <c r="CL82" s="556">
        <f>IF(OR(CL80&lt;0.1,CL81&lt;0.1),0,CL81/CL80)</f>
        <v>56.600671075093693</v>
      </c>
    </row>
    <row r="83" spans="1:90">
      <c r="A83" s="80">
        <f>ROWS($A$3:A81)</f>
        <v>79</v>
      </c>
      <c r="B83" s="602" t="s">
        <v>366</v>
      </c>
      <c r="C83" s="590">
        <v>2008</v>
      </c>
      <c r="D83" s="603" t="s">
        <v>13</v>
      </c>
      <c r="E83" s="522">
        <v>43320</v>
      </c>
      <c r="F83" s="154">
        <f>SUM(AT83:BF83)</f>
        <v>1169097</v>
      </c>
      <c r="G83" s="155">
        <f>SUM(BG83:BR83)</f>
        <v>729748</v>
      </c>
      <c r="H83" s="155">
        <f>SUM(BS83:CB83)</f>
        <v>828361</v>
      </c>
      <c r="I83" s="156">
        <f>SUM(CC83:CK83)</f>
        <v>738048</v>
      </c>
      <c r="J83" s="122"/>
      <c r="K83" s="154">
        <f>BF83</f>
        <v>105420</v>
      </c>
      <c r="L83" s="155">
        <f>AY83</f>
        <v>130981</v>
      </c>
      <c r="M83" s="155">
        <f>BD83</f>
        <v>118642</v>
      </c>
      <c r="N83" s="155">
        <f>AW83</f>
        <v>61073</v>
      </c>
      <c r="O83" s="155">
        <f>BE83</f>
        <v>34701</v>
      </c>
      <c r="P83" s="155">
        <f>AZ83+BA83</f>
        <v>170252</v>
      </c>
      <c r="Q83" s="155">
        <f>AU83</f>
        <v>105295</v>
      </c>
      <c r="R83" s="155">
        <f>AT83+AX83</f>
        <v>151896</v>
      </c>
      <c r="S83" s="155">
        <f>AV83</f>
        <v>105322</v>
      </c>
      <c r="T83" s="155">
        <f>BB83</f>
        <v>69863</v>
      </c>
      <c r="U83" s="552">
        <f>BC83</f>
        <v>115652</v>
      </c>
      <c r="V83" s="155">
        <f>BG83+BJ83</f>
        <v>95481</v>
      </c>
      <c r="W83" s="155">
        <f>BR83</f>
        <v>62151</v>
      </c>
      <c r="X83" s="155">
        <f>BH83+BI83</f>
        <v>184090</v>
      </c>
      <c r="Y83" s="155">
        <f>BK83+BL83+BN83</f>
        <v>111699</v>
      </c>
      <c r="Z83" s="155">
        <f>BM83</f>
        <v>97329</v>
      </c>
      <c r="AA83" s="155">
        <f>BO83+BQ83</f>
        <v>112938</v>
      </c>
      <c r="AB83" s="552">
        <f>BP83</f>
        <v>66060</v>
      </c>
      <c r="AC83" s="155">
        <f>BX83</f>
        <v>56237</v>
      </c>
      <c r="AD83" s="155">
        <f>BU83</f>
        <v>67017</v>
      </c>
      <c r="AE83" s="155">
        <f>BS83+BT83</f>
        <v>116048</v>
      </c>
      <c r="AF83" s="155">
        <f>CA83</f>
        <v>89672</v>
      </c>
      <c r="AG83" s="155">
        <f>BV83</f>
        <v>176176</v>
      </c>
      <c r="AH83" s="155">
        <f>BZ83</f>
        <v>73604</v>
      </c>
      <c r="AI83" s="155">
        <f>BW83</f>
        <v>76878</v>
      </c>
      <c r="AJ83" s="155">
        <f>BY83</f>
        <v>84519</v>
      </c>
      <c r="AK83" s="552">
        <f>CB83</f>
        <v>88210</v>
      </c>
      <c r="AL83" s="155">
        <f>CE83</f>
        <v>111344</v>
      </c>
      <c r="AM83" s="155">
        <f>CH83</f>
        <v>95791</v>
      </c>
      <c r="AN83" s="155">
        <f>CJ83</f>
        <v>50101</v>
      </c>
      <c r="AO83" s="155">
        <f>CC83</f>
        <v>98674</v>
      </c>
      <c r="AP83" s="155">
        <f>CD83</f>
        <v>100618</v>
      </c>
      <c r="AQ83" s="155">
        <f>CK83</f>
        <v>89259</v>
      </c>
      <c r="AR83" s="155">
        <f>CI83</f>
        <v>97833</v>
      </c>
      <c r="AS83" s="156">
        <f>CF83+CG83</f>
        <v>94428</v>
      </c>
      <c r="AT83" s="155">
        <v>12913</v>
      </c>
      <c r="AU83" s="155">
        <v>105295</v>
      </c>
      <c r="AV83" s="155">
        <v>105322</v>
      </c>
      <c r="AW83" s="155">
        <v>61073</v>
      </c>
      <c r="AX83" s="155">
        <v>138983</v>
      </c>
      <c r="AY83" s="155">
        <v>130981</v>
      </c>
      <c r="AZ83" s="155">
        <v>18516</v>
      </c>
      <c r="BA83" s="155">
        <v>151736</v>
      </c>
      <c r="BB83" s="155">
        <v>69863</v>
      </c>
      <c r="BC83" s="155">
        <v>115652</v>
      </c>
      <c r="BD83" s="155">
        <v>118642</v>
      </c>
      <c r="BE83" s="155">
        <v>34701</v>
      </c>
      <c r="BF83" s="552">
        <v>105420</v>
      </c>
      <c r="BG83" s="155">
        <v>11375</v>
      </c>
      <c r="BH83" s="155">
        <v>9711</v>
      </c>
      <c r="BI83" s="155">
        <v>174379</v>
      </c>
      <c r="BJ83" s="155">
        <v>84106</v>
      </c>
      <c r="BK83" s="155">
        <v>4058</v>
      </c>
      <c r="BL83" s="155">
        <v>6084</v>
      </c>
      <c r="BM83" s="155">
        <v>97329</v>
      </c>
      <c r="BN83" s="155">
        <v>101557</v>
      </c>
      <c r="BO83" s="155">
        <v>4654</v>
      </c>
      <c r="BP83" s="155">
        <v>66060</v>
      </c>
      <c r="BQ83" s="155">
        <v>108284</v>
      </c>
      <c r="BR83" s="552">
        <v>62151</v>
      </c>
      <c r="BS83" s="155">
        <v>10039</v>
      </c>
      <c r="BT83" s="155">
        <v>106009</v>
      </c>
      <c r="BU83" s="155">
        <v>67017</v>
      </c>
      <c r="BV83" s="155">
        <v>176176</v>
      </c>
      <c r="BW83" s="155">
        <v>76878</v>
      </c>
      <c r="BX83" s="155">
        <v>56237</v>
      </c>
      <c r="BY83" s="155">
        <v>84519</v>
      </c>
      <c r="BZ83" s="155">
        <v>73604</v>
      </c>
      <c r="CA83" s="155">
        <v>89672</v>
      </c>
      <c r="CB83" s="552">
        <v>88210</v>
      </c>
      <c r="CC83" s="155">
        <v>98674</v>
      </c>
      <c r="CD83" s="155">
        <v>100618</v>
      </c>
      <c r="CE83" s="155">
        <v>111344</v>
      </c>
      <c r="CF83" s="155">
        <v>6531</v>
      </c>
      <c r="CG83" s="155">
        <v>87897</v>
      </c>
      <c r="CH83" s="155">
        <v>95791</v>
      </c>
      <c r="CI83" s="155">
        <v>97833</v>
      </c>
      <c r="CJ83" s="155">
        <v>50101</v>
      </c>
      <c r="CK83" s="156">
        <v>89259</v>
      </c>
      <c r="CL83" s="320">
        <f>SUM(AT83:CK83)</f>
        <v>3465254</v>
      </c>
    </row>
    <row r="84" spans="1:90">
      <c r="A84" s="80">
        <f>ROWS($A$3:A82)</f>
        <v>80</v>
      </c>
      <c r="B84" s="610" t="s">
        <v>368</v>
      </c>
      <c r="C84" s="590">
        <v>2008</v>
      </c>
      <c r="D84" s="603" t="s">
        <v>13</v>
      </c>
      <c r="E84" s="522">
        <v>43320</v>
      </c>
      <c r="F84" s="530">
        <f>F83/F80</f>
        <v>71.988731527093591</v>
      </c>
      <c r="G84" s="531">
        <f>G83/G80</f>
        <v>124.82860075265138</v>
      </c>
      <c r="H84" s="531">
        <f>H83/H80</f>
        <v>57.00254610514726</v>
      </c>
      <c r="I84" s="532">
        <f>I83/I80</f>
        <v>51.550464482782708</v>
      </c>
      <c r="J84" s="122"/>
      <c r="K84" s="530">
        <f t="shared" ref="K84:AP84" si="176">K83/K80</f>
        <v>40.797213622291025</v>
      </c>
      <c r="L84" s="531">
        <f t="shared" si="176"/>
        <v>108.96921797004991</v>
      </c>
      <c r="M84" s="531">
        <f t="shared" si="176"/>
        <v>60.748591909882229</v>
      </c>
      <c r="N84" s="531">
        <f t="shared" si="176"/>
        <v>68.085841694537351</v>
      </c>
      <c r="O84" s="531">
        <f t="shared" si="176"/>
        <v>50.658394160583939</v>
      </c>
      <c r="P84" s="531">
        <f t="shared" si="176"/>
        <v>87.174603174603178</v>
      </c>
      <c r="Q84" s="531">
        <f t="shared" si="176"/>
        <v>145.23448275862069</v>
      </c>
      <c r="R84" s="531">
        <f t="shared" si="176"/>
        <v>128.61642675698562</v>
      </c>
      <c r="S84" s="531">
        <f t="shared" si="176"/>
        <v>165.34065934065933</v>
      </c>
      <c r="T84" s="531">
        <f t="shared" si="176"/>
        <v>43.994332493702771</v>
      </c>
      <c r="U84" s="555">
        <f t="shared" si="176"/>
        <v>40.66526019690577</v>
      </c>
      <c r="V84" s="531">
        <f t="shared" si="176"/>
        <v>167.51052631578946</v>
      </c>
      <c r="W84" s="531">
        <f t="shared" si="176"/>
        <v>65.491043203371973</v>
      </c>
      <c r="X84" s="531">
        <f t="shared" si="176"/>
        <v>226.71182266009853</v>
      </c>
      <c r="Y84" s="531">
        <f t="shared" si="176"/>
        <v>103.23382624768946</v>
      </c>
      <c r="Z84" s="531">
        <f t="shared" si="176"/>
        <v>78.113162118780096</v>
      </c>
      <c r="AA84" s="531">
        <f t="shared" si="176"/>
        <v>241.32051282051282</v>
      </c>
      <c r="AB84" s="555">
        <f t="shared" si="176"/>
        <v>91.369294605809131</v>
      </c>
      <c r="AC84" s="531">
        <f t="shared" si="176"/>
        <v>40.959213401310997</v>
      </c>
      <c r="AD84" s="531">
        <f t="shared" si="176"/>
        <v>52.603610675039249</v>
      </c>
      <c r="AE84" s="531">
        <f t="shared" si="176"/>
        <v>50.72027972027972</v>
      </c>
      <c r="AF84" s="531">
        <f t="shared" si="176"/>
        <v>73.201632653061225</v>
      </c>
      <c r="AG84" s="531">
        <f t="shared" si="176"/>
        <v>48.4</v>
      </c>
      <c r="AH84" s="531">
        <f t="shared" si="176"/>
        <v>70.367112810707454</v>
      </c>
      <c r="AI84" s="531">
        <f t="shared" si="176"/>
        <v>66.331320103537536</v>
      </c>
      <c r="AJ84" s="531">
        <f t="shared" si="176"/>
        <v>140.16417910447763</v>
      </c>
      <c r="AK84" s="555">
        <f t="shared" si="176"/>
        <v>45.847193347193347</v>
      </c>
      <c r="AL84" s="531">
        <f t="shared" si="176"/>
        <v>112.46868686868687</v>
      </c>
      <c r="AM84" s="531">
        <f t="shared" si="176"/>
        <v>40.692863211554801</v>
      </c>
      <c r="AN84" s="531">
        <f t="shared" si="176"/>
        <v>14.915451027091397</v>
      </c>
      <c r="AO84" s="531">
        <f t="shared" si="176"/>
        <v>77.270164447924827</v>
      </c>
      <c r="AP84" s="531">
        <f t="shared" si="176"/>
        <v>196.1364522417154</v>
      </c>
      <c r="AQ84" s="531">
        <f t="shared" ref="AQ84:BV84" si="177">AQ83/AQ80</f>
        <v>51.834494773519161</v>
      </c>
      <c r="AR84" s="531">
        <f t="shared" si="177"/>
        <v>62.076776649746193</v>
      </c>
      <c r="AS84" s="532">
        <f t="shared" si="177"/>
        <v>37.161747343565523</v>
      </c>
      <c r="AT84" s="531">
        <f t="shared" si="177"/>
        <v>100.10077519379846</v>
      </c>
      <c r="AU84" s="531">
        <f t="shared" si="177"/>
        <v>145.23448275862069</v>
      </c>
      <c r="AV84" s="531">
        <f t="shared" si="177"/>
        <v>165.34065934065933</v>
      </c>
      <c r="AW84" s="531">
        <f t="shared" si="177"/>
        <v>68.085841694537351</v>
      </c>
      <c r="AX84" s="531">
        <f t="shared" si="177"/>
        <v>132.11311787072242</v>
      </c>
      <c r="AY84" s="531">
        <f t="shared" si="177"/>
        <v>108.96921797004991</v>
      </c>
      <c r="AZ84" s="531">
        <f t="shared" si="177"/>
        <v>107.65116279069767</v>
      </c>
      <c r="BA84" s="531">
        <f t="shared" si="177"/>
        <v>85.197080291970806</v>
      </c>
      <c r="BB84" s="531">
        <f t="shared" si="177"/>
        <v>43.994332493702771</v>
      </c>
      <c r="BC84" s="531">
        <f t="shared" si="177"/>
        <v>40.66526019690577</v>
      </c>
      <c r="BD84" s="531">
        <f t="shared" si="177"/>
        <v>60.748591909882229</v>
      </c>
      <c r="BE84" s="531">
        <f t="shared" si="177"/>
        <v>50.658394160583939</v>
      </c>
      <c r="BF84" s="555">
        <f t="shared" si="177"/>
        <v>40.797213622291025</v>
      </c>
      <c r="BG84" s="531">
        <f t="shared" si="177"/>
        <v>175</v>
      </c>
      <c r="BH84" s="531">
        <f t="shared" si="177"/>
        <v>198.18367346938774</v>
      </c>
      <c r="BI84" s="531">
        <f t="shared" si="177"/>
        <v>228.54390563564874</v>
      </c>
      <c r="BJ84" s="531">
        <f t="shared" si="177"/>
        <v>166.54653465346536</v>
      </c>
      <c r="BK84" s="531">
        <f t="shared" si="177"/>
        <v>57.971428571428568</v>
      </c>
      <c r="BL84" s="531">
        <f t="shared" si="177"/>
        <v>90.805970149253724</v>
      </c>
      <c r="BM84" s="531">
        <f t="shared" si="177"/>
        <v>78.113162118780096</v>
      </c>
      <c r="BN84" s="531">
        <f t="shared" si="177"/>
        <v>107.46772486772487</v>
      </c>
      <c r="BO84" s="531">
        <f t="shared" si="177"/>
        <v>258.55555555555554</v>
      </c>
      <c r="BP84" s="531">
        <f t="shared" si="177"/>
        <v>91.369294605809131</v>
      </c>
      <c r="BQ84" s="531">
        <f t="shared" si="177"/>
        <v>240.63111111111112</v>
      </c>
      <c r="BR84" s="555">
        <f t="shared" si="177"/>
        <v>65.491043203371973</v>
      </c>
      <c r="BS84" s="531">
        <f t="shared" si="177"/>
        <v>70.2027972027972</v>
      </c>
      <c r="BT84" s="531">
        <f t="shared" si="177"/>
        <v>49.421445221445218</v>
      </c>
      <c r="BU84" s="531">
        <f t="shared" si="177"/>
        <v>52.603610675039249</v>
      </c>
      <c r="BV84" s="531">
        <f t="shared" si="177"/>
        <v>48.4</v>
      </c>
      <c r="BW84" s="531">
        <f t="shared" ref="BW84:CL84" si="178">BW83/BW80</f>
        <v>66.331320103537536</v>
      </c>
      <c r="BX84" s="531">
        <f t="shared" si="178"/>
        <v>40.959213401310997</v>
      </c>
      <c r="BY84" s="531">
        <f t="shared" si="178"/>
        <v>140.16417910447763</v>
      </c>
      <c r="BZ84" s="531">
        <f t="shared" si="178"/>
        <v>70.367112810707454</v>
      </c>
      <c r="CA84" s="531">
        <f t="shared" si="178"/>
        <v>73.201632653061225</v>
      </c>
      <c r="CB84" s="555">
        <f t="shared" si="178"/>
        <v>45.847193347193347</v>
      </c>
      <c r="CC84" s="531">
        <f t="shared" si="178"/>
        <v>77.270164447924827</v>
      </c>
      <c r="CD84" s="531">
        <f t="shared" si="178"/>
        <v>196.1364522417154</v>
      </c>
      <c r="CE84" s="531">
        <f t="shared" si="178"/>
        <v>112.46868686868687</v>
      </c>
      <c r="CF84" s="531">
        <f t="shared" si="178"/>
        <v>47.67153284671533</v>
      </c>
      <c r="CG84" s="531">
        <f t="shared" si="178"/>
        <v>36.562811980033281</v>
      </c>
      <c r="CH84" s="531">
        <f t="shared" si="178"/>
        <v>40.692863211554801</v>
      </c>
      <c r="CI84" s="531">
        <f t="shared" si="178"/>
        <v>62.076776649746193</v>
      </c>
      <c r="CJ84" s="531">
        <f t="shared" si="178"/>
        <v>14.915451027091397</v>
      </c>
      <c r="CK84" s="532">
        <f t="shared" si="178"/>
        <v>51.834494773519161</v>
      </c>
      <c r="CL84" s="556">
        <f t="shared" si="178"/>
        <v>67.995486921884506</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243" t="s">
        <v>189</v>
      </c>
      <c r="C86" s="202">
        <v>2008</v>
      </c>
      <c r="D86" s="254"/>
      <c r="E86" s="269"/>
      <c r="F86" s="116"/>
      <c r="G86" s="137"/>
      <c r="H86" s="137"/>
      <c r="I86" s="138"/>
      <c r="J86" s="141"/>
      <c r="K86" s="116"/>
      <c r="L86" s="137"/>
      <c r="M86" s="137"/>
      <c r="N86" s="137"/>
      <c r="O86" s="137"/>
      <c r="P86" s="137"/>
      <c r="Q86" s="137"/>
      <c r="R86" s="141"/>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41"/>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4" t="s">
        <v>188</v>
      </c>
      <c r="E87" s="256">
        <v>40680</v>
      </c>
      <c r="F87" s="151">
        <v>21015</v>
      </c>
      <c r="G87" s="151">
        <v>16381</v>
      </c>
      <c r="H87" s="151">
        <v>16565</v>
      </c>
      <c r="I87" s="152">
        <v>17821</v>
      </c>
      <c r="J87" s="280"/>
      <c r="K87" s="116">
        <f>BF87</f>
        <v>16012</v>
      </c>
      <c r="L87" s="137">
        <f>AY87</f>
        <v>24481</v>
      </c>
      <c r="M87" s="137">
        <f>BD87</f>
        <v>11853</v>
      </c>
      <c r="N87" s="137">
        <f>AW87</f>
        <v>16659</v>
      </c>
      <c r="O87" s="137">
        <f>BE87</f>
        <v>18744</v>
      </c>
      <c r="P87" s="143">
        <f>(AZ101*AZ87+BA101*BA87)/(AZ101+BA101)</f>
        <v>26121.121951219513</v>
      </c>
      <c r="Q87" s="137">
        <f>'2008'!AU87</f>
        <v>31866</v>
      </c>
      <c r="R87" s="143">
        <f>(AT101*AT87+AX101*AX87)/(AT101+AX101)</f>
        <v>40885.713091922007</v>
      </c>
      <c r="S87" s="137">
        <f>AV87</f>
        <v>27697</v>
      </c>
      <c r="T87" s="137">
        <f>BB87</f>
        <v>24814</v>
      </c>
      <c r="U87" s="139">
        <f>BC87</f>
        <v>16389</v>
      </c>
      <c r="V87" s="143">
        <f>(BG101*BG87+BJ101*BJ87)/(BG101+BJ101)</f>
        <v>20202.151162790698</v>
      </c>
      <c r="W87" s="137">
        <f>BR87</f>
        <v>10700</v>
      </c>
      <c r="X87" s="143">
        <f>(BH101*BH87+BI101*BI87)/(BH101+BI101)</f>
        <v>23645</v>
      </c>
      <c r="Y87" s="143">
        <f>(BK101*BK87+BL101*BL87+BN101*BN87)/(BK101+BL101+BN101)</f>
        <v>32079.18181818182</v>
      </c>
      <c r="Z87" s="137">
        <f>BM87</f>
        <v>10474</v>
      </c>
      <c r="AA87" s="143">
        <f>(BO101*BO87+BQ101*BQ87)/(BO101+BQ101)</f>
        <v>21839.246376811596</v>
      </c>
      <c r="AB87" s="139">
        <f>BP87</f>
        <v>15329</v>
      </c>
      <c r="AC87" s="137">
        <f>BX87</f>
        <v>11058</v>
      </c>
      <c r="AD87" s="137">
        <f>BU87</f>
        <v>23540</v>
      </c>
      <c r="AE87" s="143">
        <f>(BS101*BS87+BT101*BT87)/(BS101+BT101)</f>
        <v>22915.966183574878</v>
      </c>
      <c r="AF87" s="137">
        <f>CA87</f>
        <v>18394</v>
      </c>
      <c r="AG87" s="137">
        <f>BV87</f>
        <v>17454</v>
      </c>
      <c r="AH87" s="137">
        <f>BZ87</f>
        <v>12743</v>
      </c>
      <c r="AI87" s="137">
        <f>BW87</f>
        <v>11301</v>
      </c>
      <c r="AJ87" s="137">
        <f>BY87</f>
        <v>11139</v>
      </c>
      <c r="AK87" s="139">
        <f>CB87</f>
        <v>11378</v>
      </c>
      <c r="AL87" s="137">
        <f>CE87</f>
        <v>10534</v>
      </c>
      <c r="AM87" s="137">
        <f>CH87</f>
        <v>20268</v>
      </c>
      <c r="AN87" s="137">
        <f>CJ87</f>
        <v>16528</v>
      </c>
      <c r="AO87" s="137">
        <f>CC87</f>
        <v>13738</v>
      </c>
      <c r="AP87" s="137">
        <f>CD87</f>
        <v>20920</v>
      </c>
      <c r="AQ87" s="137">
        <f>CK87</f>
        <v>11912</v>
      </c>
      <c r="AR87" s="137">
        <f>CI87</f>
        <v>19293</v>
      </c>
      <c r="AS87" s="144">
        <f>(CF101*CF87+CG101*CG87)/(CF101+CG101)</f>
        <v>25116</v>
      </c>
      <c r="AT87" s="141">
        <v>115225</v>
      </c>
      <c r="AU87" s="151">
        <v>31866</v>
      </c>
      <c r="AV87" s="151">
        <v>27697</v>
      </c>
      <c r="AW87" s="151">
        <v>16659</v>
      </c>
      <c r="AX87" s="151">
        <v>36267</v>
      </c>
      <c r="AY87" s="151">
        <v>24481</v>
      </c>
      <c r="AZ87" s="151">
        <v>36294</v>
      </c>
      <c r="BA87" s="151">
        <v>24534</v>
      </c>
      <c r="BB87" s="151">
        <v>24814</v>
      </c>
      <c r="BC87" s="151">
        <v>16389</v>
      </c>
      <c r="BD87" s="151">
        <v>11853</v>
      </c>
      <c r="BE87" s="151">
        <v>18744</v>
      </c>
      <c r="BF87" s="153">
        <v>16012</v>
      </c>
      <c r="BG87" s="151">
        <v>31880</v>
      </c>
      <c r="BH87" s="151">
        <v>37009</v>
      </c>
      <c r="BI87" s="151">
        <v>23645</v>
      </c>
      <c r="BJ87" s="151">
        <v>17735</v>
      </c>
      <c r="BK87" s="151">
        <v>65606</v>
      </c>
      <c r="BL87" s="151">
        <v>0</v>
      </c>
      <c r="BM87" s="151">
        <v>10474</v>
      </c>
      <c r="BN87" s="151">
        <v>29626</v>
      </c>
      <c r="BO87" s="151">
        <v>34144</v>
      </c>
      <c r="BP87" s="151">
        <v>15329</v>
      </c>
      <c r="BQ87" s="151">
        <v>20450</v>
      </c>
      <c r="BR87" s="153">
        <v>10700</v>
      </c>
      <c r="BS87" s="151">
        <v>29283</v>
      </c>
      <c r="BT87" s="151">
        <v>22235</v>
      </c>
      <c r="BU87" s="151">
        <v>23540</v>
      </c>
      <c r="BV87" s="151">
        <v>17454</v>
      </c>
      <c r="BW87" s="151">
        <v>11301</v>
      </c>
      <c r="BX87" s="151">
        <v>11058</v>
      </c>
      <c r="BY87" s="151">
        <v>11139</v>
      </c>
      <c r="BZ87" s="151">
        <v>12743</v>
      </c>
      <c r="CA87" s="151">
        <v>18394</v>
      </c>
      <c r="CB87" s="153">
        <v>11378</v>
      </c>
      <c r="CC87" s="151">
        <v>13738</v>
      </c>
      <c r="CD87" s="151">
        <v>20920</v>
      </c>
      <c r="CE87" s="151">
        <v>10534</v>
      </c>
      <c r="CF87" s="151">
        <v>66906</v>
      </c>
      <c r="CG87" s="151">
        <v>25116</v>
      </c>
      <c r="CH87" s="151">
        <v>20268</v>
      </c>
      <c r="CI87" s="151">
        <v>19293</v>
      </c>
      <c r="CJ87" s="151">
        <v>16528</v>
      </c>
      <c r="CK87" s="151">
        <v>11912</v>
      </c>
      <c r="CL87" s="140">
        <v>18682</v>
      </c>
    </row>
    <row r="88" spans="1:90">
      <c r="A88" s="80">
        <f>ROWS($A$3:A86)</f>
        <v>84</v>
      </c>
      <c r="B88" s="59" t="s">
        <v>190</v>
      </c>
      <c r="C88" s="202">
        <v>2008</v>
      </c>
      <c r="D88" s="254"/>
      <c r="E88" s="270"/>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c r="A89" s="80">
        <f>ROWS($A$3:A87)</f>
        <v>85</v>
      </c>
      <c r="B89" s="238" t="str">
        <f>'2012'!B89</f>
        <v>Winterweizen (einschl. Dinkel u. Einkorn)</v>
      </c>
      <c r="C89" s="205"/>
      <c r="D89" s="254" t="s">
        <v>192</v>
      </c>
      <c r="E89" s="278">
        <v>41499</v>
      </c>
      <c r="F89" s="170">
        <v>74.5</v>
      </c>
      <c r="G89" s="173">
        <v>72.3</v>
      </c>
      <c r="H89" s="173">
        <v>71.5</v>
      </c>
      <c r="I89" s="174">
        <v>77</v>
      </c>
      <c r="J89" s="173"/>
      <c r="K89" s="170">
        <f>BF89</f>
        <v>71.3</v>
      </c>
      <c r="L89" s="171">
        <f>AY89</f>
        <v>66.099999999999994</v>
      </c>
      <c r="M89" s="171">
        <f>BD89</f>
        <v>72.7</v>
      </c>
      <c r="N89" s="171">
        <f>AW89</f>
        <v>66</v>
      </c>
      <c r="O89" s="171">
        <f>BE89</f>
        <v>69.7</v>
      </c>
      <c r="P89" s="171">
        <f>'2008'!BA89</f>
        <v>78.599999999999994</v>
      </c>
      <c r="Q89" s="171">
        <f>'2008'!AU89</f>
        <v>82.1</v>
      </c>
      <c r="R89" s="171">
        <f>AX89</f>
        <v>80.900000000000006</v>
      </c>
      <c r="S89" s="171">
        <f>AV89</f>
        <v>74.3</v>
      </c>
      <c r="T89" s="171">
        <f t="shared" ref="T89:U93" si="179">BB89</f>
        <v>73.7</v>
      </c>
      <c r="U89" s="172">
        <f t="shared" si="179"/>
        <v>73.900000000000006</v>
      </c>
      <c r="V89" s="171">
        <f>BJ89</f>
        <v>69.3</v>
      </c>
      <c r="W89" s="171">
        <f>BR89</f>
        <v>76</v>
      </c>
      <c r="X89" s="171">
        <f>BI89</f>
        <v>76.099999999999994</v>
      </c>
      <c r="Y89" s="171">
        <f>BN89</f>
        <v>76</v>
      </c>
      <c r="Z89" s="171">
        <f>BM89</f>
        <v>68.099999999999994</v>
      </c>
      <c r="AA89" s="171">
        <f>BQ89</f>
        <v>71.400000000000006</v>
      </c>
      <c r="AB89" s="172">
        <f>BP89</f>
        <v>69.900000000000006</v>
      </c>
      <c r="AC89" s="171">
        <f>BX89</f>
        <v>66.8</v>
      </c>
      <c r="AD89" s="171">
        <f>BU89</f>
        <v>69.900000000000006</v>
      </c>
      <c r="AE89" s="171">
        <f>BT89</f>
        <v>71.900000000000006</v>
      </c>
      <c r="AF89" s="171">
        <f>CA89</f>
        <v>69.5</v>
      </c>
      <c r="AG89" s="171">
        <f>BV89</f>
        <v>76</v>
      </c>
      <c r="AH89" s="171">
        <f>BZ89</f>
        <v>74.8</v>
      </c>
      <c r="AI89" s="171">
        <f>BW89</f>
        <v>73.2</v>
      </c>
      <c r="AJ89" s="171">
        <f>BY89</f>
        <v>69.3</v>
      </c>
      <c r="AK89" s="172">
        <f>CB89</f>
        <v>65.7</v>
      </c>
      <c r="AL89" s="171">
        <f>CE89</f>
        <v>66.8</v>
      </c>
      <c r="AM89" s="171">
        <f>CH89</f>
        <v>77.8</v>
      </c>
      <c r="AN89" s="171">
        <f>CJ89</f>
        <v>75.5</v>
      </c>
      <c r="AO89" s="171">
        <f t="shared" ref="AO89:AP93" si="180">CC89</f>
        <v>66.400000000000006</v>
      </c>
      <c r="AP89" s="171">
        <f t="shared" si="180"/>
        <v>72.8</v>
      </c>
      <c r="AQ89" s="171">
        <f>CK89</f>
        <v>83.3</v>
      </c>
      <c r="AR89" s="171">
        <f>CI89</f>
        <v>76.7</v>
      </c>
      <c r="AS89" s="174">
        <f>CG89</f>
        <v>79.8</v>
      </c>
      <c r="AT89" s="173">
        <v>79.400000000000006</v>
      </c>
      <c r="AU89" s="173">
        <v>82.1</v>
      </c>
      <c r="AV89" s="173">
        <v>74.3</v>
      </c>
      <c r="AW89" s="173">
        <v>66</v>
      </c>
      <c r="AX89" s="173">
        <v>80.900000000000006</v>
      </c>
      <c r="AY89" s="173">
        <v>66.099999999999994</v>
      </c>
      <c r="AZ89" s="171" t="s">
        <v>233</v>
      </c>
      <c r="BA89" s="173">
        <v>78.599999999999994</v>
      </c>
      <c r="BB89" s="173">
        <v>73.7</v>
      </c>
      <c r="BC89" s="173">
        <v>73.900000000000006</v>
      </c>
      <c r="BD89" s="173">
        <v>72.7</v>
      </c>
      <c r="BE89" s="173">
        <v>69.7</v>
      </c>
      <c r="BF89" s="172">
        <v>71.3</v>
      </c>
      <c r="BG89" s="171" t="s">
        <v>233</v>
      </c>
      <c r="BH89" s="171" t="s">
        <v>233</v>
      </c>
      <c r="BI89" s="173">
        <v>76.099999999999994</v>
      </c>
      <c r="BJ89" s="173">
        <v>69.3</v>
      </c>
      <c r="BK89" s="171" t="s">
        <v>233</v>
      </c>
      <c r="BL89" s="173" t="s">
        <v>233</v>
      </c>
      <c r="BM89" s="173">
        <v>68.099999999999994</v>
      </c>
      <c r="BN89" s="173">
        <v>76</v>
      </c>
      <c r="BO89" s="171" t="s">
        <v>233</v>
      </c>
      <c r="BP89" s="173">
        <v>69.900000000000006</v>
      </c>
      <c r="BQ89" s="173">
        <v>71.400000000000006</v>
      </c>
      <c r="BR89" s="172">
        <v>76</v>
      </c>
      <c r="BS89" s="171" t="s">
        <v>233</v>
      </c>
      <c r="BT89" s="173">
        <v>71.900000000000006</v>
      </c>
      <c r="BU89" s="173">
        <v>69.900000000000006</v>
      </c>
      <c r="BV89" s="173">
        <v>76</v>
      </c>
      <c r="BW89" s="173">
        <v>73.2</v>
      </c>
      <c r="BX89" s="173">
        <v>66.8</v>
      </c>
      <c r="BY89" s="173">
        <v>69.3</v>
      </c>
      <c r="BZ89" s="173">
        <v>74.8</v>
      </c>
      <c r="CA89" s="173">
        <v>69.5</v>
      </c>
      <c r="CB89" s="172">
        <v>65.7</v>
      </c>
      <c r="CC89" s="173">
        <v>66.400000000000006</v>
      </c>
      <c r="CD89" s="173">
        <v>72.8</v>
      </c>
      <c r="CE89" s="173">
        <v>66.8</v>
      </c>
      <c r="CF89" s="171" t="s">
        <v>233</v>
      </c>
      <c r="CG89" s="173">
        <v>79.8</v>
      </c>
      <c r="CH89" s="173">
        <v>77.8</v>
      </c>
      <c r="CI89" s="173">
        <v>76.7</v>
      </c>
      <c r="CJ89" s="173">
        <v>75.5</v>
      </c>
      <c r="CK89" s="174">
        <v>83.3</v>
      </c>
      <c r="CL89" s="175">
        <v>74.400000000000006</v>
      </c>
    </row>
    <row r="90" spans="1:90">
      <c r="A90" s="80">
        <f>ROWS($A$3:A88)</f>
        <v>86</v>
      </c>
      <c r="B90" s="238" t="s">
        <v>193</v>
      </c>
      <c r="C90" s="203"/>
      <c r="D90" s="254" t="s">
        <v>192</v>
      </c>
      <c r="E90" s="256">
        <v>40680</v>
      </c>
      <c r="F90" s="170">
        <v>681.6</v>
      </c>
      <c r="G90" s="173">
        <v>618</v>
      </c>
      <c r="H90" s="173">
        <v>614.6</v>
      </c>
      <c r="I90" s="174">
        <v>662.5</v>
      </c>
      <c r="J90" s="173"/>
      <c r="K90" s="170" t="str">
        <f>BF90</f>
        <v>*</v>
      </c>
      <c r="L90" s="171">
        <f>AY90</f>
        <v>678.5</v>
      </c>
      <c r="M90" s="171">
        <f>BD90</f>
        <v>615.79999999999995</v>
      </c>
      <c r="N90" s="171" t="str">
        <f>AW90</f>
        <v>*</v>
      </c>
      <c r="O90" s="171" t="str">
        <f>BE90</f>
        <v>*</v>
      </c>
      <c r="P90" s="171">
        <f>'2008'!BA90</f>
        <v>684.3</v>
      </c>
      <c r="Q90" s="171">
        <f>'2008'!AU90</f>
        <v>697.6</v>
      </c>
      <c r="R90" s="171">
        <f>AX90</f>
        <v>723.4</v>
      </c>
      <c r="S90" s="171" t="str">
        <f>AV90</f>
        <v>*</v>
      </c>
      <c r="T90" s="171">
        <f t="shared" si="179"/>
        <v>674.8</v>
      </c>
      <c r="U90" s="172">
        <f t="shared" si="179"/>
        <v>619.1</v>
      </c>
      <c r="V90" s="171" t="str">
        <f>BJ90</f>
        <v>*</v>
      </c>
      <c r="W90" s="171" t="str">
        <f>BR90</f>
        <v>*</v>
      </c>
      <c r="X90" s="171">
        <f>BI90</f>
        <v>590.6</v>
      </c>
      <c r="Y90" s="171">
        <f>BN90</f>
        <v>630.5</v>
      </c>
      <c r="Z90" s="171">
        <f>BM90</f>
        <v>646.9</v>
      </c>
      <c r="AA90" s="171" t="str">
        <f>BQ90</f>
        <v>*</v>
      </c>
      <c r="AB90" s="172" t="str">
        <f>BP90</f>
        <v>*</v>
      </c>
      <c r="AC90" s="171" t="str">
        <f>BX90</f>
        <v>*</v>
      </c>
      <c r="AD90" s="171" t="str">
        <f>BU90</f>
        <v>*</v>
      </c>
      <c r="AE90" s="171" t="str">
        <f>BT90</f>
        <v>*</v>
      </c>
      <c r="AF90" s="171" t="str">
        <f>CA90</f>
        <v>*</v>
      </c>
      <c r="AG90" s="171" t="str">
        <f>BV90</f>
        <v>*</v>
      </c>
      <c r="AH90" s="171" t="str">
        <f>BZ90</f>
        <v>*</v>
      </c>
      <c r="AI90" s="171" t="str">
        <f>BW90</f>
        <v>*</v>
      </c>
      <c r="AJ90" s="171" t="str">
        <f>BY90</f>
        <v>*</v>
      </c>
      <c r="AK90" s="172" t="str">
        <f>CB90</f>
        <v>*</v>
      </c>
      <c r="AL90" s="171" t="str">
        <f>CE90</f>
        <v>*</v>
      </c>
      <c r="AM90" s="171">
        <f>CH90</f>
        <v>680.2</v>
      </c>
      <c r="AN90" s="171" t="str">
        <f>CJ90</f>
        <v>*</v>
      </c>
      <c r="AO90" s="171" t="str">
        <f t="shared" si="180"/>
        <v>*</v>
      </c>
      <c r="AP90" s="171" t="str">
        <f t="shared" si="180"/>
        <v>*</v>
      </c>
      <c r="AQ90" s="171" t="str">
        <f>CK90</f>
        <v>*</v>
      </c>
      <c r="AR90" s="171" t="str">
        <f>CI90</f>
        <v>*</v>
      </c>
      <c r="AS90" s="174">
        <f>CG90</f>
        <v>678.7</v>
      </c>
      <c r="AT90" s="173">
        <v>627.70000000000005</v>
      </c>
      <c r="AU90" s="173">
        <v>697.6</v>
      </c>
      <c r="AV90" s="173" t="s">
        <v>233</v>
      </c>
      <c r="AW90" s="173" t="s">
        <v>233</v>
      </c>
      <c r="AX90" s="173">
        <v>723.4</v>
      </c>
      <c r="AY90" s="173">
        <v>678.5</v>
      </c>
      <c r="AZ90" s="171" t="s">
        <v>233</v>
      </c>
      <c r="BA90" s="173">
        <v>684.3</v>
      </c>
      <c r="BB90" s="173">
        <v>674.8</v>
      </c>
      <c r="BC90" s="173">
        <v>619.1</v>
      </c>
      <c r="BD90" s="173">
        <v>615.79999999999995</v>
      </c>
      <c r="BE90" s="171" t="s">
        <v>233</v>
      </c>
      <c r="BF90" s="172" t="s">
        <v>233</v>
      </c>
      <c r="BG90" s="171" t="s">
        <v>233</v>
      </c>
      <c r="BH90" s="171" t="s">
        <v>233</v>
      </c>
      <c r="BI90" s="173">
        <v>590.6</v>
      </c>
      <c r="BJ90" s="173" t="s">
        <v>233</v>
      </c>
      <c r="BK90" s="171" t="s">
        <v>233</v>
      </c>
      <c r="BL90" s="173" t="s">
        <v>233</v>
      </c>
      <c r="BM90" s="173">
        <v>646.9</v>
      </c>
      <c r="BN90" s="173">
        <v>630.5</v>
      </c>
      <c r="BO90" s="171" t="s">
        <v>233</v>
      </c>
      <c r="BP90" s="171" t="s">
        <v>233</v>
      </c>
      <c r="BQ90" s="171" t="s">
        <v>233</v>
      </c>
      <c r="BR90" s="172" t="s">
        <v>233</v>
      </c>
      <c r="BS90" s="171" t="s">
        <v>233</v>
      </c>
      <c r="BT90" s="173" t="s">
        <v>233</v>
      </c>
      <c r="BU90" s="173" t="s">
        <v>233</v>
      </c>
      <c r="BV90" s="173" t="s">
        <v>233</v>
      </c>
      <c r="BW90" s="173" t="s">
        <v>233</v>
      </c>
      <c r="BX90" s="173" t="s">
        <v>233</v>
      </c>
      <c r="BY90" s="173" t="s">
        <v>233</v>
      </c>
      <c r="BZ90" s="173" t="s">
        <v>233</v>
      </c>
      <c r="CA90" s="173" t="s">
        <v>233</v>
      </c>
      <c r="CB90" s="172" t="s">
        <v>233</v>
      </c>
      <c r="CC90" s="173" t="s">
        <v>233</v>
      </c>
      <c r="CD90" s="173" t="s">
        <v>233</v>
      </c>
      <c r="CE90" s="173" t="s">
        <v>233</v>
      </c>
      <c r="CF90" s="173" t="s">
        <v>233</v>
      </c>
      <c r="CG90" s="173">
        <v>678.7</v>
      </c>
      <c r="CH90" s="173">
        <v>680.2</v>
      </c>
      <c r="CI90" s="171" t="s">
        <v>233</v>
      </c>
      <c r="CJ90" s="173" t="s">
        <v>233</v>
      </c>
      <c r="CK90" s="174" t="s">
        <v>233</v>
      </c>
      <c r="CL90" s="189">
        <v>667.8</v>
      </c>
    </row>
    <row r="91" spans="1:90">
      <c r="A91" s="80">
        <f>ROWS($A$3:A89)</f>
        <v>87</v>
      </c>
      <c r="B91" s="238" t="s">
        <v>194</v>
      </c>
      <c r="C91" s="203"/>
      <c r="D91" s="254" t="s">
        <v>192</v>
      </c>
      <c r="E91" s="256">
        <v>40680</v>
      </c>
      <c r="F91" s="170">
        <v>37.1</v>
      </c>
      <c r="G91" s="171">
        <v>38.1</v>
      </c>
      <c r="H91" s="171">
        <v>38.1</v>
      </c>
      <c r="I91" s="174">
        <v>37.1</v>
      </c>
      <c r="J91" s="173"/>
      <c r="K91" s="170">
        <f>BF91</f>
        <v>38.299999999999997</v>
      </c>
      <c r="L91" s="171">
        <f>AY91</f>
        <v>37.799999999999997</v>
      </c>
      <c r="M91" s="171">
        <f>BD91</f>
        <v>36</v>
      </c>
      <c r="N91" s="171">
        <f>AW91</f>
        <v>30.4</v>
      </c>
      <c r="O91" s="171">
        <f>BE91</f>
        <v>37.299999999999997</v>
      </c>
      <c r="P91" s="171">
        <f>'2008'!BA91</f>
        <v>40.299999999999997</v>
      </c>
      <c r="Q91" s="171">
        <f>'2008'!AU91</f>
        <v>40.1</v>
      </c>
      <c r="R91" s="171">
        <f>AX91</f>
        <v>39</v>
      </c>
      <c r="S91" s="171">
        <f>AV91</f>
        <v>38.700000000000003</v>
      </c>
      <c r="T91" s="171">
        <f t="shared" si="179"/>
        <v>36.4</v>
      </c>
      <c r="U91" s="172">
        <f t="shared" si="179"/>
        <v>36.1</v>
      </c>
      <c r="V91" s="171">
        <f>BJ91</f>
        <v>38.6</v>
      </c>
      <c r="W91" s="171">
        <f>BR91</f>
        <v>37.5</v>
      </c>
      <c r="X91" s="171">
        <f>BI91</f>
        <v>43</v>
      </c>
      <c r="Y91" s="171">
        <f>BN91</f>
        <v>38.1</v>
      </c>
      <c r="Z91" s="171">
        <f>BM91</f>
        <v>35.6</v>
      </c>
      <c r="AA91" s="171">
        <f>BQ91</f>
        <v>38.799999999999997</v>
      </c>
      <c r="AB91" s="172">
        <f>BP91</f>
        <v>38.700000000000003</v>
      </c>
      <c r="AC91" s="171">
        <f>BX91</f>
        <v>43.1</v>
      </c>
      <c r="AD91" s="171" t="str">
        <f>BU91</f>
        <v>*</v>
      </c>
      <c r="AE91" s="171">
        <f>BT91</f>
        <v>37.4</v>
      </c>
      <c r="AF91" s="171" t="str">
        <f>CA91</f>
        <v>*</v>
      </c>
      <c r="AG91" s="171">
        <f>BV91</f>
        <v>36.700000000000003</v>
      </c>
      <c r="AH91" s="171">
        <f>BZ91</f>
        <v>36.5</v>
      </c>
      <c r="AI91" s="171">
        <f>BW91</f>
        <v>35.4</v>
      </c>
      <c r="AJ91" s="171">
        <f>BY91</f>
        <v>38.9</v>
      </c>
      <c r="AK91" s="172">
        <f>CB91</f>
        <v>37.9</v>
      </c>
      <c r="AL91" s="171">
        <f>CE91</f>
        <v>33.299999999999997</v>
      </c>
      <c r="AM91" s="171">
        <f>CH91</f>
        <v>36.5</v>
      </c>
      <c r="AN91" s="171">
        <f>CJ91</f>
        <v>37.5</v>
      </c>
      <c r="AO91" s="171">
        <f t="shared" si="180"/>
        <v>34</v>
      </c>
      <c r="AP91" s="171">
        <f t="shared" si="180"/>
        <v>40</v>
      </c>
      <c r="AQ91" s="171">
        <f>CK91</f>
        <v>37.5</v>
      </c>
      <c r="AR91" s="171">
        <f>CI91</f>
        <v>37.9</v>
      </c>
      <c r="AS91" s="174">
        <f>CG91</f>
        <v>37.5</v>
      </c>
      <c r="AT91" s="173" t="s">
        <v>233</v>
      </c>
      <c r="AU91" s="173">
        <v>40.1</v>
      </c>
      <c r="AV91" s="173">
        <v>38.700000000000003</v>
      </c>
      <c r="AW91" s="173">
        <v>30.4</v>
      </c>
      <c r="AX91" s="171">
        <v>39</v>
      </c>
      <c r="AY91" s="173">
        <v>37.799999999999997</v>
      </c>
      <c r="AZ91" s="171" t="s">
        <v>233</v>
      </c>
      <c r="BA91" s="173">
        <v>40.299999999999997</v>
      </c>
      <c r="BB91" s="173">
        <v>36.4</v>
      </c>
      <c r="BC91" s="173">
        <v>36.1</v>
      </c>
      <c r="BD91" s="173">
        <v>36</v>
      </c>
      <c r="BE91" s="173">
        <v>37.299999999999997</v>
      </c>
      <c r="BF91" s="172">
        <v>38.299999999999997</v>
      </c>
      <c r="BG91" s="171" t="s">
        <v>233</v>
      </c>
      <c r="BH91" s="171" t="s">
        <v>233</v>
      </c>
      <c r="BI91" s="173">
        <v>43</v>
      </c>
      <c r="BJ91" s="173">
        <v>38.6</v>
      </c>
      <c r="BK91" s="171" t="s">
        <v>233</v>
      </c>
      <c r="BL91" s="173" t="s">
        <v>233</v>
      </c>
      <c r="BM91" s="171">
        <v>35.6</v>
      </c>
      <c r="BN91" s="171">
        <v>38.1</v>
      </c>
      <c r="BO91" s="171" t="s">
        <v>233</v>
      </c>
      <c r="BP91" s="173">
        <v>38.700000000000003</v>
      </c>
      <c r="BQ91" s="171">
        <v>38.799999999999997</v>
      </c>
      <c r="BR91" s="172">
        <v>37.5</v>
      </c>
      <c r="BS91" s="171" t="s">
        <v>233</v>
      </c>
      <c r="BT91" s="173">
        <v>37.4</v>
      </c>
      <c r="BU91" s="171" t="s">
        <v>233</v>
      </c>
      <c r="BV91" s="173">
        <v>36.700000000000003</v>
      </c>
      <c r="BW91" s="173">
        <v>35.4</v>
      </c>
      <c r="BX91" s="173">
        <v>43.1</v>
      </c>
      <c r="BY91" s="173">
        <v>38.9</v>
      </c>
      <c r="BZ91" s="173">
        <v>36.5</v>
      </c>
      <c r="CA91" s="171" t="s">
        <v>233</v>
      </c>
      <c r="CB91" s="172">
        <v>37.9</v>
      </c>
      <c r="CC91" s="173">
        <v>34</v>
      </c>
      <c r="CD91" s="173">
        <v>40</v>
      </c>
      <c r="CE91" s="173">
        <v>33.299999999999997</v>
      </c>
      <c r="CF91" s="171" t="s">
        <v>233</v>
      </c>
      <c r="CG91" s="173">
        <v>37.5</v>
      </c>
      <c r="CH91" s="173">
        <v>36.5</v>
      </c>
      <c r="CI91" s="173">
        <v>37.9</v>
      </c>
      <c r="CJ91" s="173">
        <v>37.5</v>
      </c>
      <c r="CK91" s="174">
        <v>37.5</v>
      </c>
      <c r="CL91" s="189">
        <v>37.4</v>
      </c>
    </row>
    <row r="92" spans="1:90">
      <c r="A92" s="80">
        <f>ROWS($A$3:A90)</f>
        <v>88</v>
      </c>
      <c r="B92" s="238" t="s">
        <v>195</v>
      </c>
      <c r="C92" s="203"/>
      <c r="D92" s="254" t="s">
        <v>192</v>
      </c>
      <c r="E92" s="256">
        <v>40680</v>
      </c>
      <c r="F92" s="170">
        <v>484</v>
      </c>
      <c r="G92" s="173">
        <v>477.5</v>
      </c>
      <c r="H92" s="173">
        <v>465.5</v>
      </c>
      <c r="I92" s="174">
        <v>479.7</v>
      </c>
      <c r="J92" s="173"/>
      <c r="K92" s="170">
        <f>BF92</f>
        <v>495</v>
      </c>
      <c r="L92" s="171">
        <f>AY92</f>
        <v>449.1</v>
      </c>
      <c r="M92" s="171">
        <f>BD92</f>
        <v>452</v>
      </c>
      <c r="N92" s="171">
        <f>AW92</f>
        <v>535.29999999999995</v>
      </c>
      <c r="O92" s="171">
        <f>BE92</f>
        <v>491.5</v>
      </c>
      <c r="P92" s="171">
        <f>'2008'!BA92</f>
        <v>517.5</v>
      </c>
      <c r="Q92" s="171">
        <f>'2008'!AU92</f>
        <v>480.8</v>
      </c>
      <c r="R92" s="171">
        <f>AX92</f>
        <v>522.1</v>
      </c>
      <c r="S92" s="171">
        <f>AV92</f>
        <v>502.2</v>
      </c>
      <c r="T92" s="171">
        <f t="shared" si="179"/>
        <v>466.9</v>
      </c>
      <c r="U92" s="172">
        <f t="shared" si="179"/>
        <v>448.9</v>
      </c>
      <c r="V92" s="171">
        <f>BJ92</f>
        <v>471.4</v>
      </c>
      <c r="W92" s="171">
        <f>BR92</f>
        <v>526.20000000000005</v>
      </c>
      <c r="X92" s="171">
        <f>BI92</f>
        <v>449.6</v>
      </c>
      <c r="Y92" s="171">
        <f>BN92</f>
        <v>469.3</v>
      </c>
      <c r="Z92" s="171">
        <f>BM92</f>
        <v>469.6</v>
      </c>
      <c r="AA92" s="171">
        <f>BQ92</f>
        <v>489</v>
      </c>
      <c r="AB92" s="172">
        <f>BP92</f>
        <v>482</v>
      </c>
      <c r="AC92" s="171">
        <f>BX92</f>
        <v>476.8</v>
      </c>
      <c r="AD92" s="171">
        <f>BU92</f>
        <v>473.7</v>
      </c>
      <c r="AE92" s="171">
        <f>BT92</f>
        <v>449.3</v>
      </c>
      <c r="AF92" s="171">
        <f>CA92</f>
        <v>481.6</v>
      </c>
      <c r="AG92" s="171">
        <f>BV92</f>
        <v>470.8</v>
      </c>
      <c r="AH92" s="171">
        <f>BZ92</f>
        <v>477.6</v>
      </c>
      <c r="AI92" s="171">
        <f>BW92</f>
        <v>456.5</v>
      </c>
      <c r="AJ92" s="171">
        <f>BY92</f>
        <v>463.7</v>
      </c>
      <c r="AK92" s="172">
        <f>CB92</f>
        <v>443.2</v>
      </c>
      <c r="AL92" s="171">
        <f>CE92</f>
        <v>444.9</v>
      </c>
      <c r="AM92" s="171">
        <f>CH92</f>
        <v>503.5</v>
      </c>
      <c r="AN92" s="171">
        <f>CJ92</f>
        <v>452.7</v>
      </c>
      <c r="AO92" s="171">
        <f t="shared" si="180"/>
        <v>419</v>
      </c>
      <c r="AP92" s="171">
        <f t="shared" si="180"/>
        <v>494.4</v>
      </c>
      <c r="AQ92" s="171">
        <f>CK92</f>
        <v>485.1</v>
      </c>
      <c r="AR92" s="171">
        <f>CI92</f>
        <v>468.6</v>
      </c>
      <c r="AS92" s="174">
        <f>CG92</f>
        <v>502.9</v>
      </c>
      <c r="AT92" s="173" t="s">
        <v>233</v>
      </c>
      <c r="AU92" s="173">
        <v>480.8</v>
      </c>
      <c r="AV92" s="173">
        <v>502.2</v>
      </c>
      <c r="AW92" s="173">
        <v>535.29999999999995</v>
      </c>
      <c r="AX92" s="173">
        <v>522.1</v>
      </c>
      <c r="AY92" s="173">
        <v>449.1</v>
      </c>
      <c r="AZ92" s="171" t="s">
        <v>233</v>
      </c>
      <c r="BA92" s="173">
        <v>517.5</v>
      </c>
      <c r="BB92" s="173">
        <v>466.9</v>
      </c>
      <c r="BC92" s="173">
        <v>448.9</v>
      </c>
      <c r="BD92" s="173">
        <v>452</v>
      </c>
      <c r="BE92" s="173">
        <v>491.5</v>
      </c>
      <c r="BF92" s="172">
        <v>495</v>
      </c>
      <c r="BG92" s="171" t="s">
        <v>233</v>
      </c>
      <c r="BH92" s="171" t="s">
        <v>233</v>
      </c>
      <c r="BI92" s="173">
        <v>449.6</v>
      </c>
      <c r="BJ92" s="173">
        <v>471.4</v>
      </c>
      <c r="BK92" s="171" t="s">
        <v>233</v>
      </c>
      <c r="BL92" s="173" t="s">
        <v>233</v>
      </c>
      <c r="BM92" s="173">
        <v>469.6</v>
      </c>
      <c r="BN92" s="173">
        <v>469.3</v>
      </c>
      <c r="BO92" s="171" t="s">
        <v>233</v>
      </c>
      <c r="BP92" s="173">
        <v>482</v>
      </c>
      <c r="BQ92" s="173">
        <v>489</v>
      </c>
      <c r="BR92" s="172">
        <v>526.20000000000005</v>
      </c>
      <c r="BS92" s="171" t="s">
        <v>233</v>
      </c>
      <c r="BT92" s="173">
        <v>449.3</v>
      </c>
      <c r="BU92" s="171">
        <v>473.7</v>
      </c>
      <c r="BV92" s="173">
        <v>470.8</v>
      </c>
      <c r="BW92" s="173">
        <v>456.5</v>
      </c>
      <c r="BX92" s="173">
        <v>476.8</v>
      </c>
      <c r="BY92" s="173">
        <v>463.7</v>
      </c>
      <c r="BZ92" s="173">
        <v>477.6</v>
      </c>
      <c r="CA92" s="173">
        <v>481.6</v>
      </c>
      <c r="CB92" s="172">
        <v>443.2</v>
      </c>
      <c r="CC92" s="173">
        <v>419</v>
      </c>
      <c r="CD92" s="173">
        <v>494.4</v>
      </c>
      <c r="CE92" s="173">
        <v>444.9</v>
      </c>
      <c r="CF92" s="171" t="s">
        <v>233</v>
      </c>
      <c r="CG92" s="173">
        <v>502.9</v>
      </c>
      <c r="CH92" s="173">
        <v>503.5</v>
      </c>
      <c r="CI92" s="173">
        <v>468.6</v>
      </c>
      <c r="CJ92" s="173">
        <v>452.7</v>
      </c>
      <c r="CK92" s="174">
        <v>485.1</v>
      </c>
      <c r="CL92" s="189">
        <v>478.4</v>
      </c>
    </row>
    <row r="93" spans="1:90">
      <c r="A93" s="80">
        <f>ROWS($A$3:A91)</f>
        <v>89</v>
      </c>
      <c r="B93" s="197" t="s">
        <v>94</v>
      </c>
      <c r="C93" s="276"/>
      <c r="D93" s="271" t="s">
        <v>3</v>
      </c>
      <c r="E93" s="272"/>
      <c r="F93" s="116">
        <v>60</v>
      </c>
      <c r="G93" s="137">
        <v>37</v>
      </c>
      <c r="H93" s="137">
        <v>69</v>
      </c>
      <c r="I93" s="138">
        <v>54</v>
      </c>
      <c r="J93" s="141"/>
      <c r="K93" s="116">
        <f>BF93</f>
        <v>97</v>
      </c>
      <c r="L93" s="137">
        <f>AY93</f>
        <v>64</v>
      </c>
      <c r="M93" s="137">
        <f>BD93</f>
        <v>66</v>
      </c>
      <c r="N93" s="137">
        <f>AW93</f>
        <v>75</v>
      </c>
      <c r="O93" s="137">
        <f>BE93</f>
        <v>52</v>
      </c>
      <c r="P93" s="143">
        <f>(AZ35*AZ93+BA35*BA93)/P35</f>
        <v>7.432921350219555</v>
      </c>
      <c r="Q93" s="137">
        <f>'2008'!AU93</f>
        <v>51</v>
      </c>
      <c r="R93" s="143">
        <f>(AT35*AT93+AX35*AX93)/R35</f>
        <v>0</v>
      </c>
      <c r="S93" s="137">
        <f>AV93</f>
        <v>59</v>
      </c>
      <c r="T93" s="137">
        <f t="shared" si="179"/>
        <v>51</v>
      </c>
      <c r="U93" s="139">
        <f t="shared" si="179"/>
        <v>93</v>
      </c>
      <c r="V93" s="143">
        <f>(BG35*BG93+BJ35*BJ93)/V35</f>
        <v>17.984657039711191</v>
      </c>
      <c r="W93" s="137">
        <f>BR93</f>
        <v>82</v>
      </c>
      <c r="X93" s="143">
        <f>(BH35*BH93+BI35*BI93)/X35</f>
        <v>3.736710631494804</v>
      </c>
      <c r="Y93" s="143">
        <f>(BK35*BK93+BL35*BL93+BN35*BN93)/Y35</f>
        <v>6.2961604531315292</v>
      </c>
      <c r="Z93" s="137">
        <f>BM93</f>
        <v>65</v>
      </c>
      <c r="AA93" s="143">
        <f>(BO35*BO93+BQ35*BQ93)/AA35</f>
        <v>41.917907484613856</v>
      </c>
      <c r="AB93" s="139">
        <f>BP93</f>
        <v>74</v>
      </c>
      <c r="AC93" s="137">
        <f>BX93</f>
        <v>96</v>
      </c>
      <c r="AD93" s="137">
        <f>BU93</f>
        <v>46</v>
      </c>
      <c r="AE93" s="143">
        <f>(BS35*BS93+BT35*BT93)/AE35</f>
        <v>48.061084445777709</v>
      </c>
      <c r="AF93" s="137">
        <f>CA93</f>
        <v>57</v>
      </c>
      <c r="AG93" s="137">
        <f>BV93</f>
        <v>38</v>
      </c>
      <c r="AH93" s="137">
        <f>BZ93</f>
        <v>59</v>
      </c>
      <c r="AI93" s="137">
        <f>BW93</f>
        <v>100</v>
      </c>
      <c r="AJ93" s="137">
        <f>BY93</f>
        <v>100</v>
      </c>
      <c r="AK93" s="139">
        <f>CB93</f>
        <v>100</v>
      </c>
      <c r="AL93" s="137">
        <f>CE93</f>
        <v>98</v>
      </c>
      <c r="AM93" s="137">
        <f>CH93</f>
        <v>15</v>
      </c>
      <c r="AN93" s="137">
        <f>CJ93</f>
        <v>58</v>
      </c>
      <c r="AO93" s="137">
        <f t="shared" si="180"/>
        <v>98</v>
      </c>
      <c r="AP93" s="137">
        <f t="shared" si="180"/>
        <v>53</v>
      </c>
      <c r="AQ93" s="137">
        <f>CK93</f>
        <v>73</v>
      </c>
      <c r="AR93" s="137">
        <f>CI93</f>
        <v>26</v>
      </c>
      <c r="AS93" s="144">
        <f>(CF35*CF93+CG35*CG93)/AS35</f>
        <v>41.794570598431285</v>
      </c>
      <c r="AT93" s="141">
        <v>0</v>
      </c>
      <c r="AU93" s="141">
        <v>51</v>
      </c>
      <c r="AV93" s="141">
        <v>59</v>
      </c>
      <c r="AW93" s="141">
        <v>75</v>
      </c>
      <c r="AX93" s="137">
        <v>0</v>
      </c>
      <c r="AY93" s="137">
        <v>64</v>
      </c>
      <c r="AZ93" s="137">
        <v>0</v>
      </c>
      <c r="BA93" s="137">
        <v>8</v>
      </c>
      <c r="BB93" s="137">
        <v>51</v>
      </c>
      <c r="BC93" s="137">
        <v>93</v>
      </c>
      <c r="BD93" s="137">
        <v>66</v>
      </c>
      <c r="BE93" s="137">
        <v>52</v>
      </c>
      <c r="BF93" s="139">
        <v>97</v>
      </c>
      <c r="BG93" s="137">
        <v>69</v>
      </c>
      <c r="BH93" s="137">
        <v>0</v>
      </c>
      <c r="BI93" s="137">
        <v>4</v>
      </c>
      <c r="BJ93" s="137">
        <v>12</v>
      </c>
      <c r="BK93" s="137">
        <v>1</v>
      </c>
      <c r="BL93" s="137">
        <v>0</v>
      </c>
      <c r="BM93" s="137">
        <v>65</v>
      </c>
      <c r="BN93" s="137">
        <v>7</v>
      </c>
      <c r="BO93" s="137">
        <v>21</v>
      </c>
      <c r="BP93" s="137">
        <v>74</v>
      </c>
      <c r="BQ93" s="137">
        <v>43</v>
      </c>
      <c r="BR93" s="139">
        <v>82</v>
      </c>
      <c r="BS93" s="137">
        <v>21</v>
      </c>
      <c r="BT93" s="137">
        <v>50</v>
      </c>
      <c r="BU93" s="137">
        <v>46</v>
      </c>
      <c r="BV93" s="137">
        <v>38</v>
      </c>
      <c r="BW93" s="137">
        <v>100</v>
      </c>
      <c r="BX93" s="137">
        <v>96</v>
      </c>
      <c r="BY93" s="137">
        <v>100</v>
      </c>
      <c r="BZ93" s="137">
        <v>59</v>
      </c>
      <c r="CA93" s="137">
        <v>57</v>
      </c>
      <c r="CB93" s="139">
        <v>100</v>
      </c>
      <c r="CC93" s="137">
        <v>98</v>
      </c>
      <c r="CD93" s="137">
        <v>53</v>
      </c>
      <c r="CE93" s="137">
        <v>98</v>
      </c>
      <c r="CF93" s="137">
        <v>7</v>
      </c>
      <c r="CG93" s="137">
        <v>44</v>
      </c>
      <c r="CH93" s="137">
        <v>15</v>
      </c>
      <c r="CI93" s="137">
        <v>26</v>
      </c>
      <c r="CJ93" s="137">
        <v>58</v>
      </c>
      <c r="CK93" s="138">
        <v>73</v>
      </c>
      <c r="CL93" s="140">
        <v>57</v>
      </c>
    </row>
    <row r="94" spans="1:90">
      <c r="A94" s="80">
        <f>ROWS($A$3:A92)</f>
        <v>90</v>
      </c>
      <c r="B94" s="59" t="s">
        <v>247</v>
      </c>
      <c r="C94" s="203"/>
      <c r="D94" s="254"/>
      <c r="E94" s="273"/>
      <c r="F94" s="116"/>
      <c r="G94" s="137"/>
      <c r="H94" s="137"/>
      <c r="I94" s="138"/>
      <c r="J94" s="141"/>
      <c r="K94" s="116">
        <f t="shared" ref="K94:AS94" si="181">$C$95</f>
        <v>2008</v>
      </c>
      <c r="L94" s="137">
        <f t="shared" si="181"/>
        <v>2008</v>
      </c>
      <c r="M94" s="137">
        <f t="shared" si="181"/>
        <v>2008</v>
      </c>
      <c r="N94" s="137">
        <f t="shared" si="181"/>
        <v>2008</v>
      </c>
      <c r="O94" s="137">
        <f t="shared" si="181"/>
        <v>2008</v>
      </c>
      <c r="P94" s="137">
        <f t="shared" si="181"/>
        <v>2008</v>
      </c>
      <c r="Q94" s="137">
        <f t="shared" si="181"/>
        <v>2008</v>
      </c>
      <c r="R94" s="137">
        <f t="shared" si="181"/>
        <v>2008</v>
      </c>
      <c r="S94" s="137">
        <f t="shared" si="181"/>
        <v>2008</v>
      </c>
      <c r="T94" s="137">
        <f t="shared" si="181"/>
        <v>2008</v>
      </c>
      <c r="U94" s="139">
        <f t="shared" si="181"/>
        <v>2008</v>
      </c>
      <c r="V94" s="137">
        <f t="shared" si="181"/>
        <v>2008</v>
      </c>
      <c r="W94" s="137">
        <f t="shared" si="181"/>
        <v>2008</v>
      </c>
      <c r="X94" s="137">
        <f t="shared" si="181"/>
        <v>2008</v>
      </c>
      <c r="Y94" s="137">
        <f t="shared" si="181"/>
        <v>2008</v>
      </c>
      <c r="Z94" s="137">
        <f t="shared" si="181"/>
        <v>2008</v>
      </c>
      <c r="AA94" s="137">
        <f t="shared" si="181"/>
        <v>2008</v>
      </c>
      <c r="AB94" s="139">
        <f t="shared" si="181"/>
        <v>2008</v>
      </c>
      <c r="AC94" s="137">
        <f t="shared" si="181"/>
        <v>2008</v>
      </c>
      <c r="AD94" s="137">
        <f t="shared" si="181"/>
        <v>2008</v>
      </c>
      <c r="AE94" s="137">
        <f t="shared" si="181"/>
        <v>2008</v>
      </c>
      <c r="AF94" s="137">
        <f t="shared" si="181"/>
        <v>2008</v>
      </c>
      <c r="AG94" s="137">
        <f t="shared" si="181"/>
        <v>2008</v>
      </c>
      <c r="AH94" s="137">
        <f t="shared" si="181"/>
        <v>2008</v>
      </c>
      <c r="AI94" s="137">
        <f t="shared" si="181"/>
        <v>2008</v>
      </c>
      <c r="AJ94" s="137">
        <f t="shared" si="181"/>
        <v>2008</v>
      </c>
      <c r="AK94" s="139">
        <f t="shared" si="181"/>
        <v>2008</v>
      </c>
      <c r="AL94" s="137">
        <f t="shared" si="181"/>
        <v>2008</v>
      </c>
      <c r="AM94" s="137">
        <f t="shared" si="181"/>
        <v>2008</v>
      </c>
      <c r="AN94" s="137">
        <f t="shared" si="181"/>
        <v>2008</v>
      </c>
      <c r="AO94" s="137">
        <f t="shared" si="181"/>
        <v>2008</v>
      </c>
      <c r="AP94" s="137">
        <f t="shared" si="181"/>
        <v>2008</v>
      </c>
      <c r="AQ94" s="137">
        <f t="shared" si="181"/>
        <v>2008</v>
      </c>
      <c r="AR94" s="137">
        <f t="shared" si="181"/>
        <v>2008</v>
      </c>
      <c r="AS94" s="138">
        <f t="shared" si="181"/>
        <v>2008</v>
      </c>
      <c r="AT94" s="239">
        <v>2006</v>
      </c>
      <c r="AU94" s="239">
        <f t="shared" ref="AU94:CL94" si="182">$C$95</f>
        <v>2008</v>
      </c>
      <c r="AV94" s="239">
        <f t="shared" si="182"/>
        <v>2008</v>
      </c>
      <c r="AW94" s="239">
        <f t="shared" si="182"/>
        <v>2008</v>
      </c>
      <c r="AX94" s="239">
        <f t="shared" si="182"/>
        <v>2008</v>
      </c>
      <c r="AY94" s="239">
        <f t="shared" si="182"/>
        <v>2008</v>
      </c>
      <c r="AZ94" s="239">
        <f t="shared" si="182"/>
        <v>2008</v>
      </c>
      <c r="BA94" s="239">
        <f t="shared" si="182"/>
        <v>2008</v>
      </c>
      <c r="BB94" s="239">
        <f t="shared" si="182"/>
        <v>2008</v>
      </c>
      <c r="BC94" s="239">
        <f t="shared" si="182"/>
        <v>2008</v>
      </c>
      <c r="BD94" s="239">
        <f t="shared" si="182"/>
        <v>2008</v>
      </c>
      <c r="BE94" s="239">
        <f t="shared" si="182"/>
        <v>2008</v>
      </c>
      <c r="BF94" s="240">
        <f t="shared" si="182"/>
        <v>2008</v>
      </c>
      <c r="BG94" s="239">
        <f t="shared" si="182"/>
        <v>2008</v>
      </c>
      <c r="BH94" s="239">
        <f t="shared" si="182"/>
        <v>2008</v>
      </c>
      <c r="BI94" s="239">
        <f t="shared" si="182"/>
        <v>2008</v>
      </c>
      <c r="BJ94" s="239">
        <f t="shared" si="182"/>
        <v>2008</v>
      </c>
      <c r="BK94" s="239">
        <f t="shared" si="182"/>
        <v>2008</v>
      </c>
      <c r="BL94" s="239">
        <f t="shared" si="182"/>
        <v>2008</v>
      </c>
      <c r="BM94" s="239">
        <f t="shared" si="182"/>
        <v>2008</v>
      </c>
      <c r="BN94" s="239">
        <f t="shared" si="182"/>
        <v>2008</v>
      </c>
      <c r="BO94" s="239">
        <f t="shared" si="182"/>
        <v>2008</v>
      </c>
      <c r="BP94" s="239">
        <f t="shared" si="182"/>
        <v>2008</v>
      </c>
      <c r="BQ94" s="239">
        <f t="shared" si="182"/>
        <v>2008</v>
      </c>
      <c r="BR94" s="240">
        <f t="shared" si="182"/>
        <v>2008</v>
      </c>
      <c r="BS94" s="239">
        <f t="shared" si="182"/>
        <v>2008</v>
      </c>
      <c r="BT94" s="239">
        <f t="shared" si="182"/>
        <v>2008</v>
      </c>
      <c r="BU94" s="239">
        <f t="shared" si="182"/>
        <v>2008</v>
      </c>
      <c r="BV94" s="239">
        <f t="shared" si="182"/>
        <v>2008</v>
      </c>
      <c r="BW94" s="239">
        <f t="shared" si="182"/>
        <v>2008</v>
      </c>
      <c r="BX94" s="239">
        <f t="shared" si="182"/>
        <v>2008</v>
      </c>
      <c r="BY94" s="239">
        <f t="shared" si="182"/>
        <v>2008</v>
      </c>
      <c r="BZ94" s="239">
        <f t="shared" si="182"/>
        <v>2008</v>
      </c>
      <c r="CA94" s="239">
        <f t="shared" si="182"/>
        <v>2008</v>
      </c>
      <c r="CB94" s="240">
        <f t="shared" si="182"/>
        <v>2008</v>
      </c>
      <c r="CC94" s="239">
        <f t="shared" si="182"/>
        <v>2008</v>
      </c>
      <c r="CD94" s="239">
        <f t="shared" si="182"/>
        <v>2008</v>
      </c>
      <c r="CE94" s="239">
        <f t="shared" si="182"/>
        <v>2008</v>
      </c>
      <c r="CF94" s="239">
        <f t="shared" si="182"/>
        <v>2008</v>
      </c>
      <c r="CG94" s="239">
        <f t="shared" si="182"/>
        <v>2008</v>
      </c>
      <c r="CH94" s="239">
        <f t="shared" si="182"/>
        <v>2008</v>
      </c>
      <c r="CI94" s="239">
        <f t="shared" si="182"/>
        <v>2008</v>
      </c>
      <c r="CJ94" s="239">
        <f t="shared" si="182"/>
        <v>2008</v>
      </c>
      <c r="CK94" s="241">
        <f t="shared" si="182"/>
        <v>2008</v>
      </c>
      <c r="CL94" s="242">
        <f t="shared" si="182"/>
        <v>2008</v>
      </c>
    </row>
    <row r="95" spans="1:90">
      <c r="A95" s="80">
        <f>ROWS($A$3:A93)</f>
        <v>91</v>
      </c>
      <c r="B95" s="238" t="s">
        <v>77</v>
      </c>
      <c r="C95" s="202">
        <v>2008</v>
      </c>
      <c r="D95" s="254" t="s">
        <v>13</v>
      </c>
      <c r="E95" s="256">
        <v>40680</v>
      </c>
      <c r="F95" s="116">
        <v>104232</v>
      </c>
      <c r="G95" s="137">
        <v>25196</v>
      </c>
      <c r="H95" s="137">
        <v>69318</v>
      </c>
      <c r="I95" s="138">
        <v>162586</v>
      </c>
      <c r="J95" s="141"/>
      <c r="K95" s="116">
        <f>BF95</f>
        <v>25240</v>
      </c>
      <c r="L95" s="137">
        <f>AY95</f>
        <v>7146</v>
      </c>
      <c r="M95" s="137">
        <f>BD95</f>
        <v>7653</v>
      </c>
      <c r="N95" s="137">
        <f>AW95</f>
        <v>10524</v>
      </c>
      <c r="O95" s="137">
        <f>BE95</f>
        <v>7901</v>
      </c>
      <c r="P95" s="137">
        <f>AZ95+BA95</f>
        <v>5183</v>
      </c>
      <c r="Q95" s="137">
        <f>'2008'!AU95</f>
        <v>3047</v>
      </c>
      <c r="R95" s="137">
        <f>AX95+AT95</f>
        <v>5181</v>
      </c>
      <c r="S95" s="137">
        <f>AV95</f>
        <v>2894</v>
      </c>
      <c r="T95" s="137">
        <f t="shared" ref="T95:U99" si="183">BB95</f>
        <v>7525</v>
      </c>
      <c r="U95" s="139">
        <f t="shared" si="183"/>
        <v>21941</v>
      </c>
      <c r="V95" s="137">
        <f>BG95+BJ95</f>
        <v>494</v>
      </c>
      <c r="W95" s="137">
        <f>BR95</f>
        <v>4006</v>
      </c>
      <c r="X95" s="137">
        <f>BH95+BI95</f>
        <v>1561</v>
      </c>
      <c r="Y95" s="137">
        <f>BK95+BL95+BN95</f>
        <v>4169</v>
      </c>
      <c r="Z95" s="137">
        <f>BM95</f>
        <v>8366</v>
      </c>
      <c r="AA95" s="137">
        <f>BO95+BQ95</f>
        <v>2915</v>
      </c>
      <c r="AB95" s="139">
        <f>BP95</f>
        <v>3685</v>
      </c>
      <c r="AC95" s="137">
        <f>BX95</f>
        <v>12022</v>
      </c>
      <c r="AD95" s="137">
        <f>BU95</f>
        <v>3827</v>
      </c>
      <c r="AE95" s="137">
        <f>BT95</f>
        <v>10510</v>
      </c>
      <c r="AF95" s="137">
        <f>CA95</f>
        <v>3991</v>
      </c>
      <c r="AG95" s="137">
        <f>BV95</f>
        <v>9030</v>
      </c>
      <c r="AH95" s="137">
        <f>BZ95</f>
        <v>9076</v>
      </c>
      <c r="AI95" s="137">
        <f>BW95</f>
        <v>5553</v>
      </c>
      <c r="AJ95" s="137">
        <f>BY95</f>
        <v>5132</v>
      </c>
      <c r="AK95" s="139">
        <f>CB95</f>
        <v>10178</v>
      </c>
      <c r="AL95" s="137">
        <f>CE95</f>
        <v>3178</v>
      </c>
      <c r="AM95" s="137">
        <f>CH95</f>
        <v>35255</v>
      </c>
      <c r="AN95" s="137">
        <f>CJ95</f>
        <v>69212</v>
      </c>
      <c r="AO95" s="137">
        <f t="shared" ref="AO95:AP99" si="184">CC95</f>
        <v>8763</v>
      </c>
      <c r="AP95" s="137">
        <f t="shared" si="184"/>
        <v>1789</v>
      </c>
      <c r="AQ95" s="137">
        <f>CK95</f>
        <v>13497</v>
      </c>
      <c r="AR95" s="137">
        <f>CI95</f>
        <v>11150</v>
      </c>
      <c r="AS95" s="138">
        <f>CF95+CG95</f>
        <v>19743</v>
      </c>
      <c r="AT95" s="141">
        <v>417</v>
      </c>
      <c r="AU95" s="141">
        <v>3047</v>
      </c>
      <c r="AV95" s="141">
        <v>2894</v>
      </c>
      <c r="AW95" s="141">
        <v>10524</v>
      </c>
      <c r="AX95" s="137">
        <v>4764</v>
      </c>
      <c r="AY95" s="137">
        <v>7146</v>
      </c>
      <c r="AZ95" s="137">
        <v>151</v>
      </c>
      <c r="BA95" s="137">
        <v>5032</v>
      </c>
      <c r="BB95" s="137">
        <v>7525</v>
      </c>
      <c r="BC95" s="137">
        <v>21941</v>
      </c>
      <c r="BD95" s="137">
        <v>7653</v>
      </c>
      <c r="BE95" s="137">
        <v>7901</v>
      </c>
      <c r="BF95" s="139">
        <v>25240</v>
      </c>
      <c r="BG95" s="137">
        <v>0</v>
      </c>
      <c r="BH95" s="137">
        <v>89</v>
      </c>
      <c r="BI95" s="137">
        <v>1472</v>
      </c>
      <c r="BJ95" s="137">
        <v>494</v>
      </c>
      <c r="BK95" s="137">
        <v>205</v>
      </c>
      <c r="BL95" s="137">
        <v>16</v>
      </c>
      <c r="BM95" s="137">
        <v>8366</v>
      </c>
      <c r="BN95" s="137">
        <v>3948</v>
      </c>
      <c r="BO95" s="137">
        <v>78</v>
      </c>
      <c r="BP95" s="137">
        <v>3685</v>
      </c>
      <c r="BQ95" s="137">
        <v>2837</v>
      </c>
      <c r="BR95" s="139">
        <v>4006</v>
      </c>
      <c r="BS95" s="137">
        <v>0</v>
      </c>
      <c r="BT95" s="137">
        <v>10510</v>
      </c>
      <c r="BU95" s="137">
        <v>3827</v>
      </c>
      <c r="BV95" s="137">
        <v>9030</v>
      </c>
      <c r="BW95" s="137">
        <v>5553</v>
      </c>
      <c r="BX95" s="137">
        <v>12022</v>
      </c>
      <c r="BY95" s="137">
        <v>5132</v>
      </c>
      <c r="BZ95" s="137">
        <v>9076</v>
      </c>
      <c r="CA95" s="137">
        <v>3991</v>
      </c>
      <c r="CB95" s="139">
        <v>10178</v>
      </c>
      <c r="CC95" s="137">
        <v>8763</v>
      </c>
      <c r="CD95" s="137">
        <v>1789</v>
      </c>
      <c r="CE95" s="137">
        <v>3178</v>
      </c>
      <c r="CF95" s="137">
        <v>847</v>
      </c>
      <c r="CG95" s="137">
        <v>18896</v>
      </c>
      <c r="CH95" s="137">
        <v>35255</v>
      </c>
      <c r="CI95" s="137">
        <v>11150</v>
      </c>
      <c r="CJ95" s="137">
        <v>69212</v>
      </c>
      <c r="CK95" s="138">
        <v>13497</v>
      </c>
      <c r="CL95" s="123">
        <v>361332</v>
      </c>
    </row>
    <row r="96" spans="1:90">
      <c r="A96" s="80">
        <f>ROWS($A$3:A94)</f>
        <v>92</v>
      </c>
      <c r="B96" s="238" t="s">
        <v>95</v>
      </c>
      <c r="C96" s="203">
        <f>C95</f>
        <v>2008</v>
      </c>
      <c r="D96" s="254" t="s">
        <v>10</v>
      </c>
      <c r="E96" s="256">
        <v>40680</v>
      </c>
      <c r="F96" s="116">
        <v>645090</v>
      </c>
      <c r="G96" s="137">
        <v>146126</v>
      </c>
      <c r="H96" s="137">
        <v>380080</v>
      </c>
      <c r="I96" s="138">
        <v>1026213</v>
      </c>
      <c r="J96" s="141"/>
      <c r="K96" s="116">
        <f>BF96</f>
        <v>165245</v>
      </c>
      <c r="L96" s="137">
        <f>AY96</f>
        <v>43879</v>
      </c>
      <c r="M96" s="137">
        <f>BD96</f>
        <v>46454</v>
      </c>
      <c r="N96" s="137">
        <f>AW96</f>
        <v>59369</v>
      </c>
      <c r="O96" s="137">
        <f>BE96</f>
        <v>46862</v>
      </c>
      <c r="P96" s="137">
        <f>AZ96+BA96</f>
        <v>30771</v>
      </c>
      <c r="Q96" s="137">
        <f>'2008'!AU96</f>
        <v>18174</v>
      </c>
      <c r="R96" s="137">
        <f>AX96</f>
        <v>29281</v>
      </c>
      <c r="S96" s="137">
        <f>AV96</f>
        <v>13914</v>
      </c>
      <c r="T96" s="137">
        <f t="shared" si="183"/>
        <v>46620</v>
      </c>
      <c r="U96" s="139">
        <f t="shared" si="183"/>
        <v>142313</v>
      </c>
      <c r="V96" s="137">
        <f>BG96+BJ96</f>
        <v>2130</v>
      </c>
      <c r="W96" s="137">
        <f>BR96</f>
        <v>22739</v>
      </c>
      <c r="X96" s="137">
        <f>BH96+BI96</f>
        <v>7440</v>
      </c>
      <c r="Y96" s="137">
        <f>BK96+BL96+BN96</f>
        <v>24111</v>
      </c>
      <c r="Z96" s="137">
        <f>BM96</f>
        <v>50938</v>
      </c>
      <c r="AA96" s="137">
        <f>BO96+BQ96</f>
        <v>17633</v>
      </c>
      <c r="AB96" s="139">
        <f>BP96</f>
        <v>21135</v>
      </c>
      <c r="AC96" s="137">
        <f>BX96</f>
        <v>63405</v>
      </c>
      <c r="AD96" s="137">
        <f>BU96</f>
        <v>19010</v>
      </c>
      <c r="AE96" s="137">
        <f>BT96</f>
        <v>57822</v>
      </c>
      <c r="AF96" s="137">
        <f>CA96</f>
        <v>19171</v>
      </c>
      <c r="AG96" s="137">
        <f>BV96</f>
        <v>41802</v>
      </c>
      <c r="AH96" s="137">
        <f>BZ96</f>
        <v>58162</v>
      </c>
      <c r="AI96" s="137">
        <f>BW96</f>
        <v>28864</v>
      </c>
      <c r="AJ96" s="137">
        <f>BY96</f>
        <v>32079</v>
      </c>
      <c r="AK96" s="139">
        <f>CB96</f>
        <v>59765</v>
      </c>
      <c r="AL96" s="137">
        <f>CE96</f>
        <v>20658</v>
      </c>
      <c r="AM96" s="137">
        <f>CH96</f>
        <v>221995</v>
      </c>
      <c r="AN96" s="137">
        <f>CJ96</f>
        <v>454613</v>
      </c>
      <c r="AO96" s="137">
        <f t="shared" si="184"/>
        <v>51408</v>
      </c>
      <c r="AP96" s="137">
        <f t="shared" si="184"/>
        <v>9678</v>
      </c>
      <c r="AQ96" s="137">
        <f>CK96</f>
        <v>79595</v>
      </c>
      <c r="AR96" s="137">
        <f>CI96</f>
        <v>66931</v>
      </c>
      <c r="AS96" s="138">
        <f>CF96+CG96</f>
        <v>121335</v>
      </c>
      <c r="AT96" s="141">
        <v>2208</v>
      </c>
      <c r="AU96" s="141">
        <v>18174</v>
      </c>
      <c r="AV96" s="141">
        <v>13914</v>
      </c>
      <c r="AW96" s="141">
        <v>59369</v>
      </c>
      <c r="AX96" s="137">
        <v>29281</v>
      </c>
      <c r="AY96" s="137">
        <v>43879</v>
      </c>
      <c r="AZ96" s="137">
        <v>529</v>
      </c>
      <c r="BA96" s="137">
        <v>30242</v>
      </c>
      <c r="BB96" s="137">
        <v>46620</v>
      </c>
      <c r="BC96" s="137">
        <v>142313</v>
      </c>
      <c r="BD96" s="137">
        <v>46454</v>
      </c>
      <c r="BE96" s="137">
        <v>46862</v>
      </c>
      <c r="BF96" s="139">
        <v>165245</v>
      </c>
      <c r="BG96" s="137">
        <v>0</v>
      </c>
      <c r="BH96" s="137">
        <v>368</v>
      </c>
      <c r="BI96" s="137">
        <v>7072</v>
      </c>
      <c r="BJ96" s="137">
        <v>2130</v>
      </c>
      <c r="BK96" s="137">
        <v>971</v>
      </c>
      <c r="BL96" s="137">
        <v>57</v>
      </c>
      <c r="BM96" s="137">
        <v>50938</v>
      </c>
      <c r="BN96" s="137">
        <v>23083</v>
      </c>
      <c r="BO96" s="137">
        <v>175</v>
      </c>
      <c r="BP96" s="137">
        <v>21135</v>
      </c>
      <c r="BQ96" s="137">
        <v>17458</v>
      </c>
      <c r="BR96" s="139">
        <v>22739</v>
      </c>
      <c r="BS96" s="137">
        <v>0</v>
      </c>
      <c r="BT96" s="137">
        <v>57822</v>
      </c>
      <c r="BU96" s="137">
        <v>19010</v>
      </c>
      <c r="BV96" s="137">
        <v>41802</v>
      </c>
      <c r="BW96" s="137">
        <v>28864</v>
      </c>
      <c r="BX96" s="137">
        <v>63405</v>
      </c>
      <c r="BY96" s="137">
        <v>32079</v>
      </c>
      <c r="BZ96" s="137">
        <v>58162</v>
      </c>
      <c r="CA96" s="137">
        <v>19171</v>
      </c>
      <c r="CB96" s="139">
        <v>59765</v>
      </c>
      <c r="CC96" s="137">
        <v>51408</v>
      </c>
      <c r="CD96" s="137">
        <v>9678</v>
      </c>
      <c r="CE96" s="137">
        <v>20658</v>
      </c>
      <c r="CF96" s="137">
        <v>6170</v>
      </c>
      <c r="CG96" s="137">
        <v>115165</v>
      </c>
      <c r="CH96" s="137">
        <v>221995</v>
      </c>
      <c r="CI96" s="137">
        <v>66931</v>
      </c>
      <c r="CJ96" s="137">
        <v>454613</v>
      </c>
      <c r="CK96" s="138">
        <v>79595</v>
      </c>
      <c r="CL96" s="123">
        <f>SUM(F96:I96)</f>
        <v>2197509</v>
      </c>
    </row>
    <row r="97" spans="1:90">
      <c r="A97" s="80">
        <f>ROWS($A$3:A95)</f>
        <v>93</v>
      </c>
      <c r="B97" s="238" t="s">
        <v>96</v>
      </c>
      <c r="C97" s="198">
        <f>C95</f>
        <v>2008</v>
      </c>
      <c r="D97" s="254" t="s">
        <v>10</v>
      </c>
      <c r="E97" s="256">
        <v>40680</v>
      </c>
      <c r="F97" s="116">
        <v>603900</v>
      </c>
      <c r="G97" s="137">
        <v>138347</v>
      </c>
      <c r="H97" s="137">
        <v>352711</v>
      </c>
      <c r="I97" s="138">
        <v>981472</v>
      </c>
      <c r="J97" s="141"/>
      <c r="K97" s="116">
        <f>BF97</f>
        <v>155074</v>
      </c>
      <c r="L97" s="137">
        <f>AY97</f>
        <v>41053</v>
      </c>
      <c r="M97" s="137">
        <f>BD97</f>
        <v>43478</v>
      </c>
      <c r="N97" s="137">
        <f>AW97</f>
        <v>55266</v>
      </c>
      <c r="O97" s="137">
        <f>BE97</f>
        <v>43767</v>
      </c>
      <c r="P97" s="137">
        <f>AZ97+BA97</f>
        <v>28830</v>
      </c>
      <c r="Q97" s="137">
        <f>'2008'!AU97</f>
        <v>17006</v>
      </c>
      <c r="R97" s="137">
        <f>AX97</f>
        <v>27467</v>
      </c>
      <c r="S97" s="137">
        <f>AV97</f>
        <v>12840</v>
      </c>
      <c r="T97" s="137">
        <f>BB97</f>
        <v>43685</v>
      </c>
      <c r="U97" s="139">
        <f>BC97</f>
        <v>133375</v>
      </c>
      <c r="V97" s="137">
        <f>BG97+BJ97</f>
        <v>1976</v>
      </c>
      <c r="W97" s="137">
        <f>BR97</f>
        <v>21466</v>
      </c>
      <c r="X97" s="137">
        <f>BH97+BI97</f>
        <v>7001</v>
      </c>
      <c r="Y97" s="137">
        <f>BK97+BL97+BN97</f>
        <v>22899</v>
      </c>
      <c r="Z97" s="137">
        <f>BM97</f>
        <v>48317</v>
      </c>
      <c r="AA97" s="137">
        <f>BO97+BQ97</f>
        <v>16733</v>
      </c>
      <c r="AB97" s="139">
        <f>BP97</f>
        <v>19955</v>
      </c>
      <c r="AC97" s="137">
        <f>BX97</f>
        <v>58748</v>
      </c>
      <c r="AD97" s="137">
        <f>BU97</f>
        <v>17428</v>
      </c>
      <c r="AE97" s="137">
        <f>BT97</f>
        <v>53636</v>
      </c>
      <c r="AF97" s="137">
        <f>CA97</f>
        <v>17518</v>
      </c>
      <c r="AG97" s="137">
        <f>BV97</f>
        <v>38241</v>
      </c>
      <c r="AH97" s="137">
        <f>BZ97</f>
        <v>54696</v>
      </c>
      <c r="AI97" s="137">
        <f>BW97</f>
        <v>26720</v>
      </c>
      <c r="AJ97" s="137">
        <f>BY97</f>
        <v>30031</v>
      </c>
      <c r="AK97" s="139">
        <f>CB97</f>
        <v>55693</v>
      </c>
      <c r="AL97" s="137">
        <f>CE97</f>
        <v>19734</v>
      </c>
      <c r="AM97" s="137">
        <f>CH97</f>
        <v>212304</v>
      </c>
      <c r="AN97" s="137">
        <f>CJ97</f>
        <v>435692</v>
      </c>
      <c r="AO97" s="137">
        <f>CC97</f>
        <v>48954</v>
      </c>
      <c r="AP97" s="137">
        <f>CD97</f>
        <v>9167</v>
      </c>
      <c r="AQ97" s="137">
        <f>CK97</f>
        <v>75781</v>
      </c>
      <c r="AR97" s="137">
        <f>CI97</f>
        <v>63850</v>
      </c>
      <c r="AS97" s="138">
        <f>CF97+CG97</f>
        <v>115990</v>
      </c>
      <c r="AT97" s="141">
        <v>2059</v>
      </c>
      <c r="AU97" s="141">
        <v>17006</v>
      </c>
      <c r="AV97" s="141">
        <v>12840</v>
      </c>
      <c r="AW97" s="141">
        <v>55266</v>
      </c>
      <c r="AX97" s="137">
        <v>27467</v>
      </c>
      <c r="AY97" s="137">
        <v>41053</v>
      </c>
      <c r="AZ97" s="137">
        <v>483</v>
      </c>
      <c r="BA97" s="137">
        <v>28347</v>
      </c>
      <c r="BB97" s="137">
        <v>43685</v>
      </c>
      <c r="BC97" s="137">
        <v>133375</v>
      </c>
      <c r="BD97" s="137">
        <v>43478</v>
      </c>
      <c r="BE97" s="137">
        <v>43767</v>
      </c>
      <c r="BF97" s="139">
        <v>155074</v>
      </c>
      <c r="BG97" s="141">
        <v>0</v>
      </c>
      <c r="BH97" s="137">
        <v>354</v>
      </c>
      <c r="BI97" s="137">
        <v>6647</v>
      </c>
      <c r="BJ97" s="137">
        <v>1976</v>
      </c>
      <c r="BK97" s="137">
        <v>959</v>
      </c>
      <c r="BL97" s="137">
        <v>55</v>
      </c>
      <c r="BM97" s="137">
        <v>48317</v>
      </c>
      <c r="BN97" s="137">
        <v>21885</v>
      </c>
      <c r="BO97" s="137">
        <v>175</v>
      </c>
      <c r="BP97" s="137">
        <v>19955</v>
      </c>
      <c r="BQ97" s="137">
        <v>16558</v>
      </c>
      <c r="BR97" s="139">
        <v>21466</v>
      </c>
      <c r="BS97" s="137">
        <v>0</v>
      </c>
      <c r="BT97" s="137">
        <v>53636</v>
      </c>
      <c r="BU97" s="137">
        <v>17428</v>
      </c>
      <c r="BV97" s="137">
        <v>38241</v>
      </c>
      <c r="BW97" s="137">
        <v>26720</v>
      </c>
      <c r="BX97" s="137">
        <v>58748</v>
      </c>
      <c r="BY97" s="137">
        <v>30031</v>
      </c>
      <c r="BZ97" s="137">
        <v>54696</v>
      </c>
      <c r="CA97" s="137">
        <v>17518</v>
      </c>
      <c r="CB97" s="139">
        <v>55693</v>
      </c>
      <c r="CC97" s="137">
        <v>48954</v>
      </c>
      <c r="CD97" s="137">
        <v>9167</v>
      </c>
      <c r="CE97" s="137">
        <v>19734</v>
      </c>
      <c r="CF97" s="137">
        <v>6133</v>
      </c>
      <c r="CG97" s="137">
        <v>109857</v>
      </c>
      <c r="CH97" s="137">
        <v>212304</v>
      </c>
      <c r="CI97" s="137">
        <v>63850</v>
      </c>
      <c r="CJ97" s="137">
        <v>435692</v>
      </c>
      <c r="CK97" s="138">
        <v>75781</v>
      </c>
      <c r="CL97" s="123">
        <f>SUM(F97:I97)</f>
        <v>2076430</v>
      </c>
    </row>
    <row r="98" spans="1:90">
      <c r="A98" s="80">
        <f>ROWS($A$3:A96)</f>
        <v>94</v>
      </c>
      <c r="B98" s="237" t="s">
        <v>77</v>
      </c>
      <c r="C98" s="202">
        <v>2001</v>
      </c>
      <c r="D98" s="254" t="s">
        <v>13</v>
      </c>
      <c r="E98" s="256">
        <v>40680</v>
      </c>
      <c r="F98" s="154">
        <v>122737</v>
      </c>
      <c r="G98" s="155">
        <v>30239</v>
      </c>
      <c r="H98" s="155">
        <v>82089</v>
      </c>
      <c r="I98" s="156">
        <v>186831</v>
      </c>
      <c r="J98" s="281"/>
      <c r="K98" s="157">
        <f>BF98</f>
        <v>29042</v>
      </c>
      <c r="L98" s="113">
        <f>AY98</f>
        <v>8671</v>
      </c>
      <c r="M98" s="113">
        <f>BD98</f>
        <v>9647</v>
      </c>
      <c r="N98" s="113">
        <f>AW98</f>
        <v>12155</v>
      </c>
      <c r="O98" s="113">
        <f>BE98</f>
        <v>8882</v>
      </c>
      <c r="P98" s="137">
        <f>AZ98+BA98</f>
        <v>6750</v>
      </c>
      <c r="Q98" s="113">
        <f>'2008'!AU98</f>
        <v>3596</v>
      </c>
      <c r="R98" s="113">
        <f>AT98+AX98</f>
        <v>6359</v>
      </c>
      <c r="S98" s="113">
        <f>AV98</f>
        <v>3597</v>
      </c>
      <c r="T98" s="113">
        <f t="shared" si="183"/>
        <v>9048</v>
      </c>
      <c r="U98" s="112">
        <f t="shared" si="183"/>
        <v>25010</v>
      </c>
      <c r="V98" s="137">
        <f>BG98+BJ98</f>
        <v>733</v>
      </c>
      <c r="W98" s="113">
        <f>BR98</f>
        <v>4744</v>
      </c>
      <c r="X98" s="137">
        <f>BH98+BI98</f>
        <v>2102</v>
      </c>
      <c r="Y98" s="137">
        <f>BK98+BL98+BN98</f>
        <v>5175</v>
      </c>
      <c r="Z98" s="113">
        <f>BM98</f>
        <v>9713</v>
      </c>
      <c r="AA98" s="137">
        <f>BO98+BQ98</f>
        <v>3302</v>
      </c>
      <c r="AB98" s="112">
        <f>BP98</f>
        <v>4470</v>
      </c>
      <c r="AC98" s="113">
        <f>BX98</f>
        <v>13714</v>
      </c>
      <c r="AD98" s="113">
        <f>BU98</f>
        <v>4577</v>
      </c>
      <c r="AE98" s="113">
        <f>BT98</f>
        <v>12575</v>
      </c>
      <c r="AF98" s="113">
        <f>CA98</f>
        <v>5079</v>
      </c>
      <c r="AG98" s="113">
        <f>BV98</f>
        <v>11376</v>
      </c>
      <c r="AH98" s="113">
        <f>BZ98</f>
        <v>10288</v>
      </c>
      <c r="AI98" s="113">
        <f>BW98</f>
        <v>6966</v>
      </c>
      <c r="AJ98" s="113">
        <f>BY98</f>
        <v>5669</v>
      </c>
      <c r="AK98" s="112">
        <f>CB98</f>
        <v>11846</v>
      </c>
      <c r="AL98" s="113">
        <f>CE98</f>
        <v>3682</v>
      </c>
      <c r="AM98" s="113">
        <f>CH98</f>
        <v>40047</v>
      </c>
      <c r="AN98" s="113">
        <f>CJ98</f>
        <v>77867</v>
      </c>
      <c r="AO98" s="113">
        <f t="shared" si="184"/>
        <v>10463</v>
      </c>
      <c r="AP98" s="113">
        <f t="shared" si="184"/>
        <v>2188</v>
      </c>
      <c r="AQ98" s="113">
        <f>CK98</f>
        <v>16050</v>
      </c>
      <c r="AR98" s="113">
        <f>CI98</f>
        <v>13238</v>
      </c>
      <c r="AS98" s="138">
        <f>CF98+CG98</f>
        <v>23297</v>
      </c>
      <c r="AT98" s="113">
        <v>488</v>
      </c>
      <c r="AU98" s="113">
        <v>3596</v>
      </c>
      <c r="AV98" s="113">
        <v>3597</v>
      </c>
      <c r="AW98" s="113">
        <v>12155</v>
      </c>
      <c r="AX98" s="113">
        <v>5871</v>
      </c>
      <c r="AY98" s="113">
        <v>8671</v>
      </c>
      <c r="AZ98" s="113">
        <v>266</v>
      </c>
      <c r="BA98" s="113">
        <v>6484</v>
      </c>
      <c r="BB98" s="113">
        <v>9048</v>
      </c>
      <c r="BC98" s="113">
        <v>25010</v>
      </c>
      <c r="BD98" s="113">
        <v>9647</v>
      </c>
      <c r="BE98" s="113">
        <v>8882</v>
      </c>
      <c r="BF98" s="112">
        <v>29042</v>
      </c>
      <c r="BG98" s="159">
        <v>0</v>
      </c>
      <c r="BH98" s="113">
        <v>113</v>
      </c>
      <c r="BI98" s="113">
        <v>1989</v>
      </c>
      <c r="BJ98" s="113">
        <v>733</v>
      </c>
      <c r="BK98" s="113">
        <v>256</v>
      </c>
      <c r="BL98" s="113">
        <v>39</v>
      </c>
      <c r="BM98" s="113">
        <v>9713</v>
      </c>
      <c r="BN98" s="113">
        <v>4880</v>
      </c>
      <c r="BO98" s="159">
        <v>113</v>
      </c>
      <c r="BP98" s="113">
        <v>4470</v>
      </c>
      <c r="BQ98" s="113">
        <v>3189</v>
      </c>
      <c r="BR98" s="112">
        <v>4744</v>
      </c>
      <c r="BS98" s="159">
        <v>0</v>
      </c>
      <c r="BT98" s="113">
        <v>12575</v>
      </c>
      <c r="BU98" s="113">
        <v>4577</v>
      </c>
      <c r="BV98" s="113">
        <v>11376</v>
      </c>
      <c r="BW98" s="113">
        <v>6966</v>
      </c>
      <c r="BX98" s="113">
        <v>13714</v>
      </c>
      <c r="BY98" s="113">
        <v>5669</v>
      </c>
      <c r="BZ98" s="113">
        <v>10288</v>
      </c>
      <c r="CA98" s="113">
        <v>5079</v>
      </c>
      <c r="CB98" s="112">
        <v>11846</v>
      </c>
      <c r="CC98" s="113">
        <v>10463</v>
      </c>
      <c r="CD98" s="113">
        <v>2188</v>
      </c>
      <c r="CE98" s="113">
        <v>3682</v>
      </c>
      <c r="CF98" s="113">
        <v>1002</v>
      </c>
      <c r="CG98" s="113">
        <v>22295</v>
      </c>
      <c r="CH98" s="113">
        <v>40047</v>
      </c>
      <c r="CI98" s="113">
        <v>13238</v>
      </c>
      <c r="CJ98" s="113">
        <v>77867</v>
      </c>
      <c r="CK98" s="158">
        <v>16050</v>
      </c>
      <c r="CL98" s="123">
        <v>421896</v>
      </c>
    </row>
    <row r="99" spans="1:90">
      <c r="A99" s="80">
        <f>ROWS($A$3:A97)</f>
        <v>95</v>
      </c>
      <c r="B99" s="237" t="s">
        <v>96</v>
      </c>
      <c r="C99" s="205">
        <f>C98</f>
        <v>2001</v>
      </c>
      <c r="D99" s="254" t="s">
        <v>10</v>
      </c>
      <c r="E99" s="256">
        <v>40680</v>
      </c>
      <c r="F99" s="154">
        <v>618865</v>
      </c>
      <c r="G99" s="155">
        <v>149025</v>
      </c>
      <c r="H99" s="155">
        <v>366598</v>
      </c>
      <c r="I99" s="156">
        <v>1009287</v>
      </c>
      <c r="J99" s="281"/>
      <c r="K99" s="157">
        <f>BF99</f>
        <v>150712</v>
      </c>
      <c r="L99" s="113">
        <f>AY99</f>
        <v>42810</v>
      </c>
      <c r="M99" s="113">
        <f>BD99</f>
        <v>45971</v>
      </c>
      <c r="N99" s="113">
        <f>AW99</f>
        <v>57752</v>
      </c>
      <c r="O99" s="113">
        <f>BE99</f>
        <v>42099</v>
      </c>
      <c r="P99" s="137">
        <f>AZ99+BA99</f>
        <v>34324</v>
      </c>
      <c r="Q99" s="113">
        <f>'2008'!AU99</f>
        <v>18437</v>
      </c>
      <c r="R99" s="113">
        <f>AT99+AX99</f>
        <v>31700</v>
      </c>
      <c r="S99" s="113">
        <f>AV99</f>
        <v>14642</v>
      </c>
      <c r="T99" s="113">
        <f t="shared" si="183"/>
        <v>45007</v>
      </c>
      <c r="U99" s="112">
        <f t="shared" si="183"/>
        <v>135411</v>
      </c>
      <c r="V99" s="137">
        <f>BG99+BJ99</f>
        <v>2815</v>
      </c>
      <c r="W99" s="113">
        <f>BR99</f>
        <v>22064</v>
      </c>
      <c r="X99" s="137">
        <f>BH99+BI99</f>
        <v>8816</v>
      </c>
      <c r="Y99" s="137">
        <f>BK99+BL99+BN99</f>
        <v>25904</v>
      </c>
      <c r="Z99" s="113">
        <f>BM99</f>
        <v>51750</v>
      </c>
      <c r="AA99" s="137">
        <f>BO99+BQ99</f>
        <v>16216</v>
      </c>
      <c r="AB99" s="112">
        <f>BP99</f>
        <v>21460</v>
      </c>
      <c r="AC99" s="113">
        <f>BX99</f>
        <v>61788</v>
      </c>
      <c r="AD99" s="113">
        <f>BU99</f>
        <v>19448</v>
      </c>
      <c r="AE99" s="113">
        <f>BT99</f>
        <v>55233</v>
      </c>
      <c r="AF99" s="113">
        <f>CA99</f>
        <v>19955</v>
      </c>
      <c r="AG99" s="113">
        <f>BV99</f>
        <v>44544</v>
      </c>
      <c r="AH99" s="113">
        <f>BZ99</f>
        <v>53603</v>
      </c>
      <c r="AI99" s="113">
        <f>BW99</f>
        <v>29404</v>
      </c>
      <c r="AJ99" s="113">
        <f>BY99</f>
        <v>28518</v>
      </c>
      <c r="AK99" s="112">
        <f>CB99</f>
        <v>54105</v>
      </c>
      <c r="AL99" s="113">
        <f>CE99</f>
        <v>19008</v>
      </c>
      <c r="AM99" s="113">
        <f>CH99</f>
        <v>219991</v>
      </c>
      <c r="AN99" s="113">
        <f>CJ99</f>
        <v>437632</v>
      </c>
      <c r="AO99" s="113">
        <f t="shared" si="184"/>
        <v>51966</v>
      </c>
      <c r="AP99" s="113">
        <f t="shared" si="184"/>
        <v>9443</v>
      </c>
      <c r="AQ99" s="113">
        <f>CK99</f>
        <v>80123</v>
      </c>
      <c r="AR99" s="113">
        <f>CI99</f>
        <v>71575</v>
      </c>
      <c r="AS99" s="138">
        <f>CF99+CG99</f>
        <v>119549</v>
      </c>
      <c r="AT99" s="113">
        <v>2163</v>
      </c>
      <c r="AU99" s="113">
        <v>18437</v>
      </c>
      <c r="AV99" s="113">
        <v>14642</v>
      </c>
      <c r="AW99" s="113">
        <v>57752</v>
      </c>
      <c r="AX99" s="113">
        <v>29537</v>
      </c>
      <c r="AY99" s="113">
        <v>42810</v>
      </c>
      <c r="AZ99" s="113">
        <v>832</v>
      </c>
      <c r="BA99" s="113">
        <v>33492</v>
      </c>
      <c r="BB99" s="113">
        <v>45007</v>
      </c>
      <c r="BC99" s="113">
        <v>135411</v>
      </c>
      <c r="BD99" s="113">
        <v>45971</v>
      </c>
      <c r="BE99" s="113">
        <v>42099</v>
      </c>
      <c r="BF99" s="112">
        <v>150712</v>
      </c>
      <c r="BG99" s="159">
        <v>0</v>
      </c>
      <c r="BH99" s="113">
        <v>500</v>
      </c>
      <c r="BI99" s="113">
        <v>8316</v>
      </c>
      <c r="BJ99" s="113">
        <v>2815</v>
      </c>
      <c r="BK99" s="113">
        <v>1657</v>
      </c>
      <c r="BL99" s="113">
        <v>163</v>
      </c>
      <c r="BM99" s="113">
        <v>51750</v>
      </c>
      <c r="BN99" s="113">
        <v>24084</v>
      </c>
      <c r="BO99" s="159">
        <v>477</v>
      </c>
      <c r="BP99" s="113">
        <v>21460</v>
      </c>
      <c r="BQ99" s="113">
        <v>15739</v>
      </c>
      <c r="BR99" s="112">
        <v>22064</v>
      </c>
      <c r="BS99" s="159">
        <v>0</v>
      </c>
      <c r="BT99" s="113">
        <v>55233</v>
      </c>
      <c r="BU99" s="113">
        <v>19448</v>
      </c>
      <c r="BV99" s="113">
        <v>44544</v>
      </c>
      <c r="BW99" s="113">
        <v>29404</v>
      </c>
      <c r="BX99" s="113">
        <v>61788</v>
      </c>
      <c r="BY99" s="113">
        <v>28518</v>
      </c>
      <c r="BZ99" s="113">
        <v>53603</v>
      </c>
      <c r="CA99" s="113">
        <v>19955</v>
      </c>
      <c r="CB99" s="112">
        <v>54105</v>
      </c>
      <c r="CC99" s="113">
        <v>51966</v>
      </c>
      <c r="CD99" s="113">
        <v>9443</v>
      </c>
      <c r="CE99" s="113">
        <v>19008</v>
      </c>
      <c r="CF99" s="113">
        <v>6155</v>
      </c>
      <c r="CG99" s="113">
        <v>113394</v>
      </c>
      <c r="CH99" s="113">
        <v>219991</v>
      </c>
      <c r="CI99" s="113">
        <v>71575</v>
      </c>
      <c r="CJ99" s="113">
        <v>437632</v>
      </c>
      <c r="CK99" s="158">
        <v>80123</v>
      </c>
      <c r="CL99" s="123">
        <v>2143775</v>
      </c>
    </row>
    <row r="100" spans="1:90">
      <c r="A100" s="80">
        <f>ROWS($A$3:A98)</f>
        <v>96</v>
      </c>
      <c r="B100" s="55"/>
      <c r="C100" s="203"/>
      <c r="D100" s="254"/>
      <c r="E100" s="269"/>
      <c r="F100" s="154" t="s">
        <v>228</v>
      </c>
      <c r="G100" s="155" t="s">
        <v>228</v>
      </c>
      <c r="H100" s="155" t="s">
        <v>228</v>
      </c>
      <c r="I100" s="156" t="s">
        <v>228</v>
      </c>
      <c r="J100" s="281"/>
      <c r="K100" s="157" t="s">
        <v>228</v>
      </c>
      <c r="L100" s="113" t="s">
        <v>228</v>
      </c>
      <c r="M100" s="113" t="s">
        <v>228</v>
      </c>
      <c r="N100" s="113" t="s">
        <v>228</v>
      </c>
      <c r="O100" s="113" t="s">
        <v>228</v>
      </c>
      <c r="P100" s="113" t="s">
        <v>212</v>
      </c>
      <c r="Q100" s="113" t="s">
        <v>228</v>
      </c>
      <c r="R100" s="113" t="s">
        <v>213</v>
      </c>
      <c r="S100" s="113" t="s">
        <v>228</v>
      </c>
      <c r="T100" s="113" t="s">
        <v>228</v>
      </c>
      <c r="U100" s="112" t="s">
        <v>228</v>
      </c>
      <c r="V100" s="113" t="s">
        <v>214</v>
      </c>
      <c r="W100" s="113" t="s">
        <v>228</v>
      </c>
      <c r="X100" s="113" t="s">
        <v>215</v>
      </c>
      <c r="Y100" s="113" t="s">
        <v>216</v>
      </c>
      <c r="Z100" s="113" t="s">
        <v>228</v>
      </c>
      <c r="AA100" s="113" t="s">
        <v>217</v>
      </c>
      <c r="AB100" s="112" t="s">
        <v>228</v>
      </c>
      <c r="AC100" s="113" t="s">
        <v>228</v>
      </c>
      <c r="AD100" s="113" t="s">
        <v>228</v>
      </c>
      <c r="AE100" s="113" t="s">
        <v>218</v>
      </c>
      <c r="AF100" s="113" t="s">
        <v>228</v>
      </c>
      <c r="AG100" s="113" t="s">
        <v>228</v>
      </c>
      <c r="AH100" s="113" t="s">
        <v>228</v>
      </c>
      <c r="AI100" s="113" t="s">
        <v>228</v>
      </c>
      <c r="AJ100" s="113" t="s">
        <v>228</v>
      </c>
      <c r="AK100" s="112" t="s">
        <v>228</v>
      </c>
      <c r="AL100" s="113" t="s">
        <v>228</v>
      </c>
      <c r="AM100" s="113" t="s">
        <v>228</v>
      </c>
      <c r="AN100" s="113" t="s">
        <v>228</v>
      </c>
      <c r="AO100" s="113" t="s">
        <v>228</v>
      </c>
      <c r="AP100" s="113" t="s">
        <v>228</v>
      </c>
      <c r="AQ100" s="113" t="s">
        <v>228</v>
      </c>
      <c r="AR100" s="113" t="s">
        <v>228</v>
      </c>
      <c r="AS100" s="158" t="s">
        <v>219</v>
      </c>
      <c r="AT100" s="113" t="s">
        <v>228</v>
      </c>
      <c r="AU100" s="113" t="s">
        <v>228</v>
      </c>
      <c r="AV100" s="113" t="s">
        <v>228</v>
      </c>
      <c r="AW100" s="113" t="s">
        <v>228</v>
      </c>
      <c r="AX100" s="113" t="s">
        <v>228</v>
      </c>
      <c r="AY100" s="113" t="s">
        <v>228</v>
      </c>
      <c r="AZ100" s="113" t="s">
        <v>228</v>
      </c>
      <c r="BA100" s="113" t="s">
        <v>228</v>
      </c>
      <c r="BB100" s="113" t="s">
        <v>228</v>
      </c>
      <c r="BC100" s="113" t="s">
        <v>228</v>
      </c>
      <c r="BD100" s="113" t="s">
        <v>228</v>
      </c>
      <c r="BE100" s="113" t="s">
        <v>228</v>
      </c>
      <c r="BF100" s="112" t="s">
        <v>228</v>
      </c>
      <c r="BG100" s="159" t="s">
        <v>228</v>
      </c>
      <c r="BH100" s="113" t="s">
        <v>228</v>
      </c>
      <c r="BI100" s="113" t="s">
        <v>228</v>
      </c>
      <c r="BJ100" s="113" t="s">
        <v>228</v>
      </c>
      <c r="BK100" s="113" t="s">
        <v>228</v>
      </c>
      <c r="BL100" s="113" t="s">
        <v>228</v>
      </c>
      <c r="BM100" s="113" t="s">
        <v>228</v>
      </c>
      <c r="BN100" s="113" t="s">
        <v>228</v>
      </c>
      <c r="BO100" s="159" t="s">
        <v>228</v>
      </c>
      <c r="BP100" s="113" t="s">
        <v>228</v>
      </c>
      <c r="BQ100" s="113" t="s">
        <v>228</v>
      </c>
      <c r="BR100" s="112" t="s">
        <v>228</v>
      </c>
      <c r="BS100" s="159" t="s">
        <v>228</v>
      </c>
      <c r="BT100" s="113" t="s">
        <v>228</v>
      </c>
      <c r="BU100" s="113" t="s">
        <v>228</v>
      </c>
      <c r="BV100" s="113" t="s">
        <v>228</v>
      </c>
      <c r="BW100" s="113" t="s">
        <v>228</v>
      </c>
      <c r="BX100" s="113" t="s">
        <v>228</v>
      </c>
      <c r="BY100" s="113" t="s">
        <v>228</v>
      </c>
      <c r="BZ100" s="113" t="s">
        <v>228</v>
      </c>
      <c r="CA100" s="113" t="s">
        <v>228</v>
      </c>
      <c r="CB100" s="112" t="s">
        <v>228</v>
      </c>
      <c r="CC100" s="113" t="s">
        <v>228</v>
      </c>
      <c r="CD100" s="113" t="s">
        <v>228</v>
      </c>
      <c r="CE100" s="113" t="s">
        <v>228</v>
      </c>
      <c r="CF100" s="113" t="s">
        <v>228</v>
      </c>
      <c r="CG100" s="113" t="s">
        <v>228</v>
      </c>
      <c r="CH100" s="113" t="s">
        <v>228</v>
      </c>
      <c r="CI100" s="113" t="s">
        <v>228</v>
      </c>
      <c r="CJ100" s="113" t="s">
        <v>228</v>
      </c>
      <c r="CK100" s="158" t="s">
        <v>228</v>
      </c>
      <c r="CL100" s="123" t="s">
        <v>228</v>
      </c>
    </row>
    <row r="101" spans="1:90">
      <c r="A101" s="80">
        <f>ROWS($A$3:A99)</f>
        <v>97</v>
      </c>
      <c r="B101" s="55" t="s">
        <v>255</v>
      </c>
      <c r="C101" s="203">
        <f>C86</f>
        <v>2008</v>
      </c>
      <c r="D101" s="254" t="s">
        <v>13</v>
      </c>
      <c r="E101" s="256">
        <v>40680</v>
      </c>
      <c r="F101" s="154">
        <v>2567</v>
      </c>
      <c r="G101" s="155">
        <v>902</v>
      </c>
      <c r="H101" s="155">
        <v>1184</v>
      </c>
      <c r="I101" s="156">
        <v>1296</v>
      </c>
      <c r="J101" s="281"/>
      <c r="K101" s="157">
        <f t="shared" ref="K101:K107" si="185">BF101</f>
        <v>158</v>
      </c>
      <c r="L101" s="113">
        <f t="shared" ref="L101:L107" si="186">AY101</f>
        <v>199</v>
      </c>
      <c r="M101" s="113">
        <f t="shared" ref="M101:M107" si="187">BD101</f>
        <v>174</v>
      </c>
      <c r="N101" s="113">
        <f t="shared" ref="N101:N107" si="188">AW101</f>
        <v>84</v>
      </c>
      <c r="O101" s="113">
        <f t="shared" ref="O101:O107" si="189">BE101</f>
        <v>75</v>
      </c>
      <c r="P101" s="113">
        <f>'2008'!AZ101+'2008'!BA101</f>
        <v>615</v>
      </c>
      <c r="Q101" s="113">
        <f>'2008'!AU101</f>
        <v>295</v>
      </c>
      <c r="R101" s="113">
        <f t="shared" ref="R101:R107" si="190">AT101+AX101</f>
        <v>359</v>
      </c>
      <c r="S101" s="113">
        <f t="shared" ref="S101:S107" si="191">AV101</f>
        <v>360</v>
      </c>
      <c r="T101" s="113">
        <f t="shared" ref="T101:U107" si="192">BB101</f>
        <v>88</v>
      </c>
      <c r="U101" s="112">
        <f t="shared" si="192"/>
        <v>160</v>
      </c>
      <c r="V101" s="113">
        <f t="shared" ref="V101:V107" si="193">BG101+BJ101</f>
        <v>86</v>
      </c>
      <c r="W101" s="113">
        <f t="shared" ref="W101:W107" si="194">BR101</f>
        <v>87</v>
      </c>
      <c r="X101" s="113">
        <f t="shared" ref="X101:X107" si="195">BH101+BI101</f>
        <v>259</v>
      </c>
      <c r="Y101" s="113">
        <f t="shared" ref="Y101:Y107" si="196">BK101+BL101+BN101</f>
        <v>88</v>
      </c>
      <c r="Z101" s="113">
        <f t="shared" ref="Z101:Z107" si="197">BM101</f>
        <v>195</v>
      </c>
      <c r="AA101" s="113">
        <f t="shared" ref="AA101:AA107" si="198">BO101+BQ101</f>
        <v>69</v>
      </c>
      <c r="AB101" s="112">
        <f t="shared" ref="AB101:AB107" si="199">BP101</f>
        <v>112</v>
      </c>
      <c r="AC101" s="113">
        <f t="shared" ref="AC101:AC107" si="200">BX101</f>
        <v>65</v>
      </c>
      <c r="AD101" s="113">
        <f t="shared" ref="AD101:AD107" si="201">BU101</f>
        <v>160</v>
      </c>
      <c r="AE101" s="113">
        <f t="shared" ref="AE101:AE107" si="202">BS101+BT101</f>
        <v>207</v>
      </c>
      <c r="AF101" s="113">
        <f t="shared" ref="AF101:AF107" si="203">CA101</f>
        <v>133</v>
      </c>
      <c r="AG101" s="113">
        <f t="shared" ref="AG101:AG107" si="204">BV101</f>
        <v>327</v>
      </c>
      <c r="AH101" s="113">
        <f t="shared" ref="AH101:AH107" si="205">BZ101</f>
        <v>89</v>
      </c>
      <c r="AI101" s="113">
        <f t="shared" ref="AI101:AI107" si="206">BW101</f>
        <v>62</v>
      </c>
      <c r="AJ101" s="113">
        <f t="shared" ref="AJ101:AJ107" si="207">BY101</f>
        <v>123</v>
      </c>
      <c r="AK101" s="112">
        <f t="shared" ref="AK101:AK107" si="208">CB101</f>
        <v>18</v>
      </c>
      <c r="AL101" s="113">
        <f t="shared" ref="AL101:AL107" si="209">CE101</f>
        <v>208</v>
      </c>
      <c r="AM101" s="113">
        <f t="shared" ref="AM101:AM107" si="210">CH101</f>
        <v>181</v>
      </c>
      <c r="AN101" s="113">
        <f t="shared" ref="AN101:AN107" si="211">CJ101</f>
        <v>129</v>
      </c>
      <c r="AO101" s="113">
        <f t="shared" ref="AO101:AP107" si="212">CC101</f>
        <v>198</v>
      </c>
      <c r="AP101" s="113">
        <f t="shared" si="212"/>
        <v>182</v>
      </c>
      <c r="AQ101" s="113">
        <f t="shared" ref="AQ101:AQ107" si="213">CK101</f>
        <v>182</v>
      </c>
      <c r="AR101" s="113">
        <f t="shared" ref="AR101:AR107" si="214">CI101</f>
        <v>0</v>
      </c>
      <c r="AS101" s="158">
        <f t="shared" ref="AS101:AS107" si="215">CF101+CG101</f>
        <v>170</v>
      </c>
      <c r="AT101" s="113">
        <v>21</v>
      </c>
      <c r="AU101" s="113">
        <v>295</v>
      </c>
      <c r="AV101" s="113">
        <v>360</v>
      </c>
      <c r="AW101" s="113">
        <v>84</v>
      </c>
      <c r="AX101" s="113">
        <v>338</v>
      </c>
      <c r="AY101" s="113">
        <v>199</v>
      </c>
      <c r="AZ101" s="113">
        <v>83</v>
      </c>
      <c r="BA101" s="113">
        <v>532</v>
      </c>
      <c r="BB101" s="113">
        <v>88</v>
      </c>
      <c r="BC101" s="113">
        <v>160</v>
      </c>
      <c r="BD101" s="113">
        <v>174</v>
      </c>
      <c r="BE101" s="113">
        <v>75</v>
      </c>
      <c r="BF101" s="112">
        <v>158</v>
      </c>
      <c r="BG101" s="159">
        <v>15</v>
      </c>
      <c r="BH101" s="113">
        <v>0</v>
      </c>
      <c r="BI101" s="113">
        <v>259</v>
      </c>
      <c r="BJ101" s="113">
        <v>71</v>
      </c>
      <c r="BK101" s="113">
        <v>6</v>
      </c>
      <c r="BL101" s="113">
        <v>0</v>
      </c>
      <c r="BM101" s="113">
        <v>195</v>
      </c>
      <c r="BN101" s="113">
        <v>82</v>
      </c>
      <c r="BO101" s="159">
        <v>7</v>
      </c>
      <c r="BP101" s="113">
        <v>112</v>
      </c>
      <c r="BQ101" s="113">
        <v>62</v>
      </c>
      <c r="BR101" s="112">
        <v>87</v>
      </c>
      <c r="BS101" s="159">
        <v>20</v>
      </c>
      <c r="BT101" s="113">
        <v>187</v>
      </c>
      <c r="BU101" s="113">
        <v>160</v>
      </c>
      <c r="BV101" s="113">
        <v>327</v>
      </c>
      <c r="BW101" s="113">
        <v>62</v>
      </c>
      <c r="BX101" s="113">
        <v>65</v>
      </c>
      <c r="BY101" s="113">
        <v>123</v>
      </c>
      <c r="BZ101" s="113">
        <v>89</v>
      </c>
      <c r="CA101" s="113">
        <v>133</v>
      </c>
      <c r="CB101" s="112">
        <v>18</v>
      </c>
      <c r="CC101" s="113">
        <v>198</v>
      </c>
      <c r="CD101" s="113">
        <v>182</v>
      </c>
      <c r="CE101" s="113">
        <v>208</v>
      </c>
      <c r="CF101" s="113">
        <v>0</v>
      </c>
      <c r="CG101" s="113">
        <v>170</v>
      </c>
      <c r="CH101" s="113">
        <v>181</v>
      </c>
      <c r="CI101" s="113">
        <v>0</v>
      </c>
      <c r="CJ101" s="113">
        <v>129</v>
      </c>
      <c r="CK101" s="158">
        <v>182</v>
      </c>
      <c r="CL101" s="123">
        <v>5949</v>
      </c>
    </row>
    <row r="102" spans="1:90">
      <c r="A102" s="80">
        <f>ROWS($A$3:A100)</f>
        <v>98</v>
      </c>
      <c r="B102" s="602"/>
      <c r="C102" s="590"/>
      <c r="D102" s="603"/>
      <c r="E102" s="522"/>
      <c r="F102" s="485"/>
      <c r="G102" s="479"/>
      <c r="H102" s="479"/>
      <c r="I102" s="481"/>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c r="A103" s="80">
        <f>ROWS($A$3:A101)</f>
        <v>99</v>
      </c>
      <c r="B103" s="602"/>
      <c r="C103" s="590"/>
      <c r="D103" s="603"/>
      <c r="E103" s="522"/>
      <c r="F103" s="485"/>
      <c r="G103" s="479"/>
      <c r="H103" s="479"/>
      <c r="I103" s="481"/>
      <c r="J103" s="281"/>
      <c r="K103" s="157"/>
      <c r="L103" s="113"/>
      <c r="M103" s="113"/>
      <c r="N103" s="113"/>
      <c r="O103" s="113"/>
      <c r="P103" s="113"/>
      <c r="Q103" s="113"/>
      <c r="R103" s="113"/>
      <c r="S103" s="113"/>
      <c r="T103" s="113"/>
      <c r="U103" s="112"/>
      <c r="V103" s="113"/>
      <c r="W103" s="113"/>
      <c r="X103" s="113"/>
      <c r="Y103" s="113"/>
      <c r="Z103" s="113"/>
      <c r="AA103" s="113"/>
      <c r="AB103" s="112"/>
      <c r="AC103" s="113"/>
      <c r="AD103" s="113"/>
      <c r="AE103" s="113"/>
      <c r="AF103" s="113"/>
      <c r="AG103" s="113"/>
      <c r="AH103" s="113"/>
      <c r="AI103" s="113"/>
      <c r="AJ103" s="113"/>
      <c r="AK103" s="112"/>
      <c r="AL103" s="113"/>
      <c r="AM103" s="113"/>
      <c r="AN103" s="113"/>
      <c r="AO103" s="113"/>
      <c r="AP103" s="113"/>
      <c r="AQ103" s="113"/>
      <c r="AR103" s="113"/>
      <c r="AS103" s="158"/>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s="123"/>
    </row>
    <row r="104" spans="1:90">
      <c r="A104" s="80">
        <f>ROWS($A$3:A102)</f>
        <v>100</v>
      </c>
      <c r="B104" s="55"/>
      <c r="C104" s="203"/>
      <c r="D104" s="254"/>
      <c r="E104" s="269"/>
      <c r="F104" s="154"/>
      <c r="G104" s="155"/>
      <c r="H104" s="155"/>
      <c r="I104" s="156"/>
      <c r="J104" s="281"/>
      <c r="K104" s="157">
        <f t="shared" si="185"/>
        <v>0</v>
      </c>
      <c r="L104" s="113">
        <f t="shared" si="186"/>
        <v>0</v>
      </c>
      <c r="M104" s="113">
        <f t="shared" si="187"/>
        <v>0</v>
      </c>
      <c r="N104" s="113">
        <f t="shared" si="188"/>
        <v>0</v>
      </c>
      <c r="O104" s="113">
        <f t="shared" si="189"/>
        <v>0</v>
      </c>
      <c r="P104" s="113">
        <f>'2008'!AZ104+'2008'!BA104</f>
        <v>0</v>
      </c>
      <c r="Q104" s="113">
        <f>'2008'!AU104</f>
        <v>0</v>
      </c>
      <c r="R104" s="113">
        <f t="shared" si="190"/>
        <v>0</v>
      </c>
      <c r="S104" s="113">
        <f t="shared" si="191"/>
        <v>0</v>
      </c>
      <c r="T104" s="113">
        <f t="shared" si="192"/>
        <v>0</v>
      </c>
      <c r="U104" s="112">
        <f t="shared" si="192"/>
        <v>0</v>
      </c>
      <c r="V104" s="113">
        <f t="shared" si="193"/>
        <v>0</v>
      </c>
      <c r="W104" s="113">
        <f t="shared" si="194"/>
        <v>0</v>
      </c>
      <c r="X104" s="113">
        <f t="shared" si="195"/>
        <v>0</v>
      </c>
      <c r="Y104" s="113">
        <f t="shared" si="196"/>
        <v>0</v>
      </c>
      <c r="Z104" s="113">
        <f t="shared" si="197"/>
        <v>0</v>
      </c>
      <c r="AA104" s="113">
        <f t="shared" si="198"/>
        <v>0</v>
      </c>
      <c r="AB104" s="112">
        <f t="shared" si="199"/>
        <v>0</v>
      </c>
      <c r="AC104" s="113">
        <f t="shared" si="200"/>
        <v>0</v>
      </c>
      <c r="AD104" s="113">
        <f t="shared" si="201"/>
        <v>0</v>
      </c>
      <c r="AE104" s="113">
        <f t="shared" si="202"/>
        <v>0</v>
      </c>
      <c r="AF104" s="113">
        <f t="shared" si="203"/>
        <v>0</v>
      </c>
      <c r="AG104" s="113">
        <f t="shared" si="204"/>
        <v>0</v>
      </c>
      <c r="AH104" s="113">
        <f t="shared" si="205"/>
        <v>0</v>
      </c>
      <c r="AI104" s="113">
        <f t="shared" si="206"/>
        <v>0</v>
      </c>
      <c r="AJ104" s="113">
        <f t="shared" si="207"/>
        <v>0</v>
      </c>
      <c r="AK104" s="112">
        <f t="shared" si="208"/>
        <v>0</v>
      </c>
      <c r="AL104" s="113">
        <f t="shared" si="209"/>
        <v>0</v>
      </c>
      <c r="AM104" s="113">
        <f t="shared" si="210"/>
        <v>0</v>
      </c>
      <c r="AN104" s="113">
        <f t="shared" si="211"/>
        <v>0</v>
      </c>
      <c r="AO104" s="113">
        <f t="shared" si="212"/>
        <v>0</v>
      </c>
      <c r="AP104" s="113">
        <f t="shared" si="212"/>
        <v>0</v>
      </c>
      <c r="AQ104" s="113">
        <f t="shared" si="213"/>
        <v>0</v>
      </c>
      <c r="AR104" s="113">
        <f t="shared" si="214"/>
        <v>0</v>
      </c>
      <c r="AS104" s="158">
        <f t="shared" si="215"/>
        <v>0</v>
      </c>
      <c r="AT104" s="113">
        <v>0</v>
      </c>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80">
        <f>ROWS($A$3:A103)</f>
        <v>101</v>
      </c>
      <c r="B105" s="55"/>
      <c r="C105" s="203"/>
      <c r="D105" s="254"/>
      <c r="E105" s="269"/>
      <c r="F105" s="154"/>
      <c r="G105" s="155"/>
      <c r="H105" s="155"/>
      <c r="I105" s="156"/>
      <c r="J105" s="281"/>
      <c r="K105" s="157">
        <f t="shared" si="185"/>
        <v>0</v>
      </c>
      <c r="L105" s="113">
        <f t="shared" si="186"/>
        <v>0</v>
      </c>
      <c r="M105" s="113">
        <f t="shared" si="187"/>
        <v>0</v>
      </c>
      <c r="N105" s="113">
        <f t="shared" si="188"/>
        <v>0</v>
      </c>
      <c r="O105" s="113">
        <f t="shared" si="189"/>
        <v>0</v>
      </c>
      <c r="P105" s="113">
        <f>'2008'!AZ105+'2008'!BA105</f>
        <v>0</v>
      </c>
      <c r="Q105" s="113">
        <f>'2008'!AU105</f>
        <v>0</v>
      </c>
      <c r="R105" s="113">
        <f t="shared" si="190"/>
        <v>0</v>
      </c>
      <c r="S105" s="113">
        <f t="shared" si="191"/>
        <v>0</v>
      </c>
      <c r="T105" s="113">
        <f t="shared" si="192"/>
        <v>0</v>
      </c>
      <c r="U105" s="112">
        <f t="shared" si="192"/>
        <v>0</v>
      </c>
      <c r="V105" s="113">
        <f t="shared" si="193"/>
        <v>0</v>
      </c>
      <c r="W105" s="113">
        <f t="shared" si="194"/>
        <v>0</v>
      </c>
      <c r="X105" s="113">
        <f t="shared" si="195"/>
        <v>0</v>
      </c>
      <c r="Y105" s="113">
        <f t="shared" si="196"/>
        <v>0</v>
      </c>
      <c r="Z105" s="113">
        <f t="shared" si="197"/>
        <v>0</v>
      </c>
      <c r="AA105" s="113">
        <f t="shared" si="198"/>
        <v>0</v>
      </c>
      <c r="AB105" s="112">
        <f t="shared" si="199"/>
        <v>0</v>
      </c>
      <c r="AC105" s="113">
        <f t="shared" si="200"/>
        <v>0</v>
      </c>
      <c r="AD105" s="113">
        <f t="shared" si="201"/>
        <v>0</v>
      </c>
      <c r="AE105" s="113">
        <f t="shared" si="202"/>
        <v>0</v>
      </c>
      <c r="AF105" s="113">
        <f t="shared" si="203"/>
        <v>0</v>
      </c>
      <c r="AG105" s="113">
        <f t="shared" si="204"/>
        <v>0</v>
      </c>
      <c r="AH105" s="113">
        <f t="shared" si="205"/>
        <v>0</v>
      </c>
      <c r="AI105" s="113">
        <f t="shared" si="206"/>
        <v>0</v>
      </c>
      <c r="AJ105" s="113">
        <f t="shared" si="207"/>
        <v>0</v>
      </c>
      <c r="AK105" s="112">
        <f t="shared" si="208"/>
        <v>0</v>
      </c>
      <c r="AL105" s="113">
        <f t="shared" si="209"/>
        <v>0</v>
      </c>
      <c r="AM105" s="113">
        <f t="shared" si="210"/>
        <v>0</v>
      </c>
      <c r="AN105" s="113">
        <f t="shared" si="211"/>
        <v>0</v>
      </c>
      <c r="AO105" s="113">
        <f t="shared" si="212"/>
        <v>0</v>
      </c>
      <c r="AP105" s="113">
        <f t="shared" si="212"/>
        <v>0</v>
      </c>
      <c r="AQ105" s="113">
        <f t="shared" si="213"/>
        <v>0</v>
      </c>
      <c r="AR105" s="113">
        <f t="shared" si="214"/>
        <v>0</v>
      </c>
      <c r="AS105" s="158">
        <f t="shared" si="215"/>
        <v>0</v>
      </c>
      <c r="AT105" s="113">
        <v>0</v>
      </c>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c r="A106" s="80">
        <f>ROWS($A$3:A104)</f>
        <v>102</v>
      </c>
      <c r="B106" s="55"/>
      <c r="C106" s="203"/>
      <c r="D106" s="254"/>
      <c r="E106" s="269"/>
      <c r="F106" s="154"/>
      <c r="G106" s="155"/>
      <c r="H106" s="155"/>
      <c r="I106" s="156"/>
      <c r="J106" s="281"/>
      <c r="K106" s="157">
        <f t="shared" si="185"/>
        <v>0</v>
      </c>
      <c r="L106" s="113">
        <f t="shared" si="186"/>
        <v>0</v>
      </c>
      <c r="M106" s="113">
        <f t="shared" si="187"/>
        <v>0</v>
      </c>
      <c r="N106" s="113">
        <f t="shared" si="188"/>
        <v>0</v>
      </c>
      <c r="O106" s="113">
        <f t="shared" si="189"/>
        <v>0</v>
      </c>
      <c r="P106" s="113">
        <f>'2008'!AZ106+'2008'!BA106</f>
        <v>0</v>
      </c>
      <c r="Q106" s="113">
        <f>'2008'!AU106</f>
        <v>0</v>
      </c>
      <c r="R106" s="113">
        <f t="shared" si="190"/>
        <v>0</v>
      </c>
      <c r="S106" s="113">
        <f t="shared" si="191"/>
        <v>0</v>
      </c>
      <c r="T106" s="113">
        <f t="shared" si="192"/>
        <v>0</v>
      </c>
      <c r="U106" s="112">
        <f t="shared" si="192"/>
        <v>0</v>
      </c>
      <c r="V106" s="113">
        <f t="shared" si="193"/>
        <v>0</v>
      </c>
      <c r="W106" s="113">
        <f t="shared" si="194"/>
        <v>0</v>
      </c>
      <c r="X106" s="113">
        <f t="shared" si="195"/>
        <v>0</v>
      </c>
      <c r="Y106" s="113">
        <f t="shared" si="196"/>
        <v>0</v>
      </c>
      <c r="Z106" s="113">
        <f t="shared" si="197"/>
        <v>0</v>
      </c>
      <c r="AA106" s="113">
        <f t="shared" si="198"/>
        <v>0</v>
      </c>
      <c r="AB106" s="112">
        <f t="shared" si="199"/>
        <v>0</v>
      </c>
      <c r="AC106" s="113">
        <f t="shared" si="200"/>
        <v>0</v>
      </c>
      <c r="AD106" s="113">
        <f t="shared" si="201"/>
        <v>0</v>
      </c>
      <c r="AE106" s="113">
        <f t="shared" si="202"/>
        <v>0</v>
      </c>
      <c r="AF106" s="113">
        <f t="shared" si="203"/>
        <v>0</v>
      </c>
      <c r="AG106" s="113">
        <f t="shared" si="204"/>
        <v>0</v>
      </c>
      <c r="AH106" s="113">
        <f t="shared" si="205"/>
        <v>0</v>
      </c>
      <c r="AI106" s="113">
        <f t="shared" si="206"/>
        <v>0</v>
      </c>
      <c r="AJ106" s="113">
        <f t="shared" si="207"/>
        <v>0</v>
      </c>
      <c r="AK106" s="112">
        <f t="shared" si="208"/>
        <v>0</v>
      </c>
      <c r="AL106" s="113">
        <f t="shared" si="209"/>
        <v>0</v>
      </c>
      <c r="AM106" s="113">
        <f t="shared" si="210"/>
        <v>0</v>
      </c>
      <c r="AN106" s="113">
        <f t="shared" si="211"/>
        <v>0</v>
      </c>
      <c r="AO106" s="113">
        <f t="shared" si="212"/>
        <v>0</v>
      </c>
      <c r="AP106" s="113">
        <f t="shared" si="212"/>
        <v>0</v>
      </c>
      <c r="AQ106" s="113">
        <f t="shared" si="213"/>
        <v>0</v>
      </c>
      <c r="AR106" s="113">
        <f t="shared" si="214"/>
        <v>0</v>
      </c>
      <c r="AS106" s="158">
        <f t="shared" si="215"/>
        <v>0</v>
      </c>
      <c r="AT106" s="113">
        <v>0</v>
      </c>
      <c r="AU106" s="113"/>
      <c r="AV106" s="113"/>
      <c r="AW106" s="113"/>
      <c r="AX106" s="113"/>
      <c r="AY106" s="113"/>
      <c r="AZ106" s="113"/>
      <c r="BA106" s="113"/>
      <c r="BB106" s="113"/>
      <c r="BC106" s="113"/>
      <c r="BD106" s="113"/>
      <c r="BE106" s="113"/>
      <c r="BF106" s="112"/>
      <c r="BG106" s="159"/>
      <c r="BH106" s="113"/>
      <c r="BI106" s="113"/>
      <c r="BJ106" s="113"/>
      <c r="BK106" s="113"/>
      <c r="BL106" s="113"/>
      <c r="BM106" s="113"/>
      <c r="BN106" s="113"/>
      <c r="BO106" s="159"/>
      <c r="BP106" s="113"/>
      <c r="BQ106" s="113"/>
      <c r="BR106" s="112"/>
      <c r="BS106" s="159"/>
      <c r="BT106" s="113"/>
      <c r="BU106" s="113"/>
      <c r="BV106" s="113"/>
      <c r="BW106" s="113"/>
      <c r="BX106" s="113"/>
      <c r="BY106" s="113"/>
      <c r="BZ106" s="113"/>
      <c r="CA106" s="113"/>
      <c r="CB106" s="112"/>
      <c r="CC106" s="113"/>
      <c r="CD106" s="113"/>
      <c r="CE106" s="113"/>
      <c r="CF106" s="113"/>
      <c r="CG106" s="113"/>
      <c r="CH106" s="113"/>
      <c r="CI106" s="113"/>
      <c r="CJ106" s="113"/>
      <c r="CK106" s="158"/>
      <c r="CL106" s="123"/>
    </row>
    <row r="107" spans="1:90" ht="13.5" thickBot="1">
      <c r="A107" s="80">
        <f>ROWS($A$3:A105)</f>
        <v>103</v>
      </c>
      <c r="B107" s="56"/>
      <c r="C107" s="206"/>
      <c r="D107" s="274"/>
      <c r="E107" s="275"/>
      <c r="F107" s="160"/>
      <c r="G107" s="161"/>
      <c r="H107" s="161"/>
      <c r="I107" s="162"/>
      <c r="J107" s="161"/>
      <c r="K107" s="163">
        <f t="shared" si="185"/>
        <v>0</v>
      </c>
      <c r="L107" s="164">
        <f t="shared" si="186"/>
        <v>0</v>
      </c>
      <c r="M107" s="164">
        <f t="shared" si="187"/>
        <v>0</v>
      </c>
      <c r="N107" s="164">
        <f t="shared" si="188"/>
        <v>0</v>
      </c>
      <c r="O107" s="164">
        <f t="shared" si="189"/>
        <v>0</v>
      </c>
      <c r="P107" s="164">
        <f>'2008'!AZ107+'2008'!BA107</f>
        <v>0</v>
      </c>
      <c r="Q107" s="164">
        <f>'2008'!AU107</f>
        <v>0</v>
      </c>
      <c r="R107" s="164">
        <f t="shared" si="190"/>
        <v>0</v>
      </c>
      <c r="S107" s="164">
        <f t="shared" si="191"/>
        <v>0</v>
      </c>
      <c r="T107" s="164">
        <f t="shared" si="192"/>
        <v>0</v>
      </c>
      <c r="U107" s="114">
        <f t="shared" si="192"/>
        <v>0</v>
      </c>
      <c r="V107" s="164">
        <f t="shared" si="193"/>
        <v>0</v>
      </c>
      <c r="W107" s="164">
        <f t="shared" si="194"/>
        <v>0</v>
      </c>
      <c r="X107" s="164">
        <f t="shared" si="195"/>
        <v>0</v>
      </c>
      <c r="Y107" s="164">
        <f t="shared" si="196"/>
        <v>0</v>
      </c>
      <c r="Z107" s="164">
        <f t="shared" si="197"/>
        <v>0</v>
      </c>
      <c r="AA107" s="164">
        <f t="shared" si="198"/>
        <v>0</v>
      </c>
      <c r="AB107" s="114">
        <f t="shared" si="199"/>
        <v>0</v>
      </c>
      <c r="AC107" s="164">
        <f t="shared" si="200"/>
        <v>0</v>
      </c>
      <c r="AD107" s="164">
        <f t="shared" si="201"/>
        <v>0</v>
      </c>
      <c r="AE107" s="164">
        <f t="shared" si="202"/>
        <v>0</v>
      </c>
      <c r="AF107" s="164">
        <f t="shared" si="203"/>
        <v>0</v>
      </c>
      <c r="AG107" s="164">
        <f t="shared" si="204"/>
        <v>0</v>
      </c>
      <c r="AH107" s="164">
        <f t="shared" si="205"/>
        <v>0</v>
      </c>
      <c r="AI107" s="164">
        <f t="shared" si="206"/>
        <v>0</v>
      </c>
      <c r="AJ107" s="164">
        <f t="shared" si="207"/>
        <v>0</v>
      </c>
      <c r="AK107" s="114">
        <f t="shared" si="208"/>
        <v>0</v>
      </c>
      <c r="AL107" s="164">
        <f t="shared" si="209"/>
        <v>0</v>
      </c>
      <c r="AM107" s="164">
        <f t="shared" si="210"/>
        <v>0</v>
      </c>
      <c r="AN107" s="164">
        <f t="shared" si="211"/>
        <v>0</v>
      </c>
      <c r="AO107" s="164">
        <f t="shared" si="212"/>
        <v>0</v>
      </c>
      <c r="AP107" s="164">
        <f t="shared" si="212"/>
        <v>0</v>
      </c>
      <c r="AQ107" s="164">
        <f t="shared" si="213"/>
        <v>0</v>
      </c>
      <c r="AR107" s="164">
        <f t="shared" si="214"/>
        <v>0</v>
      </c>
      <c r="AS107" s="165">
        <f t="shared" si="215"/>
        <v>0</v>
      </c>
      <c r="AT107" s="164">
        <v>0</v>
      </c>
      <c r="AU107" s="164"/>
      <c r="AV107" s="164"/>
      <c r="AW107" s="164"/>
      <c r="AX107" s="164"/>
      <c r="AY107" s="164"/>
      <c r="AZ107" s="164"/>
      <c r="BA107" s="164"/>
      <c r="BB107" s="164"/>
      <c r="BC107" s="164"/>
      <c r="BD107" s="164"/>
      <c r="BE107" s="164"/>
      <c r="BF107" s="114"/>
      <c r="BG107" s="166"/>
      <c r="BH107" s="164"/>
      <c r="BI107" s="164"/>
      <c r="BJ107" s="164"/>
      <c r="BK107" s="164"/>
      <c r="BL107" s="164"/>
      <c r="BM107" s="164"/>
      <c r="BN107" s="164"/>
      <c r="BO107" s="166"/>
      <c r="BP107" s="164"/>
      <c r="BQ107" s="164"/>
      <c r="BR107" s="114"/>
      <c r="BS107" s="166"/>
      <c r="BT107" s="164"/>
      <c r="BU107" s="164"/>
      <c r="BV107" s="164"/>
      <c r="BW107" s="164"/>
      <c r="BX107" s="164"/>
      <c r="BY107" s="164"/>
      <c r="BZ107" s="164"/>
      <c r="CA107" s="164"/>
      <c r="CB107" s="114"/>
      <c r="CC107" s="164"/>
      <c r="CD107" s="164"/>
      <c r="CE107" s="164"/>
      <c r="CF107" s="164"/>
      <c r="CG107" s="164"/>
      <c r="CH107" s="164"/>
      <c r="CI107" s="164"/>
      <c r="CJ107" s="164"/>
      <c r="CK107" s="165"/>
      <c r="CL107" s="124"/>
    </row>
    <row r="108" spans="1:90">
      <c r="B108" s="57"/>
      <c r="C108" s="203"/>
      <c r="D108" s="48"/>
      <c r="E108" s="69"/>
      <c r="F108" s="155"/>
      <c r="G108" s="155"/>
      <c r="H108" s="155"/>
      <c r="I108" s="155"/>
      <c r="J108" s="155"/>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59"/>
      <c r="BH108" s="113"/>
      <c r="BI108" s="113"/>
      <c r="BJ108" s="113"/>
      <c r="BK108" s="113"/>
      <c r="BL108" s="113"/>
      <c r="BM108" s="113"/>
      <c r="BN108" s="113"/>
      <c r="BO108" s="159"/>
      <c r="BP108" s="113"/>
      <c r="BQ108" s="113"/>
      <c r="BR108" s="113"/>
      <c r="BS108" s="159"/>
      <c r="BT108" s="113"/>
      <c r="BU108" s="113"/>
      <c r="BV108" s="113"/>
      <c r="BW108" s="113"/>
      <c r="BX108" s="113"/>
      <c r="BY108" s="113"/>
      <c r="BZ108" s="113"/>
      <c r="CA108" s="113"/>
      <c r="CB108" s="113"/>
      <c r="CC108" s="113"/>
      <c r="CD108" s="113"/>
      <c r="CE108" s="113"/>
      <c r="CF108" s="113"/>
      <c r="CG108" s="113"/>
      <c r="CH108" s="113"/>
      <c r="CI108" s="113"/>
      <c r="CJ108" s="113"/>
      <c r="CK108" s="113"/>
      <c r="CL108" s="125"/>
    </row>
    <row r="109" spans="1:90">
      <c r="B109" s="71" t="s">
        <v>209</v>
      </c>
    </row>
    <row r="110" spans="1:90">
      <c r="B110" s="73" t="s">
        <v>280</v>
      </c>
    </row>
    <row r="111" spans="1:90">
      <c r="B111" s="73" t="s">
        <v>205</v>
      </c>
    </row>
    <row r="112" spans="1:90">
      <c r="B112" s="73" t="s">
        <v>206</v>
      </c>
    </row>
    <row r="113" spans="1:90">
      <c r="B113" s="72"/>
    </row>
    <row r="114" spans="1:90">
      <c r="B114" s="73" t="s">
        <v>78</v>
      </c>
    </row>
    <row r="115" spans="1:90">
      <c r="B115" s="73" t="s">
        <v>207</v>
      </c>
    </row>
    <row r="116" spans="1:90">
      <c r="B116" s="73" t="s">
        <v>211</v>
      </c>
    </row>
    <row r="118" spans="1:90" s="69" customFormat="1" ht="11.25">
      <c r="A118" s="327"/>
      <c r="B118" s="334" t="s">
        <v>63</v>
      </c>
      <c r="C118" s="322"/>
      <c r="D118" s="329" t="s">
        <v>11</v>
      </c>
      <c r="E118" s="330">
        <v>40679</v>
      </c>
      <c r="F118" s="323">
        <v>34700</v>
      </c>
      <c r="G118" s="323">
        <v>15200</v>
      </c>
      <c r="H118" s="323">
        <v>27800</v>
      </c>
      <c r="I118" s="323">
        <v>22600</v>
      </c>
      <c r="J118" s="324"/>
      <c r="K118" s="323">
        <f>BF118</f>
        <v>3500</v>
      </c>
      <c r="L118" s="323">
        <f>AY118</f>
        <v>3700</v>
      </c>
      <c r="M118" s="323">
        <f>BD118</f>
        <v>2700</v>
      </c>
      <c r="N118" s="323">
        <f>AW118</f>
        <v>1600</v>
      </c>
      <c r="O118" s="323">
        <f>BE118</f>
        <v>1100</v>
      </c>
      <c r="P118" s="323">
        <f>'2008'!AZ118+'2008'!BA118</f>
        <v>5600</v>
      </c>
      <c r="Q118" s="323">
        <f>'2008'!AU118</f>
        <v>1800</v>
      </c>
      <c r="R118" s="323">
        <f>AT118+AX118</f>
        <v>6300</v>
      </c>
      <c r="S118" s="323">
        <f>AV118</f>
        <v>2500</v>
      </c>
      <c r="T118" s="323">
        <f>BB118</f>
        <v>2400</v>
      </c>
      <c r="U118" s="323">
        <f>BC118</f>
        <v>3500</v>
      </c>
      <c r="V118" s="323">
        <f>BG118+BJ118</f>
        <v>2400</v>
      </c>
      <c r="W118" s="323">
        <f>BR118</f>
        <v>1200</v>
      </c>
      <c r="X118" s="323">
        <f>BH118+BI118</f>
        <v>3100</v>
      </c>
      <c r="Y118" s="323">
        <f>BK118+BL118+BN118</f>
        <v>4000</v>
      </c>
      <c r="Z118" s="323">
        <f>BM118</f>
        <v>1800</v>
      </c>
      <c r="AA118" s="323">
        <f>BO118+BQ118</f>
        <v>1500</v>
      </c>
      <c r="AB118" s="323">
        <f>BP118</f>
        <v>1300</v>
      </c>
      <c r="AC118" s="323">
        <f>BX118</f>
        <v>1900</v>
      </c>
      <c r="AD118" s="323">
        <f>BU118</f>
        <v>2900</v>
      </c>
      <c r="AE118" s="323">
        <f>BS118+BT118</f>
        <v>6100</v>
      </c>
      <c r="AF118" s="323">
        <f>CA118</f>
        <v>2300</v>
      </c>
      <c r="AG118" s="323">
        <f>BV118</f>
        <v>7100</v>
      </c>
      <c r="AH118" s="323">
        <f>BZ118</f>
        <v>3000</v>
      </c>
      <c r="AI118" s="323">
        <f>BW118</f>
        <v>1500</v>
      </c>
      <c r="AJ118" s="323">
        <f>BY118</f>
        <v>900</v>
      </c>
      <c r="AK118" s="323">
        <f>CB118</f>
        <v>2200</v>
      </c>
      <c r="AL118" s="323">
        <f>CE118</f>
        <v>1600</v>
      </c>
      <c r="AM118" s="323">
        <f>CH118</f>
        <v>3300</v>
      </c>
      <c r="AN118" s="323">
        <f>CJ118</f>
        <v>4700</v>
      </c>
      <c r="AO118" s="323">
        <f>CC118</f>
        <v>2600</v>
      </c>
      <c r="AP118" s="323">
        <f>CD118</f>
        <v>1100</v>
      </c>
      <c r="AQ118" s="323">
        <f>CK118</f>
        <v>2400</v>
      </c>
      <c r="AR118" s="323">
        <f>CI118</f>
        <v>3500</v>
      </c>
      <c r="AS118" s="323">
        <f>CF118+CG118</f>
        <v>3400</v>
      </c>
      <c r="AT118" s="324">
        <v>1700</v>
      </c>
      <c r="AU118" s="324">
        <v>1800</v>
      </c>
      <c r="AV118" s="324">
        <v>2500</v>
      </c>
      <c r="AW118" s="324">
        <v>1600</v>
      </c>
      <c r="AX118" s="324">
        <v>4600</v>
      </c>
      <c r="AY118" s="323">
        <v>3700</v>
      </c>
      <c r="AZ118" s="323">
        <v>700</v>
      </c>
      <c r="BA118" s="323">
        <v>4900</v>
      </c>
      <c r="BB118" s="323">
        <v>2400</v>
      </c>
      <c r="BC118" s="323">
        <v>3500</v>
      </c>
      <c r="BD118" s="323">
        <v>2700</v>
      </c>
      <c r="BE118" s="323">
        <v>1100</v>
      </c>
      <c r="BF118" s="323">
        <v>3500</v>
      </c>
      <c r="BG118" s="323">
        <v>600</v>
      </c>
      <c r="BH118" s="323">
        <v>500</v>
      </c>
      <c r="BI118" s="323">
        <v>2600</v>
      </c>
      <c r="BJ118" s="323">
        <v>1800</v>
      </c>
      <c r="BK118" s="323">
        <v>500</v>
      </c>
      <c r="BL118" s="323">
        <v>600</v>
      </c>
      <c r="BM118" s="323">
        <v>1800</v>
      </c>
      <c r="BN118" s="323">
        <v>2900</v>
      </c>
      <c r="BO118" s="323">
        <v>300</v>
      </c>
      <c r="BP118" s="323">
        <v>1300</v>
      </c>
      <c r="BQ118" s="323">
        <v>1200</v>
      </c>
      <c r="BR118" s="323">
        <v>1200</v>
      </c>
      <c r="BS118" s="323">
        <v>600</v>
      </c>
      <c r="BT118" s="323">
        <v>5500</v>
      </c>
      <c r="BU118" s="323">
        <v>2900</v>
      </c>
      <c r="BV118" s="323">
        <v>7100</v>
      </c>
      <c r="BW118" s="323">
        <v>1500</v>
      </c>
      <c r="BX118" s="323">
        <v>1900</v>
      </c>
      <c r="BY118" s="323">
        <v>900</v>
      </c>
      <c r="BZ118" s="323">
        <v>3000</v>
      </c>
      <c r="CA118" s="323">
        <v>2300</v>
      </c>
      <c r="CB118" s="323">
        <v>2200</v>
      </c>
      <c r="CC118" s="323">
        <v>2600</v>
      </c>
      <c r="CD118" s="323">
        <v>1100</v>
      </c>
      <c r="CE118" s="323">
        <v>1600</v>
      </c>
      <c r="CF118" s="323">
        <v>400</v>
      </c>
      <c r="CG118" s="323">
        <v>3000</v>
      </c>
      <c r="CH118" s="323">
        <v>3300</v>
      </c>
      <c r="CI118" s="323">
        <v>3500</v>
      </c>
      <c r="CJ118" s="323">
        <v>4700</v>
      </c>
      <c r="CK118" s="323">
        <v>2400</v>
      </c>
      <c r="CL118" s="323">
        <v>100300</v>
      </c>
    </row>
    <row r="119" spans="1:90" s="69" customFormat="1" ht="11.25">
      <c r="A119" s="327"/>
      <c r="B119" s="334" t="s">
        <v>271</v>
      </c>
      <c r="C119" s="325"/>
      <c r="D119" s="329" t="s">
        <v>285</v>
      </c>
      <c r="E119" s="329"/>
      <c r="F119" s="324">
        <v>774</v>
      </c>
      <c r="G119" s="324">
        <v>391</v>
      </c>
      <c r="H119" s="324">
        <v>533</v>
      </c>
      <c r="I119" s="324">
        <v>481</v>
      </c>
      <c r="J119" s="324"/>
      <c r="K119" s="323">
        <f>BF119</f>
        <v>81</v>
      </c>
      <c r="L119" s="324">
        <f>AY119</f>
        <v>78</v>
      </c>
      <c r="M119" s="324">
        <f>BD119</f>
        <v>58</v>
      </c>
      <c r="N119" s="324">
        <f>AW119</f>
        <v>33</v>
      </c>
      <c r="O119" s="324">
        <f>BE119</f>
        <v>30</v>
      </c>
      <c r="P119" s="423">
        <f>AZ119+BA119</f>
        <v>107</v>
      </c>
      <c r="Q119" s="323">
        <f>AU119</f>
        <v>40</v>
      </c>
      <c r="R119" s="423">
        <f>AT119+AX119</f>
        <v>139</v>
      </c>
      <c r="S119" s="324">
        <f>AV119</f>
        <v>57</v>
      </c>
      <c r="T119" s="324">
        <f>BB119</f>
        <v>59</v>
      </c>
      <c r="U119" s="323">
        <f>BC119</f>
        <v>92</v>
      </c>
      <c r="V119" s="423">
        <f>BG119+BJ119</f>
        <v>62</v>
      </c>
      <c r="W119" s="324">
        <f>BR119</f>
        <v>26</v>
      </c>
      <c r="X119" s="423">
        <f>BH119+BI119</f>
        <v>78</v>
      </c>
      <c r="Y119" s="423">
        <f>BK119+BL119+BN119</f>
        <v>109</v>
      </c>
      <c r="Z119" s="324">
        <f>BM119</f>
        <v>44</v>
      </c>
      <c r="AA119" s="423">
        <f>BO119+BQ119</f>
        <v>39</v>
      </c>
      <c r="AB119" s="323">
        <f>BP119</f>
        <v>35</v>
      </c>
      <c r="AC119" s="324">
        <f>BX119</f>
        <v>37</v>
      </c>
      <c r="AD119" s="324">
        <f>BU119</f>
        <v>47</v>
      </c>
      <c r="AE119" s="423">
        <f>BS119+BT119</f>
        <v>112</v>
      </c>
      <c r="AF119" s="324">
        <f>CA119</f>
        <v>44</v>
      </c>
      <c r="AG119" s="324">
        <f>BV119</f>
        <v>131</v>
      </c>
      <c r="AH119" s="324">
        <f>BZ119</f>
        <v>78</v>
      </c>
      <c r="AI119" s="324">
        <f>BW119</f>
        <v>30</v>
      </c>
      <c r="AJ119" s="324">
        <f>BY119</f>
        <v>22</v>
      </c>
      <c r="AK119" s="323">
        <f>CB119</f>
        <v>33</v>
      </c>
      <c r="AL119" s="324">
        <f>CE119</f>
        <v>35</v>
      </c>
      <c r="AM119" s="324">
        <f>CH119</f>
        <v>77</v>
      </c>
      <c r="AN119" s="324">
        <f>CJ119</f>
        <v>99</v>
      </c>
      <c r="AO119" s="324">
        <f>CC119</f>
        <v>50</v>
      </c>
      <c r="AP119" s="324">
        <f>CD119</f>
        <v>22</v>
      </c>
      <c r="AQ119" s="324">
        <f>CK119</f>
        <v>53</v>
      </c>
      <c r="AR119" s="324">
        <f>CI119</f>
        <v>76</v>
      </c>
      <c r="AS119" s="423">
        <f>CF119+CG119</f>
        <v>71</v>
      </c>
      <c r="AT119" s="324">
        <v>51</v>
      </c>
      <c r="AU119" s="324">
        <v>40</v>
      </c>
      <c r="AV119" s="324">
        <v>57</v>
      </c>
      <c r="AW119" s="324">
        <v>33</v>
      </c>
      <c r="AX119" s="324">
        <v>88</v>
      </c>
      <c r="AY119" s="324">
        <v>78</v>
      </c>
      <c r="AZ119" s="324">
        <v>18</v>
      </c>
      <c r="BA119" s="324">
        <v>89</v>
      </c>
      <c r="BB119" s="324">
        <v>59</v>
      </c>
      <c r="BC119" s="324">
        <v>92</v>
      </c>
      <c r="BD119" s="324">
        <v>58</v>
      </c>
      <c r="BE119" s="324">
        <v>30</v>
      </c>
      <c r="BF119" s="324">
        <v>81</v>
      </c>
      <c r="BG119" s="324">
        <v>18</v>
      </c>
      <c r="BH119" s="324">
        <v>15</v>
      </c>
      <c r="BI119" s="324">
        <v>63</v>
      </c>
      <c r="BJ119" s="324">
        <v>44</v>
      </c>
      <c r="BK119" s="324">
        <v>15</v>
      </c>
      <c r="BL119" s="324">
        <v>19</v>
      </c>
      <c r="BM119" s="324">
        <v>44</v>
      </c>
      <c r="BN119" s="324">
        <v>75</v>
      </c>
      <c r="BO119" s="324">
        <v>13</v>
      </c>
      <c r="BP119" s="324">
        <v>35</v>
      </c>
      <c r="BQ119" s="324">
        <v>26</v>
      </c>
      <c r="BR119" s="324">
        <v>26</v>
      </c>
      <c r="BS119" s="324">
        <v>16</v>
      </c>
      <c r="BT119" s="324">
        <v>96</v>
      </c>
      <c r="BU119" s="324">
        <v>47</v>
      </c>
      <c r="BV119" s="324">
        <v>131</v>
      </c>
      <c r="BW119" s="324">
        <v>30</v>
      </c>
      <c r="BX119" s="324">
        <v>37</v>
      </c>
      <c r="BY119" s="324">
        <v>22</v>
      </c>
      <c r="BZ119" s="324">
        <v>78</v>
      </c>
      <c r="CA119" s="324">
        <v>44</v>
      </c>
      <c r="CB119" s="324">
        <v>33</v>
      </c>
      <c r="CC119" s="324">
        <v>50</v>
      </c>
      <c r="CD119" s="324">
        <v>22</v>
      </c>
      <c r="CE119" s="324">
        <v>35</v>
      </c>
      <c r="CF119" s="324">
        <v>11</v>
      </c>
      <c r="CG119" s="324">
        <v>60</v>
      </c>
      <c r="CH119" s="324">
        <v>77</v>
      </c>
      <c r="CI119" s="324">
        <v>76</v>
      </c>
      <c r="CJ119" s="324">
        <v>99</v>
      </c>
      <c r="CK119" s="324">
        <v>53</v>
      </c>
      <c r="CL119" s="324">
        <v>2180</v>
      </c>
    </row>
    <row r="120" spans="1:90" s="69" customFormat="1" ht="11.25">
      <c r="B120" s="328" t="s">
        <v>55</v>
      </c>
      <c r="C120" s="322">
        <v>2010</v>
      </c>
      <c r="D120" s="69" t="s">
        <v>13</v>
      </c>
      <c r="E120" s="332">
        <v>40441</v>
      </c>
      <c r="F120" s="323">
        <v>586</v>
      </c>
      <c r="G120" s="323">
        <v>290</v>
      </c>
      <c r="H120" s="323">
        <v>242</v>
      </c>
      <c r="I120" s="323">
        <v>334</v>
      </c>
      <c r="J120" s="323"/>
      <c r="K120" s="323">
        <v>56</v>
      </c>
      <c r="L120" s="323">
        <v>61</v>
      </c>
      <c r="M120" s="323">
        <v>14</v>
      </c>
      <c r="N120" s="323">
        <v>36</v>
      </c>
      <c r="O120" s="323">
        <v>75</v>
      </c>
      <c r="P120" s="323">
        <v>66</v>
      </c>
      <c r="Q120" s="323">
        <v>41</v>
      </c>
      <c r="R120" s="323">
        <v>97</v>
      </c>
      <c r="S120" s="323">
        <v>53</v>
      </c>
      <c r="T120" s="323">
        <v>19</v>
      </c>
      <c r="U120" s="323">
        <v>71</v>
      </c>
      <c r="V120" s="323">
        <v>32</v>
      </c>
      <c r="W120" s="323">
        <v>41</v>
      </c>
      <c r="X120" s="323">
        <v>81</v>
      </c>
      <c r="Y120" s="323">
        <v>56</v>
      </c>
      <c r="Z120" s="323">
        <v>26</v>
      </c>
      <c r="AA120" s="323">
        <v>44</v>
      </c>
      <c r="AB120" s="323">
        <v>21</v>
      </c>
      <c r="AC120" s="323">
        <v>24</v>
      </c>
      <c r="AD120" s="323">
        <v>20</v>
      </c>
      <c r="AE120" s="323">
        <v>42</v>
      </c>
      <c r="AF120" s="323">
        <v>19</v>
      </c>
      <c r="AG120" s="323">
        <v>23</v>
      </c>
      <c r="AH120" s="323">
        <v>16</v>
      </c>
      <c r="AI120" s="323">
        <v>40</v>
      </c>
      <c r="AJ120" s="323">
        <v>39</v>
      </c>
      <c r="AK120" s="323">
        <v>25</v>
      </c>
      <c r="AL120" s="323">
        <v>18</v>
      </c>
      <c r="AM120" s="323">
        <v>34</v>
      </c>
      <c r="AN120" s="323">
        <v>53</v>
      </c>
      <c r="AO120" s="323">
        <v>95</v>
      </c>
      <c r="AP120" s="323">
        <v>21</v>
      </c>
      <c r="AQ120" s="323">
        <v>28</v>
      </c>
      <c r="AR120" s="323">
        <v>27</v>
      </c>
      <c r="AS120" s="323">
        <v>59</v>
      </c>
      <c r="AT120" s="323"/>
      <c r="AU120" s="323">
        <v>41</v>
      </c>
      <c r="AV120" s="323">
        <v>53</v>
      </c>
      <c r="AW120" s="323">
        <v>36</v>
      </c>
      <c r="AX120" s="323">
        <v>70</v>
      </c>
      <c r="AY120" s="323">
        <v>61</v>
      </c>
      <c r="AZ120" s="323">
        <v>15</v>
      </c>
      <c r="BA120" s="323">
        <v>51</v>
      </c>
      <c r="BB120" s="323">
        <v>19</v>
      </c>
      <c r="BC120" s="323">
        <v>71</v>
      </c>
      <c r="BD120" s="323">
        <v>14</v>
      </c>
      <c r="BE120" s="323">
        <v>75</v>
      </c>
      <c r="BF120" s="323">
        <v>56</v>
      </c>
      <c r="BG120" s="323">
        <v>5</v>
      </c>
      <c r="BH120" s="323">
        <v>19</v>
      </c>
      <c r="BI120" s="323">
        <v>62</v>
      </c>
      <c r="BJ120" s="323">
        <v>27</v>
      </c>
      <c r="BK120" s="323">
        <v>2</v>
      </c>
      <c r="BL120" s="323">
        <v>16</v>
      </c>
      <c r="BM120" s="323">
        <v>26</v>
      </c>
      <c r="BN120" s="323">
        <v>38</v>
      </c>
      <c r="BO120" s="323">
        <v>5</v>
      </c>
      <c r="BP120" s="323">
        <v>21</v>
      </c>
      <c r="BQ120" s="323">
        <v>39</v>
      </c>
      <c r="BR120" s="323">
        <v>41</v>
      </c>
      <c r="BS120" s="323">
        <v>8</v>
      </c>
      <c r="BT120" s="323">
        <v>34</v>
      </c>
      <c r="BU120" s="323">
        <v>20</v>
      </c>
      <c r="BV120" s="323">
        <v>23</v>
      </c>
      <c r="BW120" s="323">
        <v>40</v>
      </c>
      <c r="BX120" s="323">
        <v>24</v>
      </c>
      <c r="BY120" s="323">
        <v>39</v>
      </c>
      <c r="BZ120" s="323">
        <v>16</v>
      </c>
      <c r="CA120" s="323">
        <v>19</v>
      </c>
      <c r="CB120" s="323">
        <v>25</v>
      </c>
      <c r="CC120" s="323">
        <v>95</v>
      </c>
      <c r="CD120" s="323">
        <v>21</v>
      </c>
      <c r="CE120" s="323">
        <v>18</v>
      </c>
      <c r="CF120" s="323">
        <v>12</v>
      </c>
      <c r="CG120" s="323">
        <v>47</v>
      </c>
      <c r="CH120" s="323">
        <v>34</v>
      </c>
      <c r="CI120" s="323">
        <v>27</v>
      </c>
      <c r="CJ120" s="323">
        <v>53</v>
      </c>
      <c r="CK120" s="323">
        <v>28</v>
      </c>
      <c r="CL120" s="323">
        <v>1452</v>
      </c>
    </row>
    <row r="121" spans="1:90" s="69" customFormat="1" ht="11.25">
      <c r="B121" s="328"/>
      <c r="C121" s="322"/>
      <c r="D121" s="69" t="s">
        <v>1</v>
      </c>
      <c r="F121" s="323">
        <v>232107.36</v>
      </c>
      <c r="G121" s="323">
        <v>184654.69</v>
      </c>
      <c r="H121" s="323">
        <v>174810.37</v>
      </c>
      <c r="I121" s="323">
        <v>202711.95</v>
      </c>
      <c r="J121" s="323"/>
      <c r="K121" s="323">
        <v>18203.28</v>
      </c>
      <c r="L121" s="323">
        <v>29257.74</v>
      </c>
      <c r="M121" s="323">
        <v>26747.8</v>
      </c>
      <c r="N121" s="323">
        <v>15760.74</v>
      </c>
      <c r="O121" s="323">
        <v>7776.37</v>
      </c>
      <c r="P121" s="323">
        <v>14670.77</v>
      </c>
      <c r="Q121" s="323">
        <v>20995.78</v>
      </c>
      <c r="R121" s="323">
        <v>33590.68</v>
      </c>
      <c r="S121" s="323">
        <v>28171.93</v>
      </c>
      <c r="T121" s="323">
        <v>12926.83</v>
      </c>
      <c r="U121" s="323">
        <v>24005.43</v>
      </c>
      <c r="V121" s="323">
        <v>31773.06</v>
      </c>
      <c r="W121" s="323">
        <v>11941.64</v>
      </c>
      <c r="X121" s="323">
        <v>32421.03</v>
      </c>
      <c r="Y121" s="323">
        <v>49804.35</v>
      </c>
      <c r="Z121" s="323">
        <v>15546.89</v>
      </c>
      <c r="AA121" s="323">
        <v>18158.240000000002</v>
      </c>
      <c r="AB121" s="323">
        <v>25000.47</v>
      </c>
      <c r="AC121" s="323">
        <v>8787.24</v>
      </c>
      <c r="AD121" s="323">
        <v>10687.19</v>
      </c>
      <c r="AE121" s="323">
        <v>72340.58</v>
      </c>
      <c r="AF121" s="323">
        <v>5894.01</v>
      </c>
      <c r="AG121" s="323">
        <v>14323.86</v>
      </c>
      <c r="AH121" s="323">
        <v>20871.22</v>
      </c>
      <c r="AI121" s="323">
        <v>6983.96</v>
      </c>
      <c r="AJ121" s="323">
        <v>7057.98</v>
      </c>
      <c r="AK121" s="323">
        <v>27864.33</v>
      </c>
      <c r="AL121" s="323">
        <v>31057.48</v>
      </c>
      <c r="AM121" s="323">
        <v>29330.19</v>
      </c>
      <c r="AN121" s="323">
        <v>29782.37</v>
      </c>
      <c r="AO121" s="323">
        <v>24341.94</v>
      </c>
      <c r="AP121" s="323">
        <v>20088.61</v>
      </c>
      <c r="AQ121" s="323">
        <v>10922.03</v>
      </c>
      <c r="AR121" s="323">
        <v>9362.69</v>
      </c>
      <c r="AS121" s="323">
        <v>47826.65</v>
      </c>
      <c r="AT121" s="323"/>
      <c r="AU121" s="323">
        <v>20995.78</v>
      </c>
      <c r="AV121" s="323">
        <v>28171.93</v>
      </c>
      <c r="AW121" s="323">
        <v>15760.74</v>
      </c>
      <c r="AX121" s="323">
        <v>26900.82</v>
      </c>
      <c r="AY121" s="323">
        <v>29257.74</v>
      </c>
      <c r="AZ121" s="323">
        <v>2301.91</v>
      </c>
      <c r="BA121" s="323">
        <v>12368.86</v>
      </c>
      <c r="BB121" s="323">
        <v>12926.83</v>
      </c>
      <c r="BC121" s="323">
        <v>24005.43</v>
      </c>
      <c r="BD121" s="323">
        <v>26747.8</v>
      </c>
      <c r="BE121" s="323">
        <v>7776.37</v>
      </c>
      <c r="BF121" s="323">
        <v>18203.28</v>
      </c>
      <c r="BG121" s="323">
        <v>8855.68</v>
      </c>
      <c r="BH121" s="323">
        <v>5712.45</v>
      </c>
      <c r="BI121" s="323">
        <v>26708.58</v>
      </c>
      <c r="BJ121" s="323">
        <v>22917.38</v>
      </c>
      <c r="BK121" s="323">
        <v>4996</v>
      </c>
      <c r="BL121" s="323">
        <v>4092.46</v>
      </c>
      <c r="BM121" s="323">
        <v>15546.89</v>
      </c>
      <c r="BN121" s="323">
        <v>40715.89</v>
      </c>
      <c r="BO121" s="323">
        <v>5897.54</v>
      </c>
      <c r="BP121" s="323">
        <v>25000.47</v>
      </c>
      <c r="BQ121" s="323">
        <v>12260.7</v>
      </c>
      <c r="BR121" s="323">
        <v>11941.64</v>
      </c>
      <c r="BS121" s="323">
        <v>6992.51</v>
      </c>
      <c r="BT121" s="323">
        <v>65348.07</v>
      </c>
      <c r="BU121" s="323">
        <v>10687.19</v>
      </c>
      <c r="BV121" s="323">
        <v>14323.86</v>
      </c>
      <c r="BW121" s="323">
        <v>6983.96</v>
      </c>
      <c r="BX121" s="323">
        <v>8787.24</v>
      </c>
      <c r="BY121" s="323">
        <v>7057.98</v>
      </c>
      <c r="BZ121" s="323">
        <v>20871.22</v>
      </c>
      <c r="CA121" s="323">
        <v>5894.01</v>
      </c>
      <c r="CB121" s="323">
        <v>27864.33</v>
      </c>
      <c r="CC121" s="323">
        <v>24341.94</v>
      </c>
      <c r="CD121" s="323">
        <v>20088.61</v>
      </c>
      <c r="CE121" s="323">
        <v>31057.48</v>
      </c>
      <c r="CF121" s="323">
        <v>3508.14</v>
      </c>
      <c r="CG121" s="323">
        <v>44318.51</v>
      </c>
      <c r="CH121" s="323">
        <v>29330.19</v>
      </c>
      <c r="CI121" s="323">
        <v>9362.69</v>
      </c>
      <c r="CJ121" s="323">
        <v>29782.37</v>
      </c>
      <c r="CK121" s="323">
        <v>10922.03</v>
      </c>
      <c r="CL121" s="323">
        <v>813936.7</v>
      </c>
    </row>
    <row r="122" spans="1:90" s="69" customFormat="1" ht="11.25">
      <c r="B122" s="328" t="s">
        <v>197</v>
      </c>
      <c r="C122" s="322">
        <v>2010</v>
      </c>
      <c r="D122" s="69" t="s">
        <v>13</v>
      </c>
      <c r="E122" s="332">
        <v>40441</v>
      </c>
      <c r="F122" s="323">
        <v>4143</v>
      </c>
      <c r="G122" s="323">
        <v>308</v>
      </c>
      <c r="H122" s="323">
        <v>509</v>
      </c>
      <c r="I122" s="323">
        <v>1271</v>
      </c>
      <c r="J122" s="323"/>
      <c r="K122" s="323">
        <v>398</v>
      </c>
      <c r="L122" s="323">
        <v>596</v>
      </c>
      <c r="M122" s="323">
        <v>282</v>
      </c>
      <c r="N122" s="323">
        <v>246</v>
      </c>
      <c r="O122" s="323">
        <v>239</v>
      </c>
      <c r="P122" s="323">
        <v>184</v>
      </c>
      <c r="Q122" s="323">
        <v>396</v>
      </c>
      <c r="R122" s="323">
        <v>538</v>
      </c>
      <c r="S122" s="323">
        <v>404</v>
      </c>
      <c r="T122" s="323">
        <v>132</v>
      </c>
      <c r="U122" s="323">
        <v>732</v>
      </c>
      <c r="V122" s="323">
        <v>40</v>
      </c>
      <c r="W122" s="323">
        <v>16</v>
      </c>
      <c r="X122" s="323">
        <v>155</v>
      </c>
      <c r="Y122" s="323">
        <v>61</v>
      </c>
      <c r="Z122" s="323">
        <v>23</v>
      </c>
      <c r="AA122" s="323">
        <v>16</v>
      </c>
      <c r="AB122" s="323" t="s">
        <v>58</v>
      </c>
      <c r="AC122" s="323">
        <v>48</v>
      </c>
      <c r="AD122" s="323">
        <v>21</v>
      </c>
      <c r="AE122" s="323">
        <v>55</v>
      </c>
      <c r="AF122" s="323">
        <v>38</v>
      </c>
      <c r="AG122" s="323">
        <v>98</v>
      </c>
      <c r="AH122" s="323">
        <v>68</v>
      </c>
      <c r="AI122" s="323">
        <v>21</v>
      </c>
      <c r="AJ122" s="323">
        <v>81</v>
      </c>
      <c r="AK122" s="323">
        <v>79</v>
      </c>
      <c r="AL122" s="323">
        <v>29</v>
      </c>
      <c r="AM122" s="323">
        <v>7</v>
      </c>
      <c r="AN122" s="323">
        <v>493</v>
      </c>
      <c r="AO122" s="323">
        <v>203</v>
      </c>
      <c r="AP122" s="323">
        <v>17</v>
      </c>
      <c r="AQ122" s="323">
        <v>124</v>
      </c>
      <c r="AR122" s="323">
        <v>28</v>
      </c>
      <c r="AS122" s="323">
        <v>371</v>
      </c>
      <c r="AT122" s="323"/>
      <c r="AU122" s="323">
        <v>396</v>
      </c>
      <c r="AV122" s="323">
        <v>404</v>
      </c>
      <c r="AW122" s="323">
        <v>246</v>
      </c>
      <c r="AX122" s="323">
        <v>526</v>
      </c>
      <c r="AY122" s="323">
        <v>596</v>
      </c>
      <c r="AZ122" s="323">
        <v>8</v>
      </c>
      <c r="BA122" s="323">
        <v>176</v>
      </c>
      <c r="BB122" s="323">
        <v>132</v>
      </c>
      <c r="BC122" s="323">
        <v>732</v>
      </c>
      <c r="BD122" s="323">
        <v>282</v>
      </c>
      <c r="BE122" s="323">
        <v>239</v>
      </c>
      <c r="BF122" s="323">
        <v>398</v>
      </c>
      <c r="BG122" s="323">
        <v>9</v>
      </c>
      <c r="BH122" s="323">
        <v>3</v>
      </c>
      <c r="BI122" s="323">
        <v>152</v>
      </c>
      <c r="BJ122" s="323">
        <v>31</v>
      </c>
      <c r="BK122" s="323">
        <v>9</v>
      </c>
      <c r="BL122" s="323">
        <v>2</v>
      </c>
      <c r="BM122" s="323">
        <v>23</v>
      </c>
      <c r="BN122" s="323">
        <v>50</v>
      </c>
      <c r="BO122" s="323">
        <v>1</v>
      </c>
      <c r="BP122" s="323" t="s">
        <v>58</v>
      </c>
      <c r="BQ122" s="323">
        <v>15</v>
      </c>
      <c r="BR122" s="323">
        <v>16</v>
      </c>
      <c r="BS122" s="323">
        <v>7</v>
      </c>
      <c r="BT122" s="323">
        <v>48</v>
      </c>
      <c r="BU122" s="323">
        <v>21</v>
      </c>
      <c r="BV122" s="323">
        <v>98</v>
      </c>
      <c r="BW122" s="323">
        <v>21</v>
      </c>
      <c r="BX122" s="323">
        <v>48</v>
      </c>
      <c r="BY122" s="323">
        <v>81</v>
      </c>
      <c r="BZ122" s="323">
        <v>68</v>
      </c>
      <c r="CA122" s="323">
        <v>38</v>
      </c>
      <c r="CB122" s="323">
        <v>79</v>
      </c>
      <c r="CC122" s="323">
        <v>203</v>
      </c>
      <c r="CD122" s="323">
        <v>17</v>
      </c>
      <c r="CE122" s="323">
        <v>29</v>
      </c>
      <c r="CF122" s="323">
        <v>9</v>
      </c>
      <c r="CG122" s="323">
        <v>362</v>
      </c>
      <c r="CH122" s="323">
        <v>7</v>
      </c>
      <c r="CI122" s="323">
        <v>28</v>
      </c>
      <c r="CJ122" s="323">
        <v>493</v>
      </c>
      <c r="CK122" s="323">
        <v>124</v>
      </c>
      <c r="CL122" s="323">
        <v>6231</v>
      </c>
    </row>
    <row r="123" spans="1:90" s="69" customFormat="1" ht="11.25">
      <c r="B123" s="328"/>
      <c r="C123" s="322"/>
      <c r="D123" s="69" t="s">
        <v>1</v>
      </c>
      <c r="F123" s="323">
        <v>4170.09</v>
      </c>
      <c r="G123" s="323">
        <v>541.74</v>
      </c>
      <c r="H123" s="323">
        <v>587.17999999999995</v>
      </c>
      <c r="I123" s="323">
        <v>1151.67</v>
      </c>
      <c r="J123" s="323"/>
      <c r="K123" s="323">
        <v>359.48</v>
      </c>
      <c r="L123" s="323">
        <v>528.95000000000005</v>
      </c>
      <c r="M123" s="323">
        <v>290.68</v>
      </c>
      <c r="N123" s="323">
        <v>310.51</v>
      </c>
      <c r="O123" s="323">
        <v>119.56</v>
      </c>
      <c r="P123" s="323">
        <v>180.21</v>
      </c>
      <c r="Q123" s="323">
        <v>604.95000000000005</v>
      </c>
      <c r="R123" s="323">
        <v>582.64</v>
      </c>
      <c r="S123" s="323">
        <v>556.91</v>
      </c>
      <c r="T123" s="323">
        <v>74.989999999999995</v>
      </c>
      <c r="U123" s="323">
        <v>561.22</v>
      </c>
      <c r="V123" s="323">
        <v>79.45</v>
      </c>
      <c r="W123" s="323">
        <v>39.14</v>
      </c>
      <c r="X123" s="323">
        <v>280.74</v>
      </c>
      <c r="Y123" s="323">
        <v>77.97</v>
      </c>
      <c r="Z123" s="323">
        <v>54.51</v>
      </c>
      <c r="AA123" s="323">
        <v>9.93</v>
      </c>
      <c r="AB123" s="323" t="s">
        <v>58</v>
      </c>
      <c r="AC123" s="323">
        <v>65.58</v>
      </c>
      <c r="AD123" s="323">
        <v>29.81</v>
      </c>
      <c r="AE123" s="323">
        <v>68.790000000000006</v>
      </c>
      <c r="AF123" s="323">
        <v>36.619999999999997</v>
      </c>
      <c r="AG123" s="323">
        <v>45.79</v>
      </c>
      <c r="AH123" s="323">
        <v>151.69</v>
      </c>
      <c r="AI123" s="323">
        <v>42.2</v>
      </c>
      <c r="AJ123" s="323">
        <v>77.03</v>
      </c>
      <c r="AK123" s="323">
        <v>69.67</v>
      </c>
      <c r="AL123" s="323">
        <v>65.63</v>
      </c>
      <c r="AM123" s="323">
        <v>10.07</v>
      </c>
      <c r="AN123" s="323">
        <v>440.02</v>
      </c>
      <c r="AO123" s="323">
        <v>198.6</v>
      </c>
      <c r="AP123" s="323">
        <v>28.92</v>
      </c>
      <c r="AQ123" s="323">
        <v>42.68</v>
      </c>
      <c r="AR123" s="323">
        <v>40.46</v>
      </c>
      <c r="AS123" s="323">
        <v>325.3</v>
      </c>
      <c r="AT123" s="323"/>
      <c r="AU123" s="323">
        <v>604.95000000000005</v>
      </c>
      <c r="AV123" s="323">
        <v>556.91</v>
      </c>
      <c r="AW123" s="323">
        <v>310.51</v>
      </c>
      <c r="AX123" s="323">
        <v>578.1</v>
      </c>
      <c r="AY123" s="323">
        <v>528.95000000000005</v>
      </c>
      <c r="AZ123" s="323">
        <v>11.52</v>
      </c>
      <c r="BA123" s="323">
        <v>168.69</v>
      </c>
      <c r="BB123" s="323">
        <v>74.989999999999995</v>
      </c>
      <c r="BC123" s="323">
        <v>561.22</v>
      </c>
      <c r="BD123" s="323">
        <v>290.68</v>
      </c>
      <c r="BE123" s="323">
        <v>119.56</v>
      </c>
      <c r="BF123" s="323">
        <v>359.48</v>
      </c>
      <c r="BG123" s="323">
        <v>19.5</v>
      </c>
      <c r="BH123" s="323">
        <v>3.6</v>
      </c>
      <c r="BI123" s="323">
        <v>277.14</v>
      </c>
      <c r="BJ123" s="323">
        <v>59.95</v>
      </c>
      <c r="BK123" s="323">
        <v>16.16</v>
      </c>
      <c r="BL123" s="323">
        <v>1.1599999999999999</v>
      </c>
      <c r="BM123" s="323">
        <v>54.51</v>
      </c>
      <c r="BN123" s="323">
        <v>60.65</v>
      </c>
      <c r="BO123" s="323">
        <v>3.9</v>
      </c>
      <c r="BP123" s="323" t="s">
        <v>58</v>
      </c>
      <c r="BQ123" s="323">
        <v>6.03</v>
      </c>
      <c r="BR123" s="323">
        <v>39.14</v>
      </c>
      <c r="BS123" s="323">
        <v>6.83</v>
      </c>
      <c r="BT123" s="323">
        <v>61.96</v>
      </c>
      <c r="BU123" s="323">
        <v>29.81</v>
      </c>
      <c r="BV123" s="323">
        <v>45.79</v>
      </c>
      <c r="BW123" s="323">
        <v>42.2</v>
      </c>
      <c r="BX123" s="323">
        <v>65.58</v>
      </c>
      <c r="BY123" s="323">
        <v>77.03</v>
      </c>
      <c r="BZ123" s="323">
        <v>151.69</v>
      </c>
      <c r="CA123" s="323">
        <v>36.619999999999997</v>
      </c>
      <c r="CB123" s="323">
        <v>69.67</v>
      </c>
      <c r="CC123" s="323">
        <v>198.6</v>
      </c>
      <c r="CD123" s="323">
        <v>28.92</v>
      </c>
      <c r="CE123" s="323">
        <v>65.63</v>
      </c>
      <c r="CF123" s="323">
        <v>19.27</v>
      </c>
      <c r="CG123" s="323">
        <v>306.02999999999997</v>
      </c>
      <c r="CH123" s="323">
        <v>10.07</v>
      </c>
      <c r="CI123" s="323">
        <v>40.46</v>
      </c>
      <c r="CJ123" s="323">
        <v>440.02</v>
      </c>
      <c r="CK123" s="323">
        <v>42.68</v>
      </c>
      <c r="CL123" s="323">
        <v>6476.71</v>
      </c>
    </row>
    <row r="124" spans="1:90" s="69" customFormat="1" ht="11.25">
      <c r="B124" s="328" t="s">
        <v>235</v>
      </c>
      <c r="C124" s="322">
        <v>2008</v>
      </c>
      <c r="D124" s="69" t="s">
        <v>13</v>
      </c>
      <c r="E124" s="332">
        <v>40648</v>
      </c>
      <c r="F124" s="323">
        <v>3441</v>
      </c>
      <c r="G124" s="323">
        <v>770</v>
      </c>
      <c r="H124" s="323">
        <v>2919</v>
      </c>
      <c r="I124" s="323">
        <v>4653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v>13</v>
      </c>
      <c r="AU124" s="323">
        <v>89</v>
      </c>
      <c r="AV124" s="323">
        <v>98</v>
      </c>
      <c r="AW124" s="323">
        <v>323</v>
      </c>
      <c r="AX124" s="323">
        <v>158</v>
      </c>
      <c r="AY124" s="323">
        <v>281</v>
      </c>
      <c r="AZ124" s="323">
        <v>5</v>
      </c>
      <c r="BA124" s="323">
        <v>143</v>
      </c>
      <c r="BB124" s="323">
        <v>247</v>
      </c>
      <c r="BC124" s="323">
        <v>760</v>
      </c>
      <c r="BD124" s="323">
        <v>289</v>
      </c>
      <c r="BE124" s="323">
        <v>225</v>
      </c>
      <c r="BF124" s="323">
        <v>810</v>
      </c>
      <c r="BG124" s="323">
        <v>1</v>
      </c>
      <c r="BH124" s="323">
        <v>3</v>
      </c>
      <c r="BI124" s="323">
        <v>37</v>
      </c>
      <c r="BJ124" s="323">
        <v>26</v>
      </c>
      <c r="BK124" s="323">
        <v>7</v>
      </c>
      <c r="BL124" s="323">
        <v>2</v>
      </c>
      <c r="BM124" s="323">
        <v>235</v>
      </c>
      <c r="BN124" s="323">
        <v>102</v>
      </c>
      <c r="BO124" s="323">
        <v>1</v>
      </c>
      <c r="BP124" s="323">
        <v>136</v>
      </c>
      <c r="BQ124" s="323">
        <v>76</v>
      </c>
      <c r="BR124" s="323">
        <v>144</v>
      </c>
      <c r="BS124" s="323">
        <v>4</v>
      </c>
      <c r="BT124" s="323">
        <v>495</v>
      </c>
      <c r="BU124" s="323">
        <v>193</v>
      </c>
      <c r="BV124" s="323">
        <v>515</v>
      </c>
      <c r="BW124" s="323">
        <v>228</v>
      </c>
      <c r="BX124" s="323">
        <v>482</v>
      </c>
      <c r="BY124" s="323">
        <v>140</v>
      </c>
      <c r="BZ124" s="323">
        <v>263</v>
      </c>
      <c r="CA124" s="323">
        <v>208</v>
      </c>
      <c r="CB124" s="323">
        <v>391</v>
      </c>
      <c r="CC124" s="323">
        <v>279</v>
      </c>
      <c r="CD124" s="323">
        <v>43</v>
      </c>
      <c r="CE124" s="323">
        <v>85</v>
      </c>
      <c r="CF124" s="323">
        <v>23</v>
      </c>
      <c r="CG124" s="323">
        <v>607</v>
      </c>
      <c r="CH124" s="323">
        <v>985</v>
      </c>
      <c r="CI124" s="323">
        <v>377</v>
      </c>
      <c r="CJ124" s="323">
        <v>1809</v>
      </c>
      <c r="CK124" s="323">
        <v>445</v>
      </c>
      <c r="CL124" s="323">
        <v>11783</v>
      </c>
    </row>
    <row r="125" spans="1:90" s="69" customFormat="1" ht="11.25">
      <c r="B125" s="328" t="s">
        <v>236</v>
      </c>
      <c r="C125" s="322">
        <v>2010</v>
      </c>
      <c r="D125" s="69" t="s">
        <v>13</v>
      </c>
      <c r="E125" s="332">
        <v>40652</v>
      </c>
      <c r="F125" s="323">
        <v>3007</v>
      </c>
      <c r="G125" s="323">
        <v>672</v>
      </c>
      <c r="H125" s="323">
        <v>1964</v>
      </c>
      <c r="I125" s="323">
        <v>2366</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85</v>
      </c>
      <c r="AV125" s="323">
        <v>62</v>
      </c>
      <c r="AW125" s="323">
        <v>122</v>
      </c>
      <c r="AX125" s="323">
        <v>133</v>
      </c>
      <c r="AY125" s="323">
        <v>134</v>
      </c>
      <c r="AZ125" s="323" t="s">
        <v>233</v>
      </c>
      <c r="BA125" s="323">
        <v>133</v>
      </c>
      <c r="BB125" s="323">
        <v>359</v>
      </c>
      <c r="BC125" s="323">
        <v>917</v>
      </c>
      <c r="BD125" s="323">
        <v>430</v>
      </c>
      <c r="BE125" s="323">
        <v>169</v>
      </c>
      <c r="BF125" s="323">
        <v>459</v>
      </c>
      <c r="BG125" s="323" t="s">
        <v>233</v>
      </c>
      <c r="BH125" s="323">
        <v>8</v>
      </c>
      <c r="BI125" s="323">
        <v>56</v>
      </c>
      <c r="BJ125" s="323">
        <v>43</v>
      </c>
      <c r="BK125" s="323">
        <v>9</v>
      </c>
      <c r="BL125" s="323" t="s">
        <v>233</v>
      </c>
      <c r="BM125" s="323">
        <v>182</v>
      </c>
      <c r="BN125" s="323">
        <v>110</v>
      </c>
      <c r="BO125" s="323">
        <v>3</v>
      </c>
      <c r="BP125" s="323">
        <v>91</v>
      </c>
      <c r="BQ125" s="323">
        <v>58</v>
      </c>
      <c r="BR125" s="323">
        <v>106</v>
      </c>
      <c r="BS125" s="323">
        <v>13</v>
      </c>
      <c r="BT125" s="323">
        <v>280</v>
      </c>
      <c r="BU125" s="323">
        <v>180</v>
      </c>
      <c r="BV125" s="323">
        <v>497</v>
      </c>
      <c r="BW125" s="323">
        <v>223</v>
      </c>
      <c r="BX125" s="323">
        <v>247</v>
      </c>
      <c r="BY125" s="323">
        <v>95</v>
      </c>
      <c r="BZ125" s="323">
        <v>119</v>
      </c>
      <c r="CA125" s="323">
        <v>96</v>
      </c>
      <c r="CB125" s="323">
        <v>214</v>
      </c>
      <c r="CC125" s="323">
        <v>220</v>
      </c>
      <c r="CD125" s="323">
        <v>65</v>
      </c>
      <c r="CE125" s="323">
        <v>83</v>
      </c>
      <c r="CF125" s="323">
        <v>30</v>
      </c>
      <c r="CG125" s="323">
        <v>731</v>
      </c>
      <c r="CH125" s="323">
        <v>500</v>
      </c>
      <c r="CI125" s="323">
        <v>119</v>
      </c>
      <c r="CJ125" s="323">
        <v>237</v>
      </c>
      <c r="CK125" s="323">
        <v>381</v>
      </c>
      <c r="CL125" s="323">
        <v>8009</v>
      </c>
    </row>
    <row r="126" spans="1:90" s="69" customFormat="1" ht="11.25">
      <c r="B126" s="328" t="s">
        <v>237</v>
      </c>
      <c r="C126" s="322">
        <v>2010</v>
      </c>
      <c r="D126" s="69" t="s">
        <v>13</v>
      </c>
      <c r="E126" s="332">
        <v>40652</v>
      </c>
      <c r="F126" s="323">
        <v>523578</v>
      </c>
      <c r="G126" s="323">
        <v>68098</v>
      </c>
      <c r="H126" s="323">
        <v>94291</v>
      </c>
      <c r="I126" s="323">
        <v>399368</v>
      </c>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v>12206</v>
      </c>
      <c r="AV126" s="323">
        <v>4039</v>
      </c>
      <c r="AW126" s="323">
        <v>15543</v>
      </c>
      <c r="AX126" s="323">
        <v>28660</v>
      </c>
      <c r="AY126" s="323">
        <v>9818</v>
      </c>
      <c r="AZ126" s="323" t="s">
        <v>233</v>
      </c>
      <c r="BA126" s="323">
        <v>23545</v>
      </c>
      <c r="BB126" s="323">
        <v>77858</v>
      </c>
      <c r="BC126" s="323">
        <v>208234</v>
      </c>
      <c r="BD126" s="323">
        <v>59852</v>
      </c>
      <c r="BE126" s="323">
        <v>31522</v>
      </c>
      <c r="BF126" s="323">
        <v>51804</v>
      </c>
      <c r="BG126" s="323" t="s">
        <v>233</v>
      </c>
      <c r="BH126" s="323">
        <v>793</v>
      </c>
      <c r="BI126" s="323">
        <v>5110</v>
      </c>
      <c r="BJ126" s="323">
        <v>3874</v>
      </c>
      <c r="BK126" s="323">
        <v>567</v>
      </c>
      <c r="BL126" s="323">
        <v>64</v>
      </c>
      <c r="BM126" s="323">
        <v>26778</v>
      </c>
      <c r="BN126" s="323">
        <v>14479</v>
      </c>
      <c r="BO126" s="323" t="s">
        <v>233</v>
      </c>
      <c r="BP126" s="323">
        <v>4065</v>
      </c>
      <c r="BQ126" s="323">
        <v>4983</v>
      </c>
      <c r="BR126" s="323">
        <v>7368</v>
      </c>
      <c r="BS126" s="323">
        <v>223</v>
      </c>
      <c r="BT126" s="323">
        <v>6205</v>
      </c>
      <c r="BU126" s="323">
        <v>4070</v>
      </c>
      <c r="BV126" s="323">
        <v>15514</v>
      </c>
      <c r="BW126" s="323">
        <v>26001</v>
      </c>
      <c r="BX126" s="323">
        <v>13716</v>
      </c>
      <c r="BY126" s="323">
        <v>6568</v>
      </c>
      <c r="BZ126" s="323">
        <v>12062</v>
      </c>
      <c r="CA126" s="323">
        <v>2689</v>
      </c>
      <c r="CB126" s="323">
        <v>7243</v>
      </c>
      <c r="CC126" s="323">
        <v>15086</v>
      </c>
      <c r="CD126" s="323">
        <v>10014</v>
      </c>
      <c r="CE126" s="323">
        <v>6150</v>
      </c>
      <c r="CF126" s="323">
        <v>12842</v>
      </c>
      <c r="CG126" s="323">
        <v>157728</v>
      </c>
      <c r="CH126" s="323">
        <v>98860</v>
      </c>
      <c r="CI126" s="323">
        <v>13491</v>
      </c>
      <c r="CJ126" s="323">
        <v>27942</v>
      </c>
      <c r="CK126" s="323">
        <v>57255</v>
      </c>
      <c r="CL126" s="323">
        <v>1085335</v>
      </c>
    </row>
    <row r="128" spans="1:90">
      <c r="B128" s="58" t="s">
        <v>234</v>
      </c>
      <c r="D128" t="s">
        <v>7</v>
      </c>
      <c r="E128" s="68">
        <v>40697</v>
      </c>
      <c r="F128" s="126">
        <v>16901</v>
      </c>
      <c r="G128" s="126">
        <v>7758</v>
      </c>
      <c r="H128" s="126">
        <v>24440</v>
      </c>
      <c r="I128" s="126">
        <v>14549</v>
      </c>
      <c r="K128" s="126">
        <v>4562</v>
      </c>
      <c r="L128" s="126">
        <v>1556</v>
      </c>
      <c r="M128" s="126">
        <v>723</v>
      </c>
      <c r="N128" s="126">
        <v>1946</v>
      </c>
      <c r="O128" s="126">
        <v>817</v>
      </c>
      <c r="P128" s="126">
        <v>683</v>
      </c>
      <c r="Q128" s="126">
        <v>638</v>
      </c>
      <c r="R128" s="126">
        <v>328</v>
      </c>
      <c r="S128" s="126">
        <v>939</v>
      </c>
      <c r="T128" s="126">
        <v>1209</v>
      </c>
      <c r="U128" s="126">
        <v>3435</v>
      </c>
      <c r="V128" s="126">
        <v>760</v>
      </c>
      <c r="W128" s="126">
        <v>1223</v>
      </c>
      <c r="X128" s="126">
        <v>843</v>
      </c>
      <c r="Y128" s="126">
        <v>1106</v>
      </c>
      <c r="Z128" s="126">
        <v>1348</v>
      </c>
      <c r="AA128" s="126">
        <v>1000</v>
      </c>
      <c r="AB128" s="126">
        <v>1313</v>
      </c>
      <c r="AC128" s="126">
        <v>2311</v>
      </c>
      <c r="AD128" s="126">
        <v>2380</v>
      </c>
      <c r="AE128" s="126">
        <v>3524</v>
      </c>
      <c r="AF128" s="126">
        <v>3016</v>
      </c>
      <c r="AG128" s="126">
        <v>4347</v>
      </c>
      <c r="AH128" s="126">
        <v>1335</v>
      </c>
      <c r="AI128" s="126">
        <v>2124</v>
      </c>
      <c r="AJ128" s="126">
        <v>1475</v>
      </c>
      <c r="AK128" s="126">
        <v>3928</v>
      </c>
      <c r="AL128" s="126">
        <v>1901</v>
      </c>
      <c r="AM128" s="126">
        <v>2526</v>
      </c>
      <c r="AN128" s="126">
        <v>2729</v>
      </c>
      <c r="AO128" s="126">
        <v>1418</v>
      </c>
      <c r="AP128" s="126">
        <v>645</v>
      </c>
      <c r="AQ128" s="126">
        <v>2185</v>
      </c>
      <c r="AR128" s="126">
        <v>1007</v>
      </c>
      <c r="AS128" s="126">
        <v>2042</v>
      </c>
      <c r="AT128" s="126">
        <v>47</v>
      </c>
      <c r="AU128" s="126">
        <v>638</v>
      </c>
      <c r="AV128" s="126">
        <v>939</v>
      </c>
      <c r="AW128" s="126">
        <v>1946</v>
      </c>
      <c r="AX128" s="126">
        <v>328</v>
      </c>
      <c r="AY128" s="126">
        <v>1556</v>
      </c>
      <c r="AZ128" s="126">
        <v>18</v>
      </c>
      <c r="BA128" s="126">
        <v>683</v>
      </c>
      <c r="BB128" s="126">
        <v>1209</v>
      </c>
      <c r="BC128" s="126">
        <v>3435</v>
      </c>
      <c r="BD128" s="126">
        <v>723</v>
      </c>
      <c r="BE128" s="126">
        <v>817</v>
      </c>
      <c r="BF128" s="126">
        <v>4562</v>
      </c>
      <c r="BG128" s="126">
        <v>84</v>
      </c>
      <c r="BH128" s="126">
        <v>30</v>
      </c>
      <c r="BI128" s="126">
        <v>843</v>
      </c>
      <c r="BJ128" s="126">
        <v>676</v>
      </c>
      <c r="BK128" s="126">
        <v>106</v>
      </c>
      <c r="BL128" s="126">
        <v>27</v>
      </c>
      <c r="BM128" s="126">
        <v>1348</v>
      </c>
      <c r="BN128" s="126">
        <v>1079</v>
      </c>
      <c r="BO128" s="126">
        <v>29</v>
      </c>
      <c r="BP128" s="126">
        <v>1313</v>
      </c>
      <c r="BQ128" s="126">
        <v>1000</v>
      </c>
      <c r="BR128" s="126">
        <v>1223</v>
      </c>
      <c r="BS128" s="126">
        <v>117</v>
      </c>
      <c r="BT128" s="126">
        <v>3407</v>
      </c>
      <c r="BU128" s="126">
        <v>2380</v>
      </c>
      <c r="BV128" s="126">
        <v>4347</v>
      </c>
      <c r="BW128" s="126">
        <v>2124</v>
      </c>
      <c r="BX128" s="126">
        <v>2311</v>
      </c>
      <c r="BY128" s="126">
        <v>1475</v>
      </c>
      <c r="BZ128" s="126">
        <v>1335</v>
      </c>
      <c r="CA128" s="126">
        <v>3016</v>
      </c>
      <c r="CB128" s="126">
        <v>3928</v>
      </c>
      <c r="CC128" s="126">
        <v>1418</v>
      </c>
      <c r="CD128" s="126">
        <v>645</v>
      </c>
      <c r="CE128" s="126">
        <v>1901</v>
      </c>
      <c r="CF128" s="126">
        <v>9</v>
      </c>
      <c r="CG128" s="126">
        <v>2042</v>
      </c>
      <c r="CH128" s="126">
        <v>2526</v>
      </c>
      <c r="CI128" s="126">
        <v>1007</v>
      </c>
      <c r="CJ128" s="126">
        <v>2729</v>
      </c>
      <c r="CK128" s="126">
        <v>2185</v>
      </c>
      <c r="CL128" s="126">
        <v>63648</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9" min="1" max="8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CL128"/>
  <sheetViews>
    <sheetView zoomScaleNormal="100" workbookViewId="0">
      <pane xSplit="5" ySplit="4" topLeftCell="R29"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68" customWidth="1"/>
    <col min="6" max="89" width="11.42578125" style="126" customWidth="1"/>
    <col min="90" max="90" width="17.85546875" style="126" bestFit="1" customWidth="1"/>
  </cols>
  <sheetData>
    <row r="1" spans="1:90" ht="13.5" thickBot="1">
      <c r="B1" s="70" t="s">
        <v>187</v>
      </c>
      <c r="E1" s="69"/>
    </row>
    <row r="2" spans="1:90">
      <c r="B2" s="81"/>
      <c r="C2" s="199"/>
      <c r="D2" s="83"/>
      <c r="E2" s="283"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0">
      <c r="B3" s="84" t="s">
        <v>91</v>
      </c>
      <c r="C3" s="200"/>
      <c r="D3" s="87"/>
      <c r="E3" s="86"/>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0">
      <c r="B4" s="84"/>
      <c r="C4" s="200"/>
      <c r="D4" s="87"/>
      <c r="E4" s="86"/>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0">
      <c r="A5" s="80">
        <f>ROWS($A$3:A3)</f>
        <v>1</v>
      </c>
      <c r="B5" s="102"/>
      <c r="C5" s="103"/>
      <c r="D5" s="267"/>
      <c r="E5" s="267"/>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0">
      <c r="A6" s="80">
        <f>ROWS($A$3:A4)</f>
        <v>2</v>
      </c>
      <c r="B6" s="59" t="s">
        <v>97</v>
      </c>
      <c r="C6" s="201"/>
      <c r="D6" s="268"/>
      <c r="E6" s="269"/>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0">
      <c r="A7" s="80">
        <f>ROWS($A$3:A5)</f>
        <v>3</v>
      </c>
      <c r="B7" s="92" t="s">
        <v>60</v>
      </c>
      <c r="C7" s="202">
        <v>2007</v>
      </c>
      <c r="D7" s="254" t="s">
        <v>1</v>
      </c>
      <c r="E7" s="269"/>
      <c r="F7" s="116">
        <v>1055767</v>
      </c>
      <c r="G7" s="137">
        <v>691907</v>
      </c>
      <c r="H7" s="137">
        <v>935701</v>
      </c>
      <c r="I7" s="138">
        <v>891765</v>
      </c>
      <c r="J7" s="137"/>
      <c r="K7" s="116">
        <f t="shared" ref="K7:K20" si="0">BF7</f>
        <v>151158</v>
      </c>
      <c r="L7" s="137">
        <f t="shared" ref="L7:L20" si="1">AY7</f>
        <v>85814</v>
      </c>
      <c r="M7" s="137">
        <f t="shared" ref="M7:M20" si="2">BD7</f>
        <v>130441</v>
      </c>
      <c r="N7" s="137">
        <f t="shared" ref="N7:N20" si="3">AW7</f>
        <v>64236</v>
      </c>
      <c r="O7" s="137">
        <f t="shared" ref="O7:O20" si="4">BE7</f>
        <v>62712</v>
      </c>
      <c r="P7" s="137">
        <f>'2007'!AZ7+'2007'!BA7</f>
        <v>119982</v>
      </c>
      <c r="Q7" s="137">
        <f>'2007'!AU7</f>
        <v>61785</v>
      </c>
      <c r="R7" s="137">
        <f t="shared" ref="R7:R13" si="5">AT7+AX7</f>
        <v>89417</v>
      </c>
      <c r="S7" s="137">
        <f t="shared" ref="S7:S20" si="6">AV7</f>
        <v>64148</v>
      </c>
      <c r="T7" s="137">
        <f t="shared" ref="T7:T20" si="7">BB7</f>
        <v>77675</v>
      </c>
      <c r="U7" s="139">
        <f t="shared" ref="U7:U20" si="8">BC7</f>
        <v>148400</v>
      </c>
      <c r="V7" s="137">
        <f t="shared" ref="V7:V13" si="9">BG7+BJ7</f>
        <v>87893</v>
      </c>
      <c r="W7" s="137">
        <f t="shared" ref="W7:W20" si="10">BR7</f>
        <v>87068</v>
      </c>
      <c r="X7" s="137">
        <f t="shared" ref="X7:X13" si="11">BH7+BI7</f>
        <v>125846</v>
      </c>
      <c r="Y7" s="137">
        <f t="shared" ref="Y7:Y13" si="12">BK7+BL7+BN7</f>
        <v>131551</v>
      </c>
      <c r="Z7" s="137">
        <f t="shared" ref="Z7:Z20" si="13">BM7</f>
        <v>112627</v>
      </c>
      <c r="AA7" s="137">
        <f t="shared" ref="AA7:AA13" si="14">BO7+BQ7</f>
        <v>67170</v>
      </c>
      <c r="AB7" s="139">
        <f t="shared" ref="AB7:AB20" si="15">BP7</f>
        <v>79751</v>
      </c>
      <c r="AC7" s="137">
        <f t="shared" ref="AC7:AC20" si="16">BX7</f>
        <v>102524</v>
      </c>
      <c r="AD7" s="137">
        <f t="shared" ref="AD7:AD20" si="17">BU7</f>
        <v>67988</v>
      </c>
      <c r="AE7" s="137">
        <f t="shared" ref="AE7:AE13" si="18">BS7+BT7</f>
        <v>153138</v>
      </c>
      <c r="AF7" s="137">
        <f t="shared" ref="AF7:AF20" si="19">CA7</f>
        <v>80677</v>
      </c>
      <c r="AG7" s="137">
        <f t="shared" ref="AG7:AG20" si="20">BV7</f>
        <v>186080</v>
      </c>
      <c r="AH7" s="137">
        <f t="shared" ref="AH7:AH20" si="21">BZ7</f>
        <v>81800</v>
      </c>
      <c r="AI7" s="137">
        <f t="shared" ref="AI7:AI20" si="22">BW7</f>
        <v>76943</v>
      </c>
      <c r="AJ7" s="137">
        <f t="shared" ref="AJ7:AJ20" si="23">BY7</f>
        <v>73436</v>
      </c>
      <c r="AK7" s="139">
        <f t="shared" ref="AK7:AK20" si="24">CB7</f>
        <v>113115</v>
      </c>
      <c r="AL7" s="137">
        <f t="shared" ref="AL7:AL20" si="25">CE7</f>
        <v>91772</v>
      </c>
      <c r="AM7" s="137">
        <f t="shared" ref="AM7:AM20" si="26">CH7</f>
        <v>140975</v>
      </c>
      <c r="AN7" s="137">
        <f t="shared" ref="AN7:AN20" si="27">CJ7</f>
        <v>163181</v>
      </c>
      <c r="AO7" s="137">
        <f t="shared" ref="AO7:AO20" si="28">CC7</f>
        <v>109405</v>
      </c>
      <c r="AP7" s="137">
        <f t="shared" ref="AP7:AP20" si="29">CD7</f>
        <v>51918</v>
      </c>
      <c r="AQ7" s="137">
        <f t="shared" ref="AQ7:AQ20" si="30">CK7</f>
        <v>120436</v>
      </c>
      <c r="AR7" s="137">
        <f t="shared" ref="AR7:AR20" si="31">CI7</f>
        <v>66478</v>
      </c>
      <c r="AS7" s="144">
        <f t="shared" ref="AS7:AS13" si="32">CF7+CG7</f>
        <v>147601</v>
      </c>
      <c r="AT7" s="137">
        <v>20735</v>
      </c>
      <c r="AU7" s="137">
        <v>61785</v>
      </c>
      <c r="AV7" s="137">
        <v>64148</v>
      </c>
      <c r="AW7" s="141">
        <v>64236</v>
      </c>
      <c r="AX7" s="137">
        <v>68682</v>
      </c>
      <c r="AY7" s="137">
        <v>85814</v>
      </c>
      <c r="AZ7" s="137">
        <v>9988</v>
      </c>
      <c r="BA7" s="137">
        <v>109994</v>
      </c>
      <c r="BB7" s="137">
        <v>77675</v>
      </c>
      <c r="BC7" s="137">
        <v>148400</v>
      </c>
      <c r="BD7" s="137">
        <v>130441</v>
      </c>
      <c r="BE7" s="137">
        <v>62712</v>
      </c>
      <c r="BF7" s="139">
        <v>151158</v>
      </c>
      <c r="BG7" s="137">
        <v>14018</v>
      </c>
      <c r="BH7" s="137">
        <v>17346</v>
      </c>
      <c r="BI7" s="137">
        <v>108500</v>
      </c>
      <c r="BJ7" s="137">
        <v>73875</v>
      </c>
      <c r="BK7" s="137">
        <v>10883</v>
      </c>
      <c r="BL7" s="137">
        <v>14496</v>
      </c>
      <c r="BM7" s="137">
        <v>112627</v>
      </c>
      <c r="BN7" s="137">
        <v>106172</v>
      </c>
      <c r="BO7" s="137">
        <v>9802</v>
      </c>
      <c r="BP7" s="137">
        <v>79751</v>
      </c>
      <c r="BQ7" s="137">
        <v>57368</v>
      </c>
      <c r="BR7" s="139">
        <v>87068</v>
      </c>
      <c r="BS7" s="137">
        <v>15306</v>
      </c>
      <c r="BT7" s="137">
        <v>137832</v>
      </c>
      <c r="BU7" s="137">
        <v>67988</v>
      </c>
      <c r="BV7" s="137">
        <v>186080</v>
      </c>
      <c r="BW7" s="137">
        <v>76943</v>
      </c>
      <c r="BX7" s="137">
        <v>102524</v>
      </c>
      <c r="BY7" s="137">
        <v>73436</v>
      </c>
      <c r="BZ7" s="137">
        <v>81800</v>
      </c>
      <c r="CA7" s="137">
        <v>80677</v>
      </c>
      <c r="CB7" s="139">
        <v>113115</v>
      </c>
      <c r="CC7" s="137">
        <v>109405</v>
      </c>
      <c r="CD7" s="137">
        <v>51918</v>
      </c>
      <c r="CE7" s="137">
        <v>91772</v>
      </c>
      <c r="CF7" s="137">
        <v>11869</v>
      </c>
      <c r="CG7" s="137">
        <v>135732</v>
      </c>
      <c r="CH7" s="137">
        <v>140975</v>
      </c>
      <c r="CI7" s="137">
        <v>66478</v>
      </c>
      <c r="CJ7" s="137">
        <v>163181</v>
      </c>
      <c r="CK7" s="138">
        <v>120436</v>
      </c>
      <c r="CL7" s="140">
        <v>3575140</v>
      </c>
    </row>
    <row r="8" spans="1:90" ht="14.25">
      <c r="A8" s="80">
        <f>ROWS($A$3:A6)</f>
        <v>4</v>
      </c>
      <c r="B8" s="92" t="s">
        <v>242</v>
      </c>
      <c r="C8" s="203"/>
      <c r="D8" s="254" t="s">
        <v>1</v>
      </c>
      <c r="E8" s="269"/>
      <c r="F8" s="116">
        <v>169326</v>
      </c>
      <c r="G8" s="137">
        <v>111018</v>
      </c>
      <c r="H8" s="137">
        <v>110608</v>
      </c>
      <c r="I8" s="138">
        <v>106433</v>
      </c>
      <c r="J8" s="137"/>
      <c r="K8" s="116">
        <f t="shared" si="0"/>
        <v>18244</v>
      </c>
      <c r="L8" s="137">
        <f t="shared" si="1"/>
        <v>14679</v>
      </c>
      <c r="M8" s="137">
        <f t="shared" si="2"/>
        <v>13970</v>
      </c>
      <c r="N8" s="137">
        <f t="shared" si="3"/>
        <v>10362</v>
      </c>
      <c r="O8" s="137">
        <f t="shared" si="4"/>
        <v>7744</v>
      </c>
      <c r="P8" s="137">
        <f>'2007'!AZ8+'2007'!BA8</f>
        <v>22054</v>
      </c>
      <c r="Q8" s="137">
        <f>'2007'!AU8</f>
        <v>13488</v>
      </c>
      <c r="R8" s="137">
        <f t="shared" si="5"/>
        <v>26820</v>
      </c>
      <c r="S8" s="137">
        <f t="shared" si="6"/>
        <v>15581</v>
      </c>
      <c r="T8" s="137">
        <f t="shared" si="7"/>
        <v>9839</v>
      </c>
      <c r="U8" s="139">
        <f t="shared" si="8"/>
        <v>16545</v>
      </c>
      <c r="V8" s="137">
        <f t="shared" si="9"/>
        <v>12255</v>
      </c>
      <c r="W8" s="137">
        <f t="shared" si="10"/>
        <v>8169</v>
      </c>
      <c r="X8" s="137">
        <f t="shared" si="11"/>
        <v>26708</v>
      </c>
      <c r="Y8" s="137">
        <f t="shared" si="12"/>
        <v>31712</v>
      </c>
      <c r="Z8" s="137">
        <f t="shared" si="13"/>
        <v>11784</v>
      </c>
      <c r="AA8" s="137">
        <f t="shared" si="14"/>
        <v>11821</v>
      </c>
      <c r="AB8" s="139">
        <f t="shared" si="15"/>
        <v>8569</v>
      </c>
      <c r="AC8" s="137">
        <f t="shared" si="16"/>
        <v>11535</v>
      </c>
      <c r="AD8" s="137">
        <f t="shared" si="17"/>
        <v>7222</v>
      </c>
      <c r="AE8" s="137">
        <f t="shared" si="18"/>
        <v>18838</v>
      </c>
      <c r="AF8" s="137">
        <f t="shared" si="19"/>
        <v>9987</v>
      </c>
      <c r="AG8" s="137">
        <f t="shared" si="20"/>
        <v>21254</v>
      </c>
      <c r="AH8" s="137">
        <f t="shared" si="21"/>
        <v>12343</v>
      </c>
      <c r="AI8" s="137">
        <f t="shared" si="22"/>
        <v>9711</v>
      </c>
      <c r="AJ8" s="137">
        <f t="shared" si="23"/>
        <v>8396</v>
      </c>
      <c r="AK8" s="139">
        <f t="shared" si="24"/>
        <v>11322</v>
      </c>
      <c r="AL8" s="137">
        <f t="shared" si="25"/>
        <v>12039</v>
      </c>
      <c r="AM8" s="137">
        <f t="shared" si="26"/>
        <v>15547</v>
      </c>
      <c r="AN8" s="137">
        <f t="shared" si="27"/>
        <v>16518</v>
      </c>
      <c r="AO8" s="137">
        <f t="shared" si="28"/>
        <v>13730</v>
      </c>
      <c r="AP8" s="137">
        <f t="shared" si="29"/>
        <v>9046</v>
      </c>
      <c r="AQ8" s="137">
        <f t="shared" si="30"/>
        <v>11509</v>
      </c>
      <c r="AR8" s="137">
        <f t="shared" si="31"/>
        <v>9506</v>
      </c>
      <c r="AS8" s="144">
        <f t="shared" si="32"/>
        <v>18538</v>
      </c>
      <c r="AT8" s="137">
        <v>10587</v>
      </c>
      <c r="AU8" s="137">
        <v>13488</v>
      </c>
      <c r="AV8" s="137">
        <v>15581</v>
      </c>
      <c r="AW8" s="141">
        <v>10362</v>
      </c>
      <c r="AX8" s="137">
        <v>16233</v>
      </c>
      <c r="AY8" s="137">
        <v>14679</v>
      </c>
      <c r="AZ8" s="137">
        <v>3529</v>
      </c>
      <c r="BA8" s="137">
        <v>18525</v>
      </c>
      <c r="BB8" s="137">
        <v>9839</v>
      </c>
      <c r="BC8" s="137">
        <v>16545</v>
      </c>
      <c r="BD8" s="137">
        <v>13970</v>
      </c>
      <c r="BE8" s="137">
        <v>7744</v>
      </c>
      <c r="BF8" s="139">
        <v>18244</v>
      </c>
      <c r="BG8" s="137">
        <v>2035</v>
      </c>
      <c r="BH8" s="137">
        <v>7974</v>
      </c>
      <c r="BI8" s="137">
        <v>18734</v>
      </c>
      <c r="BJ8" s="137">
        <v>10220</v>
      </c>
      <c r="BK8" s="137">
        <v>3214</v>
      </c>
      <c r="BL8" s="137">
        <v>8374</v>
      </c>
      <c r="BM8" s="137">
        <v>11784</v>
      </c>
      <c r="BN8" s="137">
        <v>20124</v>
      </c>
      <c r="BO8" s="137">
        <v>2888</v>
      </c>
      <c r="BP8" s="137">
        <v>8569</v>
      </c>
      <c r="BQ8" s="137">
        <v>8933</v>
      </c>
      <c r="BR8" s="139">
        <v>8169</v>
      </c>
      <c r="BS8" s="137">
        <v>4842</v>
      </c>
      <c r="BT8" s="137">
        <v>13996</v>
      </c>
      <c r="BU8" s="137">
        <v>7222</v>
      </c>
      <c r="BV8" s="137">
        <v>21254</v>
      </c>
      <c r="BW8" s="137">
        <v>9711</v>
      </c>
      <c r="BX8" s="137">
        <v>11535</v>
      </c>
      <c r="BY8" s="137">
        <v>8396</v>
      </c>
      <c r="BZ8" s="137">
        <v>12343</v>
      </c>
      <c r="CA8" s="137">
        <v>9987</v>
      </c>
      <c r="CB8" s="139">
        <v>11322</v>
      </c>
      <c r="CC8" s="137">
        <v>13730</v>
      </c>
      <c r="CD8" s="137">
        <v>9046</v>
      </c>
      <c r="CE8" s="137">
        <v>12039</v>
      </c>
      <c r="CF8" s="137">
        <v>3647</v>
      </c>
      <c r="CG8" s="137">
        <v>14891</v>
      </c>
      <c r="CH8" s="137">
        <v>15547</v>
      </c>
      <c r="CI8" s="137">
        <v>9506</v>
      </c>
      <c r="CJ8" s="137">
        <v>16518</v>
      </c>
      <c r="CK8" s="138">
        <v>11509</v>
      </c>
      <c r="CL8" s="140">
        <v>497385</v>
      </c>
    </row>
    <row r="9" spans="1:90">
      <c r="A9" s="80">
        <f>ROWS($A$3:A7)</f>
        <v>5</v>
      </c>
      <c r="B9" s="92" t="s">
        <v>0</v>
      </c>
      <c r="C9" s="202">
        <v>2004</v>
      </c>
      <c r="D9" s="254" t="s">
        <v>1</v>
      </c>
      <c r="E9" s="269"/>
      <c r="F9" s="116">
        <v>539617</v>
      </c>
      <c r="G9" s="137">
        <v>257601</v>
      </c>
      <c r="H9" s="137">
        <v>376816</v>
      </c>
      <c r="I9" s="138">
        <v>481904</v>
      </c>
      <c r="J9" s="137"/>
      <c r="K9" s="116">
        <f t="shared" si="0"/>
        <v>72750</v>
      </c>
      <c r="L9" s="137">
        <f t="shared" si="1"/>
        <v>36950</v>
      </c>
      <c r="M9" s="137">
        <f t="shared" si="2"/>
        <v>75418</v>
      </c>
      <c r="N9" s="137">
        <f t="shared" si="3"/>
        <v>32684</v>
      </c>
      <c r="O9" s="137">
        <f t="shared" si="4"/>
        <v>27493</v>
      </c>
      <c r="P9" s="137">
        <f>'2007'!AZ9+'2007'!BA9</f>
        <v>66875</v>
      </c>
      <c r="Q9" s="137">
        <f>'2007'!AU9</f>
        <v>26396</v>
      </c>
      <c r="R9" s="137">
        <f t="shared" si="5"/>
        <v>43557</v>
      </c>
      <c r="S9" s="137">
        <f t="shared" si="6"/>
        <v>29110</v>
      </c>
      <c r="T9" s="137">
        <f t="shared" si="7"/>
        <v>44856</v>
      </c>
      <c r="U9" s="139">
        <f t="shared" si="8"/>
        <v>83529</v>
      </c>
      <c r="V9" s="137">
        <f t="shared" si="9"/>
        <v>26621</v>
      </c>
      <c r="W9" s="137">
        <f t="shared" si="10"/>
        <v>23281</v>
      </c>
      <c r="X9" s="137">
        <f t="shared" si="11"/>
        <v>54358</v>
      </c>
      <c r="Y9" s="137">
        <f t="shared" si="12"/>
        <v>52324</v>
      </c>
      <c r="Z9" s="137">
        <f t="shared" si="13"/>
        <v>52341</v>
      </c>
      <c r="AA9" s="137">
        <f t="shared" si="14"/>
        <v>27633</v>
      </c>
      <c r="AB9" s="139">
        <f t="shared" si="15"/>
        <v>21043</v>
      </c>
      <c r="AC9" s="137">
        <f t="shared" si="16"/>
        <v>43126</v>
      </c>
      <c r="AD9" s="137">
        <f t="shared" si="17"/>
        <v>28060</v>
      </c>
      <c r="AE9" s="137">
        <f t="shared" si="18"/>
        <v>59268</v>
      </c>
      <c r="AF9" s="137">
        <f t="shared" si="19"/>
        <v>28084</v>
      </c>
      <c r="AG9" s="137">
        <f t="shared" si="20"/>
        <v>71957</v>
      </c>
      <c r="AH9" s="137">
        <f t="shared" si="21"/>
        <v>40939</v>
      </c>
      <c r="AI9" s="137">
        <f t="shared" si="22"/>
        <v>33219</v>
      </c>
      <c r="AJ9" s="137">
        <f t="shared" si="23"/>
        <v>27594</v>
      </c>
      <c r="AK9" s="139">
        <f t="shared" si="24"/>
        <v>44568</v>
      </c>
      <c r="AL9" s="137">
        <f t="shared" si="25"/>
        <v>41496</v>
      </c>
      <c r="AM9" s="137">
        <f t="shared" si="26"/>
        <v>83580</v>
      </c>
      <c r="AN9" s="137">
        <f t="shared" si="27"/>
        <v>97494</v>
      </c>
      <c r="AO9" s="137">
        <f t="shared" si="28"/>
        <v>54127</v>
      </c>
      <c r="AP9" s="137">
        <f t="shared" si="29"/>
        <v>24138</v>
      </c>
      <c r="AQ9" s="137">
        <f t="shared" si="30"/>
        <v>59188</v>
      </c>
      <c r="AR9" s="137">
        <f t="shared" si="31"/>
        <v>37535</v>
      </c>
      <c r="AS9" s="144">
        <f t="shared" si="32"/>
        <v>84347</v>
      </c>
      <c r="AT9" s="137">
        <v>4968</v>
      </c>
      <c r="AU9" s="137">
        <v>26396</v>
      </c>
      <c r="AV9" s="137">
        <v>29110</v>
      </c>
      <c r="AW9" s="141">
        <v>32684</v>
      </c>
      <c r="AX9" s="137">
        <v>38589</v>
      </c>
      <c r="AY9" s="137">
        <v>36950</v>
      </c>
      <c r="AZ9" s="137">
        <v>4782</v>
      </c>
      <c r="BA9" s="137">
        <v>62093</v>
      </c>
      <c r="BB9" s="137">
        <v>44856</v>
      </c>
      <c r="BC9" s="137">
        <v>83529</v>
      </c>
      <c r="BD9" s="137">
        <v>75418</v>
      </c>
      <c r="BE9" s="137">
        <v>27493</v>
      </c>
      <c r="BF9" s="139">
        <v>72750</v>
      </c>
      <c r="BG9" s="137">
        <v>3154</v>
      </c>
      <c r="BH9" s="137">
        <v>4237</v>
      </c>
      <c r="BI9" s="137">
        <v>50121</v>
      </c>
      <c r="BJ9" s="137">
        <v>23467</v>
      </c>
      <c r="BK9" s="137">
        <v>2977</v>
      </c>
      <c r="BL9" s="137">
        <v>3570</v>
      </c>
      <c r="BM9" s="137">
        <v>52341</v>
      </c>
      <c r="BN9" s="137">
        <v>45777</v>
      </c>
      <c r="BO9" s="137">
        <v>1817</v>
      </c>
      <c r="BP9" s="137">
        <v>21043</v>
      </c>
      <c r="BQ9" s="137">
        <v>25816</v>
      </c>
      <c r="BR9" s="139">
        <v>23281</v>
      </c>
      <c r="BS9" s="137">
        <v>3756</v>
      </c>
      <c r="BT9" s="137">
        <v>55512</v>
      </c>
      <c r="BU9" s="137">
        <v>28060</v>
      </c>
      <c r="BV9" s="137">
        <v>71957</v>
      </c>
      <c r="BW9" s="137">
        <v>33219</v>
      </c>
      <c r="BX9" s="137">
        <v>43126</v>
      </c>
      <c r="BY9" s="137">
        <v>27594</v>
      </c>
      <c r="BZ9" s="137">
        <v>40939</v>
      </c>
      <c r="CA9" s="137">
        <v>28084</v>
      </c>
      <c r="CB9" s="139">
        <v>44568</v>
      </c>
      <c r="CC9" s="137">
        <v>54127</v>
      </c>
      <c r="CD9" s="137">
        <v>24138</v>
      </c>
      <c r="CE9" s="137">
        <v>41496</v>
      </c>
      <c r="CF9" s="137">
        <v>5472</v>
      </c>
      <c r="CG9" s="137">
        <v>78875</v>
      </c>
      <c r="CH9" s="137">
        <v>83580</v>
      </c>
      <c r="CI9" s="137">
        <v>37535</v>
      </c>
      <c r="CJ9" s="137">
        <v>97494</v>
      </c>
      <c r="CK9" s="138">
        <v>59188</v>
      </c>
      <c r="CL9" s="140">
        <v>1655939</v>
      </c>
    </row>
    <row r="10" spans="1:90">
      <c r="A10" s="80">
        <f>ROWS($A$3:A8)</f>
        <v>6</v>
      </c>
      <c r="B10" s="92" t="s">
        <v>202</v>
      </c>
      <c r="C10" s="202">
        <v>2004</v>
      </c>
      <c r="D10" s="254" t="s">
        <v>1</v>
      </c>
      <c r="E10" s="269"/>
      <c r="F10" s="116">
        <v>333380</v>
      </c>
      <c r="G10" s="137">
        <v>309428</v>
      </c>
      <c r="H10" s="137">
        <v>431212</v>
      </c>
      <c r="I10" s="138">
        <v>289006</v>
      </c>
      <c r="J10" s="137"/>
      <c r="K10" s="116">
        <f t="shared" si="0"/>
        <v>58834</v>
      </c>
      <c r="L10" s="137">
        <f t="shared" si="1"/>
        <v>33593</v>
      </c>
      <c r="M10" s="137">
        <f t="shared" si="2"/>
        <v>38367</v>
      </c>
      <c r="N10" s="137">
        <f t="shared" si="3"/>
        <v>20566</v>
      </c>
      <c r="O10" s="137">
        <f t="shared" si="4"/>
        <v>27018</v>
      </c>
      <c r="P10" s="137">
        <f>'2007'!AZ10+'2007'!BA10</f>
        <v>29406</v>
      </c>
      <c r="Q10" s="137">
        <f>'2007'!AU10</f>
        <v>21354</v>
      </c>
      <c r="R10" s="137">
        <f t="shared" si="5"/>
        <v>17386</v>
      </c>
      <c r="S10" s="137">
        <f t="shared" si="6"/>
        <v>18649</v>
      </c>
      <c r="T10" s="137">
        <f t="shared" si="7"/>
        <v>21738</v>
      </c>
      <c r="U10" s="139">
        <f t="shared" si="8"/>
        <v>46469</v>
      </c>
      <c r="V10" s="137">
        <f t="shared" si="9"/>
        <v>45896</v>
      </c>
      <c r="W10" s="137">
        <f t="shared" si="10"/>
        <v>54481</v>
      </c>
      <c r="X10" s="137">
        <f t="shared" si="11"/>
        <v>41180</v>
      </c>
      <c r="Y10" s="137">
        <f t="shared" si="12"/>
        <v>44149</v>
      </c>
      <c r="Z10" s="137">
        <f t="shared" si="13"/>
        <v>47336</v>
      </c>
      <c r="AA10" s="137">
        <f t="shared" si="14"/>
        <v>27115</v>
      </c>
      <c r="AB10" s="139">
        <f t="shared" si="15"/>
        <v>49272</v>
      </c>
      <c r="AC10" s="137">
        <f t="shared" si="16"/>
        <v>46851</v>
      </c>
      <c r="AD10" s="137">
        <f t="shared" si="17"/>
        <v>31075</v>
      </c>
      <c r="AE10" s="137">
        <f t="shared" si="18"/>
        <v>71658</v>
      </c>
      <c r="AF10" s="137">
        <f t="shared" si="19"/>
        <v>41529</v>
      </c>
      <c r="AG10" s="137">
        <f t="shared" si="20"/>
        <v>87830</v>
      </c>
      <c r="AH10" s="137">
        <f t="shared" si="21"/>
        <v>27189</v>
      </c>
      <c r="AI10" s="137">
        <f t="shared" si="22"/>
        <v>33006</v>
      </c>
      <c r="AJ10" s="137">
        <f t="shared" si="23"/>
        <v>36487</v>
      </c>
      <c r="AK10" s="139">
        <f t="shared" si="24"/>
        <v>55587</v>
      </c>
      <c r="AL10" s="137">
        <f t="shared" si="25"/>
        <v>37219</v>
      </c>
      <c r="AM10" s="137">
        <f t="shared" si="26"/>
        <v>39716</v>
      </c>
      <c r="AN10" s="137">
        <f t="shared" si="27"/>
        <v>46612</v>
      </c>
      <c r="AO10" s="137">
        <f t="shared" si="28"/>
        <v>40663</v>
      </c>
      <c r="AP10" s="137">
        <f t="shared" si="29"/>
        <v>17947</v>
      </c>
      <c r="AQ10" s="137">
        <f t="shared" si="30"/>
        <v>45960</v>
      </c>
      <c r="AR10" s="137">
        <f t="shared" si="31"/>
        <v>18594</v>
      </c>
      <c r="AS10" s="144">
        <f t="shared" si="32"/>
        <v>42295</v>
      </c>
      <c r="AT10" s="141">
        <v>4949</v>
      </c>
      <c r="AU10" s="141">
        <v>21354</v>
      </c>
      <c r="AV10" s="141">
        <v>18649</v>
      </c>
      <c r="AW10" s="141">
        <v>20566</v>
      </c>
      <c r="AX10" s="141">
        <v>12437</v>
      </c>
      <c r="AY10" s="137">
        <v>33593</v>
      </c>
      <c r="AZ10" s="137">
        <v>1413</v>
      </c>
      <c r="BA10" s="137">
        <v>27993</v>
      </c>
      <c r="BB10" s="137">
        <v>21738</v>
      </c>
      <c r="BC10" s="137">
        <v>46469</v>
      </c>
      <c r="BD10" s="137">
        <v>38367</v>
      </c>
      <c r="BE10" s="137">
        <v>27018</v>
      </c>
      <c r="BF10" s="139">
        <v>58834</v>
      </c>
      <c r="BG10" s="137">
        <v>8615</v>
      </c>
      <c r="BH10" s="137">
        <v>4535</v>
      </c>
      <c r="BI10" s="137">
        <v>36645</v>
      </c>
      <c r="BJ10" s="137">
        <v>37281</v>
      </c>
      <c r="BK10" s="137">
        <v>4416</v>
      </c>
      <c r="BL10" s="137">
        <v>1848</v>
      </c>
      <c r="BM10" s="137">
        <v>47336</v>
      </c>
      <c r="BN10" s="137">
        <v>37885</v>
      </c>
      <c r="BO10" s="137">
        <v>5080</v>
      </c>
      <c r="BP10" s="137">
        <v>49272</v>
      </c>
      <c r="BQ10" s="137">
        <v>22035</v>
      </c>
      <c r="BR10" s="139">
        <v>54481</v>
      </c>
      <c r="BS10" s="137">
        <v>6480</v>
      </c>
      <c r="BT10" s="137">
        <v>65178</v>
      </c>
      <c r="BU10" s="137">
        <v>31075</v>
      </c>
      <c r="BV10" s="137">
        <v>87830</v>
      </c>
      <c r="BW10" s="137">
        <v>33006</v>
      </c>
      <c r="BX10" s="137">
        <v>46851</v>
      </c>
      <c r="BY10" s="137">
        <v>36487</v>
      </c>
      <c r="BZ10" s="137">
        <v>27189</v>
      </c>
      <c r="CA10" s="137">
        <v>41529</v>
      </c>
      <c r="CB10" s="139">
        <v>55587</v>
      </c>
      <c r="CC10" s="137">
        <v>40663</v>
      </c>
      <c r="CD10" s="137">
        <v>17947</v>
      </c>
      <c r="CE10" s="137">
        <v>37219</v>
      </c>
      <c r="CF10" s="137">
        <v>2246</v>
      </c>
      <c r="CG10" s="137">
        <v>40049</v>
      </c>
      <c r="CH10" s="137">
        <v>39716</v>
      </c>
      <c r="CI10" s="137">
        <v>18594</v>
      </c>
      <c r="CJ10" s="137">
        <v>46612</v>
      </c>
      <c r="CK10" s="138">
        <v>45960</v>
      </c>
      <c r="CL10" s="140">
        <v>1363025</v>
      </c>
    </row>
    <row r="11" spans="1:90">
      <c r="A11" s="80">
        <f>ROWS($A$3:A9)</f>
        <v>7</v>
      </c>
      <c r="B11" s="92" t="s">
        <v>2</v>
      </c>
      <c r="C11" s="202">
        <v>2004</v>
      </c>
      <c r="D11" s="254" t="s">
        <v>1</v>
      </c>
      <c r="E11" s="269"/>
      <c r="F11" s="116">
        <v>8581</v>
      </c>
      <c r="G11" s="137">
        <v>9500</v>
      </c>
      <c r="H11" s="137">
        <v>11330</v>
      </c>
      <c r="I11" s="138">
        <v>7640</v>
      </c>
      <c r="J11" s="141"/>
      <c r="K11" s="116">
        <f t="shared" si="0"/>
        <v>1074</v>
      </c>
      <c r="L11" s="137">
        <f t="shared" si="1"/>
        <v>499</v>
      </c>
      <c r="M11" s="137">
        <f t="shared" si="2"/>
        <v>1037</v>
      </c>
      <c r="N11" s="137">
        <f t="shared" si="3"/>
        <v>287</v>
      </c>
      <c r="O11" s="137">
        <f t="shared" si="4"/>
        <v>246</v>
      </c>
      <c r="P11" s="137">
        <f>'2007'!AZ11+'2007'!BA11</f>
        <v>1413</v>
      </c>
      <c r="Q11" s="137">
        <f>'2007'!AU11</f>
        <v>243</v>
      </c>
      <c r="R11" s="137">
        <f t="shared" si="5"/>
        <v>1156</v>
      </c>
      <c r="S11" s="137">
        <f t="shared" si="6"/>
        <v>617</v>
      </c>
      <c r="T11" s="137">
        <f t="shared" si="7"/>
        <v>782</v>
      </c>
      <c r="U11" s="139">
        <f t="shared" si="8"/>
        <v>1227</v>
      </c>
      <c r="V11" s="137">
        <f t="shared" si="9"/>
        <v>1999</v>
      </c>
      <c r="W11" s="137">
        <f t="shared" si="10"/>
        <v>504</v>
      </c>
      <c r="X11" s="137">
        <f t="shared" si="11"/>
        <v>2950</v>
      </c>
      <c r="Y11" s="137">
        <f t="shared" si="12"/>
        <v>2623</v>
      </c>
      <c r="Z11" s="137">
        <f t="shared" si="13"/>
        <v>715</v>
      </c>
      <c r="AA11" s="137">
        <f t="shared" si="14"/>
        <v>390</v>
      </c>
      <c r="AB11" s="139">
        <f t="shared" si="15"/>
        <v>319</v>
      </c>
      <c r="AC11" s="137">
        <f t="shared" si="16"/>
        <v>643</v>
      </c>
      <c r="AD11" s="137">
        <f t="shared" si="17"/>
        <v>924</v>
      </c>
      <c r="AE11" s="137">
        <f t="shared" si="18"/>
        <v>2215</v>
      </c>
      <c r="AF11" s="137">
        <f t="shared" si="19"/>
        <v>912</v>
      </c>
      <c r="AG11" s="137">
        <f t="shared" si="20"/>
        <v>3486</v>
      </c>
      <c r="AH11" s="137">
        <f t="shared" si="21"/>
        <v>925</v>
      </c>
      <c r="AI11" s="137">
        <f t="shared" si="22"/>
        <v>449</v>
      </c>
      <c r="AJ11" s="137">
        <f t="shared" si="23"/>
        <v>353</v>
      </c>
      <c r="AK11" s="139">
        <f t="shared" si="24"/>
        <v>1423</v>
      </c>
      <c r="AL11" s="137">
        <f t="shared" si="25"/>
        <v>351</v>
      </c>
      <c r="AM11" s="137">
        <f t="shared" si="26"/>
        <v>1478</v>
      </c>
      <c r="AN11" s="137">
        <f t="shared" si="27"/>
        <v>2147</v>
      </c>
      <c r="AO11" s="137">
        <f t="shared" si="28"/>
        <v>260</v>
      </c>
      <c r="AP11" s="137">
        <f t="shared" si="29"/>
        <v>475</v>
      </c>
      <c r="AQ11" s="137">
        <f t="shared" si="30"/>
        <v>1030</v>
      </c>
      <c r="AR11" s="137">
        <f t="shared" si="31"/>
        <v>688</v>
      </c>
      <c r="AS11" s="144">
        <f t="shared" si="32"/>
        <v>1209</v>
      </c>
      <c r="AT11" s="141">
        <v>268</v>
      </c>
      <c r="AU11" s="141">
        <v>243</v>
      </c>
      <c r="AV11" s="141">
        <v>617</v>
      </c>
      <c r="AW11" s="141">
        <v>287</v>
      </c>
      <c r="AX11" s="141">
        <v>888</v>
      </c>
      <c r="AY11" s="137">
        <v>499</v>
      </c>
      <c r="AZ11" s="137">
        <v>218</v>
      </c>
      <c r="BA11" s="137">
        <v>1195</v>
      </c>
      <c r="BB11" s="137">
        <v>782</v>
      </c>
      <c r="BC11" s="137">
        <v>1227</v>
      </c>
      <c r="BD11" s="137">
        <v>1037</v>
      </c>
      <c r="BE11" s="137">
        <v>246</v>
      </c>
      <c r="BF11" s="139">
        <v>1074</v>
      </c>
      <c r="BG11" s="137">
        <v>82</v>
      </c>
      <c r="BH11" s="137">
        <v>672</v>
      </c>
      <c r="BI11" s="137">
        <v>2278</v>
      </c>
      <c r="BJ11" s="137">
        <v>1917</v>
      </c>
      <c r="BK11" s="137">
        <v>252</v>
      </c>
      <c r="BL11" s="137">
        <v>727</v>
      </c>
      <c r="BM11" s="137">
        <v>715</v>
      </c>
      <c r="BN11" s="137">
        <v>1644</v>
      </c>
      <c r="BO11" s="137">
        <v>74</v>
      </c>
      <c r="BP11" s="137">
        <v>319</v>
      </c>
      <c r="BQ11" s="137">
        <v>316</v>
      </c>
      <c r="BR11" s="139">
        <v>504</v>
      </c>
      <c r="BS11" s="137">
        <v>206</v>
      </c>
      <c r="BT11" s="137">
        <v>2009</v>
      </c>
      <c r="BU11" s="137">
        <v>924</v>
      </c>
      <c r="BV11" s="137">
        <v>3486</v>
      </c>
      <c r="BW11" s="137">
        <v>449</v>
      </c>
      <c r="BX11" s="137">
        <v>643</v>
      </c>
      <c r="BY11" s="137">
        <v>353</v>
      </c>
      <c r="BZ11" s="137">
        <v>925</v>
      </c>
      <c r="CA11" s="137">
        <v>912</v>
      </c>
      <c r="CB11" s="139">
        <v>1423</v>
      </c>
      <c r="CC11" s="137">
        <v>260</v>
      </c>
      <c r="CD11" s="137">
        <v>475</v>
      </c>
      <c r="CE11" s="137">
        <v>351</v>
      </c>
      <c r="CF11" s="137">
        <v>155</v>
      </c>
      <c r="CG11" s="137">
        <v>1054</v>
      </c>
      <c r="CH11" s="137">
        <v>1478</v>
      </c>
      <c r="CI11" s="137">
        <v>688</v>
      </c>
      <c r="CJ11" s="137">
        <v>2147</v>
      </c>
      <c r="CK11" s="138">
        <v>1030</v>
      </c>
      <c r="CL11" s="140">
        <v>37052</v>
      </c>
    </row>
    <row r="12" spans="1:90">
      <c r="A12" s="80">
        <f>ROWS($A$3:A10)</f>
        <v>8</v>
      </c>
      <c r="B12" s="92" t="s">
        <v>203</v>
      </c>
      <c r="C12" s="202">
        <v>2004</v>
      </c>
      <c r="D12" s="254" t="s">
        <v>1</v>
      </c>
      <c r="E12" s="269"/>
      <c r="F12" s="116">
        <v>8525</v>
      </c>
      <c r="G12" s="137">
        <v>5988</v>
      </c>
      <c r="H12" s="137">
        <v>6799</v>
      </c>
      <c r="I12" s="138">
        <v>7328</v>
      </c>
      <c r="J12" s="141"/>
      <c r="K12" s="116">
        <f t="shared" si="0"/>
        <v>607</v>
      </c>
      <c r="L12" s="137">
        <f t="shared" si="1"/>
        <v>456</v>
      </c>
      <c r="M12" s="137">
        <f t="shared" si="2"/>
        <v>1829</v>
      </c>
      <c r="N12" s="137">
        <f t="shared" si="3"/>
        <v>502</v>
      </c>
      <c r="O12" s="137">
        <f t="shared" si="4"/>
        <v>339</v>
      </c>
      <c r="P12" s="137">
        <f>'2007'!AZ12+'2007'!BA12</f>
        <v>944</v>
      </c>
      <c r="Q12" s="137">
        <f>'2007'!AU12</f>
        <v>622</v>
      </c>
      <c r="R12" s="137">
        <f t="shared" si="5"/>
        <v>1248</v>
      </c>
      <c r="S12" s="137">
        <f t="shared" si="6"/>
        <v>602</v>
      </c>
      <c r="T12" s="137">
        <f t="shared" si="7"/>
        <v>538</v>
      </c>
      <c r="U12" s="139">
        <f t="shared" si="8"/>
        <v>838</v>
      </c>
      <c r="V12" s="137">
        <f t="shared" si="9"/>
        <v>687</v>
      </c>
      <c r="W12" s="137">
        <f t="shared" si="10"/>
        <v>608</v>
      </c>
      <c r="X12" s="137">
        <f t="shared" si="11"/>
        <v>1432</v>
      </c>
      <c r="Y12" s="137">
        <f t="shared" si="12"/>
        <v>1305</v>
      </c>
      <c r="Z12" s="137">
        <f t="shared" si="13"/>
        <v>623</v>
      </c>
      <c r="AA12" s="137">
        <f t="shared" si="14"/>
        <v>575</v>
      </c>
      <c r="AB12" s="139">
        <f t="shared" si="15"/>
        <v>757</v>
      </c>
      <c r="AC12" s="137">
        <f t="shared" si="16"/>
        <v>529</v>
      </c>
      <c r="AD12" s="137">
        <f t="shared" si="17"/>
        <v>918</v>
      </c>
      <c r="AE12" s="137">
        <f t="shared" si="18"/>
        <v>1281</v>
      </c>
      <c r="AF12" s="137">
        <f t="shared" si="19"/>
        <v>295</v>
      </c>
      <c r="AG12" s="137">
        <f t="shared" si="20"/>
        <v>1578</v>
      </c>
      <c r="AH12" s="137">
        <f t="shared" si="21"/>
        <v>469</v>
      </c>
      <c r="AI12" s="137">
        <f t="shared" si="22"/>
        <v>571</v>
      </c>
      <c r="AJ12" s="137">
        <f t="shared" si="23"/>
        <v>818</v>
      </c>
      <c r="AK12" s="139">
        <f t="shared" si="24"/>
        <v>340</v>
      </c>
      <c r="AL12" s="137">
        <f t="shared" si="25"/>
        <v>744</v>
      </c>
      <c r="AM12" s="137">
        <f t="shared" si="26"/>
        <v>534</v>
      </c>
      <c r="AN12" s="137">
        <f t="shared" si="27"/>
        <v>593</v>
      </c>
      <c r="AO12" s="137">
        <f t="shared" si="28"/>
        <v>855</v>
      </c>
      <c r="AP12" s="137">
        <f t="shared" si="29"/>
        <v>405</v>
      </c>
      <c r="AQ12" s="137">
        <f t="shared" si="30"/>
        <v>2504</v>
      </c>
      <c r="AR12" s="137">
        <f t="shared" si="31"/>
        <v>387</v>
      </c>
      <c r="AS12" s="144">
        <f t="shared" si="32"/>
        <v>1306</v>
      </c>
      <c r="AT12" s="146">
        <v>318</v>
      </c>
      <c r="AU12" s="146">
        <v>622</v>
      </c>
      <c r="AV12" s="146">
        <v>602</v>
      </c>
      <c r="AW12" s="146">
        <v>502</v>
      </c>
      <c r="AX12" s="146">
        <v>930</v>
      </c>
      <c r="AY12" s="146">
        <v>456</v>
      </c>
      <c r="AZ12" s="146">
        <v>87</v>
      </c>
      <c r="BA12" s="146">
        <v>857</v>
      </c>
      <c r="BB12" s="146">
        <v>538</v>
      </c>
      <c r="BC12" s="146">
        <v>838</v>
      </c>
      <c r="BD12" s="146">
        <v>1829</v>
      </c>
      <c r="BE12" s="146">
        <v>339</v>
      </c>
      <c r="BF12" s="147">
        <v>607</v>
      </c>
      <c r="BG12" s="146">
        <v>87</v>
      </c>
      <c r="BH12" s="146">
        <v>250</v>
      </c>
      <c r="BI12" s="146">
        <v>1182</v>
      </c>
      <c r="BJ12" s="146">
        <v>600</v>
      </c>
      <c r="BK12" s="137">
        <v>98</v>
      </c>
      <c r="BL12" s="137">
        <v>348</v>
      </c>
      <c r="BM12" s="137">
        <v>623</v>
      </c>
      <c r="BN12" s="137">
        <v>859</v>
      </c>
      <c r="BO12" s="137">
        <v>82</v>
      </c>
      <c r="BP12" s="137">
        <v>757</v>
      </c>
      <c r="BQ12" s="137">
        <v>493</v>
      </c>
      <c r="BR12" s="139">
        <v>608</v>
      </c>
      <c r="BS12" s="137">
        <v>121</v>
      </c>
      <c r="BT12" s="137">
        <v>1160</v>
      </c>
      <c r="BU12" s="137">
        <v>918</v>
      </c>
      <c r="BV12" s="137">
        <v>1578</v>
      </c>
      <c r="BW12" s="137">
        <v>571</v>
      </c>
      <c r="BX12" s="137">
        <v>529</v>
      </c>
      <c r="BY12" s="137">
        <v>818</v>
      </c>
      <c r="BZ12" s="137">
        <v>469</v>
      </c>
      <c r="CA12" s="137">
        <v>295</v>
      </c>
      <c r="CB12" s="139">
        <v>340</v>
      </c>
      <c r="CC12" s="137">
        <v>855</v>
      </c>
      <c r="CD12" s="137">
        <v>405</v>
      </c>
      <c r="CE12" s="137">
        <v>744</v>
      </c>
      <c r="CF12" s="137">
        <v>392</v>
      </c>
      <c r="CG12" s="137">
        <v>914</v>
      </c>
      <c r="CH12" s="137">
        <v>534</v>
      </c>
      <c r="CI12" s="137">
        <v>387</v>
      </c>
      <c r="CJ12" s="137">
        <v>593</v>
      </c>
      <c r="CK12" s="138">
        <v>2504</v>
      </c>
      <c r="CL12" s="140">
        <v>28639</v>
      </c>
    </row>
    <row r="13" spans="1:90">
      <c r="A13" s="80">
        <f>ROWS($A$3:A11)</f>
        <v>9</v>
      </c>
      <c r="B13" s="92" t="s">
        <v>65</v>
      </c>
      <c r="C13" s="202">
        <v>2007</v>
      </c>
      <c r="D13" s="254" t="s">
        <v>11</v>
      </c>
      <c r="E13" s="256"/>
      <c r="F13" s="116">
        <v>3683075</v>
      </c>
      <c r="G13" s="137">
        <v>2532487</v>
      </c>
      <c r="H13" s="137">
        <v>1977857</v>
      </c>
      <c r="I13" s="138">
        <v>1628608</v>
      </c>
      <c r="J13" s="141"/>
      <c r="K13" s="116">
        <f t="shared" si="0"/>
        <v>294146</v>
      </c>
      <c r="L13" s="137">
        <f t="shared" si="1"/>
        <v>380813</v>
      </c>
      <c r="M13" s="137">
        <f t="shared" si="2"/>
        <v>128272</v>
      </c>
      <c r="N13" s="137">
        <f t="shared" si="3"/>
        <v>243092</v>
      </c>
      <c r="O13" s="137">
        <f t="shared" si="4"/>
        <v>131058</v>
      </c>
      <c r="P13" s="137">
        <f>'2007'!AZ13+'2007'!BA13</f>
        <v>388200</v>
      </c>
      <c r="Q13" s="137">
        <f>'2007'!AU13</f>
        <v>334602</v>
      </c>
      <c r="R13" s="137">
        <f t="shared" si="5"/>
        <v>1045417</v>
      </c>
      <c r="S13" s="137">
        <f t="shared" si="6"/>
        <v>480436</v>
      </c>
      <c r="T13" s="137">
        <f t="shared" si="7"/>
        <v>92907</v>
      </c>
      <c r="U13" s="139">
        <f t="shared" si="8"/>
        <v>164132</v>
      </c>
      <c r="V13" s="137">
        <f t="shared" si="9"/>
        <v>256420</v>
      </c>
      <c r="W13" s="137">
        <f t="shared" si="10"/>
        <v>109960</v>
      </c>
      <c r="X13" s="137">
        <f t="shared" si="11"/>
        <v>655774</v>
      </c>
      <c r="Y13" s="137">
        <f t="shared" si="12"/>
        <v>935224</v>
      </c>
      <c r="Z13" s="137">
        <f t="shared" si="13"/>
        <v>138525</v>
      </c>
      <c r="AA13" s="137">
        <f t="shared" si="14"/>
        <v>288518</v>
      </c>
      <c r="AB13" s="139">
        <f t="shared" si="15"/>
        <v>148066</v>
      </c>
      <c r="AC13" s="137">
        <f t="shared" si="16"/>
        <v>202025</v>
      </c>
      <c r="AD13" s="137">
        <f t="shared" si="17"/>
        <v>139248</v>
      </c>
      <c r="AE13" s="137">
        <f t="shared" si="18"/>
        <v>408296</v>
      </c>
      <c r="AF13" s="137">
        <f t="shared" si="19"/>
        <v>201880</v>
      </c>
      <c r="AG13" s="137">
        <f t="shared" si="20"/>
        <v>371725</v>
      </c>
      <c r="AH13" s="137">
        <f t="shared" si="21"/>
        <v>246059</v>
      </c>
      <c r="AI13" s="137">
        <f t="shared" si="22"/>
        <v>133059</v>
      </c>
      <c r="AJ13" s="137">
        <f t="shared" si="23"/>
        <v>120344</v>
      </c>
      <c r="AK13" s="139">
        <f t="shared" si="24"/>
        <v>155221</v>
      </c>
      <c r="AL13" s="137">
        <f t="shared" si="25"/>
        <v>181635</v>
      </c>
      <c r="AM13" s="137">
        <f t="shared" si="26"/>
        <v>162746</v>
      </c>
      <c r="AN13" s="137">
        <f t="shared" si="27"/>
        <v>247674</v>
      </c>
      <c r="AO13" s="137">
        <f t="shared" si="28"/>
        <v>258927</v>
      </c>
      <c r="AP13" s="137">
        <f t="shared" si="29"/>
        <v>193334</v>
      </c>
      <c r="AQ13" s="137">
        <f t="shared" si="30"/>
        <v>121008</v>
      </c>
      <c r="AR13" s="137">
        <f t="shared" si="31"/>
        <v>183774</v>
      </c>
      <c r="AS13" s="144">
        <f t="shared" si="32"/>
        <v>279510</v>
      </c>
      <c r="AT13" s="141">
        <v>579988</v>
      </c>
      <c r="AU13" s="141">
        <v>334602</v>
      </c>
      <c r="AV13" s="141">
        <v>480436</v>
      </c>
      <c r="AW13" s="141">
        <v>243092</v>
      </c>
      <c r="AX13" s="141">
        <v>465429</v>
      </c>
      <c r="AY13" s="137">
        <v>380813</v>
      </c>
      <c r="AZ13" s="137">
        <v>115843</v>
      </c>
      <c r="BA13" s="137">
        <v>272357</v>
      </c>
      <c r="BB13" s="137">
        <v>92907</v>
      </c>
      <c r="BC13" s="137">
        <v>164132</v>
      </c>
      <c r="BD13" s="137">
        <v>128272</v>
      </c>
      <c r="BE13" s="137">
        <v>131058</v>
      </c>
      <c r="BF13" s="139">
        <v>294146</v>
      </c>
      <c r="BG13" s="137">
        <v>51849</v>
      </c>
      <c r="BH13" s="137">
        <v>275061</v>
      </c>
      <c r="BI13" s="137">
        <v>380713</v>
      </c>
      <c r="BJ13" s="137">
        <v>204571</v>
      </c>
      <c r="BK13" s="137">
        <v>136796</v>
      </c>
      <c r="BL13" s="137">
        <v>310411</v>
      </c>
      <c r="BM13" s="137">
        <v>138525</v>
      </c>
      <c r="BN13" s="137">
        <v>488017</v>
      </c>
      <c r="BO13" s="137">
        <v>112944</v>
      </c>
      <c r="BP13" s="137">
        <v>148066</v>
      </c>
      <c r="BQ13" s="137">
        <v>175574</v>
      </c>
      <c r="BR13" s="139">
        <v>109960</v>
      </c>
      <c r="BS13" s="137">
        <v>191029</v>
      </c>
      <c r="BT13" s="137">
        <v>217267</v>
      </c>
      <c r="BU13" s="137">
        <v>139248</v>
      </c>
      <c r="BV13" s="137">
        <v>371725</v>
      </c>
      <c r="BW13" s="137">
        <v>133059</v>
      </c>
      <c r="BX13" s="137">
        <v>202025</v>
      </c>
      <c r="BY13" s="137">
        <v>120344</v>
      </c>
      <c r="BZ13" s="137">
        <v>246059</v>
      </c>
      <c r="CA13" s="137">
        <v>201880</v>
      </c>
      <c r="CB13" s="139">
        <v>155221</v>
      </c>
      <c r="CC13" s="137">
        <v>258927</v>
      </c>
      <c r="CD13" s="137">
        <v>193334</v>
      </c>
      <c r="CE13" s="137">
        <v>181635</v>
      </c>
      <c r="CF13" s="137">
        <v>110529</v>
      </c>
      <c r="CG13" s="137">
        <v>168981</v>
      </c>
      <c r="CH13" s="137">
        <v>162746</v>
      </c>
      <c r="CI13" s="137">
        <v>183774</v>
      </c>
      <c r="CJ13" s="137">
        <v>247674</v>
      </c>
      <c r="CK13" s="138">
        <v>121008</v>
      </c>
      <c r="CL13" s="140">
        <v>9822027</v>
      </c>
    </row>
    <row r="14" spans="1:90">
      <c r="A14" s="80">
        <f>ROWS($A$3:A12)</f>
        <v>10</v>
      </c>
      <c r="B14" s="54" t="s">
        <v>61</v>
      </c>
      <c r="C14" s="252"/>
      <c r="D14" s="254" t="s">
        <v>12</v>
      </c>
      <c r="E14" s="269"/>
      <c r="F14" s="142">
        <f>F13/F7*100</f>
        <v>348.85301396993844</v>
      </c>
      <c r="G14" s="143">
        <f>G13/G7*100</f>
        <v>366.01551942674377</v>
      </c>
      <c r="H14" s="143">
        <f>H13/H7*100</f>
        <v>211.37703176548919</v>
      </c>
      <c r="I14" s="144">
        <f>I13/I7*100</f>
        <v>182.62748594080279</v>
      </c>
      <c r="J14" s="141"/>
      <c r="K14" s="145">
        <f t="shared" si="0"/>
        <v>194.59505947419257</v>
      </c>
      <c r="L14" s="146">
        <f t="shared" si="1"/>
        <v>443.76558603491276</v>
      </c>
      <c r="M14" s="146">
        <f t="shared" si="2"/>
        <v>98.337179261121889</v>
      </c>
      <c r="N14" s="146">
        <f t="shared" si="3"/>
        <v>378.4357681051124</v>
      </c>
      <c r="O14" s="146">
        <f t="shared" si="4"/>
        <v>208.98392652123997</v>
      </c>
      <c r="P14" s="143">
        <f>P13/P7*100</f>
        <v>323.54853227984199</v>
      </c>
      <c r="Q14" s="146">
        <f>'2007'!AU14</f>
        <v>541.55863073561545</v>
      </c>
      <c r="R14" s="143">
        <f>R13/R7*100</f>
        <v>1169.1479248912399</v>
      </c>
      <c r="S14" s="146">
        <f t="shared" si="6"/>
        <v>748.94930473280533</v>
      </c>
      <c r="T14" s="146">
        <f t="shared" si="7"/>
        <v>119.60991309945285</v>
      </c>
      <c r="U14" s="147">
        <f t="shared" si="8"/>
        <v>110.6010781671159</v>
      </c>
      <c r="V14" s="143">
        <f>V13/V7*100</f>
        <v>291.74109428509666</v>
      </c>
      <c r="W14" s="146">
        <f t="shared" si="10"/>
        <v>126.29209353608675</v>
      </c>
      <c r="X14" s="143">
        <f>X13/X7*100</f>
        <v>521.09244632328398</v>
      </c>
      <c r="Y14" s="143">
        <f>Y13/Y7*100</f>
        <v>710.92123967130624</v>
      </c>
      <c r="Z14" s="146">
        <f t="shared" si="13"/>
        <v>122.99448622443995</v>
      </c>
      <c r="AA14" s="143">
        <f>AA13/AA7*100</f>
        <v>429.53401816287038</v>
      </c>
      <c r="AB14" s="147">
        <f t="shared" si="15"/>
        <v>185.66036789507342</v>
      </c>
      <c r="AC14" s="146">
        <f t="shared" si="16"/>
        <v>197.05142210604347</v>
      </c>
      <c r="AD14" s="146">
        <f t="shared" si="17"/>
        <v>204.81261399070422</v>
      </c>
      <c r="AE14" s="143">
        <f>AE13/AE7*100</f>
        <v>266.61965025010119</v>
      </c>
      <c r="AF14" s="146">
        <f t="shared" si="19"/>
        <v>250.2324082452248</v>
      </c>
      <c r="AG14" s="146">
        <f t="shared" si="20"/>
        <v>199.76622957867585</v>
      </c>
      <c r="AH14" s="146">
        <f t="shared" si="21"/>
        <v>300.80562347188265</v>
      </c>
      <c r="AI14" s="146">
        <f t="shared" si="22"/>
        <v>172.9319106351455</v>
      </c>
      <c r="AJ14" s="146">
        <f t="shared" si="23"/>
        <v>163.87602810610599</v>
      </c>
      <c r="AK14" s="147">
        <f t="shared" si="24"/>
        <v>137.22406400565797</v>
      </c>
      <c r="AL14" s="146">
        <f t="shared" si="25"/>
        <v>197.91984483284662</v>
      </c>
      <c r="AM14" s="146">
        <f t="shared" si="26"/>
        <v>115.4431636815038</v>
      </c>
      <c r="AN14" s="146">
        <f t="shared" si="27"/>
        <v>151.77869972607107</v>
      </c>
      <c r="AO14" s="146">
        <f t="shared" si="28"/>
        <v>236.66834239751381</v>
      </c>
      <c r="AP14" s="146">
        <f t="shared" si="29"/>
        <v>372.3833737817327</v>
      </c>
      <c r="AQ14" s="146">
        <f t="shared" si="30"/>
        <v>100.47494104752732</v>
      </c>
      <c r="AR14" s="146">
        <f t="shared" si="31"/>
        <v>276.44333463702276</v>
      </c>
      <c r="AS14" s="144">
        <f t="shared" ref="AS14:CL14" si="33">AS13/AS7*100</f>
        <v>189.36863571385018</v>
      </c>
      <c r="AT14" s="143">
        <f t="shared" si="33"/>
        <v>2797.1449240414759</v>
      </c>
      <c r="AU14" s="143">
        <f t="shared" si="33"/>
        <v>541.55863073561545</v>
      </c>
      <c r="AV14" s="143">
        <f t="shared" si="33"/>
        <v>748.94930473280533</v>
      </c>
      <c r="AW14" s="143">
        <f t="shared" si="33"/>
        <v>378.4357681051124</v>
      </c>
      <c r="AX14" s="143">
        <f t="shared" si="33"/>
        <v>677.65790163361578</v>
      </c>
      <c r="AY14" s="143">
        <f t="shared" si="33"/>
        <v>443.76558603491276</v>
      </c>
      <c r="AZ14" s="143">
        <f t="shared" si="33"/>
        <v>1159.821786143372</v>
      </c>
      <c r="BA14" s="143">
        <f t="shared" si="33"/>
        <v>247.61077876975105</v>
      </c>
      <c r="BB14" s="143">
        <f t="shared" si="33"/>
        <v>119.60991309945285</v>
      </c>
      <c r="BC14" s="143">
        <f t="shared" si="33"/>
        <v>110.6010781671159</v>
      </c>
      <c r="BD14" s="143">
        <f t="shared" si="33"/>
        <v>98.337179261121889</v>
      </c>
      <c r="BE14" s="143">
        <f t="shared" si="33"/>
        <v>208.98392652123997</v>
      </c>
      <c r="BF14" s="148">
        <f t="shared" si="33"/>
        <v>194.59505947419257</v>
      </c>
      <c r="BG14" s="143">
        <f t="shared" si="33"/>
        <v>369.8744471393922</v>
      </c>
      <c r="BH14" s="143">
        <f t="shared" si="33"/>
        <v>1585.7315807679004</v>
      </c>
      <c r="BI14" s="143">
        <f t="shared" si="33"/>
        <v>350.88755760368662</v>
      </c>
      <c r="BJ14" s="143">
        <f t="shared" si="33"/>
        <v>276.91505922165823</v>
      </c>
      <c r="BK14" s="143">
        <f t="shared" si="33"/>
        <v>1256.9695855922082</v>
      </c>
      <c r="BL14" s="143">
        <f t="shared" si="33"/>
        <v>2141.3562362030907</v>
      </c>
      <c r="BM14" s="143">
        <f t="shared" si="33"/>
        <v>122.99448622443995</v>
      </c>
      <c r="BN14" s="143">
        <f t="shared" si="33"/>
        <v>459.64755302716344</v>
      </c>
      <c r="BO14" s="143">
        <f t="shared" si="33"/>
        <v>1152.2546419098144</v>
      </c>
      <c r="BP14" s="143">
        <f t="shared" si="33"/>
        <v>185.66036789507342</v>
      </c>
      <c r="BQ14" s="143">
        <f t="shared" si="33"/>
        <v>306.04866824710643</v>
      </c>
      <c r="BR14" s="148">
        <f t="shared" si="33"/>
        <v>126.29209353608675</v>
      </c>
      <c r="BS14" s="143">
        <f t="shared" si="33"/>
        <v>1248.0661178622763</v>
      </c>
      <c r="BT14" s="143">
        <f t="shared" si="33"/>
        <v>157.63175459980266</v>
      </c>
      <c r="BU14" s="143">
        <f t="shared" si="33"/>
        <v>204.81261399070422</v>
      </c>
      <c r="BV14" s="143">
        <f t="shared" si="33"/>
        <v>199.76622957867585</v>
      </c>
      <c r="BW14" s="143">
        <f t="shared" si="33"/>
        <v>172.9319106351455</v>
      </c>
      <c r="BX14" s="143">
        <f t="shared" si="33"/>
        <v>197.05142210604347</v>
      </c>
      <c r="BY14" s="143">
        <f t="shared" si="33"/>
        <v>163.87602810610599</v>
      </c>
      <c r="BZ14" s="143">
        <f t="shared" si="33"/>
        <v>300.80562347188265</v>
      </c>
      <c r="CA14" s="143">
        <f t="shared" si="33"/>
        <v>250.2324082452248</v>
      </c>
      <c r="CB14" s="148">
        <f t="shared" si="33"/>
        <v>137.22406400565797</v>
      </c>
      <c r="CC14" s="143">
        <f t="shared" si="33"/>
        <v>236.66834239751381</v>
      </c>
      <c r="CD14" s="143">
        <f t="shared" si="33"/>
        <v>372.3833737817327</v>
      </c>
      <c r="CE14" s="143">
        <f t="shared" si="33"/>
        <v>197.91984483284662</v>
      </c>
      <c r="CF14" s="143">
        <f t="shared" si="33"/>
        <v>931.24104810851804</v>
      </c>
      <c r="CG14" s="143">
        <f t="shared" si="33"/>
        <v>124.49606577667758</v>
      </c>
      <c r="CH14" s="143">
        <f t="shared" si="33"/>
        <v>115.4431636815038</v>
      </c>
      <c r="CI14" s="143">
        <f t="shared" si="33"/>
        <v>276.44333463702276</v>
      </c>
      <c r="CJ14" s="143">
        <f t="shared" si="33"/>
        <v>151.77869972607107</v>
      </c>
      <c r="CK14" s="144">
        <f t="shared" si="33"/>
        <v>100.47494104752732</v>
      </c>
      <c r="CL14" s="149">
        <f t="shared" si="33"/>
        <v>274.73125527951356</v>
      </c>
    </row>
    <row r="15" spans="1:90">
      <c r="A15" s="80">
        <f>ROWS($A$3:A13)</f>
        <v>11</v>
      </c>
      <c r="B15" s="59" t="s">
        <v>269</v>
      </c>
      <c r="C15" s="252"/>
      <c r="D15" s="254"/>
      <c r="E15" s="269"/>
      <c r="F15" s="302"/>
      <c r="G15" s="141"/>
      <c r="H15" s="141"/>
      <c r="I15" s="298"/>
      <c r="J15" s="141"/>
      <c r="K15" s="145"/>
      <c r="L15" s="146"/>
      <c r="M15" s="146"/>
      <c r="N15" s="146"/>
      <c r="O15" s="146"/>
      <c r="P15" s="143"/>
      <c r="Q15" s="146"/>
      <c r="R15" s="143"/>
      <c r="S15" s="146"/>
      <c r="T15" s="146"/>
      <c r="U15" s="147"/>
      <c r="V15" s="143"/>
      <c r="W15" s="146"/>
      <c r="X15" s="143"/>
      <c r="Y15" s="143"/>
      <c r="Z15" s="146"/>
      <c r="AA15" s="143"/>
      <c r="AB15" s="147"/>
      <c r="AC15" s="146"/>
      <c r="AD15" s="146"/>
      <c r="AE15" s="143"/>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0">
      <c r="A16" s="80">
        <f>ROWS($A$3:A14)</f>
        <v>12</v>
      </c>
      <c r="B16" s="92" t="s">
        <v>200</v>
      </c>
      <c r="C16" s="202">
        <v>2007</v>
      </c>
      <c r="D16" s="254" t="s">
        <v>11</v>
      </c>
      <c r="E16" s="256"/>
      <c r="F16" s="116">
        <v>2130489</v>
      </c>
      <c r="G16" s="137">
        <v>1417458</v>
      </c>
      <c r="H16" s="137">
        <v>1072198</v>
      </c>
      <c r="I16" s="138">
        <v>899938</v>
      </c>
      <c r="J16" s="141"/>
      <c r="K16" s="116">
        <f t="shared" si="0"/>
        <v>147940</v>
      </c>
      <c r="L16" s="137">
        <f t="shared" si="1"/>
        <v>182357</v>
      </c>
      <c r="M16" s="137">
        <f t="shared" si="2"/>
        <v>70320</v>
      </c>
      <c r="N16" s="137">
        <f t="shared" si="3"/>
        <v>111307</v>
      </c>
      <c r="O16" s="137">
        <f t="shared" si="4"/>
        <v>63660</v>
      </c>
      <c r="P16" s="137">
        <f>'2007'!AZ16+'2007'!BA16</f>
        <v>240015</v>
      </c>
      <c r="Q16" s="137">
        <f>'2007'!AU16</f>
        <v>207544</v>
      </c>
      <c r="R16" s="137">
        <f>AT16+AX16</f>
        <v>701463</v>
      </c>
      <c r="S16" s="137">
        <f t="shared" si="6"/>
        <v>250788</v>
      </c>
      <c r="T16" s="137">
        <f t="shared" si="7"/>
        <v>60616</v>
      </c>
      <c r="U16" s="139">
        <f t="shared" si="8"/>
        <v>94477</v>
      </c>
      <c r="V16" s="137">
        <f>BG16+BJ16</f>
        <v>154501</v>
      </c>
      <c r="W16" s="137">
        <f t="shared" si="10"/>
        <v>59593</v>
      </c>
      <c r="X16" s="137">
        <f>BH16+BI16</f>
        <v>404012</v>
      </c>
      <c r="Y16" s="137">
        <f>BK16+BL16+BN16</f>
        <v>532691</v>
      </c>
      <c r="Z16" s="137">
        <f t="shared" si="13"/>
        <v>62121</v>
      </c>
      <c r="AA16" s="137">
        <f>BO16+BQ16</f>
        <v>144117</v>
      </c>
      <c r="AB16" s="139">
        <f t="shared" si="15"/>
        <v>60422</v>
      </c>
      <c r="AC16" s="137">
        <f t="shared" si="16"/>
        <v>109948</v>
      </c>
      <c r="AD16" s="137">
        <f t="shared" si="17"/>
        <v>62596</v>
      </c>
      <c r="AE16" s="137">
        <f>BS16+BT16</f>
        <v>246228</v>
      </c>
      <c r="AF16" s="137">
        <f t="shared" si="19"/>
        <v>100409</v>
      </c>
      <c r="AG16" s="137">
        <f t="shared" si="20"/>
        <v>216439</v>
      </c>
      <c r="AH16" s="137">
        <f t="shared" si="21"/>
        <v>126493</v>
      </c>
      <c r="AI16" s="137">
        <f t="shared" si="22"/>
        <v>69569</v>
      </c>
      <c r="AJ16" s="137">
        <f t="shared" si="23"/>
        <v>69248</v>
      </c>
      <c r="AK16" s="139">
        <f t="shared" si="24"/>
        <v>71268</v>
      </c>
      <c r="AL16" s="137">
        <f t="shared" si="25"/>
        <v>87610</v>
      </c>
      <c r="AM16" s="137">
        <f t="shared" si="26"/>
        <v>93273</v>
      </c>
      <c r="AN16" s="137">
        <f t="shared" si="27"/>
        <v>140283</v>
      </c>
      <c r="AO16" s="137">
        <f t="shared" si="28"/>
        <v>137500</v>
      </c>
      <c r="AP16" s="137">
        <f t="shared" si="29"/>
        <v>95536</v>
      </c>
      <c r="AQ16" s="137">
        <f t="shared" si="30"/>
        <v>63413</v>
      </c>
      <c r="AR16" s="137">
        <f t="shared" si="31"/>
        <v>103179</v>
      </c>
      <c r="AS16" s="144">
        <f>CF16+CG16</f>
        <v>179144</v>
      </c>
      <c r="AT16" s="141">
        <v>466572</v>
      </c>
      <c r="AU16" s="141">
        <v>207544</v>
      </c>
      <c r="AV16" s="141">
        <v>250788</v>
      </c>
      <c r="AW16" s="141">
        <v>111307</v>
      </c>
      <c r="AX16" s="141">
        <v>234891</v>
      </c>
      <c r="AY16" s="137">
        <v>182357</v>
      </c>
      <c r="AZ16" s="137">
        <v>92978</v>
      </c>
      <c r="BA16" s="137">
        <v>147037</v>
      </c>
      <c r="BB16" s="137">
        <v>60616</v>
      </c>
      <c r="BC16" s="137">
        <v>94477</v>
      </c>
      <c r="BD16" s="137">
        <v>70320</v>
      </c>
      <c r="BE16" s="137">
        <v>63660</v>
      </c>
      <c r="BF16" s="139">
        <v>147940</v>
      </c>
      <c r="BG16" s="137">
        <v>42103</v>
      </c>
      <c r="BH16" s="137">
        <v>215693</v>
      </c>
      <c r="BI16" s="137">
        <v>188319</v>
      </c>
      <c r="BJ16" s="137">
        <v>112398</v>
      </c>
      <c r="BK16" s="137">
        <v>107773</v>
      </c>
      <c r="BL16" s="137">
        <v>215274</v>
      </c>
      <c r="BM16" s="137">
        <v>62121</v>
      </c>
      <c r="BN16" s="137">
        <v>209644</v>
      </c>
      <c r="BO16" s="137">
        <v>68985</v>
      </c>
      <c r="BP16" s="137">
        <v>60422</v>
      </c>
      <c r="BQ16" s="137">
        <v>75132</v>
      </c>
      <c r="BR16" s="139">
        <v>59593</v>
      </c>
      <c r="BS16" s="137">
        <v>144774</v>
      </c>
      <c r="BT16" s="137">
        <v>101454</v>
      </c>
      <c r="BU16" s="137">
        <v>62596</v>
      </c>
      <c r="BV16" s="137">
        <v>216439</v>
      </c>
      <c r="BW16" s="137">
        <v>69569</v>
      </c>
      <c r="BX16" s="137">
        <v>109948</v>
      </c>
      <c r="BY16" s="137">
        <v>69248</v>
      </c>
      <c r="BZ16" s="137">
        <v>126493</v>
      </c>
      <c r="CA16" s="137">
        <v>100409</v>
      </c>
      <c r="CB16" s="139">
        <v>71268</v>
      </c>
      <c r="CC16" s="137">
        <v>137500</v>
      </c>
      <c r="CD16" s="137">
        <v>95536</v>
      </c>
      <c r="CE16" s="137">
        <v>87610</v>
      </c>
      <c r="CF16" s="137">
        <v>109494</v>
      </c>
      <c r="CG16" s="137">
        <v>69650</v>
      </c>
      <c r="CH16" s="137">
        <v>93273</v>
      </c>
      <c r="CI16" s="137">
        <v>103179</v>
      </c>
      <c r="CJ16" s="137">
        <v>140283</v>
      </c>
      <c r="CK16" s="138">
        <v>63413</v>
      </c>
      <c r="CL16" s="140">
        <v>5520083</v>
      </c>
    </row>
    <row r="17" spans="1:90" ht="14.25">
      <c r="A17" s="80">
        <f>ROWS($A$3:A15)</f>
        <v>13</v>
      </c>
      <c r="B17" s="54" t="s">
        <v>243</v>
      </c>
      <c r="C17" s="252"/>
      <c r="D17" s="254" t="s">
        <v>3</v>
      </c>
      <c r="E17" s="256"/>
      <c r="F17" s="167">
        <f>(AT16*AT17+AU16*AU17+AV16*AV17+AW16*AW17+AX16*AX17+AY16*AY17+AZ16*AZ17+BA16*BA17+BB16*BB17+BC16*BC17+BD16*BD17+BE16*BE17+BF16*BF17)/F16</f>
        <v>5.0606097004021144</v>
      </c>
      <c r="G17" s="168">
        <f>(BG16*BG17+BH16*BH17+BI16*BI17+BJ16*BJ17+BK16*BK17+BL16*BL17+BM16*BM17+BN16*BN17+BO16*BO17+BP16*BP17+BQ16*BQ17+BR16*BR17)/G16</f>
        <v>5.8882315384300634</v>
      </c>
      <c r="H17" s="168">
        <f>(BS16*BS17+BT16*BT17+BU16*BU17+BV16*BV17+BW16*BW17+BX16*BX17+BY16*BY17+BZ16*BZ17+CA16*CA17+CB16*CB17)/H16</f>
        <v>5.0872517949110145</v>
      </c>
      <c r="I17" s="169">
        <f>(CC16*CC17+CD16*CD17+CE16*CE17+CF16*CF17+CG16*CG17+CH16*CH17+CI16*CI17+CJ16*CJ17+CK16*CK17)/I16</f>
        <v>4.3828819318664172</v>
      </c>
      <c r="J17" s="173"/>
      <c r="K17" s="170">
        <f t="shared" si="0"/>
        <v>4.8</v>
      </c>
      <c r="L17" s="171">
        <f t="shared" si="1"/>
        <v>4.5999999999999996</v>
      </c>
      <c r="M17" s="171">
        <f t="shared" si="2"/>
        <v>4.8</v>
      </c>
      <c r="N17" s="171">
        <f t="shared" si="3"/>
        <v>5</v>
      </c>
      <c r="O17" s="171">
        <f t="shared" si="4"/>
        <v>5.7</v>
      </c>
      <c r="P17" s="168">
        <f>ROUND((AZ16*AZ17/100+BA16*BA17/100)/P16%,1)</f>
        <v>5.6</v>
      </c>
      <c r="Q17" s="171">
        <f>'2007'!AU17</f>
        <v>4.8</v>
      </c>
      <c r="R17" s="168">
        <f>ROUND((AT16*AT17/100+AX16*AX17/100)/R16%,1)</f>
        <v>5.7</v>
      </c>
      <c r="S17" s="171">
        <f t="shared" si="6"/>
        <v>4.0999999999999996</v>
      </c>
      <c r="T17" s="171">
        <f t="shared" si="7"/>
        <v>3.5</v>
      </c>
      <c r="U17" s="172">
        <f t="shared" si="8"/>
        <v>4</v>
      </c>
      <c r="V17" s="168">
        <f>ROUND((BG16*BG17/100+BJ16*BJ17/100)/V16%,1)</f>
        <v>4.8</v>
      </c>
      <c r="W17" s="171">
        <f t="shared" si="10"/>
        <v>4.3</v>
      </c>
      <c r="X17" s="168">
        <f>ROUND((BH16*BH17/100+BI16*BI17/100)/X16%,1)</f>
        <v>6</v>
      </c>
      <c r="Y17" s="168">
        <f>ROUND((BK16*BK17/100+BL16*BL17/100+BN16*BN17/100)/Y16%,1)</f>
        <v>6.6</v>
      </c>
      <c r="Z17" s="171">
        <f t="shared" si="13"/>
        <v>5</v>
      </c>
      <c r="AA17" s="168">
        <f>ROUND((BO16*BO17/100+BQ16*BQ17/100)/AA16%,1)</f>
        <v>5.8</v>
      </c>
      <c r="AB17" s="172">
        <f t="shared" si="15"/>
        <v>4.7</v>
      </c>
      <c r="AC17" s="171">
        <f t="shared" si="16"/>
        <v>4.7</v>
      </c>
      <c r="AD17" s="171">
        <f t="shared" si="17"/>
        <v>3.8</v>
      </c>
      <c r="AE17" s="168">
        <f>ROUND((BS16*BS17/100+BT16*BT17/100)/AE16%,1)</f>
        <v>6.3</v>
      </c>
      <c r="AF17" s="171">
        <f t="shared" si="19"/>
        <v>5.5</v>
      </c>
      <c r="AG17" s="171">
        <f t="shared" si="20"/>
        <v>4.7</v>
      </c>
      <c r="AH17" s="171">
        <f t="shared" si="21"/>
        <v>5.3</v>
      </c>
      <c r="AI17" s="171">
        <f t="shared" si="22"/>
        <v>3.9</v>
      </c>
      <c r="AJ17" s="171">
        <f t="shared" si="23"/>
        <v>4</v>
      </c>
      <c r="AK17" s="172">
        <f t="shared" si="24"/>
        <v>5</v>
      </c>
      <c r="AL17" s="171">
        <f t="shared" si="25"/>
        <v>5.8</v>
      </c>
      <c r="AM17" s="171">
        <f t="shared" si="26"/>
        <v>3</v>
      </c>
      <c r="AN17" s="171">
        <f t="shared" si="27"/>
        <v>3.6</v>
      </c>
      <c r="AO17" s="171">
        <f t="shared" si="28"/>
        <v>4.3</v>
      </c>
      <c r="AP17" s="171">
        <f t="shared" si="29"/>
        <v>4.9000000000000004</v>
      </c>
      <c r="AQ17" s="171">
        <f t="shared" si="30"/>
        <v>5</v>
      </c>
      <c r="AR17" s="171">
        <f t="shared" si="31"/>
        <v>3.8</v>
      </c>
      <c r="AS17" s="169">
        <f>ROUND((CF16*CF17/100+CG16*CG17/100)/AS16%,1)</f>
        <v>4.9000000000000004</v>
      </c>
      <c r="AT17" s="173">
        <v>6.5</v>
      </c>
      <c r="AU17" s="173">
        <v>4.8</v>
      </c>
      <c r="AV17" s="173">
        <v>4.0999999999999996</v>
      </c>
      <c r="AW17" s="173">
        <v>5</v>
      </c>
      <c r="AX17" s="173">
        <v>4.2</v>
      </c>
      <c r="AY17" s="171">
        <v>4.5999999999999996</v>
      </c>
      <c r="AZ17" s="171">
        <v>7</v>
      </c>
      <c r="BA17" s="171">
        <v>4.7</v>
      </c>
      <c r="BB17" s="171">
        <v>3.5</v>
      </c>
      <c r="BC17" s="171">
        <v>4</v>
      </c>
      <c r="BD17" s="171">
        <v>4.8</v>
      </c>
      <c r="BE17" s="171">
        <v>5.7</v>
      </c>
      <c r="BF17" s="172">
        <v>4.8</v>
      </c>
      <c r="BG17" s="171">
        <v>6.5</v>
      </c>
      <c r="BH17" s="171">
        <v>7.2</v>
      </c>
      <c r="BI17" s="171">
        <v>4.5999999999999996</v>
      </c>
      <c r="BJ17" s="171">
        <v>4.0999999999999996</v>
      </c>
      <c r="BK17" s="171">
        <v>6.8</v>
      </c>
      <c r="BL17" s="171">
        <v>8.3000000000000007</v>
      </c>
      <c r="BM17" s="171">
        <v>5</v>
      </c>
      <c r="BN17" s="171">
        <v>4.7</v>
      </c>
      <c r="BO17" s="171">
        <v>8.1</v>
      </c>
      <c r="BP17" s="171">
        <v>4.7</v>
      </c>
      <c r="BQ17" s="171">
        <v>3.7</v>
      </c>
      <c r="BR17" s="172">
        <v>4.3</v>
      </c>
      <c r="BS17" s="171">
        <v>7.8</v>
      </c>
      <c r="BT17" s="171">
        <v>4.2</v>
      </c>
      <c r="BU17" s="171">
        <v>3.8</v>
      </c>
      <c r="BV17" s="171">
        <v>4.7</v>
      </c>
      <c r="BW17" s="171">
        <v>3.9</v>
      </c>
      <c r="BX17" s="171">
        <v>4.7</v>
      </c>
      <c r="BY17" s="171">
        <v>4</v>
      </c>
      <c r="BZ17" s="171">
        <v>5.3</v>
      </c>
      <c r="CA17" s="171">
        <v>5.5</v>
      </c>
      <c r="CB17" s="172">
        <v>5</v>
      </c>
      <c r="CC17" s="171">
        <v>4.3</v>
      </c>
      <c r="CD17" s="171">
        <v>4.9000000000000004</v>
      </c>
      <c r="CE17" s="171">
        <v>5.8</v>
      </c>
      <c r="CF17" s="171">
        <v>5.9</v>
      </c>
      <c r="CG17" s="171">
        <v>3.4</v>
      </c>
      <c r="CH17" s="171">
        <v>3</v>
      </c>
      <c r="CI17" s="171">
        <v>3.8</v>
      </c>
      <c r="CJ17" s="171">
        <v>3.6</v>
      </c>
      <c r="CK17" s="174">
        <v>5</v>
      </c>
      <c r="CL17" s="175">
        <v>4.9000000000000004</v>
      </c>
    </row>
    <row r="18" spans="1:90">
      <c r="A18" s="80">
        <f>ROWS($A$3:A16)</f>
        <v>14</v>
      </c>
      <c r="B18" s="238" t="s">
        <v>270</v>
      </c>
      <c r="C18" s="252"/>
      <c r="D18" s="254" t="s">
        <v>11</v>
      </c>
      <c r="E18" s="256"/>
      <c r="F18" s="116">
        <v>84065</v>
      </c>
      <c r="G18" s="137">
        <v>29190</v>
      </c>
      <c r="H18" s="137">
        <v>77208</v>
      </c>
      <c r="I18" s="138">
        <v>46957</v>
      </c>
      <c r="J18" s="173"/>
      <c r="K18" s="116">
        <f>BF18</f>
        <v>6256</v>
      </c>
      <c r="L18" s="137">
        <f>AY18</f>
        <v>8739</v>
      </c>
      <c r="M18" s="137">
        <f>BD18</f>
        <v>6943</v>
      </c>
      <c r="N18" s="137">
        <f>AW18</f>
        <v>2639</v>
      </c>
      <c r="O18" s="137">
        <f>BE18</f>
        <v>1814</v>
      </c>
      <c r="P18" s="143">
        <f>'2007'!AZ18+'2007'!BA18</f>
        <v>21440</v>
      </c>
      <c r="Q18" s="137">
        <f>'2007'!AU18</f>
        <v>2519</v>
      </c>
      <c r="R18" s="143">
        <f>AT18+AX18</f>
        <v>14752</v>
      </c>
      <c r="S18" s="137">
        <f>AV18</f>
        <v>4108</v>
      </c>
      <c r="T18" s="137">
        <f>BB18</f>
        <v>7702</v>
      </c>
      <c r="U18" s="139">
        <f>BC18</f>
        <v>7153</v>
      </c>
      <c r="V18" s="143">
        <f>BG18+BJ18</f>
        <v>6080</v>
      </c>
      <c r="W18" s="137">
        <f>BR18</f>
        <v>1976</v>
      </c>
      <c r="X18" s="143">
        <f>BH18+BI18</f>
        <v>5832</v>
      </c>
      <c r="Y18" s="143">
        <f>BK18+BL18+BN18</f>
        <v>7989</v>
      </c>
      <c r="Z18" s="137">
        <f>BM18</f>
        <v>3095</v>
      </c>
      <c r="AA18" s="143">
        <f>BO18+BQ18</f>
        <v>2360</v>
      </c>
      <c r="AB18" s="139">
        <f>BP18</f>
        <v>1858</v>
      </c>
      <c r="AC18" s="137">
        <f>BX18</f>
        <v>3803</v>
      </c>
      <c r="AD18" s="137">
        <f>BU18</f>
        <v>10040</v>
      </c>
      <c r="AE18" s="143">
        <f>BS18+BT18</f>
        <v>22621</v>
      </c>
      <c r="AF18" s="137">
        <f>CA18</f>
        <v>5993</v>
      </c>
      <c r="AG18" s="137">
        <f>BV18</f>
        <v>21077</v>
      </c>
      <c r="AH18" s="137">
        <f>BZ18</f>
        <v>4856</v>
      </c>
      <c r="AI18" s="137">
        <f>BW18</f>
        <v>2841</v>
      </c>
      <c r="AJ18" s="137">
        <f>BY18</f>
        <v>1487</v>
      </c>
      <c r="AK18" s="139">
        <f>CB18</f>
        <v>4490</v>
      </c>
      <c r="AL18" s="137">
        <f>CE18</f>
        <v>2263</v>
      </c>
      <c r="AM18" s="137">
        <f>CH18</f>
        <v>5995</v>
      </c>
      <c r="AN18" s="137">
        <f>CJ18</f>
        <v>9801</v>
      </c>
      <c r="AO18" s="137">
        <f>CC18</f>
        <v>3932</v>
      </c>
      <c r="AP18" s="137">
        <f>CD18</f>
        <v>1573</v>
      </c>
      <c r="AQ18" s="137">
        <f>CK18</f>
        <v>4297</v>
      </c>
      <c r="AR18" s="137">
        <f>CI18</f>
        <v>12635</v>
      </c>
      <c r="AS18" s="144">
        <f>CF18+CG18</f>
        <v>6461</v>
      </c>
      <c r="AT18" s="137">
        <v>2417</v>
      </c>
      <c r="AU18" s="137">
        <v>2519</v>
      </c>
      <c r="AV18" s="137">
        <v>4108</v>
      </c>
      <c r="AW18" s="141">
        <v>2639</v>
      </c>
      <c r="AX18" s="137">
        <v>12335</v>
      </c>
      <c r="AY18" s="137">
        <v>8739</v>
      </c>
      <c r="AZ18" s="137">
        <v>2151</v>
      </c>
      <c r="BA18" s="137">
        <v>19289</v>
      </c>
      <c r="BB18" s="137">
        <v>7702</v>
      </c>
      <c r="BC18" s="137">
        <v>7153</v>
      </c>
      <c r="BD18" s="137">
        <v>6943</v>
      </c>
      <c r="BE18" s="137">
        <v>1814</v>
      </c>
      <c r="BF18" s="139">
        <v>6256</v>
      </c>
      <c r="BG18" s="137">
        <v>1187</v>
      </c>
      <c r="BH18" s="137">
        <v>704</v>
      </c>
      <c r="BI18" s="137">
        <v>5128</v>
      </c>
      <c r="BJ18" s="137">
        <v>4893</v>
      </c>
      <c r="BK18" s="137">
        <v>774</v>
      </c>
      <c r="BL18" s="137">
        <v>453</v>
      </c>
      <c r="BM18" s="137">
        <v>3095</v>
      </c>
      <c r="BN18" s="137">
        <v>6762</v>
      </c>
      <c r="BO18" s="137">
        <v>168</v>
      </c>
      <c r="BP18" s="137">
        <v>1858</v>
      </c>
      <c r="BQ18" s="137">
        <v>2192</v>
      </c>
      <c r="BR18" s="139">
        <v>1976</v>
      </c>
      <c r="BS18" s="137">
        <v>1807</v>
      </c>
      <c r="BT18" s="137">
        <v>20814</v>
      </c>
      <c r="BU18" s="137">
        <v>10040</v>
      </c>
      <c r="BV18" s="137">
        <v>21077</v>
      </c>
      <c r="BW18" s="137">
        <v>2841</v>
      </c>
      <c r="BX18" s="137">
        <v>3803</v>
      </c>
      <c r="BY18" s="137">
        <v>1487</v>
      </c>
      <c r="BZ18" s="137">
        <v>4856</v>
      </c>
      <c r="CA18" s="137">
        <v>5993</v>
      </c>
      <c r="CB18" s="139">
        <v>4490</v>
      </c>
      <c r="CC18" s="137">
        <v>3932</v>
      </c>
      <c r="CD18" s="137">
        <v>1573</v>
      </c>
      <c r="CE18" s="137">
        <v>2263</v>
      </c>
      <c r="CF18" s="137">
        <v>491</v>
      </c>
      <c r="CG18" s="137">
        <v>5970</v>
      </c>
      <c r="CH18" s="137">
        <v>5995</v>
      </c>
      <c r="CI18" s="137">
        <v>12635</v>
      </c>
      <c r="CJ18" s="137">
        <v>9801</v>
      </c>
      <c r="CK18" s="138">
        <v>4297</v>
      </c>
      <c r="CL18" s="140">
        <v>237420</v>
      </c>
    </row>
    <row r="19" spans="1:90">
      <c r="A19" s="80">
        <f>ROWS($A$3:A17)</f>
        <v>15</v>
      </c>
      <c r="B19" s="238" t="s">
        <v>268</v>
      </c>
      <c r="C19" s="202">
        <v>2006</v>
      </c>
      <c r="D19" s="254" t="s">
        <v>11</v>
      </c>
      <c r="E19" s="278">
        <v>41491</v>
      </c>
      <c r="F19" s="302">
        <v>1476790</v>
      </c>
      <c r="G19" s="141">
        <v>962862</v>
      </c>
      <c r="H19" s="141">
        <v>706980</v>
      </c>
      <c r="I19" s="298">
        <v>594485</v>
      </c>
      <c r="J19" s="141"/>
      <c r="K19" s="116">
        <f>BF19</f>
        <v>99430</v>
      </c>
      <c r="L19" s="137">
        <f>AY19</f>
        <v>121587</v>
      </c>
      <c r="M19" s="137">
        <f>BD19</f>
        <v>44304</v>
      </c>
      <c r="N19" s="137">
        <f>AW19</f>
        <v>75129</v>
      </c>
      <c r="O19" s="137">
        <f>BE19</f>
        <v>44938</v>
      </c>
      <c r="P19" s="137">
        <f>'2007'!AZ19+'2007'!BA19</f>
        <v>157594</v>
      </c>
      <c r="Q19" s="137">
        <f>'2007'!AU19</f>
        <v>150353</v>
      </c>
      <c r="R19" s="137">
        <f>AT19+AX19</f>
        <v>501569</v>
      </c>
      <c r="S19" s="137">
        <f>AV19</f>
        <v>176912</v>
      </c>
      <c r="T19" s="137">
        <f>BB19</f>
        <v>42077</v>
      </c>
      <c r="U19" s="139">
        <f>BC19</f>
        <v>62897</v>
      </c>
      <c r="V19" s="137">
        <f>BG19+BJ19</f>
        <v>106715</v>
      </c>
      <c r="W19" s="137">
        <f>BR19</f>
        <v>39665</v>
      </c>
      <c r="X19" s="137">
        <f>BH19+BI19</f>
        <v>272323</v>
      </c>
      <c r="Y19" s="137">
        <f>BK19+BL19+BN19</f>
        <v>367188</v>
      </c>
      <c r="Z19" s="137">
        <f>BM19</f>
        <v>39166</v>
      </c>
      <c r="AA19" s="137">
        <f>BO19+BQ19</f>
        <v>99041</v>
      </c>
      <c r="AB19" s="139">
        <f>BP19</f>
        <v>38764</v>
      </c>
      <c r="AC19" s="137">
        <f>BX19</f>
        <v>74318</v>
      </c>
      <c r="AD19" s="137">
        <f>BU19</f>
        <v>40079</v>
      </c>
      <c r="AE19" s="137">
        <f>BS19+BT19</f>
        <v>157694</v>
      </c>
      <c r="AF19" s="137">
        <f>CA19</f>
        <v>65914</v>
      </c>
      <c r="AG19" s="137">
        <f>BV19</f>
        <v>143957</v>
      </c>
      <c r="AH19" s="137">
        <f>BZ19</f>
        <v>82080</v>
      </c>
      <c r="AI19" s="137">
        <f>BW19</f>
        <v>46737</v>
      </c>
      <c r="AJ19" s="137">
        <f>BY19</f>
        <v>50574</v>
      </c>
      <c r="AK19" s="139">
        <f>CB19</f>
        <v>45627</v>
      </c>
      <c r="AL19" s="137">
        <f>CE19</f>
        <v>58802</v>
      </c>
      <c r="AM19" s="137">
        <f>CH19</f>
        <v>62997</v>
      </c>
      <c r="AN19" s="137">
        <f>CJ19</f>
        <v>90848</v>
      </c>
      <c r="AO19" s="137">
        <f>CC19</f>
        <v>93321</v>
      </c>
      <c r="AP19" s="137">
        <f>CD19</f>
        <v>60449</v>
      </c>
      <c r="AQ19" s="137">
        <f>CK19</f>
        <v>38195</v>
      </c>
      <c r="AR19" s="137">
        <f>CI19</f>
        <v>69256</v>
      </c>
      <c r="AS19" s="144">
        <f>CF19+CG19</f>
        <v>120617</v>
      </c>
      <c r="AT19" s="141">
        <v>340134</v>
      </c>
      <c r="AU19" s="141">
        <v>150353</v>
      </c>
      <c r="AV19" s="141">
        <v>176912</v>
      </c>
      <c r="AW19" s="141">
        <v>75129</v>
      </c>
      <c r="AX19" s="141">
        <v>161435</v>
      </c>
      <c r="AY19" s="137">
        <v>121587</v>
      </c>
      <c r="AZ19" s="137">
        <v>58691</v>
      </c>
      <c r="BA19" s="137">
        <v>98903</v>
      </c>
      <c r="BB19" s="137">
        <v>42077</v>
      </c>
      <c r="BC19" s="137">
        <v>62897</v>
      </c>
      <c r="BD19" s="137">
        <v>44304</v>
      </c>
      <c r="BE19" s="137">
        <v>44938</v>
      </c>
      <c r="BF19" s="139">
        <v>99430</v>
      </c>
      <c r="BG19" s="137">
        <v>27539</v>
      </c>
      <c r="BH19" s="137">
        <v>149944</v>
      </c>
      <c r="BI19" s="137">
        <v>122379</v>
      </c>
      <c r="BJ19" s="137">
        <v>79176</v>
      </c>
      <c r="BK19" s="137">
        <v>75324</v>
      </c>
      <c r="BL19" s="137">
        <v>156364</v>
      </c>
      <c r="BM19" s="137">
        <v>39166</v>
      </c>
      <c r="BN19" s="137">
        <v>135500</v>
      </c>
      <c r="BO19" s="137">
        <v>47996</v>
      </c>
      <c r="BP19" s="137">
        <v>38764</v>
      </c>
      <c r="BQ19" s="137">
        <v>51045</v>
      </c>
      <c r="BR19" s="139">
        <v>39665</v>
      </c>
      <c r="BS19" s="137">
        <v>95675</v>
      </c>
      <c r="BT19" s="137">
        <v>62019</v>
      </c>
      <c r="BU19" s="137">
        <v>40079</v>
      </c>
      <c r="BV19" s="137">
        <v>143957</v>
      </c>
      <c r="BW19" s="137">
        <v>46737</v>
      </c>
      <c r="BX19" s="137">
        <v>74318</v>
      </c>
      <c r="BY19" s="137">
        <v>50574</v>
      </c>
      <c r="BZ19" s="137">
        <v>82080</v>
      </c>
      <c r="CA19" s="137">
        <v>65914</v>
      </c>
      <c r="CB19" s="139">
        <v>45627</v>
      </c>
      <c r="CC19" s="137">
        <v>93321</v>
      </c>
      <c r="CD19" s="137">
        <v>60449</v>
      </c>
      <c r="CE19" s="137">
        <v>58802</v>
      </c>
      <c r="CF19" s="137">
        <v>76737</v>
      </c>
      <c r="CG19" s="137">
        <v>43880</v>
      </c>
      <c r="CH19" s="137">
        <v>62997</v>
      </c>
      <c r="CI19" s="137">
        <v>69256</v>
      </c>
      <c r="CJ19" s="137">
        <v>90848</v>
      </c>
      <c r="CK19" s="138">
        <v>38195</v>
      </c>
      <c r="CL19" s="140">
        <v>3741117</v>
      </c>
    </row>
    <row r="20" spans="1:90">
      <c r="A20" s="80">
        <f>ROWS($A$3:A18)</f>
        <v>16</v>
      </c>
      <c r="B20" s="92" t="s">
        <v>64</v>
      </c>
      <c r="C20" s="202">
        <v>2007</v>
      </c>
      <c r="D20" s="254" t="s">
        <v>285</v>
      </c>
      <c r="E20" s="256"/>
      <c r="F20" s="116">
        <v>129934</v>
      </c>
      <c r="G20" s="137">
        <v>82841</v>
      </c>
      <c r="H20" s="137">
        <v>57339</v>
      </c>
      <c r="I20" s="138">
        <v>51075</v>
      </c>
      <c r="J20" s="141"/>
      <c r="K20" s="116">
        <f t="shared" si="0"/>
        <v>8921</v>
      </c>
      <c r="L20" s="137">
        <f t="shared" si="1"/>
        <v>10000</v>
      </c>
      <c r="M20" s="137">
        <f t="shared" si="2"/>
        <v>3645</v>
      </c>
      <c r="N20" s="137">
        <f t="shared" si="3"/>
        <v>5883</v>
      </c>
      <c r="O20" s="137">
        <f t="shared" si="4"/>
        <v>3486</v>
      </c>
      <c r="P20" s="137">
        <f>'2007'!AZ20+'2007'!BA20</f>
        <v>14337</v>
      </c>
      <c r="Q20" s="137">
        <f>'2007'!AU20</f>
        <v>14103</v>
      </c>
      <c r="R20" s="137">
        <f>AT20+AX20</f>
        <v>46181</v>
      </c>
      <c r="S20" s="137">
        <f t="shared" si="6"/>
        <v>14689</v>
      </c>
      <c r="T20" s="137">
        <f t="shared" si="7"/>
        <v>3232</v>
      </c>
      <c r="U20" s="139">
        <f t="shared" si="8"/>
        <v>5457</v>
      </c>
      <c r="V20" s="137">
        <f>BG20+BJ20</f>
        <v>8994</v>
      </c>
      <c r="W20" s="137">
        <f t="shared" si="10"/>
        <v>3347</v>
      </c>
      <c r="X20" s="137">
        <f>BH20+BI20</f>
        <v>24305</v>
      </c>
      <c r="Y20" s="137">
        <f>BK20+BL20+BN20</f>
        <v>31790</v>
      </c>
      <c r="Z20" s="137">
        <f t="shared" si="13"/>
        <v>3304</v>
      </c>
      <c r="AA20" s="137">
        <f>BO20+BQ20</f>
        <v>7932</v>
      </c>
      <c r="AB20" s="139">
        <f t="shared" si="15"/>
        <v>3170</v>
      </c>
      <c r="AC20" s="137">
        <f t="shared" si="16"/>
        <v>5663</v>
      </c>
      <c r="AD20" s="137">
        <f t="shared" si="17"/>
        <v>3142</v>
      </c>
      <c r="AE20" s="137">
        <f>BS20+BT20</f>
        <v>12189</v>
      </c>
      <c r="AF20" s="137">
        <f t="shared" si="19"/>
        <v>5373</v>
      </c>
      <c r="AG20" s="137">
        <f t="shared" si="20"/>
        <v>12085</v>
      </c>
      <c r="AH20" s="137">
        <f t="shared" si="21"/>
        <v>7142</v>
      </c>
      <c r="AI20" s="137">
        <f t="shared" si="22"/>
        <v>3906</v>
      </c>
      <c r="AJ20" s="137">
        <f t="shared" si="23"/>
        <v>4111</v>
      </c>
      <c r="AK20" s="139">
        <f t="shared" si="24"/>
        <v>3728</v>
      </c>
      <c r="AL20" s="137">
        <f t="shared" si="25"/>
        <v>4864</v>
      </c>
      <c r="AM20" s="137">
        <f t="shared" si="26"/>
        <v>5987</v>
      </c>
      <c r="AN20" s="137">
        <f t="shared" si="27"/>
        <v>7379</v>
      </c>
      <c r="AO20" s="137">
        <f t="shared" si="28"/>
        <v>7462</v>
      </c>
      <c r="AP20" s="137">
        <f t="shared" si="29"/>
        <v>4888</v>
      </c>
      <c r="AQ20" s="137">
        <f t="shared" si="30"/>
        <v>3336</v>
      </c>
      <c r="AR20" s="137">
        <f t="shared" si="31"/>
        <v>6473</v>
      </c>
      <c r="AS20" s="144">
        <f>CF20+CG20</f>
        <v>10686</v>
      </c>
      <c r="AT20" s="141">
        <v>31748</v>
      </c>
      <c r="AU20" s="141">
        <v>14103</v>
      </c>
      <c r="AV20" s="141">
        <v>14689</v>
      </c>
      <c r="AW20" s="141">
        <v>5883</v>
      </c>
      <c r="AX20" s="141">
        <v>14433</v>
      </c>
      <c r="AY20" s="137">
        <v>10000</v>
      </c>
      <c r="AZ20" s="137">
        <v>4786</v>
      </c>
      <c r="BA20" s="137">
        <v>9551</v>
      </c>
      <c r="BB20" s="137">
        <v>3232</v>
      </c>
      <c r="BC20" s="137">
        <v>5457</v>
      </c>
      <c r="BD20" s="137">
        <v>3645</v>
      </c>
      <c r="BE20" s="137">
        <v>3486</v>
      </c>
      <c r="BF20" s="139">
        <v>8921</v>
      </c>
      <c r="BG20" s="137">
        <v>2099</v>
      </c>
      <c r="BH20" s="137">
        <v>13011</v>
      </c>
      <c r="BI20" s="137">
        <v>11294</v>
      </c>
      <c r="BJ20" s="137">
        <v>6895</v>
      </c>
      <c r="BK20" s="137">
        <v>5630</v>
      </c>
      <c r="BL20" s="137">
        <v>13683</v>
      </c>
      <c r="BM20" s="137">
        <v>3304</v>
      </c>
      <c r="BN20" s="137">
        <v>12477</v>
      </c>
      <c r="BO20" s="137">
        <v>3789</v>
      </c>
      <c r="BP20" s="137">
        <v>3170</v>
      </c>
      <c r="BQ20" s="137">
        <v>4143</v>
      </c>
      <c r="BR20" s="139">
        <v>3347</v>
      </c>
      <c r="BS20" s="137">
        <v>7287</v>
      </c>
      <c r="BT20" s="137">
        <v>4902</v>
      </c>
      <c r="BU20" s="137">
        <v>3142</v>
      </c>
      <c r="BV20" s="137">
        <v>12085</v>
      </c>
      <c r="BW20" s="137">
        <v>3906</v>
      </c>
      <c r="BX20" s="137">
        <v>5663</v>
      </c>
      <c r="BY20" s="137">
        <v>4111</v>
      </c>
      <c r="BZ20" s="137">
        <v>7142</v>
      </c>
      <c r="CA20" s="137">
        <v>5373</v>
      </c>
      <c r="CB20" s="139">
        <v>3728</v>
      </c>
      <c r="CC20" s="137">
        <v>7462</v>
      </c>
      <c r="CD20" s="137">
        <v>4888</v>
      </c>
      <c r="CE20" s="137">
        <v>4864</v>
      </c>
      <c r="CF20" s="137">
        <v>6343</v>
      </c>
      <c r="CG20" s="137">
        <v>4343</v>
      </c>
      <c r="CH20" s="137">
        <v>5987</v>
      </c>
      <c r="CI20" s="137">
        <v>6473</v>
      </c>
      <c r="CJ20" s="137">
        <v>7379</v>
      </c>
      <c r="CK20" s="138">
        <v>3336</v>
      </c>
      <c r="CL20" s="140">
        <v>321189</v>
      </c>
    </row>
    <row r="21" spans="1:90">
      <c r="A21" s="80">
        <f>ROWS($A$3:A19)</f>
        <v>17</v>
      </c>
      <c r="B21" s="53" t="s">
        <v>62</v>
      </c>
      <c r="C21" s="261"/>
      <c r="D21" s="268" t="s">
        <v>3</v>
      </c>
      <c r="E21" s="269"/>
      <c r="F21" s="167">
        <f>F119/F20%</f>
        <v>0.6318592516200533</v>
      </c>
      <c r="G21" s="168">
        <f>G119/G20%</f>
        <v>0.48647408891732358</v>
      </c>
      <c r="H21" s="168">
        <f>H119/H20%</f>
        <v>0.99059976630216784</v>
      </c>
      <c r="I21" s="169">
        <f>I119/I20%</f>
        <v>1.023984336759667</v>
      </c>
      <c r="J21" s="173"/>
      <c r="K21" s="167">
        <f t="shared" ref="K21:AP21" si="34">K119/K20%</f>
        <v>0.95280798116803056</v>
      </c>
      <c r="L21" s="168">
        <f t="shared" si="34"/>
        <v>0.8</v>
      </c>
      <c r="M21" s="168">
        <f t="shared" si="34"/>
        <v>1.728395061728395</v>
      </c>
      <c r="N21" s="168">
        <f t="shared" si="34"/>
        <v>0.59493455719870814</v>
      </c>
      <c r="O21" s="168">
        <f t="shared" si="34"/>
        <v>0.91795754446356859</v>
      </c>
      <c r="P21" s="168">
        <f t="shared" si="34"/>
        <v>0.80212038780777006</v>
      </c>
      <c r="Q21" s="168">
        <f t="shared" si="34"/>
        <v>0.29780897681344393</v>
      </c>
      <c r="R21" s="168">
        <f t="shared" si="34"/>
        <v>0.32264351140079256</v>
      </c>
      <c r="S21" s="168">
        <f t="shared" si="34"/>
        <v>0.40166110695077956</v>
      </c>
      <c r="T21" s="168">
        <f t="shared" si="34"/>
        <v>1.9183168316831682</v>
      </c>
      <c r="U21" s="176">
        <f t="shared" si="34"/>
        <v>1.8141836173721826</v>
      </c>
      <c r="V21" s="168">
        <f t="shared" si="34"/>
        <v>0.67822993106515461</v>
      </c>
      <c r="W21" s="168">
        <f t="shared" si="34"/>
        <v>0.7768150582611294</v>
      </c>
      <c r="X21" s="168">
        <f t="shared" si="34"/>
        <v>0.32092162106562433</v>
      </c>
      <c r="Y21" s="168">
        <f t="shared" si="34"/>
        <v>0.3334381881094684</v>
      </c>
      <c r="Z21" s="168">
        <f t="shared" si="34"/>
        <v>1.5435835351089588</v>
      </c>
      <c r="AA21" s="168">
        <f t="shared" si="34"/>
        <v>0.47907211296016139</v>
      </c>
      <c r="AB21" s="176">
        <f t="shared" si="34"/>
        <v>1.2933753943217665</v>
      </c>
      <c r="AC21" s="168">
        <f t="shared" si="34"/>
        <v>0.70633939607981633</v>
      </c>
      <c r="AD21" s="168">
        <f t="shared" si="34"/>
        <v>1.5595162316995543</v>
      </c>
      <c r="AE21" s="168">
        <f t="shared" si="34"/>
        <v>1.0009024530314217</v>
      </c>
      <c r="AF21" s="168">
        <f t="shared" si="34"/>
        <v>0.81890936162292949</v>
      </c>
      <c r="AG21" s="168">
        <f t="shared" si="34"/>
        <v>1.1501861812163841</v>
      </c>
      <c r="AH21" s="168">
        <f t="shared" si="34"/>
        <v>1.1341360963315597</v>
      </c>
      <c r="AI21" s="168">
        <f t="shared" si="34"/>
        <v>0.8704557091653865</v>
      </c>
      <c r="AJ21" s="168">
        <f t="shared" si="34"/>
        <v>0.58379956215032835</v>
      </c>
      <c r="AK21" s="176">
        <f t="shared" si="34"/>
        <v>0.96566523605150212</v>
      </c>
      <c r="AL21" s="168">
        <f t="shared" si="34"/>
        <v>0.71957236842105265</v>
      </c>
      <c r="AM21" s="168">
        <f t="shared" si="34"/>
        <v>1.4197427760146986</v>
      </c>
      <c r="AN21" s="168">
        <f t="shared" si="34"/>
        <v>1.4907168993088493</v>
      </c>
      <c r="AO21" s="168">
        <f t="shared" si="34"/>
        <v>0.68346287858482979</v>
      </c>
      <c r="AP21" s="168">
        <f t="shared" si="34"/>
        <v>0.47054009819967263</v>
      </c>
      <c r="AQ21" s="168">
        <f t="shared" ref="AQ21:BV21" si="35">AQ119/AQ20%</f>
        <v>1.6486810551558753</v>
      </c>
      <c r="AR21" s="168">
        <f t="shared" si="35"/>
        <v>1.2976981306967401</v>
      </c>
      <c r="AS21" s="169">
        <f t="shared" si="35"/>
        <v>0.72992700729927007</v>
      </c>
      <c r="AT21" s="168">
        <f t="shared" si="35"/>
        <v>0.17953886859014739</v>
      </c>
      <c r="AU21" s="168">
        <f t="shared" si="35"/>
        <v>0.29780897681344393</v>
      </c>
      <c r="AV21" s="168">
        <f t="shared" si="35"/>
        <v>0.40166110695077956</v>
      </c>
      <c r="AW21" s="168">
        <f t="shared" si="35"/>
        <v>0.59493455719870814</v>
      </c>
      <c r="AX21" s="168">
        <f t="shared" si="35"/>
        <v>0.63742811612277417</v>
      </c>
      <c r="AY21" s="168">
        <f t="shared" si="35"/>
        <v>0.8</v>
      </c>
      <c r="AZ21" s="168">
        <f t="shared" si="35"/>
        <v>0.37609694943585459</v>
      </c>
      <c r="BA21" s="168">
        <f t="shared" si="35"/>
        <v>1.0156004606847451</v>
      </c>
      <c r="BB21" s="168">
        <f t="shared" si="35"/>
        <v>1.9183168316831682</v>
      </c>
      <c r="BC21" s="168">
        <f t="shared" si="35"/>
        <v>1.8141836173721826</v>
      </c>
      <c r="BD21" s="168">
        <f t="shared" si="35"/>
        <v>1.728395061728395</v>
      </c>
      <c r="BE21" s="168">
        <f t="shared" si="35"/>
        <v>0.91795754446356859</v>
      </c>
      <c r="BF21" s="176">
        <f t="shared" si="35"/>
        <v>0.95280798116803056</v>
      </c>
      <c r="BG21" s="168">
        <f t="shared" si="35"/>
        <v>0.76226774654597429</v>
      </c>
      <c r="BH21" s="168">
        <f t="shared" si="35"/>
        <v>0.13834447774959649</v>
      </c>
      <c r="BI21" s="168">
        <f t="shared" si="35"/>
        <v>0.53125553391181157</v>
      </c>
      <c r="BJ21" s="168">
        <f t="shared" si="35"/>
        <v>0.65264684554024655</v>
      </c>
      <c r="BK21" s="168">
        <f t="shared" si="35"/>
        <v>0.30195381882770872</v>
      </c>
      <c r="BL21" s="168">
        <f t="shared" si="35"/>
        <v>0.10962508221881165</v>
      </c>
      <c r="BM21" s="168">
        <f t="shared" si="35"/>
        <v>1.5435835351089588</v>
      </c>
      <c r="BN21" s="168">
        <f t="shared" si="35"/>
        <v>0.59309128796986454</v>
      </c>
      <c r="BO21" s="168">
        <f t="shared" si="35"/>
        <v>0.31670625494853522</v>
      </c>
      <c r="BP21" s="168">
        <f t="shared" si="35"/>
        <v>1.2933753943217665</v>
      </c>
      <c r="BQ21" s="168">
        <f t="shared" si="35"/>
        <v>0.62756456673907801</v>
      </c>
      <c r="BR21" s="176">
        <f t="shared" si="35"/>
        <v>0.7768150582611294</v>
      </c>
      <c r="BS21" s="168">
        <f t="shared" si="35"/>
        <v>0.23329216412789899</v>
      </c>
      <c r="BT21" s="168">
        <f t="shared" si="35"/>
        <v>2.1419828641370868</v>
      </c>
      <c r="BU21" s="168">
        <f t="shared" si="35"/>
        <v>1.5595162316995543</v>
      </c>
      <c r="BV21" s="168">
        <f t="shared" si="35"/>
        <v>1.1501861812163841</v>
      </c>
      <c r="BW21" s="168">
        <f t="shared" ref="BW21:CL21" si="36">BW119/BW20%</f>
        <v>0.8704557091653865</v>
      </c>
      <c r="BX21" s="168">
        <f t="shared" si="36"/>
        <v>0.70633939607981633</v>
      </c>
      <c r="BY21" s="168">
        <f t="shared" si="36"/>
        <v>0.58379956215032835</v>
      </c>
      <c r="BZ21" s="168">
        <f t="shared" si="36"/>
        <v>1.1341360963315597</v>
      </c>
      <c r="CA21" s="168">
        <f t="shared" si="36"/>
        <v>0.81890936162292949</v>
      </c>
      <c r="CB21" s="176">
        <f t="shared" si="36"/>
        <v>0.96566523605150212</v>
      </c>
      <c r="CC21" s="168">
        <f t="shared" si="36"/>
        <v>0.68346287858482979</v>
      </c>
      <c r="CD21" s="168">
        <f t="shared" si="36"/>
        <v>0.47054009819967263</v>
      </c>
      <c r="CE21" s="168">
        <f t="shared" si="36"/>
        <v>0.71957236842105265</v>
      </c>
      <c r="CF21" s="168">
        <f t="shared" si="36"/>
        <v>0.17341951757843291</v>
      </c>
      <c r="CG21" s="168">
        <f t="shared" si="36"/>
        <v>1.5427124107759613</v>
      </c>
      <c r="CH21" s="168">
        <f t="shared" si="36"/>
        <v>1.4197427760146986</v>
      </c>
      <c r="CI21" s="168">
        <f t="shared" si="36"/>
        <v>1.2976981306967401</v>
      </c>
      <c r="CJ21" s="168">
        <f t="shared" si="36"/>
        <v>1.4907168993088493</v>
      </c>
      <c r="CK21" s="169">
        <f t="shared" si="36"/>
        <v>1.6486810551558753</v>
      </c>
      <c r="CL21" s="177">
        <f t="shared" si="36"/>
        <v>0.72075942824941086</v>
      </c>
    </row>
    <row r="22" spans="1:90">
      <c r="A22" s="80">
        <f>ROWS($A$3:A20)</f>
        <v>18</v>
      </c>
      <c r="B22" s="59" t="s">
        <v>66</v>
      </c>
      <c r="C22" s="201"/>
      <c r="D22" s="268"/>
      <c r="E22" s="269"/>
      <c r="F22" s="116"/>
      <c r="G22" s="137"/>
      <c r="H22" s="137"/>
      <c r="I22" s="138"/>
      <c r="J22" s="141"/>
      <c r="K22" s="116"/>
      <c r="L22" s="137"/>
      <c r="M22" s="137"/>
      <c r="N22" s="137"/>
      <c r="O22" s="137"/>
      <c r="P22" s="137"/>
      <c r="Q22" s="137">
        <f>'2007'!AU22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C23" s="204">
        <v>2007</v>
      </c>
      <c r="D23" s="268" t="s">
        <v>13</v>
      </c>
      <c r="E23" s="256">
        <v>40695</v>
      </c>
      <c r="F23" s="116">
        <v>18213</v>
      </c>
      <c r="G23" s="137">
        <v>6647</v>
      </c>
      <c r="H23" s="137">
        <v>18128</v>
      </c>
      <c r="I23" s="138">
        <v>14061</v>
      </c>
      <c r="J23" s="141"/>
      <c r="K23" s="116">
        <f>BF23</f>
        <v>2292</v>
      </c>
      <c r="L23" s="137">
        <f>AY23</f>
        <v>1708</v>
      </c>
      <c r="M23" s="137">
        <f>BD23</f>
        <v>1904</v>
      </c>
      <c r="N23" s="137">
        <f>AW23</f>
        <v>933</v>
      </c>
      <c r="O23" s="137">
        <f>BE23</f>
        <v>663</v>
      </c>
      <c r="P23" s="137">
        <f>'2007'!AZ23+'2007'!BA23</f>
        <v>2947</v>
      </c>
      <c r="Q23" s="137">
        <f>'2007'!AU23</f>
        <v>783</v>
      </c>
      <c r="R23" s="137">
        <f t="shared" ref="R23:R29" si="37">AT23+AX23</f>
        <v>2063</v>
      </c>
      <c r="S23" s="137">
        <f>AV23</f>
        <v>851</v>
      </c>
      <c r="T23" s="137">
        <f t="shared" ref="T23:U26" si="38">BB23</f>
        <v>1584</v>
      </c>
      <c r="U23" s="139">
        <f t="shared" si="38"/>
        <v>2485</v>
      </c>
      <c r="V23" s="137">
        <f t="shared" ref="V23:V29" si="39">BG23+BJ23</f>
        <v>1004</v>
      </c>
      <c r="W23" s="137">
        <f>BR23</f>
        <v>746</v>
      </c>
      <c r="X23" s="137">
        <f t="shared" ref="X23:X29" si="40">BH23+BI23</f>
        <v>1093</v>
      </c>
      <c r="Y23" s="137">
        <f t="shared" ref="Y23:Y29" si="41">BK23+BL23+BN23</f>
        <v>1372</v>
      </c>
      <c r="Z23" s="137">
        <f>BM23</f>
        <v>1151</v>
      </c>
      <c r="AA23" s="137">
        <f t="shared" ref="AA23:AA29" si="42">BO23+BQ23</f>
        <v>593</v>
      </c>
      <c r="AB23" s="139">
        <f>BP23</f>
        <v>688</v>
      </c>
      <c r="AC23" s="137">
        <f>BX23</f>
        <v>1325</v>
      </c>
      <c r="AD23" s="137">
        <f>BU23</f>
        <v>1995</v>
      </c>
      <c r="AE23" s="137">
        <f t="shared" ref="AE23:AE29" si="43">BS23+BT23</f>
        <v>4082</v>
      </c>
      <c r="AF23" s="137">
        <f>CA23</f>
        <v>1371</v>
      </c>
      <c r="AG23" s="137">
        <f>BV23</f>
        <v>4968</v>
      </c>
      <c r="AH23" s="137">
        <f>BZ23</f>
        <v>1123</v>
      </c>
      <c r="AI23" s="137">
        <f>BW23</f>
        <v>1066</v>
      </c>
      <c r="AJ23" s="137">
        <f>BY23</f>
        <v>567</v>
      </c>
      <c r="AK23" s="139">
        <f>CB23</f>
        <v>1631</v>
      </c>
      <c r="AL23" s="137">
        <f>CE23</f>
        <v>924</v>
      </c>
      <c r="AM23" s="137">
        <f>CH23</f>
        <v>2207</v>
      </c>
      <c r="AN23" s="137">
        <f>CJ23</f>
        <v>3110</v>
      </c>
      <c r="AO23" s="137">
        <f t="shared" ref="AO23:AP26" si="44">CC23</f>
        <v>1336</v>
      </c>
      <c r="AP23" s="137">
        <f t="shared" si="44"/>
        <v>546</v>
      </c>
      <c r="AQ23" s="137">
        <f>CK23</f>
        <v>1583</v>
      </c>
      <c r="AR23" s="137">
        <f>CI23</f>
        <v>1996</v>
      </c>
      <c r="AS23" s="144">
        <f t="shared" ref="AS23:AS29" si="45">CF23+CG23</f>
        <v>2359</v>
      </c>
      <c r="AT23" s="137">
        <v>257</v>
      </c>
      <c r="AU23" s="137">
        <v>783</v>
      </c>
      <c r="AV23" s="137">
        <v>851</v>
      </c>
      <c r="AW23" s="141">
        <v>933</v>
      </c>
      <c r="AX23" s="137">
        <v>1806</v>
      </c>
      <c r="AY23" s="137">
        <v>1708</v>
      </c>
      <c r="AZ23" s="137">
        <v>216</v>
      </c>
      <c r="BA23" s="137">
        <v>2731</v>
      </c>
      <c r="BB23" s="137">
        <v>1584</v>
      </c>
      <c r="BC23" s="137">
        <v>2485</v>
      </c>
      <c r="BD23" s="137">
        <v>1904</v>
      </c>
      <c r="BE23" s="137">
        <v>663</v>
      </c>
      <c r="BF23" s="139">
        <v>2292</v>
      </c>
      <c r="BG23" s="137">
        <v>181</v>
      </c>
      <c r="BH23" s="137">
        <v>88</v>
      </c>
      <c r="BI23" s="137">
        <v>1005</v>
      </c>
      <c r="BJ23" s="137">
        <v>823</v>
      </c>
      <c r="BK23" s="137">
        <v>104</v>
      </c>
      <c r="BL23" s="137">
        <v>80</v>
      </c>
      <c r="BM23" s="137">
        <v>1151</v>
      </c>
      <c r="BN23" s="137">
        <v>1188</v>
      </c>
      <c r="BO23" s="137">
        <v>37</v>
      </c>
      <c r="BP23" s="137">
        <v>688</v>
      </c>
      <c r="BQ23" s="137">
        <v>556</v>
      </c>
      <c r="BR23" s="139">
        <v>746</v>
      </c>
      <c r="BS23" s="137">
        <v>271</v>
      </c>
      <c r="BT23" s="137">
        <v>3811</v>
      </c>
      <c r="BU23" s="137">
        <v>1995</v>
      </c>
      <c r="BV23" s="137">
        <v>4968</v>
      </c>
      <c r="BW23" s="137">
        <v>1066</v>
      </c>
      <c r="BX23" s="137">
        <v>1325</v>
      </c>
      <c r="BY23" s="137">
        <v>567</v>
      </c>
      <c r="BZ23" s="137">
        <v>1123</v>
      </c>
      <c r="CA23" s="137">
        <v>1371</v>
      </c>
      <c r="CB23" s="139">
        <v>1631</v>
      </c>
      <c r="CC23" s="137">
        <v>1336</v>
      </c>
      <c r="CD23" s="137">
        <v>546</v>
      </c>
      <c r="CE23" s="137">
        <v>924</v>
      </c>
      <c r="CF23" s="137">
        <v>146</v>
      </c>
      <c r="CG23" s="137">
        <v>2213</v>
      </c>
      <c r="CH23" s="137">
        <v>2207</v>
      </c>
      <c r="CI23" s="137">
        <v>1996</v>
      </c>
      <c r="CJ23" s="137">
        <v>3110</v>
      </c>
      <c r="CK23" s="138">
        <v>1583</v>
      </c>
      <c r="CL23" s="140">
        <v>57049</v>
      </c>
    </row>
    <row r="24" spans="1:90">
      <c r="A24" s="80">
        <f>ROWS($A$3:A22)</f>
        <v>20</v>
      </c>
      <c r="B24" s="52" t="s">
        <v>249</v>
      </c>
      <c r="C24" s="201"/>
      <c r="D24" s="268" t="s">
        <v>13</v>
      </c>
      <c r="E24" s="256">
        <v>40695</v>
      </c>
      <c r="F24" s="116">
        <f>3245+2664</f>
        <v>5909</v>
      </c>
      <c r="G24" s="137">
        <f>1077+1228</f>
        <v>2305</v>
      </c>
      <c r="H24" s="137">
        <f>3971+3685</f>
        <v>7656</v>
      </c>
      <c r="I24" s="138">
        <f>658+2103</f>
        <v>2761</v>
      </c>
      <c r="J24" s="141"/>
      <c r="K24" s="116">
        <f>BF24</f>
        <v>415</v>
      </c>
      <c r="L24" s="137">
        <f>AY24</f>
        <v>820</v>
      </c>
      <c r="M24" s="137">
        <f>BD24</f>
        <v>421</v>
      </c>
      <c r="N24" s="137">
        <f>AW24</f>
        <v>206</v>
      </c>
      <c r="O24" s="137">
        <f>BE24</f>
        <v>77</v>
      </c>
      <c r="P24" s="137">
        <f>'2007'!AZ24+'2007'!BA24</f>
        <v>1453</v>
      </c>
      <c r="Q24" s="137">
        <f>'2007'!AU24</f>
        <v>199</v>
      </c>
      <c r="R24" s="137">
        <f t="shared" si="37"/>
        <v>1090</v>
      </c>
      <c r="S24" s="137">
        <f>AV24</f>
        <v>300</v>
      </c>
      <c r="T24" s="137">
        <f t="shared" si="38"/>
        <v>528</v>
      </c>
      <c r="U24" s="139">
        <f t="shared" si="38"/>
        <v>400</v>
      </c>
      <c r="V24" s="137">
        <f t="shared" si="39"/>
        <v>631</v>
      </c>
      <c r="W24" s="137">
        <f>BR24</f>
        <v>221</v>
      </c>
      <c r="X24" s="137">
        <f t="shared" si="40"/>
        <v>394</v>
      </c>
      <c r="Y24" s="137">
        <f t="shared" si="41"/>
        <v>423</v>
      </c>
      <c r="Z24" s="137">
        <f>BM24</f>
        <v>224</v>
      </c>
      <c r="AA24" s="137">
        <f t="shared" si="42"/>
        <v>191</v>
      </c>
      <c r="AB24" s="139">
        <f>BP24</f>
        <v>221</v>
      </c>
      <c r="AC24" s="137">
        <f>BX24</f>
        <v>268</v>
      </c>
      <c r="AD24" s="137">
        <f>BU24</f>
        <v>1067</v>
      </c>
      <c r="AE24" s="137">
        <f t="shared" si="43"/>
        <v>2187</v>
      </c>
      <c r="AF24" s="137">
        <f>CA24</f>
        <v>468</v>
      </c>
      <c r="AG24" s="137">
        <f>BV24</f>
        <v>2596</v>
      </c>
      <c r="AH24" s="137">
        <f>BZ24</f>
        <v>361</v>
      </c>
      <c r="AI24" s="137">
        <f>BW24</f>
        <v>252</v>
      </c>
      <c r="AJ24" s="137">
        <f>BY24</f>
        <v>87</v>
      </c>
      <c r="AK24" s="139">
        <f>CB24</f>
        <v>370</v>
      </c>
      <c r="AL24" s="137">
        <f>CE24</f>
        <v>166</v>
      </c>
      <c r="AM24" s="137">
        <f>CH24</f>
        <v>318</v>
      </c>
      <c r="AN24" s="137">
        <f>CJ24</f>
        <v>541</v>
      </c>
      <c r="AO24" s="137">
        <f t="shared" si="44"/>
        <v>284</v>
      </c>
      <c r="AP24" s="137">
        <f t="shared" si="44"/>
        <v>144</v>
      </c>
      <c r="AQ24" s="137">
        <f>CK24</f>
        <v>277</v>
      </c>
      <c r="AR24" s="137">
        <f>CI24</f>
        <v>723</v>
      </c>
      <c r="AS24" s="144">
        <f t="shared" si="45"/>
        <v>308</v>
      </c>
      <c r="AT24" s="137">
        <f>116+46</f>
        <v>162</v>
      </c>
      <c r="AU24" s="137">
        <f>73+126</f>
        <v>199</v>
      </c>
      <c r="AV24" s="137">
        <f>123+177</f>
        <v>300</v>
      </c>
      <c r="AW24" s="141">
        <f>67+139</f>
        <v>206</v>
      </c>
      <c r="AX24" s="137">
        <f>730+198</f>
        <v>928</v>
      </c>
      <c r="AY24" s="137">
        <f>437+383</f>
        <v>820</v>
      </c>
      <c r="AZ24" s="137">
        <f>41+40</f>
        <v>81</v>
      </c>
      <c r="BA24" s="137">
        <f>1038+334</f>
        <v>1372</v>
      </c>
      <c r="BB24" s="137">
        <f>263+265</f>
        <v>528</v>
      </c>
      <c r="BC24" s="137">
        <f>40+360</f>
        <v>400</v>
      </c>
      <c r="BD24" s="137">
        <f>237+184</f>
        <v>421</v>
      </c>
      <c r="BE24" s="137">
        <f>19+58</f>
        <v>77</v>
      </c>
      <c r="BF24" s="139">
        <f>61+354</f>
        <v>415</v>
      </c>
      <c r="BG24" s="137">
        <f>110+32</f>
        <v>142</v>
      </c>
      <c r="BH24" s="137">
        <v>33</v>
      </c>
      <c r="BI24" s="137">
        <f>205+156</f>
        <v>361</v>
      </c>
      <c r="BJ24" s="137">
        <f>343+146</f>
        <v>489</v>
      </c>
      <c r="BK24" s="137">
        <v>41</v>
      </c>
      <c r="BL24" s="137">
        <v>24</v>
      </c>
      <c r="BM24" s="137">
        <f>36+188</f>
        <v>224</v>
      </c>
      <c r="BN24" s="137">
        <f>183+175</f>
        <v>358</v>
      </c>
      <c r="BO24" s="137">
        <v>20</v>
      </c>
      <c r="BP24" s="137">
        <f>23+198</f>
        <v>221</v>
      </c>
      <c r="BQ24" s="137">
        <f>79+92</f>
        <v>171</v>
      </c>
      <c r="BR24" s="139">
        <f>19+202</f>
        <v>221</v>
      </c>
      <c r="BS24" s="137">
        <f>133+38</f>
        <v>171</v>
      </c>
      <c r="BT24" s="137">
        <f>1405+611</f>
        <v>2016</v>
      </c>
      <c r="BU24" s="137">
        <f>713+354</f>
        <v>1067</v>
      </c>
      <c r="BV24" s="137">
        <f>1247+1349</f>
        <v>2596</v>
      </c>
      <c r="BW24" s="137">
        <f>17+235</f>
        <v>252</v>
      </c>
      <c r="BX24" s="137">
        <f>20+248</f>
        <v>268</v>
      </c>
      <c r="BY24" s="137">
        <f>6+81</f>
        <v>87</v>
      </c>
      <c r="BZ24" s="137">
        <f>181+180</f>
        <v>361</v>
      </c>
      <c r="CA24" s="137">
        <f>200+268</f>
        <v>468</v>
      </c>
      <c r="CB24" s="139">
        <f>49+321</f>
        <v>370</v>
      </c>
      <c r="CC24" s="137">
        <f>55+229</f>
        <v>284</v>
      </c>
      <c r="CD24" s="137">
        <f>39+105</f>
        <v>144</v>
      </c>
      <c r="CE24" s="137">
        <f>17+149</f>
        <v>166</v>
      </c>
      <c r="CF24" s="137">
        <v>35</v>
      </c>
      <c r="CG24" s="137">
        <f>50+223</f>
        <v>273</v>
      </c>
      <c r="CH24" s="137">
        <f>49+269</f>
        <v>318</v>
      </c>
      <c r="CI24" s="137">
        <f>318+405</f>
        <v>723</v>
      </c>
      <c r="CJ24" s="137">
        <f>85+456</f>
        <v>541</v>
      </c>
      <c r="CK24" s="138">
        <f>31+246</f>
        <v>277</v>
      </c>
      <c r="CL24" s="140">
        <f>8951+9680</f>
        <v>18631</v>
      </c>
    </row>
    <row r="25" spans="1:90">
      <c r="A25" s="80">
        <f>ROWS($A$3:A23)</f>
        <v>21</v>
      </c>
      <c r="B25" s="52" t="s">
        <v>250</v>
      </c>
      <c r="C25" s="201"/>
      <c r="D25" s="268" t="s">
        <v>13</v>
      </c>
      <c r="E25" s="256">
        <v>40695</v>
      </c>
      <c r="F25" s="116">
        <v>2380</v>
      </c>
      <c r="G25" s="137">
        <v>924</v>
      </c>
      <c r="H25" s="137">
        <v>3174</v>
      </c>
      <c r="I25" s="138">
        <v>1978</v>
      </c>
      <c r="J25" s="141"/>
      <c r="K25" s="116">
        <f>BF25</f>
        <v>377</v>
      </c>
      <c r="L25" s="137">
        <f>AY25</f>
        <v>262</v>
      </c>
      <c r="M25" s="137">
        <f>BD25</f>
        <v>219</v>
      </c>
      <c r="N25" s="137">
        <f>AW25</f>
        <v>126</v>
      </c>
      <c r="O25" s="137">
        <f>BE25</f>
        <v>79</v>
      </c>
      <c r="P25" s="137">
        <f>'2007'!AZ25+'2007'!BA25</f>
        <v>352</v>
      </c>
      <c r="Q25" s="137">
        <f>'2007'!AU25</f>
        <v>113</v>
      </c>
      <c r="R25" s="137">
        <f t="shared" si="37"/>
        <v>179</v>
      </c>
      <c r="S25" s="137">
        <f>AV25</f>
        <v>135</v>
      </c>
      <c r="T25" s="137">
        <f t="shared" si="38"/>
        <v>213</v>
      </c>
      <c r="U25" s="139">
        <f t="shared" si="38"/>
        <v>325</v>
      </c>
      <c r="V25" s="137">
        <f t="shared" si="39"/>
        <v>117</v>
      </c>
      <c r="W25" s="137">
        <f>BR25</f>
        <v>154</v>
      </c>
      <c r="X25" s="137">
        <f t="shared" si="40"/>
        <v>139</v>
      </c>
      <c r="Y25" s="137">
        <f t="shared" si="41"/>
        <v>144</v>
      </c>
      <c r="Z25" s="137">
        <f>BM25</f>
        <v>157</v>
      </c>
      <c r="AA25" s="137">
        <f t="shared" si="42"/>
        <v>72</v>
      </c>
      <c r="AB25" s="139">
        <f>BP25</f>
        <v>141</v>
      </c>
      <c r="AC25" s="137">
        <f>BX25</f>
        <v>222</v>
      </c>
      <c r="AD25" s="137">
        <f>BU25</f>
        <v>305</v>
      </c>
      <c r="AE25" s="137">
        <f t="shared" si="43"/>
        <v>551</v>
      </c>
      <c r="AF25" s="137">
        <f>CA25</f>
        <v>250</v>
      </c>
      <c r="AG25" s="137">
        <f>BV25</f>
        <v>1001</v>
      </c>
      <c r="AH25" s="137">
        <f>BZ25</f>
        <v>139</v>
      </c>
      <c r="AI25" s="137">
        <f>BW25</f>
        <v>229</v>
      </c>
      <c r="AJ25" s="137">
        <f>BY25</f>
        <v>106</v>
      </c>
      <c r="AK25" s="139">
        <f>CB25</f>
        <v>371</v>
      </c>
      <c r="AL25" s="137">
        <f>CE25</f>
        <v>173</v>
      </c>
      <c r="AM25" s="137">
        <f>CH25</f>
        <v>261</v>
      </c>
      <c r="AN25" s="137">
        <f>CJ25</f>
        <v>339</v>
      </c>
      <c r="AO25" s="137">
        <f t="shared" si="44"/>
        <v>223</v>
      </c>
      <c r="AP25" s="137">
        <f t="shared" si="44"/>
        <v>98</v>
      </c>
      <c r="AQ25" s="137">
        <f>CK25</f>
        <v>254</v>
      </c>
      <c r="AR25" s="137">
        <f>CI25</f>
        <v>345</v>
      </c>
      <c r="AS25" s="144">
        <f t="shared" si="45"/>
        <v>285</v>
      </c>
      <c r="AT25" s="137">
        <v>37</v>
      </c>
      <c r="AU25" s="137">
        <v>113</v>
      </c>
      <c r="AV25" s="137">
        <v>135</v>
      </c>
      <c r="AW25" s="141">
        <v>126</v>
      </c>
      <c r="AX25" s="137">
        <v>142</v>
      </c>
      <c r="AY25" s="137">
        <v>262</v>
      </c>
      <c r="AZ25" s="137">
        <v>42</v>
      </c>
      <c r="BA25" s="137">
        <v>310</v>
      </c>
      <c r="BB25" s="137">
        <v>213</v>
      </c>
      <c r="BC25" s="137">
        <v>325</v>
      </c>
      <c r="BD25" s="137">
        <v>219</v>
      </c>
      <c r="BE25" s="137">
        <v>79</v>
      </c>
      <c r="BF25" s="139">
        <v>377</v>
      </c>
      <c r="BG25" s="137">
        <v>16</v>
      </c>
      <c r="BH25" s="137">
        <v>13</v>
      </c>
      <c r="BI25" s="137">
        <v>126</v>
      </c>
      <c r="BJ25" s="137">
        <f>101</f>
        <v>101</v>
      </c>
      <c r="BK25" s="137">
        <v>12</v>
      </c>
      <c r="BL25" s="137">
        <v>6</v>
      </c>
      <c r="BM25" s="137">
        <v>157</v>
      </c>
      <c r="BN25" s="137">
        <v>126</v>
      </c>
      <c r="BO25" s="137">
        <v>3</v>
      </c>
      <c r="BP25" s="137">
        <v>141</v>
      </c>
      <c r="BQ25" s="137">
        <v>69</v>
      </c>
      <c r="BR25" s="139">
        <v>154</v>
      </c>
      <c r="BS25" s="137">
        <v>28</v>
      </c>
      <c r="BT25" s="137">
        <v>523</v>
      </c>
      <c r="BU25" s="137">
        <v>305</v>
      </c>
      <c r="BV25" s="137">
        <v>1001</v>
      </c>
      <c r="BW25" s="137">
        <v>229</v>
      </c>
      <c r="BX25" s="137">
        <v>222</v>
      </c>
      <c r="BY25" s="137">
        <v>106</v>
      </c>
      <c r="BZ25" s="137">
        <v>139</v>
      </c>
      <c r="CA25" s="137">
        <v>250</v>
      </c>
      <c r="CB25" s="139">
        <v>371</v>
      </c>
      <c r="CC25" s="137">
        <v>223</v>
      </c>
      <c r="CD25" s="137">
        <v>98</v>
      </c>
      <c r="CE25" s="137">
        <v>173</v>
      </c>
      <c r="CF25" s="137">
        <v>11</v>
      </c>
      <c r="CG25" s="137">
        <v>274</v>
      </c>
      <c r="CH25" s="137">
        <v>261</v>
      </c>
      <c r="CI25" s="137">
        <v>345</v>
      </c>
      <c r="CJ25" s="137">
        <v>339</v>
      </c>
      <c r="CK25" s="138">
        <v>254</v>
      </c>
      <c r="CL25" s="140">
        <v>8456</v>
      </c>
    </row>
    <row r="26" spans="1:90">
      <c r="A26" s="80">
        <f>ROWS($A$3:A24)</f>
        <v>22</v>
      </c>
      <c r="B26" s="52" t="s">
        <v>251</v>
      </c>
      <c r="C26" s="201"/>
      <c r="D26" s="268" t="s">
        <v>13</v>
      </c>
      <c r="E26" s="256">
        <v>40695</v>
      </c>
      <c r="F26" s="116">
        <f>1624+1371</f>
        <v>2995</v>
      </c>
      <c r="G26" s="137">
        <f>573+410</f>
        <v>983</v>
      </c>
      <c r="H26" s="137">
        <f>1755+1249</f>
        <v>3004</v>
      </c>
      <c r="I26" s="138">
        <f>1450+1499</f>
        <v>2949</v>
      </c>
      <c r="J26" s="141"/>
      <c r="K26" s="116">
        <f>BF26</f>
        <v>565</v>
      </c>
      <c r="L26" s="137">
        <f>AY26</f>
        <v>253</v>
      </c>
      <c r="M26" s="137">
        <f>BD26</f>
        <v>339</v>
      </c>
      <c r="N26" s="137">
        <f>AW26</f>
        <v>164</v>
      </c>
      <c r="O26" s="137">
        <f>BE26</f>
        <v>131</v>
      </c>
      <c r="P26" s="137">
        <f>'2007'!AZ26+'2007'!BA26</f>
        <v>317</v>
      </c>
      <c r="Q26" s="137">
        <f>'2007'!AU26</f>
        <v>157</v>
      </c>
      <c r="R26" s="137">
        <f t="shared" si="37"/>
        <v>202</v>
      </c>
      <c r="S26" s="137">
        <f>AV26</f>
        <v>126</v>
      </c>
      <c r="T26" s="137">
        <f t="shared" si="38"/>
        <v>249</v>
      </c>
      <c r="U26" s="139">
        <f t="shared" si="38"/>
        <v>492</v>
      </c>
      <c r="V26" s="137">
        <f t="shared" si="39"/>
        <v>103</v>
      </c>
      <c r="W26" s="137">
        <f>BR26</f>
        <v>120</v>
      </c>
      <c r="X26" s="137">
        <f t="shared" si="40"/>
        <v>127</v>
      </c>
      <c r="Y26" s="137">
        <f t="shared" si="41"/>
        <v>199</v>
      </c>
      <c r="Z26" s="137">
        <f>BM26</f>
        <v>220</v>
      </c>
      <c r="AA26" s="137">
        <f t="shared" si="42"/>
        <v>90</v>
      </c>
      <c r="AB26" s="139">
        <f>BP26</f>
        <v>124</v>
      </c>
      <c r="AC26" s="137">
        <f>BX26</f>
        <v>234</v>
      </c>
      <c r="AD26" s="137">
        <f>BU26</f>
        <v>324</v>
      </c>
      <c r="AE26" s="137">
        <f t="shared" si="43"/>
        <v>548</v>
      </c>
      <c r="AF26" s="137">
        <f>CA26</f>
        <v>284</v>
      </c>
      <c r="AG26" s="137">
        <f>BV26</f>
        <v>730</v>
      </c>
      <c r="AH26" s="137">
        <f>BZ26</f>
        <v>183</v>
      </c>
      <c r="AI26" s="137">
        <f>BW26</f>
        <v>210</v>
      </c>
      <c r="AJ26" s="137">
        <f>BY26</f>
        <v>125</v>
      </c>
      <c r="AK26" s="139">
        <f>CB26</f>
        <v>366</v>
      </c>
      <c r="AL26" s="137">
        <f>CE26</f>
        <v>203</v>
      </c>
      <c r="AM26" s="137">
        <f>CH26</f>
        <v>416</v>
      </c>
      <c r="AN26" s="137">
        <f>CJ26</f>
        <v>665</v>
      </c>
      <c r="AO26" s="137">
        <f t="shared" si="44"/>
        <v>290</v>
      </c>
      <c r="AP26" s="137">
        <f t="shared" si="44"/>
        <v>95</v>
      </c>
      <c r="AQ26" s="137">
        <f>CK26</f>
        <v>343</v>
      </c>
      <c r="AR26" s="137">
        <f>CI26</f>
        <v>408</v>
      </c>
      <c r="AS26" s="144">
        <f t="shared" si="45"/>
        <v>529</v>
      </c>
      <c r="AT26" s="141">
        <v>24</v>
      </c>
      <c r="AU26" s="141">
        <f>84+73</f>
        <v>157</v>
      </c>
      <c r="AV26" s="141">
        <f>70+56</f>
        <v>126</v>
      </c>
      <c r="AW26" s="141">
        <f>98+66</f>
        <v>164</v>
      </c>
      <c r="AX26" s="141">
        <f>94+84</f>
        <v>178</v>
      </c>
      <c r="AY26" s="137">
        <f>151+102</f>
        <v>253</v>
      </c>
      <c r="AZ26" s="137">
        <v>24</v>
      </c>
      <c r="BA26" s="137">
        <f>164+129</f>
        <v>293</v>
      </c>
      <c r="BB26" s="137">
        <f>131+118</f>
        <v>249</v>
      </c>
      <c r="BC26" s="137">
        <f>254+238</f>
        <v>492</v>
      </c>
      <c r="BD26" s="137">
        <f>174+165</f>
        <v>339</v>
      </c>
      <c r="BE26" s="137">
        <f>71+60</f>
        <v>131</v>
      </c>
      <c r="BF26" s="139">
        <f>306+259</f>
        <v>565</v>
      </c>
      <c r="BG26" s="137">
        <v>8</v>
      </c>
      <c r="BH26" s="137">
        <v>11</v>
      </c>
      <c r="BI26" s="137">
        <f>63+53</f>
        <v>116</v>
      </c>
      <c r="BJ26" s="137">
        <f>61+34</f>
        <v>95</v>
      </c>
      <c r="BK26" s="137">
        <v>20</v>
      </c>
      <c r="BL26" s="137">
        <v>8</v>
      </c>
      <c r="BM26" s="137">
        <f>119+101</f>
        <v>220</v>
      </c>
      <c r="BN26" s="137">
        <f>96+75</f>
        <v>171</v>
      </c>
      <c r="BO26" s="137">
        <v>2</v>
      </c>
      <c r="BP26" s="137">
        <f>75+49</f>
        <v>124</v>
      </c>
      <c r="BQ26" s="137">
        <f>58+30</f>
        <v>88</v>
      </c>
      <c r="BR26" s="139">
        <f>75+45</f>
        <v>120</v>
      </c>
      <c r="BS26" s="137">
        <f>15+12</f>
        <v>27</v>
      </c>
      <c r="BT26" s="137">
        <f>309+212</f>
        <v>521</v>
      </c>
      <c r="BU26" s="137">
        <f>202+122</f>
        <v>324</v>
      </c>
      <c r="BV26" s="137">
        <f>490+240</f>
        <v>730</v>
      </c>
      <c r="BW26" s="137">
        <f>120+90</f>
        <v>210</v>
      </c>
      <c r="BX26" s="137">
        <f>111+123</f>
        <v>234</v>
      </c>
      <c r="BY26" s="137">
        <f>62+63</f>
        <v>125</v>
      </c>
      <c r="BZ26" s="137">
        <f>100+83</f>
        <v>183</v>
      </c>
      <c r="CA26" s="137">
        <f>148+136</f>
        <v>284</v>
      </c>
      <c r="CB26" s="139">
        <f>198+168</f>
        <v>366</v>
      </c>
      <c r="CC26" s="137">
        <f>153+137</f>
        <v>290</v>
      </c>
      <c r="CD26" s="137">
        <f>51+44</f>
        <v>95</v>
      </c>
      <c r="CE26" s="137">
        <f>117+86</f>
        <v>203</v>
      </c>
      <c r="CF26" s="137">
        <v>27</v>
      </c>
      <c r="CG26" s="137">
        <f>251+251</f>
        <v>502</v>
      </c>
      <c r="CH26" s="137">
        <f>194+222</f>
        <v>416</v>
      </c>
      <c r="CI26" s="137">
        <f>226+182</f>
        <v>408</v>
      </c>
      <c r="CJ26" s="137">
        <f>287+378</f>
        <v>665</v>
      </c>
      <c r="CK26" s="138">
        <f>160+183</f>
        <v>343</v>
      </c>
      <c r="CL26" s="140">
        <f>5402+4529</f>
        <v>9931</v>
      </c>
    </row>
    <row r="27" spans="1:90">
      <c r="A27" s="80">
        <f>ROWS($A$3:A25)</f>
        <v>23</v>
      </c>
      <c r="B27" s="52" t="s">
        <v>252</v>
      </c>
      <c r="C27" s="201"/>
      <c r="D27" s="268" t="s">
        <v>13</v>
      </c>
      <c r="E27" s="256">
        <v>40695</v>
      </c>
      <c r="F27" s="116">
        <f>848+733+1253+1026</f>
        <v>3860</v>
      </c>
      <c r="G27" s="137">
        <f>254+215+339+284</f>
        <v>1092</v>
      </c>
      <c r="H27" s="137">
        <f>657+556+738+532</f>
        <v>2483</v>
      </c>
      <c r="I27" s="138">
        <f>816+720+1164+952</f>
        <v>3652</v>
      </c>
      <c r="J27" s="141"/>
      <c r="K27" s="116">
        <f>BF27</f>
        <v>506</v>
      </c>
      <c r="L27" s="137">
        <f>AY27</f>
        <v>239</v>
      </c>
      <c r="M27" s="137">
        <f>BD27</f>
        <v>499</v>
      </c>
      <c r="N27" s="137">
        <f>AW27</f>
        <v>235</v>
      </c>
      <c r="O27" s="137">
        <f>BE27</f>
        <v>176</v>
      </c>
      <c r="P27" s="137">
        <f>'2007'!AZ27+'2007'!BA27</f>
        <v>459</v>
      </c>
      <c r="Q27" s="137">
        <f>'2007'!AU27</f>
        <v>158</v>
      </c>
      <c r="R27" s="137">
        <f t="shared" si="37"/>
        <v>385</v>
      </c>
      <c r="S27" s="137">
        <f>AV27</f>
        <v>161</v>
      </c>
      <c r="T27" s="137">
        <f>BB27</f>
        <v>314</v>
      </c>
      <c r="U27" s="139">
        <f>BC27</f>
        <v>728</v>
      </c>
      <c r="V27" s="137">
        <f t="shared" si="39"/>
        <v>63</v>
      </c>
      <c r="W27" s="137">
        <f>BR27</f>
        <v>139</v>
      </c>
      <c r="X27" s="137">
        <f t="shared" si="40"/>
        <v>157</v>
      </c>
      <c r="Y27" s="137">
        <f t="shared" si="41"/>
        <v>306</v>
      </c>
      <c r="Z27" s="137">
        <f>BM27</f>
        <v>242</v>
      </c>
      <c r="AA27" s="137">
        <f t="shared" si="42"/>
        <v>95</v>
      </c>
      <c r="AB27" s="139">
        <f>BP27</f>
        <v>90</v>
      </c>
      <c r="AC27" s="137">
        <f>BX27</f>
        <v>359</v>
      </c>
      <c r="AD27" s="137">
        <f>BU27</f>
        <v>214</v>
      </c>
      <c r="AE27" s="137">
        <f t="shared" si="43"/>
        <v>554</v>
      </c>
      <c r="AF27" s="137">
        <f>CA27</f>
        <v>260</v>
      </c>
      <c r="AG27" s="137">
        <f>BV27</f>
        <v>373</v>
      </c>
      <c r="AH27" s="137">
        <f>BZ27</f>
        <v>191</v>
      </c>
      <c r="AI27" s="137">
        <f>BW27</f>
        <v>162</v>
      </c>
      <c r="AJ27" s="137">
        <f>BY27</f>
        <v>84</v>
      </c>
      <c r="AK27" s="139">
        <f>CB27</f>
        <v>286</v>
      </c>
      <c r="AL27" s="137">
        <f>CE27</f>
        <v>175</v>
      </c>
      <c r="AM27" s="137">
        <f>CH27</f>
        <v>663</v>
      </c>
      <c r="AN27" s="137">
        <f>CJ27</f>
        <v>1062</v>
      </c>
      <c r="AO27" s="137">
        <f>CC27</f>
        <v>273</v>
      </c>
      <c r="AP27" s="137">
        <f>CD27</f>
        <v>102</v>
      </c>
      <c r="AQ27" s="137">
        <f>CK27</f>
        <v>350</v>
      </c>
      <c r="AR27" s="137">
        <f>CI27</f>
        <v>371</v>
      </c>
      <c r="AS27" s="144">
        <f t="shared" si="45"/>
        <v>656</v>
      </c>
      <c r="AT27" s="141">
        <f>1+3+10+9</f>
        <v>23</v>
      </c>
      <c r="AU27" s="141">
        <f>32+25+63+38</f>
        <v>158</v>
      </c>
      <c r="AV27" s="141">
        <f>31+32+54+44</f>
        <v>161</v>
      </c>
      <c r="AW27" s="141">
        <f>50+46+74+65</f>
        <v>235</v>
      </c>
      <c r="AX27" s="141">
        <f>76+67+115+104</f>
        <v>362</v>
      </c>
      <c r="AY27" s="137">
        <f>69+47+70+53</f>
        <v>239</v>
      </c>
      <c r="AZ27" s="137">
        <f>9+8+20+12</f>
        <v>49</v>
      </c>
      <c r="BA27" s="137">
        <f>81+69+153+107</f>
        <v>410</v>
      </c>
      <c r="BB27" s="137">
        <f>76+62+86+90</f>
        <v>314</v>
      </c>
      <c r="BC27" s="137">
        <f>147+138+238+205</f>
        <v>728</v>
      </c>
      <c r="BD27" s="137">
        <f>106+106+159+128</f>
        <v>499</v>
      </c>
      <c r="BE27" s="137">
        <f>35+29+63+49</f>
        <v>176</v>
      </c>
      <c r="BF27" s="139">
        <f>135+101+148+122</f>
        <v>506</v>
      </c>
      <c r="BG27" s="137">
        <v>7</v>
      </c>
      <c r="BH27" s="137">
        <v>18</v>
      </c>
      <c r="BI27" s="137">
        <f>35+25+42+37</f>
        <v>139</v>
      </c>
      <c r="BJ27" s="137">
        <f>22+10+12+12</f>
        <v>56</v>
      </c>
      <c r="BK27" s="137">
        <v>22</v>
      </c>
      <c r="BL27" s="137">
        <v>21</v>
      </c>
      <c r="BM27" s="137">
        <f>49+58+75+60</f>
        <v>242</v>
      </c>
      <c r="BN27" s="137">
        <f>63+41+78+81</f>
        <v>263</v>
      </c>
      <c r="BO27" s="137">
        <v>4</v>
      </c>
      <c r="BP27" s="137">
        <f>17+23+31+19</f>
        <v>90</v>
      </c>
      <c r="BQ27" s="137">
        <f>19+16+28+28</f>
        <v>91</v>
      </c>
      <c r="BR27" s="139">
        <f>34+25+44+36</f>
        <v>139</v>
      </c>
      <c r="BS27" s="137">
        <v>29</v>
      </c>
      <c r="BT27" s="137">
        <f>135+137+175+78</f>
        <v>525</v>
      </c>
      <c r="BU27" s="137">
        <f>79+43+50+42</f>
        <v>214</v>
      </c>
      <c r="BV27" s="137">
        <f>136+70+94+73</f>
        <v>373</v>
      </c>
      <c r="BW27" s="137">
        <f>35+41+40+46</f>
        <v>162</v>
      </c>
      <c r="BX27" s="137">
        <f>78+87+112+82</f>
        <v>359</v>
      </c>
      <c r="BY27" s="137">
        <f>14+19+20+31</f>
        <v>84</v>
      </c>
      <c r="BZ27" s="137">
        <f>44+45+55+47</f>
        <v>191</v>
      </c>
      <c r="CA27" s="137">
        <f>68+51+89+52</f>
        <v>260</v>
      </c>
      <c r="CB27" s="139">
        <f>60+60+93+73</f>
        <v>286</v>
      </c>
      <c r="CC27" s="137">
        <f>54+50+92+77</f>
        <v>273</v>
      </c>
      <c r="CD27" s="137">
        <f>19+25+29+29</f>
        <v>102</v>
      </c>
      <c r="CE27" s="137">
        <f>48+30+54+43</f>
        <v>175</v>
      </c>
      <c r="CF27" s="137">
        <v>34</v>
      </c>
      <c r="CG27" s="137">
        <f>149+135+195+143</f>
        <v>622</v>
      </c>
      <c r="CH27" s="137">
        <f>139+121+212+191</f>
        <v>663</v>
      </c>
      <c r="CI27" s="137">
        <f>122+70+103+76</f>
        <v>371</v>
      </c>
      <c r="CJ27" s="137">
        <f>194+207+363+298</f>
        <v>1062</v>
      </c>
      <c r="CK27" s="138">
        <f>86+75+105+84</f>
        <v>350</v>
      </c>
      <c r="CL27" s="140">
        <f>2575+2224+3494+2794</f>
        <v>11087</v>
      </c>
    </row>
    <row r="28" spans="1:90">
      <c r="A28" s="80">
        <f>ROWS($A$3:A26)</f>
        <v>24</v>
      </c>
      <c r="B28" s="52" t="s">
        <v>4</v>
      </c>
      <c r="C28" s="201"/>
      <c r="D28" s="268" t="s">
        <v>13</v>
      </c>
      <c r="E28" s="256">
        <v>40695</v>
      </c>
      <c r="F28" s="116">
        <f>1563+752</f>
        <v>2315</v>
      </c>
      <c r="G28" s="137">
        <v>820</v>
      </c>
      <c r="H28" s="137">
        <v>1274</v>
      </c>
      <c r="I28" s="138">
        <v>2023</v>
      </c>
      <c r="J28" s="141"/>
      <c r="K28" s="116">
        <f t="shared" ref="K28:K33" si="46">BF28</f>
        <v>315</v>
      </c>
      <c r="L28" s="137">
        <f t="shared" ref="L28:L33" si="47">AY28</f>
        <v>104</v>
      </c>
      <c r="M28" s="137">
        <f t="shared" ref="M28:M33" si="48">BD28</f>
        <v>262</v>
      </c>
      <c r="N28" s="137">
        <f t="shared" ref="N28:N33" si="49">AW28</f>
        <v>167</v>
      </c>
      <c r="O28" s="137">
        <f t="shared" ref="O28:O33" si="50">BE28</f>
        <v>148</v>
      </c>
      <c r="P28" s="137">
        <f>'2007'!AZ28+'2007'!BA28</f>
        <v>268</v>
      </c>
      <c r="Q28" s="137">
        <f>'2007'!AU28</f>
        <v>111</v>
      </c>
      <c r="R28" s="137">
        <f t="shared" si="37"/>
        <v>180</v>
      </c>
      <c r="S28" s="137">
        <f t="shared" ref="S28:S33" si="51">AV28</f>
        <v>101</v>
      </c>
      <c r="T28" s="137">
        <f t="shared" ref="T28:U33" si="52">BB28</f>
        <v>204</v>
      </c>
      <c r="U28" s="139">
        <f t="shared" si="52"/>
        <v>455</v>
      </c>
      <c r="V28" s="137">
        <f t="shared" si="39"/>
        <v>43</v>
      </c>
      <c r="W28" s="137">
        <f t="shared" ref="W28:W33" si="53">BR28</f>
        <v>74</v>
      </c>
      <c r="X28" s="137">
        <f t="shared" si="40"/>
        <v>142</v>
      </c>
      <c r="Y28" s="137">
        <f t="shared" si="41"/>
        <v>218</v>
      </c>
      <c r="Z28" s="137">
        <f t="shared" ref="Z28:Z33" si="54">BM28</f>
        <v>175</v>
      </c>
      <c r="AA28" s="137">
        <f t="shared" si="42"/>
        <v>92</v>
      </c>
      <c r="AB28" s="139">
        <f t="shared" ref="AB28:AB33" si="55">BP28</f>
        <v>76</v>
      </c>
      <c r="AC28" s="137">
        <f t="shared" ref="AC28:AC33" si="56">BX28</f>
        <v>178</v>
      </c>
      <c r="AD28" s="137">
        <f t="shared" ref="AD28:AD33" si="57">BU28</f>
        <v>59</v>
      </c>
      <c r="AE28" s="137">
        <f t="shared" si="43"/>
        <v>197</v>
      </c>
      <c r="AF28" s="137">
        <f t="shared" ref="AF28:AF33" si="58">CA28</f>
        <v>94</v>
      </c>
      <c r="AG28" s="137">
        <f t="shared" ref="AG28:AG33" si="59">BV28</f>
        <v>184</v>
      </c>
      <c r="AH28" s="137">
        <f t="shared" ref="AH28:AH33" si="60">BZ28</f>
        <v>161</v>
      </c>
      <c r="AI28" s="137">
        <f t="shared" ref="AI28:AI33" si="61">BW28</f>
        <v>140</v>
      </c>
      <c r="AJ28" s="137">
        <f t="shared" ref="AJ28:AJ33" si="62">BY28</f>
        <v>84</v>
      </c>
      <c r="AK28" s="139">
        <f t="shared" ref="AK28:AK33" si="63">CB28</f>
        <v>177</v>
      </c>
      <c r="AL28" s="137">
        <f t="shared" ref="AL28:AL33" si="64">CE28</f>
        <v>112</v>
      </c>
      <c r="AM28" s="137">
        <f t="shared" ref="AM28:AM33" si="65">CH28</f>
        <v>430</v>
      </c>
      <c r="AN28" s="137">
        <f t="shared" ref="AN28:AN33" si="66">CJ28</f>
        <v>447</v>
      </c>
      <c r="AO28" s="137">
        <f t="shared" ref="AO28:AP33" si="67">CC28</f>
        <v>172</v>
      </c>
      <c r="AP28" s="137">
        <f t="shared" si="67"/>
        <v>45</v>
      </c>
      <c r="AQ28" s="137">
        <f t="shared" ref="AQ28:AQ33" si="68">CK28</f>
        <v>226</v>
      </c>
      <c r="AR28" s="137">
        <f t="shared" ref="AR28:AR33" si="69">CI28</f>
        <v>127</v>
      </c>
      <c r="AS28" s="144">
        <f t="shared" si="45"/>
        <v>464</v>
      </c>
      <c r="AT28" s="141">
        <v>9</v>
      </c>
      <c r="AU28" s="141">
        <f>72+39</f>
        <v>111</v>
      </c>
      <c r="AV28" s="141">
        <v>101</v>
      </c>
      <c r="AW28" s="141">
        <v>167</v>
      </c>
      <c r="AX28" s="141">
        <v>171</v>
      </c>
      <c r="AY28" s="137">
        <v>104</v>
      </c>
      <c r="AZ28" s="137">
        <v>15</v>
      </c>
      <c r="BA28" s="137">
        <v>253</v>
      </c>
      <c r="BB28" s="137">
        <v>204</v>
      </c>
      <c r="BC28" s="137">
        <v>455</v>
      </c>
      <c r="BD28" s="137">
        <v>262</v>
      </c>
      <c r="BE28" s="137">
        <f>148</f>
        <v>148</v>
      </c>
      <c r="BF28" s="139">
        <v>315</v>
      </c>
      <c r="BG28" s="137">
        <v>5</v>
      </c>
      <c r="BH28" s="137">
        <v>7</v>
      </c>
      <c r="BI28" s="137">
        <v>135</v>
      </c>
      <c r="BJ28" s="137">
        <v>38</v>
      </c>
      <c r="BK28" s="137">
        <v>8</v>
      </c>
      <c r="BL28" s="137">
        <v>16</v>
      </c>
      <c r="BM28" s="137">
        <v>175</v>
      </c>
      <c r="BN28" s="137">
        <v>194</v>
      </c>
      <c r="BO28" s="137">
        <v>4</v>
      </c>
      <c r="BP28" s="137">
        <v>76</v>
      </c>
      <c r="BQ28" s="137">
        <v>88</v>
      </c>
      <c r="BR28" s="139">
        <v>74</v>
      </c>
      <c r="BS28" s="137">
        <v>11</v>
      </c>
      <c r="BT28" s="137">
        <v>186</v>
      </c>
      <c r="BU28" s="137">
        <v>59</v>
      </c>
      <c r="BV28" s="137">
        <v>184</v>
      </c>
      <c r="BW28" s="137">
        <v>140</v>
      </c>
      <c r="BX28" s="137">
        <v>178</v>
      </c>
      <c r="BY28" s="137">
        <v>84</v>
      </c>
      <c r="BZ28" s="137">
        <v>161</v>
      </c>
      <c r="CA28" s="137">
        <v>94</v>
      </c>
      <c r="CB28" s="139">
        <v>177</v>
      </c>
      <c r="CC28" s="137">
        <v>172</v>
      </c>
      <c r="CD28" s="137">
        <v>45</v>
      </c>
      <c r="CE28" s="137">
        <v>112</v>
      </c>
      <c r="CF28" s="137">
        <v>33</v>
      </c>
      <c r="CG28" s="137">
        <v>431</v>
      </c>
      <c r="CH28" s="137">
        <v>430</v>
      </c>
      <c r="CI28" s="137">
        <v>127</v>
      </c>
      <c r="CJ28" s="137">
        <v>447</v>
      </c>
      <c r="CK28" s="138">
        <v>226</v>
      </c>
      <c r="CL28" s="140">
        <v>6432</v>
      </c>
    </row>
    <row r="29" spans="1:90">
      <c r="A29" s="80">
        <f>ROWS($A$3:A27)</f>
        <v>25</v>
      </c>
      <c r="B29" s="52" t="s">
        <v>5</v>
      </c>
      <c r="C29" s="201"/>
      <c r="D29" s="268" t="s">
        <v>13</v>
      </c>
      <c r="E29" s="256">
        <v>40695</v>
      </c>
      <c r="F29" s="116">
        <v>754</v>
      </c>
      <c r="G29" s="137">
        <v>523</v>
      </c>
      <c r="H29" s="137">
        <v>537</v>
      </c>
      <c r="I29" s="138">
        <v>698</v>
      </c>
      <c r="J29" s="141"/>
      <c r="K29" s="116">
        <f t="shared" si="46"/>
        <v>114</v>
      </c>
      <c r="L29" s="137">
        <f t="shared" si="47"/>
        <v>30</v>
      </c>
      <c r="M29" s="137">
        <f t="shared" si="48"/>
        <v>164</v>
      </c>
      <c r="N29" s="137">
        <f t="shared" si="49"/>
        <v>35</v>
      </c>
      <c r="O29" s="137">
        <f t="shared" si="50"/>
        <v>52</v>
      </c>
      <c r="P29" s="137">
        <f>'2007'!AZ29+'2007'!BA29</f>
        <v>98</v>
      </c>
      <c r="Q29" s="137">
        <f>'2007'!AU29</f>
        <v>45</v>
      </c>
      <c r="R29" s="137">
        <f t="shared" si="37"/>
        <v>27</v>
      </c>
      <c r="S29" s="137">
        <f t="shared" si="51"/>
        <v>28</v>
      </c>
      <c r="T29" s="137">
        <f t="shared" si="52"/>
        <v>76</v>
      </c>
      <c r="U29" s="139">
        <f t="shared" si="52"/>
        <v>85</v>
      </c>
      <c r="V29" s="137">
        <f t="shared" si="39"/>
        <v>47</v>
      </c>
      <c r="W29" s="137">
        <f t="shared" si="53"/>
        <v>38</v>
      </c>
      <c r="X29" s="137">
        <f t="shared" si="40"/>
        <v>134</v>
      </c>
      <c r="Y29" s="137">
        <f t="shared" si="41"/>
        <v>82</v>
      </c>
      <c r="Z29" s="137">
        <f t="shared" si="54"/>
        <v>133</v>
      </c>
      <c r="AA29" s="137">
        <f t="shared" si="42"/>
        <v>53</v>
      </c>
      <c r="AB29" s="139">
        <f t="shared" si="55"/>
        <v>36</v>
      </c>
      <c r="AC29" s="137">
        <f t="shared" si="56"/>
        <v>64</v>
      </c>
      <c r="AD29" s="137">
        <f t="shared" si="57"/>
        <v>26</v>
      </c>
      <c r="AE29" s="137">
        <f t="shared" si="43"/>
        <v>45</v>
      </c>
      <c r="AF29" s="137">
        <f t="shared" si="58"/>
        <v>15</v>
      </c>
      <c r="AG29" s="137">
        <f t="shared" si="59"/>
        <v>84</v>
      </c>
      <c r="AH29" s="137">
        <f t="shared" si="60"/>
        <v>88</v>
      </c>
      <c r="AI29" s="137">
        <f t="shared" si="61"/>
        <v>73</v>
      </c>
      <c r="AJ29" s="137">
        <f t="shared" si="62"/>
        <v>81</v>
      </c>
      <c r="AK29" s="139">
        <f t="shared" si="63"/>
        <v>61</v>
      </c>
      <c r="AL29" s="137">
        <f t="shared" si="64"/>
        <v>95</v>
      </c>
      <c r="AM29" s="137">
        <f t="shared" si="65"/>
        <v>119</v>
      </c>
      <c r="AN29" s="137">
        <f t="shared" si="66"/>
        <v>56</v>
      </c>
      <c r="AO29" s="137">
        <f t="shared" si="67"/>
        <v>94</v>
      </c>
      <c r="AP29" s="137">
        <f t="shared" si="67"/>
        <v>62</v>
      </c>
      <c r="AQ29" s="137">
        <f t="shared" si="68"/>
        <v>133</v>
      </c>
      <c r="AR29" s="137">
        <f t="shared" si="69"/>
        <v>22</v>
      </c>
      <c r="AS29" s="144">
        <f t="shared" si="45"/>
        <v>117</v>
      </c>
      <c r="AT29" s="141">
        <v>2</v>
      </c>
      <c r="AU29" s="141">
        <v>45</v>
      </c>
      <c r="AV29" s="141">
        <v>28</v>
      </c>
      <c r="AW29" s="141">
        <v>35</v>
      </c>
      <c r="AX29" s="141">
        <v>25</v>
      </c>
      <c r="AY29" s="137">
        <v>30</v>
      </c>
      <c r="AZ29" s="137">
        <v>5</v>
      </c>
      <c r="BA29" s="137">
        <v>93</v>
      </c>
      <c r="BB29" s="137">
        <v>76</v>
      </c>
      <c r="BC29" s="137">
        <v>85</v>
      </c>
      <c r="BD29" s="137">
        <v>164</v>
      </c>
      <c r="BE29" s="137">
        <v>52</v>
      </c>
      <c r="BF29" s="139">
        <v>114</v>
      </c>
      <c r="BG29" s="137">
        <v>3</v>
      </c>
      <c r="BH29" s="137">
        <v>6</v>
      </c>
      <c r="BI29" s="137">
        <v>128</v>
      </c>
      <c r="BJ29" s="137">
        <v>44</v>
      </c>
      <c r="BK29" s="137">
        <v>1</v>
      </c>
      <c r="BL29" s="137">
        <v>5</v>
      </c>
      <c r="BM29" s="137">
        <v>133</v>
      </c>
      <c r="BN29" s="137">
        <v>76</v>
      </c>
      <c r="BO29" s="137">
        <v>4</v>
      </c>
      <c r="BP29" s="137">
        <v>36</v>
      </c>
      <c r="BQ29" s="137">
        <v>49</v>
      </c>
      <c r="BR29" s="139">
        <v>38</v>
      </c>
      <c r="BS29" s="137">
        <v>5</v>
      </c>
      <c r="BT29" s="137">
        <v>40</v>
      </c>
      <c r="BU29" s="137">
        <v>26</v>
      </c>
      <c r="BV29" s="137">
        <v>84</v>
      </c>
      <c r="BW29" s="137">
        <v>73</v>
      </c>
      <c r="BX29" s="137">
        <v>64</v>
      </c>
      <c r="BY29" s="137">
        <v>81</v>
      </c>
      <c r="BZ29" s="137">
        <v>88</v>
      </c>
      <c r="CA29" s="137">
        <v>15</v>
      </c>
      <c r="CB29" s="139">
        <v>61</v>
      </c>
      <c r="CC29" s="137">
        <v>94</v>
      </c>
      <c r="CD29" s="137">
        <v>62</v>
      </c>
      <c r="CE29" s="137">
        <v>95</v>
      </c>
      <c r="CF29" s="137">
        <v>6</v>
      </c>
      <c r="CG29" s="137">
        <v>111</v>
      </c>
      <c r="CH29" s="137">
        <v>119</v>
      </c>
      <c r="CI29" s="137">
        <v>22</v>
      </c>
      <c r="CJ29" s="137">
        <v>56</v>
      </c>
      <c r="CK29" s="138">
        <v>133</v>
      </c>
      <c r="CL29" s="140">
        <v>2512</v>
      </c>
    </row>
    <row r="30" spans="1:90">
      <c r="A30" s="80">
        <f>ROWS($A$3:A28)</f>
        <v>26</v>
      </c>
      <c r="B30" s="53" t="s">
        <v>256</v>
      </c>
      <c r="C30" s="261"/>
      <c r="D30" s="268" t="s">
        <v>1</v>
      </c>
      <c r="E30" s="269"/>
      <c r="F30" s="167">
        <f>F35/F23</f>
        <v>25.940701696590349</v>
      </c>
      <c r="G30" s="168">
        <f>G35/G23</f>
        <v>30.661200541597712</v>
      </c>
      <c r="H30" s="168">
        <f>H35/H23</f>
        <v>18.05483230361871</v>
      </c>
      <c r="I30" s="169">
        <f>I35/I23</f>
        <v>30.732095868003697</v>
      </c>
      <c r="J30" s="173"/>
      <c r="K30" s="178">
        <f t="shared" si="46"/>
        <v>28.840750436300173</v>
      </c>
      <c r="L30" s="179">
        <f t="shared" si="47"/>
        <v>15.357728337236534</v>
      </c>
      <c r="M30" s="179">
        <f t="shared" si="48"/>
        <v>36.372899159663866</v>
      </c>
      <c r="N30" s="179">
        <f t="shared" si="49"/>
        <v>30.497320471597</v>
      </c>
      <c r="O30" s="179">
        <f t="shared" si="50"/>
        <v>39.758672699849171</v>
      </c>
      <c r="P30" s="168">
        <f>P35/P23</f>
        <v>20.014591109602986</v>
      </c>
      <c r="Q30" s="179">
        <f>'2007'!AU30</f>
        <v>28.835249042145595</v>
      </c>
      <c r="R30" s="168">
        <f>R35/R23</f>
        <v>17.007755695588948</v>
      </c>
      <c r="S30" s="179">
        <f t="shared" si="51"/>
        <v>23.418331374853114</v>
      </c>
      <c r="T30" s="179">
        <f t="shared" si="52"/>
        <v>26.487373737373737</v>
      </c>
      <c r="U30" s="180">
        <f t="shared" si="52"/>
        <v>31.196378269617707</v>
      </c>
      <c r="V30" s="168">
        <f>V35/V23</f>
        <v>16.553784860557769</v>
      </c>
      <c r="W30" s="179">
        <f t="shared" si="53"/>
        <v>26.178284182305632</v>
      </c>
      <c r="X30" s="168">
        <f>X35/X23</f>
        <v>36.625800548947851</v>
      </c>
      <c r="Y30" s="168">
        <f>Y35/Y23</f>
        <v>31.397959183673468</v>
      </c>
      <c r="Z30" s="179">
        <f t="shared" si="54"/>
        <v>40.707211120764555</v>
      </c>
      <c r="AA30" s="168">
        <f>AA35/AA23</f>
        <v>33.976391231028671</v>
      </c>
      <c r="AB30" s="180">
        <f t="shared" si="55"/>
        <v>25.5</v>
      </c>
      <c r="AC30" s="179">
        <f t="shared" si="56"/>
        <v>29.788679245283017</v>
      </c>
      <c r="AD30" s="179">
        <f t="shared" si="57"/>
        <v>11.494235588972431</v>
      </c>
      <c r="AE30" s="168">
        <f>AE35/AE23</f>
        <v>13.066144047035767</v>
      </c>
      <c r="AF30" s="179">
        <f t="shared" si="58"/>
        <v>17.436907366885485</v>
      </c>
      <c r="AG30" s="179">
        <f t="shared" si="59"/>
        <v>11.835950080515298</v>
      </c>
      <c r="AH30" s="179">
        <f t="shared" si="60"/>
        <v>30.728406055209263</v>
      </c>
      <c r="AI30" s="179">
        <f t="shared" si="61"/>
        <v>28.943714821763603</v>
      </c>
      <c r="AJ30" s="179">
        <f t="shared" si="62"/>
        <v>42.901234567901234</v>
      </c>
      <c r="AK30" s="180">
        <f t="shared" si="63"/>
        <v>24.014101778050275</v>
      </c>
      <c r="AL30" s="179">
        <f t="shared" si="64"/>
        <v>36.914502164502167</v>
      </c>
      <c r="AM30" s="179">
        <f t="shared" si="65"/>
        <v>35.15269596737653</v>
      </c>
      <c r="AN30" s="179">
        <f t="shared" si="66"/>
        <v>28.22636655948553</v>
      </c>
      <c r="AO30" s="179">
        <f t="shared" si="67"/>
        <v>32.446107784431135</v>
      </c>
      <c r="AP30" s="179">
        <f t="shared" si="67"/>
        <v>36.388278388278387</v>
      </c>
      <c r="AQ30" s="179">
        <f t="shared" si="68"/>
        <v>34.858496525584336</v>
      </c>
      <c r="AR30" s="179">
        <f t="shared" si="69"/>
        <v>17.063627254509019</v>
      </c>
      <c r="AS30" s="169">
        <f t="shared" ref="AS30:CL30" si="70">AS35/AS23</f>
        <v>33.994489190334889</v>
      </c>
      <c r="AT30" s="168">
        <f t="shared" si="70"/>
        <v>9.8910505836575879</v>
      </c>
      <c r="AU30" s="168">
        <f t="shared" si="70"/>
        <v>28.835249042145595</v>
      </c>
      <c r="AV30" s="168">
        <f t="shared" si="70"/>
        <v>23.418331374853114</v>
      </c>
      <c r="AW30" s="168">
        <f t="shared" si="70"/>
        <v>30.497320471597</v>
      </c>
      <c r="AX30" s="168">
        <f t="shared" si="70"/>
        <v>18.02048726467331</v>
      </c>
      <c r="AY30" s="168">
        <f t="shared" si="70"/>
        <v>15.357728337236534</v>
      </c>
      <c r="AZ30" s="168">
        <f t="shared" si="70"/>
        <v>19.356481481481481</v>
      </c>
      <c r="BA30" s="168">
        <f t="shared" si="70"/>
        <v>20.066642255584036</v>
      </c>
      <c r="BB30" s="168">
        <f t="shared" si="70"/>
        <v>26.487373737373737</v>
      </c>
      <c r="BC30" s="168">
        <f t="shared" si="70"/>
        <v>31.196378269617707</v>
      </c>
      <c r="BD30" s="168">
        <f t="shared" si="70"/>
        <v>36.372899159663866</v>
      </c>
      <c r="BE30" s="168">
        <f t="shared" si="70"/>
        <v>39.758672699849171</v>
      </c>
      <c r="BF30" s="176">
        <f t="shared" si="70"/>
        <v>28.840750436300173</v>
      </c>
      <c r="BG30" s="168">
        <f t="shared" si="70"/>
        <v>9.6408839779005522</v>
      </c>
      <c r="BH30" s="168">
        <f t="shared" si="70"/>
        <v>29.943181818181817</v>
      </c>
      <c r="BI30" s="168">
        <f t="shared" si="70"/>
        <v>37.210945273631843</v>
      </c>
      <c r="BJ30" s="168">
        <f t="shared" si="70"/>
        <v>18.074119076549209</v>
      </c>
      <c r="BK30" s="168">
        <f t="shared" si="70"/>
        <v>17.673076923076923</v>
      </c>
      <c r="BL30" s="168">
        <f t="shared" si="70"/>
        <v>34.450000000000003</v>
      </c>
      <c r="BM30" s="168">
        <f t="shared" si="70"/>
        <v>40.707211120764555</v>
      </c>
      <c r="BN30" s="168">
        <f t="shared" si="70"/>
        <v>32.393939393939391</v>
      </c>
      <c r="BO30" s="168">
        <f t="shared" si="70"/>
        <v>26.783783783783782</v>
      </c>
      <c r="BP30" s="168">
        <f t="shared" si="70"/>
        <v>25.5</v>
      </c>
      <c r="BQ30" s="168">
        <f t="shared" si="70"/>
        <v>34.455035971223019</v>
      </c>
      <c r="BR30" s="176">
        <f t="shared" si="70"/>
        <v>26.178284182305632</v>
      </c>
      <c r="BS30" s="168">
        <f t="shared" si="70"/>
        <v>13.158671586715867</v>
      </c>
      <c r="BT30" s="168">
        <f t="shared" si="70"/>
        <v>13.059564418787719</v>
      </c>
      <c r="BU30" s="168">
        <f t="shared" si="70"/>
        <v>11.494235588972431</v>
      </c>
      <c r="BV30" s="168">
        <f t="shared" si="70"/>
        <v>11.835950080515298</v>
      </c>
      <c r="BW30" s="168">
        <f t="shared" si="70"/>
        <v>28.943714821763603</v>
      </c>
      <c r="BX30" s="168">
        <f t="shared" si="70"/>
        <v>29.788679245283017</v>
      </c>
      <c r="BY30" s="168">
        <f t="shared" si="70"/>
        <v>42.901234567901234</v>
      </c>
      <c r="BZ30" s="168">
        <f t="shared" si="70"/>
        <v>30.728406055209263</v>
      </c>
      <c r="CA30" s="168">
        <f t="shared" si="70"/>
        <v>17.436907366885485</v>
      </c>
      <c r="CB30" s="176">
        <f t="shared" si="70"/>
        <v>24.014101778050275</v>
      </c>
      <c r="CC30" s="168">
        <f t="shared" si="70"/>
        <v>32.446107784431135</v>
      </c>
      <c r="CD30" s="168">
        <f t="shared" si="70"/>
        <v>36.388278388278387</v>
      </c>
      <c r="CE30" s="168">
        <f t="shared" si="70"/>
        <v>36.914502164502167</v>
      </c>
      <c r="CF30" s="168">
        <f t="shared" si="70"/>
        <v>32.739726027397261</v>
      </c>
      <c r="CG30" s="168">
        <f t="shared" si="70"/>
        <v>34.077270673294173</v>
      </c>
      <c r="CH30" s="168">
        <f t="shared" si="70"/>
        <v>35.15269596737653</v>
      </c>
      <c r="CI30" s="168">
        <f t="shared" si="70"/>
        <v>17.063627254509019</v>
      </c>
      <c r="CJ30" s="168">
        <f t="shared" si="70"/>
        <v>28.22636655948553</v>
      </c>
      <c r="CK30" s="169">
        <f t="shared" si="70"/>
        <v>34.858496525584336</v>
      </c>
      <c r="CL30" s="177">
        <f t="shared" si="70"/>
        <v>25.16576977685849</v>
      </c>
    </row>
    <row r="31" spans="1:90">
      <c r="A31" s="80">
        <f>ROWS($A$3:A29)</f>
        <v>27</v>
      </c>
      <c r="B31" s="53" t="str">
        <f>"Entwicklung Betriebe ab 5 ha LF von 2001 / "&amp;C23</f>
        <v>Entwicklung Betriebe ab 5 ha LF von 2001 / 2007</v>
      </c>
      <c r="C31" s="261"/>
      <c r="D31" s="268" t="s">
        <v>3</v>
      </c>
      <c r="E31" s="269"/>
      <c r="F31" s="142">
        <f>(F23-F24)/('2001'!F23-'2001'!F24)%-100</f>
        <v>-16.503800217155273</v>
      </c>
      <c r="G31" s="143">
        <f>(G23-G24)/('2001'!G23-'2001'!G24)%-100</f>
        <v>-14.628391663389692</v>
      </c>
      <c r="H31" s="143">
        <f>(H23-H24)/('2001'!H23-'2001'!H24)%-100</f>
        <v>-15.418786850819799</v>
      </c>
      <c r="I31" s="144">
        <f>(I23-I24)/('2001'!I23-'2001'!I24)%-100</f>
        <v>-17.614464858559344</v>
      </c>
      <c r="J31" s="141"/>
      <c r="K31" s="116">
        <f t="shared" si="46"/>
        <v>-17.603160667251984</v>
      </c>
      <c r="L31" s="137">
        <f t="shared" si="47"/>
        <v>-14.36837029893924</v>
      </c>
      <c r="M31" s="137">
        <f t="shared" si="48"/>
        <v>-19.881145326850358</v>
      </c>
      <c r="N31" s="137">
        <f t="shared" si="49"/>
        <v>-14.871194379391099</v>
      </c>
      <c r="O31" s="137">
        <f t="shared" si="50"/>
        <v>-12.406576980568019</v>
      </c>
      <c r="P31" s="143">
        <f>100-(P23%/((AZ23%)/(100-AZ31)+(BA23%)/(100-BA31)))</f>
        <v>-14.73228413599405</v>
      </c>
      <c r="Q31" s="146">
        <f>'2007'!AU31</f>
        <v>-19.11357340720221</v>
      </c>
      <c r="R31" s="143">
        <f>100-(R23%/((AT23%)/(100-AT31)+(AX23%)/(100-AX31)))</f>
        <v>-11.348012517026632</v>
      </c>
      <c r="S31" s="146">
        <f t="shared" si="51"/>
        <v>-16.388467374810318</v>
      </c>
      <c r="T31" s="146">
        <f t="shared" si="52"/>
        <v>-18.392581143740344</v>
      </c>
      <c r="U31" s="147">
        <f t="shared" si="52"/>
        <v>-17.130365659777425</v>
      </c>
      <c r="V31" s="143">
        <f>100-(V23%/((BG23%)/(100-BG31)+(BJ23%)/(100-BJ31)))</f>
        <v>-6.9569774860996887</v>
      </c>
      <c r="W31" s="146">
        <f t="shared" si="53"/>
        <v>-16.930379746835442</v>
      </c>
      <c r="X31" s="143">
        <f>100-(X23%/((BH23%)/(100-BH31)+(BI23%)/(100-BI31)))</f>
        <v>-12.625136266897684</v>
      </c>
      <c r="Y31" s="143">
        <f>100-(Y23%/((BK23%)/(100-BK31)+(BL23%)/(100-BL31)+(BN23%)/(100-BN31)))</f>
        <v>-15.221056483334152</v>
      </c>
      <c r="Z31" s="146">
        <f t="shared" si="54"/>
        <v>-15.727272727272734</v>
      </c>
      <c r="AA31" s="143">
        <f>100-(AA23%/((BO23%)/(100-BO31)+(BQ23%)/(100-BQ31)))</f>
        <v>-12.320124420285353</v>
      </c>
      <c r="AB31" s="147">
        <f t="shared" si="55"/>
        <v>-18.641114982578401</v>
      </c>
      <c r="AC31" s="146">
        <f t="shared" si="56"/>
        <v>-17.163009404388717</v>
      </c>
      <c r="AD31" s="146">
        <f t="shared" si="57"/>
        <v>-12.121212121212125</v>
      </c>
      <c r="AE31" s="143">
        <f>100-(AE23%/((BS23%)/(100-BS31)+(BT23%)/(100-BT31)))</f>
        <v>-13.098800393925458</v>
      </c>
      <c r="AF31" s="146">
        <f t="shared" si="58"/>
        <v>-15.843429636533088</v>
      </c>
      <c r="AG31" s="146">
        <f t="shared" si="59"/>
        <v>-13.049853372434015</v>
      </c>
      <c r="AH31" s="146">
        <f t="shared" si="60"/>
        <v>-17.083786724700758</v>
      </c>
      <c r="AI31" s="146">
        <f t="shared" si="61"/>
        <v>-17.694641051567245</v>
      </c>
      <c r="AJ31" s="146">
        <f t="shared" si="62"/>
        <v>-20</v>
      </c>
      <c r="AK31" s="147">
        <f t="shared" si="63"/>
        <v>-19.166666666666671</v>
      </c>
      <c r="AL31" s="146">
        <f t="shared" si="64"/>
        <v>-18.142548596112306</v>
      </c>
      <c r="AM31" s="146">
        <f t="shared" si="65"/>
        <v>-18.154246100519927</v>
      </c>
      <c r="AN31" s="146">
        <f t="shared" si="66"/>
        <v>-15.493421052631575</v>
      </c>
      <c r="AO31" s="146">
        <f t="shared" si="67"/>
        <v>-18.827160493827165</v>
      </c>
      <c r="AP31" s="146">
        <f t="shared" si="67"/>
        <v>-19.114688128772627</v>
      </c>
      <c r="AQ31" s="146">
        <f t="shared" si="68"/>
        <v>-19.531731361675909</v>
      </c>
      <c r="AR31" s="146">
        <f t="shared" si="69"/>
        <v>-14.391392064559511</v>
      </c>
      <c r="AS31" s="144">
        <f>100-(AS23%/((CF23%)/(100-CF31)+(CG23%)/(100-CG31)))</f>
        <v>-19.222851443449017</v>
      </c>
      <c r="AT31" s="146">
        <f>(AT23-AT24)/('2001'!AT23-'2001'!AT24)%-100</f>
        <v>-3.0612244897959187</v>
      </c>
      <c r="AU31" s="141">
        <f>(AU23-AU24)/('2001'!AU23-'2001'!AU24)%-100</f>
        <v>-19.11357340720221</v>
      </c>
      <c r="AV31" s="141">
        <f>(AV23-AV24)/('2001'!AV23-'2001'!AV24)%-100</f>
        <v>-16.388467374810318</v>
      </c>
      <c r="AW31" s="141">
        <f>(AW23-AW24)/('2001'!AW23-'2001'!AW24)%-100</f>
        <v>-14.871194379391099</v>
      </c>
      <c r="AX31" s="141">
        <f>(AX23-AX24)/('2001'!AX23-'2001'!AX24)%-100</f>
        <v>-12.636815920398021</v>
      </c>
      <c r="AY31" s="137">
        <f>(AY23-AY24)/('2001'!AY23-'2001'!AY24)%-100</f>
        <v>-14.36837029893924</v>
      </c>
      <c r="AZ31" s="137">
        <f>(AZ23-AZ24)/('2001'!AZ23-'2001'!AZ24)%-100</f>
        <v>-16.666666666666671</v>
      </c>
      <c r="BA31" s="137">
        <f>(BA23-BA24)/('2001'!BA23-'2001'!BA24)%-100</f>
        <v>-14.582023884349468</v>
      </c>
      <c r="BB31" s="137">
        <f>(BB23-BB24)/('2001'!BB23-'2001'!BB24)%-100</f>
        <v>-18.392581143740344</v>
      </c>
      <c r="BC31" s="137">
        <f>(BC23-BC24)/('2001'!BC23-'2001'!BC24)%-100</f>
        <v>-17.130365659777425</v>
      </c>
      <c r="BD31" s="137">
        <f>(BD23-BD24)/('2001'!BD23-'2001'!BD24)%-100</f>
        <v>-19.881145326850358</v>
      </c>
      <c r="BE31" s="137">
        <f>(BE23-BE24)/('2001'!BE23-'2001'!BE24)%-100</f>
        <v>-12.406576980568019</v>
      </c>
      <c r="BF31" s="139">
        <f>(BF23-BF24)/('2001'!BF23-'2001'!BF24)%-100</f>
        <v>-17.603160667251984</v>
      </c>
      <c r="BG31" s="137">
        <f>(BG23-BG24)/('2001'!BG23-'2001'!BG24)%-100</f>
        <v>-13.333333333333329</v>
      </c>
      <c r="BH31" s="137">
        <f>(BH23-BH24)/('2001'!BH23-'2001'!BH24)%-100</f>
        <v>-12.698412698412696</v>
      </c>
      <c r="BI31" s="137">
        <f>(BI23-BI24)/('2001'!BI23-'2001'!BI24)%-100</f>
        <v>-12.618724559023065</v>
      </c>
      <c r="BJ31" s="137">
        <f>(BJ23-BJ24)/('2001'!BJ23-'2001'!BJ24)%-100</f>
        <v>-5.6497175141242906</v>
      </c>
      <c r="BK31" s="137">
        <f>(BK23-BK24)/('2001'!BK23-'2001'!BK24)%-100</f>
        <v>-7.3529411764705941</v>
      </c>
      <c r="BL31" s="137">
        <f>(BL23-BL24)/('2001'!BL23-'2001'!BL24)%-100</f>
        <v>-24.324324324324323</v>
      </c>
      <c r="BM31" s="137">
        <f>(BM23-BM24)/('2001'!BM23-'2001'!BM24)%-100</f>
        <v>-15.727272727272734</v>
      </c>
      <c r="BN31" s="137">
        <f>(BN23-BN24)/('2001'!BN23-'2001'!BN24)%-100</f>
        <v>-15.392456676860348</v>
      </c>
      <c r="BO31" s="137">
        <f>(BO23-BO24)/('2001'!BO23-'2001'!BO24)%-100</f>
        <v>-19.047619047619051</v>
      </c>
      <c r="BP31" s="137">
        <f>(BP23-BP24)/('2001'!BP23-'2001'!BP24)%-100</f>
        <v>-18.641114982578401</v>
      </c>
      <c r="BQ31" s="137">
        <f>(BQ23-BQ24)/('2001'!BQ23-'2001'!BQ24)%-100</f>
        <v>-11.899313501144164</v>
      </c>
      <c r="BR31" s="139">
        <f>(BR23-BR24)/('2001'!BR23-'2001'!BR24)%-100</f>
        <v>-16.930379746835442</v>
      </c>
      <c r="BS31" s="137">
        <f>(BS23-BS24)/('2001'!BS23-'2001'!BS24)%-100</f>
        <v>-15.254237288135585</v>
      </c>
      <c r="BT31" s="137">
        <f>(BT23-BT24)/('2001'!BT23-'2001'!BT24)%-100</f>
        <v>-12.948593598448113</v>
      </c>
      <c r="BU31" s="137">
        <f>(BU23-BU24)/('2001'!BU23-'2001'!BU24)%-100</f>
        <v>-12.121212121212125</v>
      </c>
      <c r="BV31" s="137">
        <f>(BV23-BV24)/('2001'!BV23-'2001'!BV24)%-100</f>
        <v>-13.049853372434015</v>
      </c>
      <c r="BW31" s="137">
        <f>(BW23-BW24)/('2001'!BW23-'2001'!BW24)%-100</f>
        <v>-17.694641051567245</v>
      </c>
      <c r="BX31" s="137">
        <f>(BX23-BX24)/('2001'!BX23-'2001'!BX24)%-100</f>
        <v>-17.163009404388717</v>
      </c>
      <c r="BY31" s="137">
        <f>(BY23-BY24)/('2001'!BY23-'2001'!BY24)%-100</f>
        <v>-20</v>
      </c>
      <c r="BZ31" s="137">
        <f>(BZ23-BZ24)/('2001'!BZ23-'2001'!BZ24)%-100</f>
        <v>-17.083786724700758</v>
      </c>
      <c r="CA31" s="137">
        <f>(CA23-CA24)/('2001'!CA23-'2001'!CA24)%-100</f>
        <v>-15.843429636533088</v>
      </c>
      <c r="CB31" s="139">
        <f>(CB23-CB24)/('2001'!CB23-'2001'!CB24)%-100</f>
        <v>-19.166666666666671</v>
      </c>
      <c r="CC31" s="137">
        <f>(CC23-CC24)/('2001'!CC23-'2001'!CC24)%-100</f>
        <v>-18.827160493827165</v>
      </c>
      <c r="CD31" s="137">
        <f>(CD23-CD24)/('2001'!CD23-'2001'!CD24)%-100</f>
        <v>-19.114688128772627</v>
      </c>
      <c r="CE31" s="137">
        <f>(CE23-CE24)/('2001'!CE23-'2001'!CE24)%-100</f>
        <v>-18.142548596112306</v>
      </c>
      <c r="CF31" s="137">
        <f>(CF23-CF24)/('2001'!CF23-'2001'!CF24)%-100</f>
        <v>-19.565217391304344</v>
      </c>
      <c r="CG31" s="137">
        <f>(CG23-CG24)/('2001'!CG23-'2001'!CG24)%-100</f>
        <v>-19.200333194502292</v>
      </c>
      <c r="CH31" s="137">
        <f>(CH23-CH24)/('2001'!CH23-'2001'!CH24)%-100</f>
        <v>-18.154246100519927</v>
      </c>
      <c r="CI31" s="137">
        <f>(CI23-CI24)/('2001'!CI23-'2001'!CI24)%-100</f>
        <v>-14.391392064559511</v>
      </c>
      <c r="CJ31" s="137">
        <f>(CJ23-CJ24)/('2001'!CJ23-'2001'!CJ24)%-100</f>
        <v>-15.493421052631575</v>
      </c>
      <c r="CK31" s="138">
        <f>(CK23-CK24)/('2001'!CK23-'2001'!CK24)%-100</f>
        <v>-19.531731361675909</v>
      </c>
      <c r="CL31" s="140">
        <f>(CL23-CL24)/('2001'!CL23-'2001'!CL24)%-100</f>
        <v>-16.335286047170015</v>
      </c>
    </row>
    <row r="32" spans="1:90">
      <c r="A32" s="80">
        <f>ROWS($A$3:A30)</f>
        <v>28</v>
      </c>
      <c r="B32" s="53" t="s">
        <v>170</v>
      </c>
      <c r="C32" s="261"/>
      <c r="D32" s="268" t="s">
        <v>3</v>
      </c>
      <c r="E32" s="269"/>
      <c r="F32" s="116">
        <v>37</v>
      </c>
      <c r="G32" s="137">
        <v>31</v>
      </c>
      <c r="H32" s="137">
        <v>28</v>
      </c>
      <c r="I32" s="138">
        <v>42</v>
      </c>
      <c r="J32" s="141"/>
      <c r="K32" s="116">
        <f t="shared" si="46"/>
        <v>35</v>
      </c>
      <c r="L32" s="137">
        <f t="shared" si="47"/>
        <v>35</v>
      </c>
      <c r="M32" s="137">
        <f t="shared" si="48"/>
        <v>34</v>
      </c>
      <c r="N32" s="137">
        <f t="shared" si="49"/>
        <v>42</v>
      </c>
      <c r="O32" s="137">
        <f t="shared" si="50"/>
        <v>41</v>
      </c>
      <c r="P32" s="143">
        <f>(AZ23*AZ32+BA23*BA32)/P23</f>
        <v>40.539192399049881</v>
      </c>
      <c r="Q32" s="146">
        <f>'2007'!AU32</f>
        <v>30</v>
      </c>
      <c r="R32" s="143">
        <f>(AT23*AT32+AX23*AX32)/R23</f>
        <v>40.989820649539503</v>
      </c>
      <c r="S32" s="146">
        <f t="shared" si="51"/>
        <v>35</v>
      </c>
      <c r="T32" s="146">
        <f t="shared" si="52"/>
        <v>38</v>
      </c>
      <c r="U32" s="147">
        <f t="shared" si="52"/>
        <v>47</v>
      </c>
      <c r="V32" s="143">
        <f>(BG23*BG32+BJ23*BJ32)/V23</f>
        <v>16.819721115537849</v>
      </c>
      <c r="W32" s="146">
        <f t="shared" si="53"/>
        <v>25</v>
      </c>
      <c r="X32" s="143">
        <f>(BH23*BH32+BI23*BI32)/X23</f>
        <v>33.724611161939613</v>
      </c>
      <c r="Y32" s="143">
        <f>(BK23*BK32+BL23*BL32+BN23*BN32)/Y23</f>
        <v>43.571428571428569</v>
      </c>
      <c r="Z32" s="146">
        <f t="shared" si="54"/>
        <v>33</v>
      </c>
      <c r="AA32" s="143">
        <f>(BO23*BO32+BQ23*BQ32)/AA23</f>
        <v>32.18549747048904</v>
      </c>
      <c r="AB32" s="147">
        <f t="shared" si="55"/>
        <v>26</v>
      </c>
      <c r="AC32" s="146">
        <f t="shared" si="56"/>
        <v>36</v>
      </c>
      <c r="AD32" s="146">
        <f t="shared" si="57"/>
        <v>28</v>
      </c>
      <c r="AE32" s="143">
        <f>(BS23*BS32+BT23*BT32)/AE23</f>
        <v>32.132778049975499</v>
      </c>
      <c r="AF32" s="146">
        <f t="shared" si="58"/>
        <v>29</v>
      </c>
      <c r="AG32" s="146">
        <f t="shared" si="59"/>
        <v>30</v>
      </c>
      <c r="AH32" s="146">
        <f t="shared" si="60"/>
        <v>45</v>
      </c>
      <c r="AI32" s="146">
        <f t="shared" si="61"/>
        <v>26</v>
      </c>
      <c r="AJ32" s="146">
        <f t="shared" si="62"/>
        <v>26</v>
      </c>
      <c r="AK32" s="147">
        <f t="shared" si="63"/>
        <v>27</v>
      </c>
      <c r="AL32" s="146">
        <f t="shared" si="64"/>
        <v>23</v>
      </c>
      <c r="AM32" s="146">
        <f t="shared" si="65"/>
        <v>49</v>
      </c>
      <c r="AN32" s="146">
        <f t="shared" si="66"/>
        <v>59</v>
      </c>
      <c r="AO32" s="146">
        <f t="shared" si="67"/>
        <v>28</v>
      </c>
      <c r="AP32" s="146">
        <f t="shared" si="67"/>
        <v>24</v>
      </c>
      <c r="AQ32" s="146">
        <f t="shared" si="68"/>
        <v>34</v>
      </c>
      <c r="AR32" s="146">
        <f t="shared" si="69"/>
        <v>48</v>
      </c>
      <c r="AS32" s="144">
        <f>(CF23*CF32+CG23*CG32)/AS23</f>
        <v>41.433234421364986</v>
      </c>
      <c r="AT32" s="146">
        <v>62</v>
      </c>
      <c r="AU32" s="141">
        <v>30</v>
      </c>
      <c r="AV32" s="141">
        <v>35</v>
      </c>
      <c r="AW32" s="141">
        <v>42</v>
      </c>
      <c r="AX32" s="141">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c r="A33" s="80">
        <f>ROWS($A$3:A31)</f>
        <v>29</v>
      </c>
      <c r="B33" s="53" t="s">
        <v>68</v>
      </c>
      <c r="C33" s="261"/>
      <c r="D33" s="268" t="s">
        <v>3</v>
      </c>
      <c r="E33" s="269"/>
      <c r="F33" s="142">
        <f>100-F32</f>
        <v>63</v>
      </c>
      <c r="G33" s="143">
        <f>100-G32</f>
        <v>69</v>
      </c>
      <c r="H33" s="143">
        <f>100-H32</f>
        <v>72</v>
      </c>
      <c r="I33" s="144">
        <f>100-I32</f>
        <v>58</v>
      </c>
      <c r="J33" s="141"/>
      <c r="K33" s="145">
        <f t="shared" si="46"/>
        <v>65</v>
      </c>
      <c r="L33" s="146">
        <f t="shared" si="47"/>
        <v>65</v>
      </c>
      <c r="M33" s="146">
        <f t="shared" si="48"/>
        <v>66</v>
      </c>
      <c r="N33" s="146">
        <f t="shared" si="49"/>
        <v>58</v>
      </c>
      <c r="O33" s="146">
        <f t="shared" si="50"/>
        <v>59</v>
      </c>
      <c r="P33" s="143">
        <f>100-P32</f>
        <v>59.460807600950119</v>
      </c>
      <c r="Q33" s="146">
        <f>'2007'!AU33</f>
        <v>70</v>
      </c>
      <c r="R33" s="143">
        <f>100-R32</f>
        <v>59.010179350460497</v>
      </c>
      <c r="S33" s="146">
        <f t="shared" si="51"/>
        <v>65</v>
      </c>
      <c r="T33" s="146">
        <f t="shared" si="52"/>
        <v>62</v>
      </c>
      <c r="U33" s="147">
        <f t="shared" si="52"/>
        <v>53</v>
      </c>
      <c r="V33" s="143">
        <f>100-V32</f>
        <v>83.180278884462155</v>
      </c>
      <c r="W33" s="146">
        <f t="shared" si="53"/>
        <v>75</v>
      </c>
      <c r="X33" s="143">
        <f>100-X32</f>
        <v>66.275388838060394</v>
      </c>
      <c r="Y33" s="143">
        <f>100-Y32</f>
        <v>56.428571428571431</v>
      </c>
      <c r="Z33" s="146">
        <f t="shared" si="54"/>
        <v>67</v>
      </c>
      <c r="AA33" s="143">
        <f>100-AA32</f>
        <v>67.81450252951096</v>
      </c>
      <c r="AB33" s="147">
        <f t="shared" si="55"/>
        <v>74</v>
      </c>
      <c r="AC33" s="146">
        <f t="shared" si="56"/>
        <v>64</v>
      </c>
      <c r="AD33" s="146">
        <f t="shared" si="57"/>
        <v>72</v>
      </c>
      <c r="AE33" s="143">
        <f>100-AE32</f>
        <v>67.867221950024501</v>
      </c>
      <c r="AF33" s="146">
        <f t="shared" si="58"/>
        <v>71</v>
      </c>
      <c r="AG33" s="146">
        <f t="shared" si="59"/>
        <v>70</v>
      </c>
      <c r="AH33" s="146">
        <f t="shared" si="60"/>
        <v>55</v>
      </c>
      <c r="AI33" s="146">
        <f t="shared" si="61"/>
        <v>74</v>
      </c>
      <c r="AJ33" s="146">
        <f t="shared" si="62"/>
        <v>74</v>
      </c>
      <c r="AK33" s="147">
        <f t="shared" si="63"/>
        <v>73</v>
      </c>
      <c r="AL33" s="146">
        <f t="shared" si="64"/>
        <v>77</v>
      </c>
      <c r="AM33" s="146">
        <f t="shared" si="65"/>
        <v>51</v>
      </c>
      <c r="AN33" s="146">
        <f t="shared" si="66"/>
        <v>41</v>
      </c>
      <c r="AO33" s="146">
        <f t="shared" si="67"/>
        <v>72</v>
      </c>
      <c r="AP33" s="146">
        <f t="shared" si="67"/>
        <v>76</v>
      </c>
      <c r="AQ33" s="146">
        <f t="shared" si="68"/>
        <v>66</v>
      </c>
      <c r="AR33" s="146">
        <f t="shared" si="69"/>
        <v>52</v>
      </c>
      <c r="AS33" s="144">
        <f t="shared" ref="AS33:CL33" si="71">100-AS32</f>
        <v>58.566765578635014</v>
      </c>
      <c r="AT33" s="143">
        <f t="shared" si="71"/>
        <v>38</v>
      </c>
      <c r="AU33" s="143">
        <f t="shared" si="71"/>
        <v>70</v>
      </c>
      <c r="AV33" s="143">
        <f t="shared" si="71"/>
        <v>65</v>
      </c>
      <c r="AW33" s="143">
        <f t="shared" si="71"/>
        <v>58</v>
      </c>
      <c r="AX33" s="143">
        <f t="shared" si="71"/>
        <v>62</v>
      </c>
      <c r="AY33" s="143">
        <f t="shared" si="71"/>
        <v>65</v>
      </c>
      <c r="AZ33" s="143">
        <f t="shared" si="71"/>
        <v>40</v>
      </c>
      <c r="BA33" s="143">
        <f t="shared" si="71"/>
        <v>61</v>
      </c>
      <c r="BB33" s="143">
        <f t="shared" si="71"/>
        <v>62</v>
      </c>
      <c r="BC33" s="143">
        <f t="shared" si="71"/>
        <v>53</v>
      </c>
      <c r="BD33" s="143">
        <f t="shared" si="71"/>
        <v>66</v>
      </c>
      <c r="BE33" s="143">
        <f t="shared" si="71"/>
        <v>59</v>
      </c>
      <c r="BF33" s="148">
        <f t="shared" si="71"/>
        <v>65</v>
      </c>
      <c r="BG33" s="143">
        <f t="shared" si="71"/>
        <v>84</v>
      </c>
      <c r="BH33" s="143">
        <f t="shared" si="71"/>
        <v>58</v>
      </c>
      <c r="BI33" s="143">
        <f t="shared" si="71"/>
        <v>67</v>
      </c>
      <c r="BJ33" s="143">
        <f t="shared" si="71"/>
        <v>83</v>
      </c>
      <c r="BK33" s="143">
        <f t="shared" si="71"/>
        <v>42</v>
      </c>
      <c r="BL33" s="143">
        <f t="shared" si="71"/>
        <v>37</v>
      </c>
      <c r="BM33" s="143">
        <f t="shared" si="71"/>
        <v>67</v>
      </c>
      <c r="BN33" s="143">
        <f t="shared" si="71"/>
        <v>59</v>
      </c>
      <c r="BO33" s="143">
        <f t="shared" si="71"/>
        <v>50</v>
      </c>
      <c r="BP33" s="143">
        <f t="shared" si="71"/>
        <v>74</v>
      </c>
      <c r="BQ33" s="143">
        <f t="shared" si="71"/>
        <v>69</v>
      </c>
      <c r="BR33" s="148">
        <f t="shared" si="71"/>
        <v>75</v>
      </c>
      <c r="BS33" s="143">
        <f t="shared" si="71"/>
        <v>66</v>
      </c>
      <c r="BT33" s="143">
        <f t="shared" si="71"/>
        <v>68</v>
      </c>
      <c r="BU33" s="143">
        <f t="shared" si="71"/>
        <v>72</v>
      </c>
      <c r="BV33" s="143">
        <f t="shared" si="71"/>
        <v>70</v>
      </c>
      <c r="BW33" s="143">
        <f t="shared" si="71"/>
        <v>74</v>
      </c>
      <c r="BX33" s="143">
        <f t="shared" si="71"/>
        <v>64</v>
      </c>
      <c r="BY33" s="143">
        <f t="shared" si="71"/>
        <v>74</v>
      </c>
      <c r="BZ33" s="143">
        <f t="shared" si="71"/>
        <v>55</v>
      </c>
      <c r="CA33" s="143">
        <f t="shared" si="71"/>
        <v>71</v>
      </c>
      <c r="CB33" s="148">
        <f t="shared" si="71"/>
        <v>73</v>
      </c>
      <c r="CC33" s="143">
        <f t="shared" si="71"/>
        <v>72</v>
      </c>
      <c r="CD33" s="143">
        <f t="shared" si="71"/>
        <v>76</v>
      </c>
      <c r="CE33" s="143">
        <f t="shared" si="71"/>
        <v>77</v>
      </c>
      <c r="CF33" s="143">
        <f t="shared" si="71"/>
        <v>52</v>
      </c>
      <c r="CG33" s="143">
        <f t="shared" si="71"/>
        <v>59</v>
      </c>
      <c r="CH33" s="143">
        <f t="shared" si="71"/>
        <v>51</v>
      </c>
      <c r="CI33" s="143">
        <f t="shared" si="71"/>
        <v>52</v>
      </c>
      <c r="CJ33" s="143">
        <f t="shared" si="71"/>
        <v>41</v>
      </c>
      <c r="CK33" s="144">
        <f t="shared" si="71"/>
        <v>66</v>
      </c>
      <c r="CL33" s="149">
        <f t="shared" si="71"/>
        <v>64</v>
      </c>
    </row>
    <row r="34" spans="1:90">
      <c r="A34" s="80">
        <f>ROWS($A$3:A32)</f>
        <v>30</v>
      </c>
      <c r="B34" s="59" t="s">
        <v>69</v>
      </c>
      <c r="C34" s="201"/>
      <c r="D34" s="268"/>
      <c r="E34" s="269"/>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92" t="s">
        <v>71</v>
      </c>
      <c r="C35" s="202">
        <v>2007</v>
      </c>
      <c r="D35" s="254" t="s">
        <v>1</v>
      </c>
      <c r="E35" s="256">
        <v>40652</v>
      </c>
      <c r="F35" s="116">
        <v>472458</v>
      </c>
      <c r="G35" s="137">
        <v>203805</v>
      </c>
      <c r="H35" s="137">
        <v>327298</v>
      </c>
      <c r="I35" s="138">
        <v>432124</v>
      </c>
      <c r="J35" s="141"/>
      <c r="K35" s="116">
        <f>BF35</f>
        <v>66103</v>
      </c>
      <c r="L35" s="137">
        <f>AY35</f>
        <v>26231</v>
      </c>
      <c r="M35" s="137">
        <f>BD35</f>
        <v>69254</v>
      </c>
      <c r="N35" s="137">
        <f>AW35</f>
        <v>28454</v>
      </c>
      <c r="O35" s="137">
        <f>BE35</f>
        <v>26360</v>
      </c>
      <c r="P35" s="137">
        <f>'2007'!AZ35+'2007'!BA35</f>
        <v>58983</v>
      </c>
      <c r="Q35" s="137">
        <f>'2007'!AU35</f>
        <v>22578</v>
      </c>
      <c r="R35" s="137">
        <f>AT35+AX35</f>
        <v>35087</v>
      </c>
      <c r="S35" s="137">
        <f>AV35</f>
        <v>19929</v>
      </c>
      <c r="T35" s="137">
        <f t="shared" ref="T35:U39" si="72">BB35</f>
        <v>41956</v>
      </c>
      <c r="U35" s="139">
        <f t="shared" si="72"/>
        <v>77523</v>
      </c>
      <c r="V35" s="137">
        <f>BG35+BJ35</f>
        <v>16620</v>
      </c>
      <c r="W35" s="137">
        <f>BR35</f>
        <v>19529</v>
      </c>
      <c r="X35" s="137">
        <f>BH35+BI35</f>
        <v>40032</v>
      </c>
      <c r="Y35" s="137">
        <f>BK35+BL35+BN35</f>
        <v>43078</v>
      </c>
      <c r="Z35" s="137">
        <f>BM35</f>
        <v>46854</v>
      </c>
      <c r="AA35" s="137">
        <f>BO35+BQ35</f>
        <v>20148</v>
      </c>
      <c r="AB35" s="139">
        <f>BP35</f>
        <v>17544</v>
      </c>
      <c r="AC35" s="137">
        <f>BX35</f>
        <v>39470</v>
      </c>
      <c r="AD35" s="137">
        <f>BU35</f>
        <v>22931</v>
      </c>
      <c r="AE35" s="137">
        <f>BS35+BT35</f>
        <v>53336</v>
      </c>
      <c r="AF35" s="137">
        <f>CA35</f>
        <v>23906</v>
      </c>
      <c r="AG35" s="137">
        <f>BV35</f>
        <v>58801</v>
      </c>
      <c r="AH35" s="137">
        <f>BZ35</f>
        <v>34508</v>
      </c>
      <c r="AI35" s="137">
        <f>BW35</f>
        <v>30854</v>
      </c>
      <c r="AJ35" s="137">
        <f>BY35</f>
        <v>24325</v>
      </c>
      <c r="AK35" s="139">
        <f>CB35</f>
        <v>39167</v>
      </c>
      <c r="AL35" s="137">
        <f>CE35</f>
        <v>34109</v>
      </c>
      <c r="AM35" s="137">
        <f>CH35</f>
        <v>77582</v>
      </c>
      <c r="AN35" s="137">
        <f>CJ35</f>
        <v>87784</v>
      </c>
      <c r="AO35" s="137">
        <f t="shared" ref="AO35:AP39" si="73">CC35</f>
        <v>43348</v>
      </c>
      <c r="AP35" s="137">
        <f t="shared" si="73"/>
        <v>19868</v>
      </c>
      <c r="AQ35" s="137">
        <f>CK35</f>
        <v>55181</v>
      </c>
      <c r="AR35" s="137">
        <f>CI35</f>
        <v>34059</v>
      </c>
      <c r="AS35" s="138">
        <f>CF35+CG35</f>
        <v>80193</v>
      </c>
      <c r="AT35" s="137">
        <v>2542</v>
      </c>
      <c r="AU35" s="137">
        <v>22578</v>
      </c>
      <c r="AV35" s="137">
        <v>19929</v>
      </c>
      <c r="AW35" s="141">
        <v>28454</v>
      </c>
      <c r="AX35" s="137">
        <v>32545</v>
      </c>
      <c r="AY35" s="137">
        <v>26231</v>
      </c>
      <c r="AZ35" s="137">
        <v>4181</v>
      </c>
      <c r="BA35" s="137">
        <v>54802</v>
      </c>
      <c r="BB35" s="137">
        <v>41956</v>
      </c>
      <c r="BC35" s="137">
        <v>77523</v>
      </c>
      <c r="BD35" s="137">
        <v>69254</v>
      </c>
      <c r="BE35" s="137">
        <v>26360</v>
      </c>
      <c r="BF35" s="139">
        <v>66103</v>
      </c>
      <c r="BG35" s="137">
        <v>1745</v>
      </c>
      <c r="BH35" s="137">
        <v>2635</v>
      </c>
      <c r="BI35" s="137">
        <v>37397</v>
      </c>
      <c r="BJ35" s="137">
        <v>14875</v>
      </c>
      <c r="BK35" s="137">
        <v>1838</v>
      </c>
      <c r="BL35" s="137">
        <v>2756</v>
      </c>
      <c r="BM35" s="137">
        <v>46854</v>
      </c>
      <c r="BN35" s="137">
        <v>38484</v>
      </c>
      <c r="BO35" s="137">
        <v>991</v>
      </c>
      <c r="BP35" s="137">
        <v>17544</v>
      </c>
      <c r="BQ35" s="137">
        <v>19157</v>
      </c>
      <c r="BR35" s="139">
        <v>19529</v>
      </c>
      <c r="BS35" s="137">
        <v>3566</v>
      </c>
      <c r="BT35" s="137">
        <v>49770</v>
      </c>
      <c r="BU35" s="137">
        <v>22931</v>
      </c>
      <c r="BV35" s="137">
        <v>58801</v>
      </c>
      <c r="BW35" s="137">
        <v>30854</v>
      </c>
      <c r="BX35" s="137">
        <v>39470</v>
      </c>
      <c r="BY35" s="137">
        <v>24325</v>
      </c>
      <c r="BZ35" s="137">
        <v>34508</v>
      </c>
      <c r="CA35" s="137">
        <v>23906</v>
      </c>
      <c r="CB35" s="139">
        <v>39167</v>
      </c>
      <c r="CC35" s="137">
        <v>43348</v>
      </c>
      <c r="CD35" s="137">
        <v>19868</v>
      </c>
      <c r="CE35" s="137">
        <v>34109</v>
      </c>
      <c r="CF35" s="137">
        <v>4780</v>
      </c>
      <c r="CG35" s="137">
        <v>75413</v>
      </c>
      <c r="CH35" s="137">
        <v>77582</v>
      </c>
      <c r="CI35" s="137">
        <v>34059</v>
      </c>
      <c r="CJ35" s="137">
        <v>87784</v>
      </c>
      <c r="CK35" s="138">
        <v>55181</v>
      </c>
      <c r="CL35" s="140">
        <v>1435682</v>
      </c>
    </row>
    <row r="36" spans="1:90">
      <c r="A36" s="80">
        <f>ROWS($A$3:A34)</f>
        <v>32</v>
      </c>
      <c r="B36" s="92" t="s">
        <v>72</v>
      </c>
      <c r="C36" s="203"/>
      <c r="D36" s="254" t="s">
        <v>1</v>
      </c>
      <c r="E36" s="256">
        <v>40652</v>
      </c>
      <c r="F36" s="116">
        <v>314753</v>
      </c>
      <c r="G36" s="137">
        <v>142086</v>
      </c>
      <c r="H36" s="137">
        <v>144079</v>
      </c>
      <c r="I36" s="138">
        <v>233617</v>
      </c>
      <c r="J36" s="141"/>
      <c r="K36" s="116">
        <f>BF36</f>
        <v>34747</v>
      </c>
      <c r="L36" s="137">
        <f>AY36</f>
        <v>11937</v>
      </c>
      <c r="M36" s="137">
        <f>BD36</f>
        <v>60037</v>
      </c>
      <c r="N36" s="137">
        <f>AW36</f>
        <v>12710</v>
      </c>
      <c r="O36" s="137">
        <f>BE36</f>
        <v>16952</v>
      </c>
      <c r="P36" s="137">
        <f>'2007'!AZ36+'2007'!BA36</f>
        <v>44854</v>
      </c>
      <c r="Q36" s="137">
        <f>'2007'!AU36</f>
        <v>15628</v>
      </c>
      <c r="R36" s="137">
        <f>AT36+AX36</f>
        <v>26155</v>
      </c>
      <c r="S36" s="137">
        <f>AV36</f>
        <v>10216</v>
      </c>
      <c r="T36" s="137">
        <f t="shared" si="72"/>
        <v>30934</v>
      </c>
      <c r="U36" s="139">
        <f t="shared" si="72"/>
        <v>50583</v>
      </c>
      <c r="V36" s="137">
        <f>BG36+BJ36</f>
        <v>10522</v>
      </c>
      <c r="W36" s="137">
        <f>BR36</f>
        <v>9607</v>
      </c>
      <c r="X36" s="137">
        <f>BH36+BI36</f>
        <v>31786</v>
      </c>
      <c r="Y36" s="137">
        <f>BK36+BL36+BN36</f>
        <v>34032</v>
      </c>
      <c r="Z36" s="137">
        <f>BM36</f>
        <v>35126</v>
      </c>
      <c r="AA36" s="137">
        <f>BO36+BQ36</f>
        <v>12405</v>
      </c>
      <c r="AB36" s="139">
        <f>BP36</f>
        <v>8608</v>
      </c>
      <c r="AC36" s="137">
        <f>BX36</f>
        <v>15635</v>
      </c>
      <c r="AD36" s="137">
        <f>BU36</f>
        <v>10322</v>
      </c>
      <c r="AE36" s="137">
        <f>BS36+BT36</f>
        <v>21260</v>
      </c>
      <c r="AF36" s="137">
        <f>CA36</f>
        <v>7458</v>
      </c>
      <c r="AG36" s="137">
        <f>BV36</f>
        <v>28247</v>
      </c>
      <c r="AH36" s="137">
        <f>BZ36</f>
        <v>19618</v>
      </c>
      <c r="AI36" s="137">
        <f>BW36</f>
        <v>16995</v>
      </c>
      <c r="AJ36" s="137">
        <f>BY36</f>
        <v>9013</v>
      </c>
      <c r="AK36" s="139">
        <f>CB36</f>
        <v>15531</v>
      </c>
      <c r="AL36" s="137">
        <f>CE36</f>
        <v>13452</v>
      </c>
      <c r="AM36" s="137">
        <f>CH36</f>
        <v>51712</v>
      </c>
      <c r="AN36" s="137">
        <f>CJ36</f>
        <v>25547</v>
      </c>
      <c r="AO36" s="137">
        <f t="shared" si="73"/>
        <v>20487</v>
      </c>
      <c r="AP36" s="137">
        <f t="shared" si="73"/>
        <v>13585</v>
      </c>
      <c r="AQ36" s="137">
        <f>CK36</f>
        <v>34998</v>
      </c>
      <c r="AR36" s="137">
        <f>CI36</f>
        <v>13793</v>
      </c>
      <c r="AS36" s="138">
        <f>CF36+CG36</f>
        <v>60043</v>
      </c>
      <c r="AT36" s="137">
        <v>1538</v>
      </c>
      <c r="AU36" s="141">
        <v>15628</v>
      </c>
      <c r="AV36" s="141">
        <v>10216</v>
      </c>
      <c r="AW36" s="141">
        <v>12710</v>
      </c>
      <c r="AX36" s="141">
        <v>24617</v>
      </c>
      <c r="AY36" s="137">
        <v>11937</v>
      </c>
      <c r="AZ36" s="137">
        <v>3237</v>
      </c>
      <c r="BA36" s="137">
        <v>41617</v>
      </c>
      <c r="BB36" s="137">
        <v>30934</v>
      </c>
      <c r="BC36" s="137">
        <v>50583</v>
      </c>
      <c r="BD36" s="137">
        <v>60037</v>
      </c>
      <c r="BE36" s="137">
        <v>16952</v>
      </c>
      <c r="BF36" s="139">
        <v>34747</v>
      </c>
      <c r="BG36" s="137">
        <v>616</v>
      </c>
      <c r="BH36" s="137">
        <v>2065</v>
      </c>
      <c r="BI36" s="137">
        <v>29721</v>
      </c>
      <c r="BJ36" s="137">
        <v>9906</v>
      </c>
      <c r="BK36" s="137">
        <v>1524</v>
      </c>
      <c r="BL36" s="137">
        <v>2382</v>
      </c>
      <c r="BM36" s="137">
        <v>35126</v>
      </c>
      <c r="BN36" s="137">
        <v>30126</v>
      </c>
      <c r="BO36" s="137">
        <v>497</v>
      </c>
      <c r="BP36" s="137">
        <v>8608</v>
      </c>
      <c r="BQ36" s="137">
        <v>11908</v>
      </c>
      <c r="BR36" s="139">
        <v>9607</v>
      </c>
      <c r="BS36" s="137">
        <v>1630</v>
      </c>
      <c r="BT36" s="137">
        <v>19630</v>
      </c>
      <c r="BU36" s="137">
        <v>10322</v>
      </c>
      <c r="BV36" s="137">
        <v>28247</v>
      </c>
      <c r="BW36" s="137">
        <v>16995</v>
      </c>
      <c r="BX36" s="137">
        <v>15635</v>
      </c>
      <c r="BY36" s="137">
        <v>9013</v>
      </c>
      <c r="BZ36" s="137">
        <v>19618</v>
      </c>
      <c r="CA36" s="137">
        <v>7458</v>
      </c>
      <c r="CB36" s="139">
        <v>15531</v>
      </c>
      <c r="CC36" s="137">
        <v>20487</v>
      </c>
      <c r="CD36" s="137">
        <v>13585</v>
      </c>
      <c r="CE36" s="137">
        <v>13452</v>
      </c>
      <c r="CF36" s="137">
        <v>4083</v>
      </c>
      <c r="CG36" s="137">
        <v>55960</v>
      </c>
      <c r="CH36" s="137">
        <v>51712</v>
      </c>
      <c r="CI36" s="137">
        <v>13793</v>
      </c>
      <c r="CJ36" s="137">
        <v>25547</v>
      </c>
      <c r="CK36" s="138">
        <v>34998</v>
      </c>
      <c r="CL36" s="140">
        <v>834535</v>
      </c>
    </row>
    <row r="37" spans="1:90">
      <c r="A37" s="80">
        <f>ROWS($A$3:A35)</f>
        <v>33</v>
      </c>
      <c r="B37" s="92" t="s">
        <v>6</v>
      </c>
      <c r="C37" s="203"/>
      <c r="D37" s="254" t="s">
        <v>1</v>
      </c>
      <c r="E37" s="256">
        <v>40652</v>
      </c>
      <c r="F37" s="116">
        <v>142250</v>
      </c>
      <c r="G37" s="137">
        <v>57320</v>
      </c>
      <c r="H37" s="137">
        <v>163299</v>
      </c>
      <c r="I37" s="138">
        <v>188526</v>
      </c>
      <c r="J37" s="141"/>
      <c r="K37" s="116">
        <f>BF37</f>
        <v>30937</v>
      </c>
      <c r="L37" s="137">
        <f>AY37</f>
        <v>12581</v>
      </c>
      <c r="M37" s="137">
        <f>BD37</f>
        <v>8233</v>
      </c>
      <c r="N37" s="137">
        <f>AW37</f>
        <v>15586</v>
      </c>
      <c r="O37" s="137">
        <f>BE37</f>
        <v>9380</v>
      </c>
      <c r="P37" s="137">
        <f>'2007'!AZ37+'2007'!BA37</f>
        <v>7091</v>
      </c>
      <c r="Q37" s="137">
        <f>'2007'!AU37</f>
        <v>6801</v>
      </c>
      <c r="R37" s="137">
        <f>AT37+AX37</f>
        <v>6194</v>
      </c>
      <c r="S37" s="137">
        <f>AV37</f>
        <v>9319</v>
      </c>
      <c r="T37" s="137">
        <f t="shared" si="72"/>
        <v>9393</v>
      </c>
      <c r="U37" s="139">
        <f t="shared" si="72"/>
        <v>26735</v>
      </c>
      <c r="V37" s="137">
        <f>BG37+BJ37</f>
        <v>4915</v>
      </c>
      <c r="W37" s="137">
        <f>BR37</f>
        <v>9893</v>
      </c>
      <c r="X37" s="137">
        <f>BH37+BI37</f>
        <v>7208</v>
      </c>
      <c r="Y37" s="137">
        <f>BK37+BL37+BN37</f>
        <v>7791</v>
      </c>
      <c r="Z37" s="137">
        <f>BM37</f>
        <v>11151</v>
      </c>
      <c r="AA37" s="137">
        <f>BO37+BQ37</f>
        <v>7491</v>
      </c>
      <c r="AB37" s="139">
        <f>BP37</f>
        <v>8871</v>
      </c>
      <c r="AC37" s="137">
        <f>BX37</f>
        <v>23796</v>
      </c>
      <c r="AD37" s="137">
        <f>BU37</f>
        <v>10031</v>
      </c>
      <c r="AE37" s="137">
        <f>BS37+BT37</f>
        <v>25230</v>
      </c>
      <c r="AF37" s="137">
        <f>CA37</f>
        <v>14975</v>
      </c>
      <c r="AG37" s="137">
        <f>BV37</f>
        <v>23031</v>
      </c>
      <c r="AH37" s="137">
        <f>BZ37</f>
        <v>13778</v>
      </c>
      <c r="AI37" s="137">
        <f>BW37</f>
        <v>13818</v>
      </c>
      <c r="AJ37" s="137">
        <f>BY37</f>
        <v>15288</v>
      </c>
      <c r="AK37" s="139">
        <f>CB37</f>
        <v>23352</v>
      </c>
      <c r="AL37" s="137">
        <f>CE37</f>
        <v>20487</v>
      </c>
      <c r="AM37" s="137">
        <f>CH37</f>
        <v>25695</v>
      </c>
      <c r="AN37" s="137">
        <f>CJ37</f>
        <v>60769</v>
      </c>
      <c r="AO37" s="137">
        <f t="shared" si="73"/>
        <v>22679</v>
      </c>
      <c r="AP37" s="137">
        <f t="shared" si="73"/>
        <v>6198</v>
      </c>
      <c r="AQ37" s="137">
        <f>CK37</f>
        <v>20091</v>
      </c>
      <c r="AR37" s="137">
        <f>CI37</f>
        <v>12616</v>
      </c>
      <c r="AS37" s="138">
        <f>CF37+CG37</f>
        <v>19991</v>
      </c>
      <c r="AT37" s="141">
        <v>540</v>
      </c>
      <c r="AU37" s="141">
        <v>6801</v>
      </c>
      <c r="AV37" s="141">
        <v>9319</v>
      </c>
      <c r="AW37" s="141">
        <v>15586</v>
      </c>
      <c r="AX37" s="141">
        <v>5654</v>
      </c>
      <c r="AY37" s="137">
        <v>12581</v>
      </c>
      <c r="AZ37" s="137">
        <v>217</v>
      </c>
      <c r="BA37" s="137">
        <v>6874</v>
      </c>
      <c r="BB37" s="137">
        <v>9393</v>
      </c>
      <c r="BC37" s="137">
        <v>26735</v>
      </c>
      <c r="BD37" s="137">
        <v>8233</v>
      </c>
      <c r="BE37" s="137">
        <v>9380</v>
      </c>
      <c r="BF37" s="139">
        <v>30937</v>
      </c>
      <c r="BG37" s="137">
        <v>828</v>
      </c>
      <c r="BH37" s="137">
        <v>497</v>
      </c>
      <c r="BI37" s="137">
        <v>6711</v>
      </c>
      <c r="BJ37" s="137">
        <v>4087</v>
      </c>
      <c r="BK37" s="137">
        <v>230</v>
      </c>
      <c r="BL37" s="137">
        <v>363</v>
      </c>
      <c r="BM37" s="137">
        <v>11151</v>
      </c>
      <c r="BN37" s="137">
        <v>7198</v>
      </c>
      <c r="BO37" s="137">
        <v>493</v>
      </c>
      <c r="BP37" s="137">
        <v>8871</v>
      </c>
      <c r="BQ37" s="137">
        <v>6998</v>
      </c>
      <c r="BR37" s="139">
        <v>9893</v>
      </c>
      <c r="BS37" s="137">
        <v>1108</v>
      </c>
      <c r="BT37" s="137">
        <v>24122</v>
      </c>
      <c r="BU37" s="137">
        <v>10031</v>
      </c>
      <c r="BV37" s="137">
        <v>23031</v>
      </c>
      <c r="BW37" s="137">
        <v>13818</v>
      </c>
      <c r="BX37" s="137">
        <v>23796</v>
      </c>
      <c r="BY37" s="137">
        <v>15288</v>
      </c>
      <c r="BZ37" s="137">
        <v>13778</v>
      </c>
      <c r="CA37" s="137">
        <v>14975</v>
      </c>
      <c r="CB37" s="139">
        <v>23352</v>
      </c>
      <c r="CC37" s="137">
        <v>22679</v>
      </c>
      <c r="CD37" s="137">
        <v>6198</v>
      </c>
      <c r="CE37" s="137">
        <v>20487</v>
      </c>
      <c r="CF37" s="137">
        <v>674</v>
      </c>
      <c r="CG37" s="137">
        <v>19317</v>
      </c>
      <c r="CH37" s="137">
        <v>25695</v>
      </c>
      <c r="CI37" s="137">
        <v>12616</v>
      </c>
      <c r="CJ37" s="137">
        <v>60769</v>
      </c>
      <c r="CK37" s="138">
        <v>20091</v>
      </c>
      <c r="CL37" s="140">
        <v>551397</v>
      </c>
    </row>
    <row r="38" spans="1:90">
      <c r="A38" s="80">
        <f>ROWS($A$3:A36)</f>
        <v>34</v>
      </c>
      <c r="B38" s="92" t="s">
        <v>244</v>
      </c>
      <c r="C38" s="203"/>
      <c r="D38" s="254" t="s">
        <v>1</v>
      </c>
      <c r="E38" s="256">
        <v>40652</v>
      </c>
      <c r="F38" s="116">
        <v>3377</v>
      </c>
      <c r="G38" s="137">
        <v>1335</v>
      </c>
      <c r="H38" s="137">
        <v>7922</v>
      </c>
      <c r="I38" s="138">
        <v>8701</v>
      </c>
      <c r="J38" s="141"/>
      <c r="K38" s="116">
        <f>BF38</f>
        <v>18</v>
      </c>
      <c r="L38" s="137">
        <f>AY38</f>
        <v>524</v>
      </c>
      <c r="M38" s="137">
        <f>BD38</f>
        <v>86</v>
      </c>
      <c r="N38" s="137">
        <f>AW38</f>
        <v>100</v>
      </c>
      <c r="O38" s="137">
        <f>BE38</f>
        <v>2</v>
      </c>
      <c r="P38" s="137">
        <f>'2007'!AZ38+'2007'!BA38</f>
        <v>1022</v>
      </c>
      <c r="Q38" s="137">
        <f>'2007'!AU38</f>
        <v>96</v>
      </c>
      <c r="R38" s="137">
        <f>AT38+AX38</f>
        <v>501</v>
      </c>
      <c r="S38" s="137">
        <f>AV38</f>
        <v>167</v>
      </c>
      <c r="T38" s="137">
        <f t="shared" si="72"/>
        <v>738</v>
      </c>
      <c r="U38" s="139">
        <f t="shared" si="72"/>
        <v>123</v>
      </c>
      <c r="V38" s="137">
        <f>BG38+BJ38</f>
        <v>507</v>
      </c>
      <c r="W38" s="137">
        <f>BR38</f>
        <v>2</v>
      </c>
      <c r="X38" s="137">
        <f>BH38+BI38</f>
        <v>249</v>
      </c>
      <c r="Y38" s="137">
        <f>BK38+BN38</f>
        <v>424</v>
      </c>
      <c r="Z38" s="137">
        <f>BM38</f>
        <v>121</v>
      </c>
      <c r="AA38" s="137">
        <f>BQ38</f>
        <v>30</v>
      </c>
      <c r="AB38" s="139">
        <f>BP38</f>
        <v>2</v>
      </c>
      <c r="AC38" s="137">
        <f>BX38</f>
        <v>17</v>
      </c>
      <c r="AD38" s="137">
        <f>BU38</f>
        <v>668</v>
      </c>
      <c r="AE38" s="137">
        <f>BS38+BT38</f>
        <v>942</v>
      </c>
      <c r="AF38" s="137">
        <f>CA38</f>
        <v>675</v>
      </c>
      <c r="AG38" s="137">
        <f>BV38</f>
        <v>4487</v>
      </c>
      <c r="AH38" s="137">
        <f>BZ38</f>
        <v>960</v>
      </c>
      <c r="AI38" s="137">
        <f>BW38</f>
        <v>12</v>
      </c>
      <c r="AJ38" s="137">
        <f>BY38</f>
        <v>1</v>
      </c>
      <c r="AK38" s="139">
        <f>CB38</f>
        <v>160</v>
      </c>
      <c r="AL38" s="137">
        <f>CE38</f>
        <v>24</v>
      </c>
      <c r="AM38" s="137">
        <f>CH38</f>
        <v>43</v>
      </c>
      <c r="AN38" s="137">
        <f>CJ38</f>
        <v>1312</v>
      </c>
      <c r="AO38" s="137">
        <f t="shared" si="73"/>
        <v>88</v>
      </c>
      <c r="AP38" s="137">
        <f t="shared" si="73"/>
        <v>63</v>
      </c>
      <c r="AQ38" s="137">
        <f>CK38</f>
        <v>34</v>
      </c>
      <c r="AR38" s="137">
        <f>CI38</f>
        <v>7070</v>
      </c>
      <c r="AS38" s="138">
        <f>CF38+CG38</f>
        <v>67</v>
      </c>
      <c r="AT38" s="141">
        <v>71</v>
      </c>
      <c r="AU38" s="141">
        <v>96</v>
      </c>
      <c r="AV38" s="141">
        <v>167</v>
      </c>
      <c r="AW38" s="141">
        <v>100</v>
      </c>
      <c r="AX38" s="141">
        <v>430</v>
      </c>
      <c r="AY38" s="137">
        <v>524</v>
      </c>
      <c r="AZ38" s="137">
        <v>53</v>
      </c>
      <c r="BA38" s="137">
        <v>969</v>
      </c>
      <c r="BB38" s="137">
        <v>738</v>
      </c>
      <c r="BC38" s="137">
        <v>123</v>
      </c>
      <c r="BD38" s="137">
        <v>86</v>
      </c>
      <c r="BE38" s="137">
        <v>2</v>
      </c>
      <c r="BF38" s="139">
        <v>18</v>
      </c>
      <c r="BG38" s="137">
        <v>45</v>
      </c>
      <c r="BH38" s="137">
        <v>46</v>
      </c>
      <c r="BI38" s="137">
        <v>203</v>
      </c>
      <c r="BJ38" s="137">
        <v>462</v>
      </c>
      <c r="BK38" s="137">
        <v>23</v>
      </c>
      <c r="BL38" s="137" t="s">
        <v>233</v>
      </c>
      <c r="BM38" s="137">
        <v>121</v>
      </c>
      <c r="BN38" s="137">
        <v>401</v>
      </c>
      <c r="BO38" s="137" t="s">
        <v>233</v>
      </c>
      <c r="BP38" s="137">
        <v>2</v>
      </c>
      <c r="BQ38" s="137">
        <v>30</v>
      </c>
      <c r="BR38" s="139">
        <v>2</v>
      </c>
      <c r="BS38" s="137">
        <v>92</v>
      </c>
      <c r="BT38" s="137">
        <v>850</v>
      </c>
      <c r="BU38" s="137">
        <v>668</v>
      </c>
      <c r="BV38" s="137">
        <v>4487</v>
      </c>
      <c r="BW38" s="137">
        <v>12</v>
      </c>
      <c r="BX38" s="137">
        <v>17</v>
      </c>
      <c r="BY38" s="137">
        <v>1</v>
      </c>
      <c r="BZ38" s="137">
        <v>960</v>
      </c>
      <c r="CA38" s="137">
        <v>675</v>
      </c>
      <c r="CB38" s="139">
        <v>160</v>
      </c>
      <c r="CC38" s="137">
        <v>88</v>
      </c>
      <c r="CD38" s="137">
        <v>63</v>
      </c>
      <c r="CE38" s="137">
        <v>24</v>
      </c>
      <c r="CF38" s="137">
        <v>7</v>
      </c>
      <c r="CG38" s="137">
        <v>60</v>
      </c>
      <c r="CH38" s="137">
        <v>43</v>
      </c>
      <c r="CI38" s="137">
        <v>7070</v>
      </c>
      <c r="CJ38" s="137">
        <v>1312</v>
      </c>
      <c r="CK38" s="138">
        <v>34</v>
      </c>
      <c r="CL38" s="140">
        <v>21343</v>
      </c>
    </row>
    <row r="39" spans="1:90">
      <c r="A39" s="80">
        <f>ROWS($A$3:A37)</f>
        <v>35</v>
      </c>
      <c r="B39" s="92" t="s">
        <v>245</v>
      </c>
      <c r="C39" s="203"/>
      <c r="D39" s="254" t="s">
        <v>1</v>
      </c>
      <c r="E39" s="256">
        <v>40652</v>
      </c>
      <c r="F39" s="116">
        <v>10436</v>
      </c>
      <c r="G39" s="137">
        <v>2082</v>
      </c>
      <c r="H39" s="137">
        <v>10864</v>
      </c>
      <c r="I39" s="138">
        <v>537</v>
      </c>
      <c r="J39" s="141"/>
      <c r="K39" s="116" t="str">
        <f>BF39</f>
        <v>*</v>
      </c>
      <c r="L39" s="137">
        <f>AY39</f>
        <v>1049</v>
      </c>
      <c r="M39" s="137">
        <f>BD39</f>
        <v>762</v>
      </c>
      <c r="N39" s="137" t="str">
        <f>AW39</f>
        <v>*</v>
      </c>
      <c r="O39" s="137">
        <f>BE39</f>
        <v>0</v>
      </c>
      <c r="P39" s="137">
        <f>'2007'!AZ39+'2007'!BA39</f>
        <v>5675</v>
      </c>
      <c r="Q39" s="137">
        <f>'2007'!AU39</f>
        <v>3</v>
      </c>
      <c r="R39" s="137">
        <f>AT39+AX39</f>
        <v>2049</v>
      </c>
      <c r="S39" s="137">
        <f>AV39</f>
        <v>118</v>
      </c>
      <c r="T39" s="137">
        <f t="shared" si="72"/>
        <v>780</v>
      </c>
      <c r="U39" s="139" t="str">
        <f t="shared" si="72"/>
        <v>*</v>
      </c>
      <c r="V39" s="137">
        <f>BG39+BJ39</f>
        <v>530</v>
      </c>
      <c r="W39" s="137" t="str">
        <f>BR39</f>
        <v>*</v>
      </c>
      <c r="X39" s="137">
        <f>BH39+BI39</f>
        <v>712</v>
      </c>
      <c r="Y39" s="137">
        <f>BK39+BN39</f>
        <v>643</v>
      </c>
      <c r="Z39" s="137">
        <f>BM39</f>
        <v>10</v>
      </c>
      <c r="AA39" s="137">
        <f>BQ39</f>
        <v>187</v>
      </c>
      <c r="AB39" s="139">
        <f>BP39</f>
        <v>0</v>
      </c>
      <c r="AC39" s="137">
        <f>BX39</f>
        <v>0</v>
      </c>
      <c r="AD39" s="137">
        <f>BU39</f>
        <v>1793</v>
      </c>
      <c r="AE39" s="137">
        <f>BS39+BT39</f>
        <v>5790</v>
      </c>
      <c r="AF39" s="137">
        <f>CA39</f>
        <v>723</v>
      </c>
      <c r="AG39" s="137">
        <f>BV39</f>
        <v>2448</v>
      </c>
      <c r="AH39" s="137">
        <f>BZ39</f>
        <v>54</v>
      </c>
      <c r="AI39" s="137">
        <f>BW39</f>
        <v>0</v>
      </c>
      <c r="AJ39" s="137">
        <f>BY39</f>
        <v>0</v>
      </c>
      <c r="AK39" s="139">
        <f>CB39</f>
        <v>56</v>
      </c>
      <c r="AL39" s="137">
        <f>CE39</f>
        <v>0</v>
      </c>
      <c r="AM39" s="137">
        <f>CH39</f>
        <v>0</v>
      </c>
      <c r="AN39" s="137" t="str">
        <f>CJ39</f>
        <v>*</v>
      </c>
      <c r="AO39" s="137">
        <f t="shared" si="73"/>
        <v>18</v>
      </c>
      <c r="AP39" s="137">
        <f t="shared" si="73"/>
        <v>9</v>
      </c>
      <c r="AQ39" s="137">
        <f>CK39</f>
        <v>0</v>
      </c>
      <c r="AR39" s="137">
        <f>CI39</f>
        <v>510</v>
      </c>
      <c r="AS39" s="138" t="str">
        <f>CG39</f>
        <v>*</v>
      </c>
      <c r="AT39" s="141">
        <v>358</v>
      </c>
      <c r="AU39" s="141">
        <v>3</v>
      </c>
      <c r="AV39" s="141">
        <v>118</v>
      </c>
      <c r="AW39" s="137" t="s">
        <v>233</v>
      </c>
      <c r="AX39" s="141">
        <v>1691</v>
      </c>
      <c r="AY39" s="137">
        <v>1049</v>
      </c>
      <c r="AZ39" s="137">
        <v>626</v>
      </c>
      <c r="BA39" s="137">
        <v>5049</v>
      </c>
      <c r="BB39" s="137">
        <v>780</v>
      </c>
      <c r="BC39" s="137" t="s">
        <v>233</v>
      </c>
      <c r="BD39" s="137">
        <v>762</v>
      </c>
      <c r="BE39" s="137">
        <v>0</v>
      </c>
      <c r="BF39" s="139" t="s">
        <v>233</v>
      </c>
      <c r="BG39" s="137">
        <v>195</v>
      </c>
      <c r="BH39" s="137">
        <v>9</v>
      </c>
      <c r="BI39" s="137">
        <v>703</v>
      </c>
      <c r="BJ39" s="137">
        <v>335</v>
      </c>
      <c r="BK39" s="137">
        <v>53</v>
      </c>
      <c r="BL39" s="137" t="s">
        <v>233</v>
      </c>
      <c r="BM39" s="137">
        <v>10</v>
      </c>
      <c r="BN39" s="137">
        <v>590</v>
      </c>
      <c r="BO39" s="137">
        <v>0</v>
      </c>
      <c r="BP39" s="137">
        <v>0</v>
      </c>
      <c r="BQ39" s="137">
        <v>187</v>
      </c>
      <c r="BR39" s="139" t="s">
        <v>233</v>
      </c>
      <c r="BS39" s="137">
        <v>712</v>
      </c>
      <c r="BT39" s="137">
        <v>5078</v>
      </c>
      <c r="BU39" s="137">
        <v>1793</v>
      </c>
      <c r="BV39" s="137">
        <v>2448</v>
      </c>
      <c r="BW39" s="137">
        <v>0</v>
      </c>
      <c r="BX39" s="137">
        <v>0</v>
      </c>
      <c r="BY39" s="137">
        <v>0</v>
      </c>
      <c r="BZ39" s="137">
        <v>54</v>
      </c>
      <c r="CA39" s="137">
        <v>723</v>
      </c>
      <c r="CB39" s="139">
        <v>56</v>
      </c>
      <c r="CC39" s="137">
        <v>18</v>
      </c>
      <c r="CD39" s="137">
        <v>9</v>
      </c>
      <c r="CE39" s="137">
        <v>0</v>
      </c>
      <c r="CF39" s="137" t="s">
        <v>233</v>
      </c>
      <c r="CG39" s="137" t="s">
        <v>233</v>
      </c>
      <c r="CH39" s="137">
        <v>0</v>
      </c>
      <c r="CI39" s="137">
        <v>510</v>
      </c>
      <c r="CJ39" s="137" t="s">
        <v>233</v>
      </c>
      <c r="CK39" s="138">
        <v>0</v>
      </c>
      <c r="CL39" s="140">
        <v>23923</v>
      </c>
    </row>
    <row r="40" spans="1:90">
      <c r="A40" s="80">
        <f>ROWS($A$3:A38)</f>
        <v>36</v>
      </c>
      <c r="B40" s="59" t="s">
        <v>98</v>
      </c>
      <c r="C40" s="203"/>
      <c r="D40" s="254"/>
      <c r="E40" s="269"/>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202">
        <v>2007</v>
      </c>
      <c r="D41" s="254" t="s">
        <v>7</v>
      </c>
      <c r="E41" s="256">
        <v>40648</v>
      </c>
      <c r="F41" s="116">
        <v>310044</v>
      </c>
      <c r="G41" s="137">
        <v>85034</v>
      </c>
      <c r="H41" s="137">
        <v>230097</v>
      </c>
      <c r="I41" s="138">
        <v>404951</v>
      </c>
      <c r="J41" s="141"/>
      <c r="K41" s="116">
        <f t="shared" ref="K41:K54" si="74">BF41</f>
        <v>75547</v>
      </c>
      <c r="L41" s="137">
        <f t="shared" ref="L41:L54" si="75">AY41</f>
        <v>22093</v>
      </c>
      <c r="M41" s="137">
        <f t="shared" ref="M41:M54" si="76">BD41</f>
        <v>22123</v>
      </c>
      <c r="N41" s="137">
        <f t="shared" ref="N41:N54" si="77">AW41</f>
        <v>30089</v>
      </c>
      <c r="O41" s="137">
        <f t="shared" ref="O41:O54" si="78">BE41</f>
        <v>22969</v>
      </c>
      <c r="P41" s="137">
        <f>AZ41+BA41</f>
        <v>14447</v>
      </c>
      <c r="Q41" s="137">
        <f>'2007'!AU41</f>
        <v>8839</v>
      </c>
      <c r="R41" s="137">
        <f>AT41+AX41</f>
        <v>15015</v>
      </c>
      <c r="S41" s="137">
        <f t="shared" ref="S41:S54" si="79">AV41</f>
        <v>9998</v>
      </c>
      <c r="T41" s="137">
        <f t="shared" ref="T41:T54" si="80">BB41</f>
        <v>22096</v>
      </c>
      <c r="U41" s="139">
        <f t="shared" ref="U41:U54" si="81">BC41</f>
        <v>66828</v>
      </c>
      <c r="V41" s="137">
        <f>BG41+BJ41</f>
        <v>2669</v>
      </c>
      <c r="W41" s="137">
        <f t="shared" ref="W41:W54" si="82">BR41</f>
        <v>12864</v>
      </c>
      <c r="X41" s="137">
        <f>BH41+BI41</f>
        <v>6215</v>
      </c>
      <c r="Y41" s="137">
        <f>BK41+BL41+BN41</f>
        <v>14327</v>
      </c>
      <c r="Z41" s="137">
        <f t="shared" ref="Z41:Z54" si="83">BM41</f>
        <v>26118</v>
      </c>
      <c r="AA41" s="137">
        <f>BO41+BQ41</f>
        <v>10826</v>
      </c>
      <c r="AB41" s="139">
        <f t="shared" ref="AB41:AB54" si="84">BP41</f>
        <v>12015</v>
      </c>
      <c r="AC41" s="137">
        <f t="shared" ref="AC41:AC54" si="85">BX41</f>
        <v>32832</v>
      </c>
      <c r="AD41" s="137">
        <f t="shared" ref="AD41:AD54" si="86">BU41</f>
        <v>16291</v>
      </c>
      <c r="AE41" s="137">
        <f>BS41+BT41</f>
        <v>31395</v>
      </c>
      <c r="AF41" s="137">
        <f t="shared" ref="AF41:AF54" si="87">CA41</f>
        <v>17137</v>
      </c>
      <c r="AG41" s="137">
        <f t="shared" ref="AG41:AG54" si="88">BV41</f>
        <v>33444</v>
      </c>
      <c r="AH41" s="137">
        <f t="shared" ref="AH41:AH54" si="89">BZ41</f>
        <v>25930</v>
      </c>
      <c r="AI41" s="137">
        <f t="shared" ref="AI41:AI54" si="90">BW41</f>
        <v>19795</v>
      </c>
      <c r="AJ41" s="137">
        <f t="shared" ref="AJ41:AJ54" si="91">BY41</f>
        <v>16130</v>
      </c>
      <c r="AK41" s="139">
        <f t="shared" ref="AK41:AK54" si="92">CB41</f>
        <v>37143</v>
      </c>
      <c r="AL41" s="137">
        <f t="shared" ref="AL41:AL54" si="93">CE41</f>
        <v>13578</v>
      </c>
      <c r="AM41" s="137">
        <f t="shared" ref="AM41:AM54" si="94">CH41</f>
        <v>92948</v>
      </c>
      <c r="AN41" s="137">
        <f t="shared" ref="AN41:AN54" si="95">CJ41</f>
        <v>142871</v>
      </c>
      <c r="AO41" s="137">
        <f t="shared" ref="AO41:AO54" si="96">CC41</f>
        <v>29864</v>
      </c>
      <c r="AP41" s="137">
        <f t="shared" ref="AP41:AP54" si="97">CD41</f>
        <v>6411</v>
      </c>
      <c r="AQ41" s="137">
        <f t="shared" ref="AQ41:AQ54" si="98">CK41</f>
        <v>38534</v>
      </c>
      <c r="AR41" s="137">
        <f t="shared" ref="AR41:AR54" si="99">CI41</f>
        <v>25914</v>
      </c>
      <c r="AS41" s="138">
        <f>CF41+CG41</f>
        <v>54831</v>
      </c>
      <c r="AT41" s="141">
        <v>889</v>
      </c>
      <c r="AU41" s="141">
        <v>8839</v>
      </c>
      <c r="AV41" s="141">
        <v>9998</v>
      </c>
      <c r="AW41" s="141">
        <v>30089</v>
      </c>
      <c r="AX41" s="141">
        <v>14126</v>
      </c>
      <c r="AY41" s="137">
        <v>22093</v>
      </c>
      <c r="AZ41" s="137">
        <v>327</v>
      </c>
      <c r="BA41" s="137">
        <v>14120</v>
      </c>
      <c r="BB41" s="137">
        <v>22096</v>
      </c>
      <c r="BC41" s="137">
        <v>66828</v>
      </c>
      <c r="BD41" s="137">
        <v>22123</v>
      </c>
      <c r="BE41" s="137">
        <v>22969</v>
      </c>
      <c r="BF41" s="139">
        <v>75547</v>
      </c>
      <c r="BG41" s="137">
        <v>251</v>
      </c>
      <c r="BH41" s="137">
        <v>284</v>
      </c>
      <c r="BI41" s="137">
        <v>5931</v>
      </c>
      <c r="BJ41" s="137">
        <v>2418</v>
      </c>
      <c r="BK41" s="137">
        <v>641</v>
      </c>
      <c r="BL41" s="137">
        <v>109</v>
      </c>
      <c r="BM41" s="137">
        <v>26118</v>
      </c>
      <c r="BN41" s="137">
        <v>13577</v>
      </c>
      <c r="BO41" s="137">
        <v>238</v>
      </c>
      <c r="BP41" s="137">
        <v>12015</v>
      </c>
      <c r="BQ41" s="137">
        <v>10588</v>
      </c>
      <c r="BR41" s="139">
        <v>12864</v>
      </c>
      <c r="BS41" s="137">
        <v>634</v>
      </c>
      <c r="BT41" s="137">
        <v>30761</v>
      </c>
      <c r="BU41" s="137">
        <v>16291</v>
      </c>
      <c r="BV41" s="137">
        <v>33444</v>
      </c>
      <c r="BW41" s="137">
        <v>19795</v>
      </c>
      <c r="BX41" s="137">
        <v>32832</v>
      </c>
      <c r="BY41" s="137">
        <v>16130</v>
      </c>
      <c r="BZ41" s="137">
        <v>25930</v>
      </c>
      <c r="CA41" s="137">
        <v>17137</v>
      </c>
      <c r="CB41" s="139">
        <v>37143</v>
      </c>
      <c r="CC41" s="137">
        <v>29864</v>
      </c>
      <c r="CD41" s="137">
        <v>6411</v>
      </c>
      <c r="CE41" s="137">
        <v>13578</v>
      </c>
      <c r="CF41" s="137">
        <v>2044</v>
      </c>
      <c r="CG41" s="137">
        <v>52787</v>
      </c>
      <c r="CH41" s="137">
        <v>92948</v>
      </c>
      <c r="CI41" s="137">
        <v>25914</v>
      </c>
      <c r="CJ41" s="137">
        <v>142871</v>
      </c>
      <c r="CK41" s="138">
        <v>38534</v>
      </c>
      <c r="CL41" s="140">
        <v>1030126</v>
      </c>
    </row>
    <row r="42" spans="1:90">
      <c r="A42" s="80">
        <f>ROWS($A$3:A40)</f>
        <v>38</v>
      </c>
      <c r="B42" s="92" t="s">
        <v>305</v>
      </c>
      <c r="C42" s="203"/>
      <c r="D42" s="254" t="s">
        <v>7</v>
      </c>
      <c r="E42" s="256">
        <v>40648</v>
      </c>
      <c r="F42" s="116">
        <f>104503+15331+17265</f>
        <v>137099</v>
      </c>
      <c r="G42" s="137">
        <f>24791+7339+4331</f>
        <v>36461</v>
      </c>
      <c r="H42" s="137">
        <f>68995+23938+14657</f>
        <v>107590</v>
      </c>
      <c r="I42" s="138">
        <f>163923+12641+27207</f>
        <v>203771</v>
      </c>
      <c r="J42" s="141"/>
      <c r="K42" s="116">
        <f t="shared" si="74"/>
        <v>33645</v>
      </c>
      <c r="L42" s="137">
        <f t="shared" si="75"/>
        <v>9916</v>
      </c>
      <c r="M42" s="137">
        <f t="shared" si="76"/>
        <v>9303</v>
      </c>
      <c r="N42" s="137">
        <f t="shared" si="77"/>
        <v>14180</v>
      </c>
      <c r="O42" s="137">
        <f t="shared" si="78"/>
        <v>10070</v>
      </c>
      <c r="P42" s="137">
        <f>AZ42+BA42</f>
        <v>6460</v>
      </c>
      <c r="Q42" s="137">
        <f>'2007'!AU42</f>
        <v>4134</v>
      </c>
      <c r="R42" s="137">
        <f>AT42+AX42</f>
        <v>6007</v>
      </c>
      <c r="S42" s="137">
        <f t="shared" si="79"/>
        <v>4157</v>
      </c>
      <c r="T42" s="137">
        <f t="shared" si="80"/>
        <v>9764</v>
      </c>
      <c r="U42" s="139">
        <f t="shared" si="81"/>
        <v>29437</v>
      </c>
      <c r="V42" s="137">
        <f>BJ42</f>
        <v>1065</v>
      </c>
      <c r="W42" s="137">
        <f t="shared" si="82"/>
        <v>5789</v>
      </c>
      <c r="X42" s="137">
        <f>BI42</f>
        <v>2490</v>
      </c>
      <c r="Y42" s="137">
        <f>BK42+BN42</f>
        <v>5866</v>
      </c>
      <c r="Z42" s="137">
        <f t="shared" si="83"/>
        <v>11096</v>
      </c>
      <c r="AA42" s="137">
        <f>BO42+BQ42</f>
        <v>4334</v>
      </c>
      <c r="AB42" s="139">
        <f t="shared" si="84"/>
        <v>5511</v>
      </c>
      <c r="AC42" s="137">
        <f t="shared" si="85"/>
        <v>16741</v>
      </c>
      <c r="AD42" s="137">
        <f t="shared" si="86"/>
        <v>7140</v>
      </c>
      <c r="AE42" s="137">
        <f>BS42+BT42</f>
        <v>16505</v>
      </c>
      <c r="AF42" s="137">
        <f t="shared" si="87"/>
        <v>7813</v>
      </c>
      <c r="AG42" s="137">
        <f t="shared" si="88"/>
        <v>14744</v>
      </c>
      <c r="AH42" s="137">
        <f t="shared" si="89"/>
        <v>11919</v>
      </c>
      <c r="AI42" s="137">
        <f t="shared" si="90"/>
        <v>8198</v>
      </c>
      <c r="AJ42" s="137">
        <f t="shared" si="91"/>
        <v>7768</v>
      </c>
      <c r="AK42" s="139">
        <f t="shared" si="92"/>
        <v>16762</v>
      </c>
      <c r="AL42" s="137">
        <f t="shared" si="93"/>
        <v>5801</v>
      </c>
      <c r="AM42" s="137">
        <f t="shared" si="94"/>
        <v>43289</v>
      </c>
      <c r="AN42" s="137">
        <f t="shared" si="95"/>
        <v>83715</v>
      </c>
      <c r="AO42" s="137">
        <f t="shared" si="96"/>
        <v>11632</v>
      </c>
      <c r="AP42" s="137">
        <f t="shared" si="97"/>
        <v>2121</v>
      </c>
      <c r="AQ42" s="137">
        <f t="shared" si="98"/>
        <v>18093</v>
      </c>
      <c r="AR42" s="137">
        <f t="shared" si="99"/>
        <v>13832</v>
      </c>
      <c r="AS42" s="138">
        <f>CF42+CG42</f>
        <v>24684</v>
      </c>
      <c r="AT42" s="141">
        <f>415+43</f>
        <v>458</v>
      </c>
      <c r="AU42" s="141">
        <f>3043+659+432</f>
        <v>4134</v>
      </c>
      <c r="AV42" s="141">
        <f>2818+804+535</f>
        <v>4157</v>
      </c>
      <c r="AW42" s="141">
        <f>10614+1728+1838</f>
        <v>14180</v>
      </c>
      <c r="AX42" s="141">
        <f>4679+239+631</f>
        <v>5549</v>
      </c>
      <c r="AY42" s="137">
        <f>7065+1614+1237</f>
        <v>9916</v>
      </c>
      <c r="AZ42" s="137">
        <f>128+19</f>
        <v>147</v>
      </c>
      <c r="BA42" s="137">
        <f>4866+744+703</f>
        <v>6313</v>
      </c>
      <c r="BB42" s="137">
        <f>7498+1123+1143</f>
        <v>9764</v>
      </c>
      <c r="BC42" s="137">
        <f>22332+3166+3939</f>
        <v>29437</v>
      </c>
      <c r="BD42" s="137">
        <f>7456+730+1117</f>
        <v>9303</v>
      </c>
      <c r="BE42" s="137">
        <f>8093+566+1411</f>
        <v>10070</v>
      </c>
      <c r="BF42" s="139">
        <f>25496+3932+4217</f>
        <v>33645</v>
      </c>
      <c r="BG42" s="137">
        <v>82</v>
      </c>
      <c r="BH42" s="137">
        <v>23</v>
      </c>
      <c r="BI42" s="137">
        <f>1380+886+224</f>
        <v>2490</v>
      </c>
      <c r="BJ42" s="137">
        <f>433+487+145</f>
        <v>1065</v>
      </c>
      <c r="BK42" s="137">
        <v>232</v>
      </c>
      <c r="BL42" s="137">
        <v>20</v>
      </c>
      <c r="BM42" s="137">
        <f>8374+1398+1324</f>
        <v>11096</v>
      </c>
      <c r="BN42" s="137">
        <f>3839+1123+672</f>
        <v>5634</v>
      </c>
      <c r="BO42" s="137">
        <v>71</v>
      </c>
      <c r="BP42" s="137">
        <f>3616+1204+691</f>
        <v>5511</v>
      </c>
      <c r="BQ42" s="137">
        <f>2868+902+493</f>
        <v>4263</v>
      </c>
      <c r="BR42" s="139">
        <f>3970+1121+698</f>
        <v>5789</v>
      </c>
      <c r="BS42" s="137">
        <f>96+81+37</f>
        <v>214</v>
      </c>
      <c r="BT42" s="155">
        <f>10379+3403+2509</f>
        <v>16291</v>
      </c>
      <c r="BU42" s="137">
        <f>3789+2398+953</f>
        <v>7140</v>
      </c>
      <c r="BV42" s="137">
        <f>8744+4418+1582</f>
        <v>14744</v>
      </c>
      <c r="BW42" s="137">
        <f>5396+1784+1018</f>
        <v>8198</v>
      </c>
      <c r="BX42" s="137">
        <f>12135+2323+2283</f>
        <v>16741</v>
      </c>
      <c r="BY42" s="137">
        <f>5263+1334+1171</f>
        <v>7768</v>
      </c>
      <c r="BZ42" s="137">
        <f>9165+1158+1596</f>
        <v>11919</v>
      </c>
      <c r="CA42" s="137">
        <f>3844+2762+1207</f>
        <v>7813</v>
      </c>
      <c r="CB42" s="139">
        <f>10184+4277+2301</f>
        <v>16762</v>
      </c>
      <c r="CC42" s="137">
        <f>8690+1470+1472</f>
        <v>11632</v>
      </c>
      <c r="CD42" s="137">
        <f>1744+377</f>
        <v>2121</v>
      </c>
      <c r="CE42" s="137">
        <f>3182+1853+766</f>
        <v>5801</v>
      </c>
      <c r="CF42" s="137">
        <f>844+142</f>
        <v>986</v>
      </c>
      <c r="CG42" s="137">
        <f>18898+1592+3208</f>
        <v>23698</v>
      </c>
      <c r="CH42" s="137">
        <f>35723+1899+5667</f>
        <v>43289</v>
      </c>
      <c r="CI42" s="137">
        <f>11086+996+1750</f>
        <v>13832</v>
      </c>
      <c r="CJ42" s="137">
        <f>70319+2042+11354</f>
        <v>83715</v>
      </c>
      <c r="CK42" s="138">
        <f>13437+2185+2471</f>
        <v>18093</v>
      </c>
      <c r="CL42" s="140">
        <f>362212+59249+63460</f>
        <v>484921</v>
      </c>
    </row>
    <row r="43" spans="1:90">
      <c r="A43" s="80">
        <f>ROWS($A$3:A41)</f>
        <v>39</v>
      </c>
      <c r="B43" s="92" t="s">
        <v>14</v>
      </c>
      <c r="C43" s="203"/>
      <c r="D43" s="254" t="s">
        <v>7</v>
      </c>
      <c r="E43" s="256">
        <v>40648</v>
      </c>
      <c r="F43" s="116">
        <v>104503</v>
      </c>
      <c r="G43" s="137">
        <v>24751</v>
      </c>
      <c r="H43" s="137">
        <v>68995</v>
      </c>
      <c r="I43" s="138">
        <v>163923</v>
      </c>
      <c r="J43" s="141"/>
      <c r="K43" s="116">
        <f>BF43</f>
        <v>25496</v>
      </c>
      <c r="L43" s="137">
        <f>AY43</f>
        <v>7065</v>
      </c>
      <c r="M43" s="137">
        <f>BD43</f>
        <v>7456</v>
      </c>
      <c r="N43" s="137">
        <f>AW43</f>
        <v>10614</v>
      </c>
      <c r="O43" s="137">
        <f>BE43</f>
        <v>8093</v>
      </c>
      <c r="P43" s="137">
        <f>AZ43+BA43</f>
        <v>4994</v>
      </c>
      <c r="Q43" s="137">
        <f>'2007'!AU43</f>
        <v>3043</v>
      </c>
      <c r="R43" s="137">
        <f>AT43+AX43</f>
        <v>5094</v>
      </c>
      <c r="S43" s="137">
        <f>AV43</f>
        <v>2818</v>
      </c>
      <c r="T43" s="137">
        <f>BB43</f>
        <v>7498</v>
      </c>
      <c r="U43" s="139">
        <f>BC43</f>
        <v>22332</v>
      </c>
      <c r="V43" s="137">
        <f>BJ43</f>
        <v>433</v>
      </c>
      <c r="W43" s="137">
        <f>BR43</f>
        <v>3970</v>
      </c>
      <c r="X43" s="137">
        <f>BI43</f>
        <v>1380</v>
      </c>
      <c r="Y43" s="137">
        <f>BK43+BN43</f>
        <v>4039</v>
      </c>
      <c r="Z43" s="137">
        <f>BM43</f>
        <v>8374</v>
      </c>
      <c r="AA43" s="137">
        <f>BO43+BQ43</f>
        <v>2939</v>
      </c>
      <c r="AB43" s="139">
        <f>BP43</f>
        <v>3616</v>
      </c>
      <c r="AC43" s="137">
        <f>BX43</f>
        <v>12135</v>
      </c>
      <c r="AD43" s="137">
        <f>BU43</f>
        <v>3789</v>
      </c>
      <c r="AE43" s="137">
        <f>BS43+BT43</f>
        <v>10475</v>
      </c>
      <c r="AF43" s="137">
        <f>CA43</f>
        <v>3844</v>
      </c>
      <c r="AG43" s="137">
        <f>BV43</f>
        <v>8744</v>
      </c>
      <c r="AH43" s="137">
        <f>BZ43</f>
        <v>9165</v>
      </c>
      <c r="AI43" s="137">
        <f>BW43</f>
        <v>5396</v>
      </c>
      <c r="AJ43" s="137">
        <f>BY43</f>
        <v>5263</v>
      </c>
      <c r="AK43" s="139">
        <f>CB43</f>
        <v>10184</v>
      </c>
      <c r="AL43" s="137">
        <f>CE43</f>
        <v>3182</v>
      </c>
      <c r="AM43" s="137">
        <f>CH43</f>
        <v>35723</v>
      </c>
      <c r="AN43" s="137">
        <f>CJ43</f>
        <v>70319</v>
      </c>
      <c r="AO43" s="137">
        <f>CC43</f>
        <v>8690</v>
      </c>
      <c r="AP43" s="137">
        <f>CD43</f>
        <v>1744</v>
      </c>
      <c r="AQ43" s="137">
        <f>CK43</f>
        <v>13437</v>
      </c>
      <c r="AR43" s="137">
        <f>CI43</f>
        <v>11086</v>
      </c>
      <c r="AS43" s="138">
        <f>CF43+CG43</f>
        <v>19742</v>
      </c>
      <c r="AT43" s="141">
        <v>415</v>
      </c>
      <c r="AU43" s="141">
        <v>3043</v>
      </c>
      <c r="AV43" s="141">
        <v>2818</v>
      </c>
      <c r="AW43" s="141">
        <v>10614</v>
      </c>
      <c r="AX43" s="141">
        <v>4679</v>
      </c>
      <c r="AY43" s="137">
        <v>7065</v>
      </c>
      <c r="AZ43" s="137">
        <v>128</v>
      </c>
      <c r="BA43" s="137">
        <v>4866</v>
      </c>
      <c r="BB43" s="137">
        <v>7498</v>
      </c>
      <c r="BC43" s="137">
        <v>22332</v>
      </c>
      <c r="BD43" s="137">
        <v>7456</v>
      </c>
      <c r="BE43" s="137">
        <v>8093</v>
      </c>
      <c r="BF43" s="139">
        <v>25496</v>
      </c>
      <c r="BG43" s="137" t="s">
        <v>233</v>
      </c>
      <c r="BH43" s="137" t="s">
        <v>233</v>
      </c>
      <c r="BI43" s="137">
        <v>1380</v>
      </c>
      <c r="BJ43" s="137">
        <v>433</v>
      </c>
      <c r="BK43" s="137">
        <v>200</v>
      </c>
      <c r="BL43" s="137" t="s">
        <v>233</v>
      </c>
      <c r="BM43" s="137">
        <v>8374</v>
      </c>
      <c r="BN43" s="137">
        <v>3839</v>
      </c>
      <c r="BO43" s="137">
        <v>71</v>
      </c>
      <c r="BP43" s="137">
        <v>3616</v>
      </c>
      <c r="BQ43" s="137">
        <v>2868</v>
      </c>
      <c r="BR43" s="139">
        <v>3970</v>
      </c>
      <c r="BS43" s="137">
        <v>96</v>
      </c>
      <c r="BT43" s="137">
        <v>10379</v>
      </c>
      <c r="BU43" s="137">
        <v>3789</v>
      </c>
      <c r="BV43" s="137">
        <v>8744</v>
      </c>
      <c r="BW43" s="137">
        <v>5396</v>
      </c>
      <c r="BX43" s="137">
        <v>12135</v>
      </c>
      <c r="BY43" s="137">
        <v>5263</v>
      </c>
      <c r="BZ43" s="137">
        <v>9165</v>
      </c>
      <c r="CA43" s="137">
        <v>3844</v>
      </c>
      <c r="CB43" s="139">
        <v>10184</v>
      </c>
      <c r="CC43" s="137">
        <v>8690</v>
      </c>
      <c r="CD43" s="137">
        <v>1744</v>
      </c>
      <c r="CE43" s="137">
        <v>3182</v>
      </c>
      <c r="CF43" s="137">
        <v>844</v>
      </c>
      <c r="CG43" s="137">
        <v>18898</v>
      </c>
      <c r="CH43" s="137">
        <v>35723</v>
      </c>
      <c r="CI43" s="137">
        <v>11086</v>
      </c>
      <c r="CJ43" s="137">
        <v>70319</v>
      </c>
      <c r="CK43" s="138">
        <v>13437</v>
      </c>
      <c r="CL43" s="140">
        <v>362212</v>
      </c>
    </row>
    <row r="44" spans="1:90">
      <c r="A44" s="80">
        <f>ROWS($A$3:A42)</f>
        <v>40</v>
      </c>
      <c r="B44" s="54" t="s">
        <v>20</v>
      </c>
      <c r="C44" s="252"/>
      <c r="D44" s="254" t="s">
        <v>241</v>
      </c>
      <c r="E44" s="256">
        <v>40648</v>
      </c>
      <c r="F44" s="116">
        <v>28</v>
      </c>
      <c r="G44" s="137">
        <v>29</v>
      </c>
      <c r="H44" s="137">
        <v>21</v>
      </c>
      <c r="I44" s="138">
        <v>34</v>
      </c>
      <c r="J44" s="141"/>
      <c r="K44" s="116">
        <f t="shared" si="74"/>
        <v>29</v>
      </c>
      <c r="L44" s="137">
        <f t="shared" si="75"/>
        <v>23</v>
      </c>
      <c r="M44" s="137">
        <f t="shared" si="76"/>
        <v>23</v>
      </c>
      <c r="N44" s="137">
        <f t="shared" si="77"/>
        <v>31</v>
      </c>
      <c r="O44" s="137">
        <f t="shared" si="78"/>
        <v>34</v>
      </c>
      <c r="P44" s="143">
        <f>(AZ42*AZ44+BA42*BA44)/P42</f>
        <v>30.772445820433436</v>
      </c>
      <c r="Q44" s="137">
        <f>'2007'!AU44</f>
        <v>30</v>
      </c>
      <c r="R44" s="143">
        <f>(AT42*AT44+AX42*AX44)/R42</f>
        <v>27.22873314466456</v>
      </c>
      <c r="S44" s="137">
        <f t="shared" si="79"/>
        <v>22</v>
      </c>
      <c r="T44" s="137">
        <f t="shared" si="80"/>
        <v>28</v>
      </c>
      <c r="U44" s="139">
        <f t="shared" si="81"/>
        <v>28</v>
      </c>
      <c r="V44" s="143">
        <f>(BJ42*BJ44)/V42</f>
        <v>20</v>
      </c>
      <c r="W44" s="137">
        <f t="shared" si="82"/>
        <v>24</v>
      </c>
      <c r="X44" s="143">
        <f>(BI42*BI44)/X42</f>
        <v>35</v>
      </c>
      <c r="Y44" s="143">
        <f>(BK42*BK44+BN42*BN44)/Y42</f>
        <v>35.723150357995223</v>
      </c>
      <c r="Z44" s="137">
        <f t="shared" si="83"/>
        <v>31</v>
      </c>
      <c r="AA44" s="143">
        <f>(BQ42*BQ44)/AA42</f>
        <v>33.443008767881864</v>
      </c>
      <c r="AB44" s="139">
        <f t="shared" si="84"/>
        <v>23</v>
      </c>
      <c r="AC44" s="137">
        <f t="shared" si="85"/>
        <v>23</v>
      </c>
      <c r="AD44" s="137">
        <f t="shared" si="86"/>
        <v>15</v>
      </c>
      <c r="AE44" s="143">
        <f>(BS42*BS44+BT42*BT44)/AE42</f>
        <v>19.948136928203574</v>
      </c>
      <c r="AF44" s="137">
        <f t="shared" si="87"/>
        <v>17</v>
      </c>
      <c r="AG44" s="137">
        <f t="shared" si="88"/>
        <v>13</v>
      </c>
      <c r="AH44" s="137">
        <f t="shared" si="89"/>
        <v>35</v>
      </c>
      <c r="AI44" s="137">
        <f t="shared" si="90"/>
        <v>19</v>
      </c>
      <c r="AJ44" s="137">
        <f t="shared" si="91"/>
        <v>33</v>
      </c>
      <c r="AK44" s="139">
        <f t="shared" si="92"/>
        <v>23</v>
      </c>
      <c r="AL44" s="137">
        <f t="shared" si="93"/>
        <v>35</v>
      </c>
      <c r="AM44" s="137">
        <f t="shared" si="94"/>
        <v>36</v>
      </c>
      <c r="AN44" s="137">
        <f t="shared" si="95"/>
        <v>39</v>
      </c>
      <c r="AO44" s="137">
        <f t="shared" si="96"/>
        <v>29</v>
      </c>
      <c r="AP44" s="137">
        <f t="shared" si="97"/>
        <v>34</v>
      </c>
      <c r="AQ44" s="137">
        <f t="shared" si="98"/>
        <v>30</v>
      </c>
      <c r="AR44" s="137">
        <f t="shared" si="99"/>
        <v>29</v>
      </c>
      <c r="AS44" s="144">
        <f>(CF42*CF44+CG42*CG44)/AS42</f>
        <v>29.119834710743802</v>
      </c>
      <c r="AT44" s="137">
        <v>30</v>
      </c>
      <c r="AU44" s="137">
        <v>30</v>
      </c>
      <c r="AV44" s="137">
        <v>22</v>
      </c>
      <c r="AW44" s="137">
        <v>31</v>
      </c>
      <c r="AX44" s="137">
        <v>27</v>
      </c>
      <c r="AY44" s="137">
        <v>23</v>
      </c>
      <c r="AZ44" s="137">
        <v>21</v>
      </c>
      <c r="BA44" s="137">
        <v>31</v>
      </c>
      <c r="BB44" s="137">
        <v>28</v>
      </c>
      <c r="BC44" s="137">
        <v>28</v>
      </c>
      <c r="BD44" s="137">
        <v>23</v>
      </c>
      <c r="BE44" s="137">
        <v>34</v>
      </c>
      <c r="BF44" s="139">
        <v>29</v>
      </c>
      <c r="BG44" s="137" t="s">
        <v>233</v>
      </c>
      <c r="BH44" s="137" t="s">
        <v>233</v>
      </c>
      <c r="BI44" s="137">
        <v>35</v>
      </c>
      <c r="BJ44" s="137">
        <v>20</v>
      </c>
      <c r="BK44" s="137">
        <v>29</v>
      </c>
      <c r="BL44" s="137" t="s">
        <v>233</v>
      </c>
      <c r="BM44" s="137">
        <v>31</v>
      </c>
      <c r="BN44" s="137">
        <v>36</v>
      </c>
      <c r="BO44" s="137">
        <v>24</v>
      </c>
      <c r="BP44" s="137">
        <v>23</v>
      </c>
      <c r="BQ44" s="137">
        <v>34</v>
      </c>
      <c r="BR44" s="139">
        <v>24</v>
      </c>
      <c r="BS44" s="137">
        <v>16</v>
      </c>
      <c r="BT44" s="137">
        <v>20</v>
      </c>
      <c r="BU44" s="137">
        <v>15</v>
      </c>
      <c r="BV44" s="137">
        <v>13</v>
      </c>
      <c r="BW44" s="137">
        <v>19</v>
      </c>
      <c r="BX44" s="137">
        <v>23</v>
      </c>
      <c r="BY44" s="137">
        <v>33</v>
      </c>
      <c r="BZ44" s="137">
        <v>35</v>
      </c>
      <c r="CA44" s="137">
        <v>17</v>
      </c>
      <c r="CB44" s="139">
        <v>23</v>
      </c>
      <c r="CC44" s="137">
        <v>29</v>
      </c>
      <c r="CD44" s="137">
        <v>34</v>
      </c>
      <c r="CE44" s="137">
        <v>35</v>
      </c>
      <c r="CF44" s="137">
        <v>32</v>
      </c>
      <c r="CG44" s="137">
        <v>29</v>
      </c>
      <c r="CH44" s="137">
        <v>36</v>
      </c>
      <c r="CI44" s="137">
        <v>29</v>
      </c>
      <c r="CJ44" s="137">
        <v>39</v>
      </c>
      <c r="CK44" s="138">
        <v>30</v>
      </c>
      <c r="CL44" s="140">
        <v>29</v>
      </c>
    </row>
    <row r="45" spans="1:90">
      <c r="A45" s="80">
        <f>ROWS($A$3:A43)</f>
        <v>41</v>
      </c>
      <c r="B45" s="92" t="s">
        <v>74</v>
      </c>
      <c r="C45" s="202">
        <v>2007</v>
      </c>
      <c r="D45" s="254" t="s">
        <v>7</v>
      </c>
      <c r="E45" s="256">
        <v>40652</v>
      </c>
      <c r="F45" s="116">
        <v>1180197</v>
      </c>
      <c r="G45" s="137">
        <v>127805</v>
      </c>
      <c r="H45" s="137">
        <v>180992</v>
      </c>
      <c r="I45" s="138">
        <v>746925</v>
      </c>
      <c r="J45" s="141"/>
      <c r="K45" s="116">
        <f t="shared" si="74"/>
        <v>140592</v>
      </c>
      <c r="L45" s="137">
        <f t="shared" si="75"/>
        <v>19474</v>
      </c>
      <c r="M45" s="137">
        <f t="shared" si="76"/>
        <v>160206</v>
      </c>
      <c r="N45" s="137">
        <f t="shared" si="77"/>
        <v>28195</v>
      </c>
      <c r="O45" s="137">
        <f t="shared" si="78"/>
        <v>50959</v>
      </c>
      <c r="P45" s="808">
        <f>IF(ISERROR(AZ45+BA45),BA45,AZ45+BA45)</f>
        <v>36359</v>
      </c>
      <c r="Q45" s="137">
        <f>'2007'!AU45</f>
        <v>20889</v>
      </c>
      <c r="R45" s="808">
        <f>IF(ISERROR(AT45+AX45),AX45,AT45+AX45)</f>
        <v>42918</v>
      </c>
      <c r="S45" s="137">
        <f t="shared" si="79"/>
        <v>8426</v>
      </c>
      <c r="T45" s="137">
        <f t="shared" si="80"/>
        <v>194362</v>
      </c>
      <c r="U45" s="139">
        <f t="shared" si="81"/>
        <v>477817</v>
      </c>
      <c r="V45" s="808">
        <f>IF(ISERROR(BG45+BJ45),BJ45,(BG45+BJ45))</f>
        <v>7440</v>
      </c>
      <c r="W45" s="137">
        <f t="shared" si="82"/>
        <v>14753</v>
      </c>
      <c r="X45" s="808">
        <f>IF(ISERROR(BH45+BI45),BI45,(BH45+BI45))</f>
        <v>13037</v>
      </c>
      <c r="Y45" s="808">
        <f>IF(ISERROR(BK45+BL45+BN45),BK45+BN45,(BK45+BL45+BN45))</f>
        <v>33131</v>
      </c>
      <c r="Z45" s="137">
        <f t="shared" si="83"/>
        <v>43654</v>
      </c>
      <c r="AA45" s="808">
        <f>IF(ISERROR(BO45+BQ45),BQ45,(BO45+BQ45))</f>
        <v>8295</v>
      </c>
      <c r="AB45" s="139">
        <f t="shared" si="84"/>
        <v>8817</v>
      </c>
      <c r="AC45" s="137">
        <f t="shared" si="85"/>
        <v>24208</v>
      </c>
      <c r="AD45" s="137">
        <f t="shared" si="86"/>
        <v>7935</v>
      </c>
      <c r="AE45" s="808">
        <f>BS45+BT45</f>
        <v>10268</v>
      </c>
      <c r="AF45" s="137">
        <f t="shared" si="87"/>
        <v>4880</v>
      </c>
      <c r="AG45" s="137">
        <f t="shared" si="88"/>
        <v>38468</v>
      </c>
      <c r="AH45" s="137">
        <f t="shared" si="89"/>
        <v>22788</v>
      </c>
      <c r="AI45" s="137">
        <f t="shared" si="90"/>
        <v>39860</v>
      </c>
      <c r="AJ45" s="137">
        <f t="shared" si="91"/>
        <v>12198</v>
      </c>
      <c r="AK45" s="139">
        <f t="shared" si="92"/>
        <v>20387</v>
      </c>
      <c r="AL45" s="137">
        <f t="shared" si="93"/>
        <v>11586</v>
      </c>
      <c r="AM45" s="137">
        <f t="shared" si="94"/>
        <v>174636</v>
      </c>
      <c r="AN45" s="137">
        <f t="shared" si="95"/>
        <v>64349</v>
      </c>
      <c r="AO45" s="137">
        <f t="shared" si="96"/>
        <v>35347</v>
      </c>
      <c r="AP45" s="137">
        <f t="shared" si="97"/>
        <v>15667</v>
      </c>
      <c r="AQ45" s="137">
        <f t="shared" si="98"/>
        <v>109636</v>
      </c>
      <c r="AR45" s="137">
        <f t="shared" si="99"/>
        <v>21765</v>
      </c>
      <c r="AS45" s="138">
        <f>CF45+CG45</f>
        <v>313939</v>
      </c>
      <c r="AT45" s="137" t="s">
        <v>233</v>
      </c>
      <c r="AU45" s="141">
        <v>20889</v>
      </c>
      <c r="AV45" s="141">
        <v>8426</v>
      </c>
      <c r="AW45" s="141">
        <v>28195</v>
      </c>
      <c r="AX45" s="141">
        <v>42918</v>
      </c>
      <c r="AY45" s="137">
        <v>19474</v>
      </c>
      <c r="AZ45" s="137" t="s">
        <v>233</v>
      </c>
      <c r="BA45" s="137">
        <v>36359</v>
      </c>
      <c r="BB45" s="137">
        <v>194362</v>
      </c>
      <c r="BC45" s="137">
        <v>477817</v>
      </c>
      <c r="BD45" s="137">
        <v>160206</v>
      </c>
      <c r="BE45" s="137">
        <v>50959</v>
      </c>
      <c r="BF45" s="139">
        <v>140592</v>
      </c>
      <c r="BG45" s="137" t="s">
        <v>233</v>
      </c>
      <c r="BH45" s="137">
        <v>1322</v>
      </c>
      <c r="BI45" s="137">
        <v>11715</v>
      </c>
      <c r="BJ45" s="137">
        <v>7440</v>
      </c>
      <c r="BK45" s="137">
        <v>792</v>
      </c>
      <c r="BL45" s="137">
        <v>841</v>
      </c>
      <c r="BM45" s="137">
        <v>43654</v>
      </c>
      <c r="BN45" s="137">
        <v>31498</v>
      </c>
      <c r="BO45" s="137" t="s">
        <v>233</v>
      </c>
      <c r="BP45" s="137">
        <v>8817</v>
      </c>
      <c r="BQ45" s="137">
        <v>8295</v>
      </c>
      <c r="BR45" s="139">
        <v>14753</v>
      </c>
      <c r="BS45" s="137">
        <v>411</v>
      </c>
      <c r="BT45" s="137">
        <v>9857</v>
      </c>
      <c r="BU45" s="137">
        <v>7935</v>
      </c>
      <c r="BV45" s="137">
        <v>38468</v>
      </c>
      <c r="BW45" s="137">
        <v>39860</v>
      </c>
      <c r="BX45" s="137">
        <v>24208</v>
      </c>
      <c r="BY45" s="137">
        <v>12198</v>
      </c>
      <c r="BZ45" s="137">
        <v>22788</v>
      </c>
      <c r="CA45" s="137">
        <v>4880</v>
      </c>
      <c r="CB45" s="139">
        <v>20387</v>
      </c>
      <c r="CC45" s="137">
        <v>35347</v>
      </c>
      <c r="CD45" s="137">
        <v>15667</v>
      </c>
      <c r="CE45" s="137">
        <v>11586</v>
      </c>
      <c r="CF45" s="137">
        <v>21147</v>
      </c>
      <c r="CG45" s="137">
        <v>292792</v>
      </c>
      <c r="CH45" s="137">
        <v>174636</v>
      </c>
      <c r="CI45" s="137">
        <v>21765</v>
      </c>
      <c r="CJ45" s="137">
        <v>64349</v>
      </c>
      <c r="CK45" s="138">
        <v>109636</v>
      </c>
      <c r="CL45" s="140">
        <v>2238322</v>
      </c>
    </row>
    <row r="46" spans="1:90">
      <c r="A46" s="80">
        <f>ROWS($A$3:A44)</f>
        <v>42</v>
      </c>
      <c r="B46" s="92" t="s">
        <v>8</v>
      </c>
      <c r="C46" s="203"/>
      <c r="D46" s="254" t="s">
        <v>7</v>
      </c>
      <c r="E46" s="256">
        <v>40652</v>
      </c>
      <c r="F46" s="116">
        <v>161288</v>
      </c>
      <c r="G46" s="137">
        <v>11514</v>
      </c>
      <c r="H46" s="137">
        <v>15185</v>
      </c>
      <c r="I46" s="138">
        <v>83191</v>
      </c>
      <c r="J46" s="141"/>
      <c r="K46" s="116">
        <f t="shared" si="74"/>
        <v>20873</v>
      </c>
      <c r="L46" s="137">
        <f t="shared" si="75"/>
        <v>1661</v>
      </c>
      <c r="M46" s="137">
        <f t="shared" si="76"/>
        <v>23900</v>
      </c>
      <c r="N46" s="137">
        <f t="shared" si="77"/>
        <v>1821</v>
      </c>
      <c r="O46" s="137">
        <f t="shared" si="78"/>
        <v>5178</v>
      </c>
      <c r="P46" s="808">
        <f>IF(ISERROR(AZ46+BA46),BA46,AZ46+BA46)</f>
        <v>3905</v>
      </c>
      <c r="Q46" s="137">
        <f>'2007'!AU46</f>
        <v>2440</v>
      </c>
      <c r="R46" s="808">
        <f>IF(ISERROR(AT46+AX46),AX46,AT46+AX46)</f>
        <v>3610</v>
      </c>
      <c r="S46" s="137">
        <f t="shared" si="79"/>
        <v>545</v>
      </c>
      <c r="T46" s="137">
        <f t="shared" si="80"/>
        <v>29758</v>
      </c>
      <c r="U46" s="139">
        <f t="shared" si="81"/>
        <v>67597</v>
      </c>
      <c r="V46" s="808">
        <f>IF(ISERROR(BG46+BJ46),BJ46,(BG46+BJ46))</f>
        <v>615</v>
      </c>
      <c r="W46" s="137">
        <f t="shared" si="82"/>
        <v>1828</v>
      </c>
      <c r="X46" s="808">
        <f>IF(ISERROR(BH46+BI46),BI46,(BH46+BI46))</f>
        <v>1240</v>
      </c>
      <c r="Y46" s="808">
        <f>IF(ISERROR(BK46+BL46+BN46),BN46,(BK46+BL46+BN46))</f>
        <v>2582</v>
      </c>
      <c r="Z46" s="137">
        <f t="shared" si="83"/>
        <v>4450</v>
      </c>
      <c r="AA46" s="808">
        <f>IF(ISERROR(BO46+BQ46),BQ46,(BO46+BQ46))</f>
        <v>408</v>
      </c>
      <c r="AB46" s="139">
        <f t="shared" si="84"/>
        <v>554</v>
      </c>
      <c r="AC46" s="137">
        <f t="shared" si="85"/>
        <v>1807</v>
      </c>
      <c r="AD46" s="137">
        <f t="shared" si="86"/>
        <v>614</v>
      </c>
      <c r="AE46" s="808">
        <f>IF(ISERROR(BS46+BT46),BT46,(BS46+BT46))</f>
        <v>745</v>
      </c>
      <c r="AF46" s="137" t="str">
        <f t="shared" si="87"/>
        <v>*</v>
      </c>
      <c r="AG46" s="137">
        <f t="shared" si="88"/>
        <v>4152</v>
      </c>
      <c r="AH46" s="137">
        <f t="shared" si="89"/>
        <v>1541</v>
      </c>
      <c r="AI46" s="137">
        <f t="shared" si="90"/>
        <v>3227</v>
      </c>
      <c r="AJ46" s="137">
        <f t="shared" si="91"/>
        <v>1096</v>
      </c>
      <c r="AK46" s="139">
        <f t="shared" si="92"/>
        <v>2003</v>
      </c>
      <c r="AL46" s="137">
        <f t="shared" si="93"/>
        <v>850</v>
      </c>
      <c r="AM46" s="137">
        <f t="shared" si="94"/>
        <v>19510</v>
      </c>
      <c r="AN46" s="137">
        <f t="shared" si="95"/>
        <v>7843</v>
      </c>
      <c r="AO46" s="137">
        <f t="shared" si="96"/>
        <v>4324</v>
      </c>
      <c r="AP46" s="137">
        <f t="shared" si="97"/>
        <v>988</v>
      </c>
      <c r="AQ46" s="137">
        <f t="shared" si="98"/>
        <v>12657</v>
      </c>
      <c r="AR46" s="137">
        <f t="shared" si="99"/>
        <v>1948</v>
      </c>
      <c r="AS46" s="138">
        <f>CF46+CG46</f>
        <v>35071</v>
      </c>
      <c r="AT46" s="137" t="s">
        <v>233</v>
      </c>
      <c r="AU46" s="141">
        <v>2440</v>
      </c>
      <c r="AV46" s="141">
        <v>545</v>
      </c>
      <c r="AW46" s="141">
        <v>1821</v>
      </c>
      <c r="AX46" s="141">
        <v>3610</v>
      </c>
      <c r="AY46" s="137">
        <v>1661</v>
      </c>
      <c r="AZ46" s="137" t="s">
        <v>233</v>
      </c>
      <c r="BA46" s="137">
        <v>3905</v>
      </c>
      <c r="BB46" s="137">
        <v>29758</v>
      </c>
      <c r="BC46" s="137">
        <v>67597</v>
      </c>
      <c r="BD46" s="137">
        <v>23900</v>
      </c>
      <c r="BE46" s="137">
        <v>5178</v>
      </c>
      <c r="BF46" s="139">
        <v>20873</v>
      </c>
      <c r="BG46" s="137" t="s">
        <v>233</v>
      </c>
      <c r="BH46" s="137">
        <v>163</v>
      </c>
      <c r="BI46" s="137">
        <v>1077</v>
      </c>
      <c r="BJ46" s="137">
        <v>615</v>
      </c>
      <c r="BK46" s="137" t="s">
        <v>233</v>
      </c>
      <c r="BL46" s="137">
        <v>0</v>
      </c>
      <c r="BM46" s="137">
        <v>4450</v>
      </c>
      <c r="BN46" s="137">
        <v>2582</v>
      </c>
      <c r="BO46" s="137" t="s">
        <v>233</v>
      </c>
      <c r="BP46" s="137">
        <v>554</v>
      </c>
      <c r="BQ46" s="137">
        <v>408</v>
      </c>
      <c r="BR46" s="139">
        <v>1828</v>
      </c>
      <c r="BS46" s="137" t="s">
        <v>233</v>
      </c>
      <c r="BT46" s="137">
        <v>745</v>
      </c>
      <c r="BU46" s="137">
        <v>614</v>
      </c>
      <c r="BV46" s="137">
        <v>4152</v>
      </c>
      <c r="BW46" s="137">
        <v>3227</v>
      </c>
      <c r="BX46" s="137">
        <v>1807</v>
      </c>
      <c r="BY46" s="137">
        <v>1096</v>
      </c>
      <c r="BZ46" s="137">
        <v>1541</v>
      </c>
      <c r="CA46" s="137" t="s">
        <v>233</v>
      </c>
      <c r="CB46" s="139">
        <v>2003</v>
      </c>
      <c r="CC46" s="137">
        <v>4324</v>
      </c>
      <c r="CD46" s="137">
        <v>988</v>
      </c>
      <c r="CE46" s="137">
        <v>850</v>
      </c>
      <c r="CF46" s="137">
        <v>1599</v>
      </c>
      <c r="CG46" s="137">
        <v>33472</v>
      </c>
      <c r="CH46" s="137">
        <v>19510</v>
      </c>
      <c r="CI46" s="137">
        <v>1948</v>
      </c>
      <c r="CJ46" s="137">
        <v>7843</v>
      </c>
      <c r="CK46" s="138">
        <v>12657</v>
      </c>
      <c r="CL46" s="140">
        <v>271854</v>
      </c>
    </row>
    <row r="47" spans="1:90">
      <c r="A47" s="80">
        <f>ROWS($A$3:A45)</f>
        <v>43</v>
      </c>
      <c r="B47" s="54" t="s">
        <v>19</v>
      </c>
      <c r="C47" s="252"/>
      <c r="D47" s="254" t="s">
        <v>241</v>
      </c>
      <c r="E47" s="256">
        <v>40652</v>
      </c>
      <c r="F47" s="116">
        <v>95</v>
      </c>
      <c r="G47" s="137">
        <v>57</v>
      </c>
      <c r="H47" s="137">
        <v>30</v>
      </c>
      <c r="I47" s="138">
        <v>92</v>
      </c>
      <c r="J47" s="141"/>
      <c r="K47" s="116">
        <f t="shared" si="74"/>
        <v>57</v>
      </c>
      <c r="L47" s="137">
        <f t="shared" si="75"/>
        <v>45</v>
      </c>
      <c r="M47" s="137">
        <f t="shared" si="76"/>
        <v>70</v>
      </c>
      <c r="N47" s="137">
        <f t="shared" si="77"/>
        <v>61</v>
      </c>
      <c r="O47" s="137">
        <f t="shared" si="78"/>
        <v>98</v>
      </c>
      <c r="P47" s="808">
        <f>IF(ISERROR((BA45*BA47+AZ45*AZ47)/P45),BA47,(BA45*BA47+AZ45*AZ47)/P45)</f>
        <v>100</v>
      </c>
      <c r="Q47" s="137">
        <f>'2007'!AU47</f>
        <v>85</v>
      </c>
      <c r="R47" s="808">
        <f>IF(ISERROR((AT47*AT45+AX45*AX47)/R45),AX47,(AT47*AT45+AX45*AX47)/R45)</f>
        <v>123</v>
      </c>
      <c r="S47" s="137">
        <f t="shared" si="79"/>
        <v>38</v>
      </c>
      <c r="T47" s="137">
        <f t="shared" si="80"/>
        <v>134</v>
      </c>
      <c r="U47" s="139">
        <f t="shared" si="81"/>
        <v>132</v>
      </c>
      <c r="V47" s="808">
        <f>IF(ISERROR((BG47*BG45+BJ45*BJ47)/V45),BJ47,(BG47*BG45+BJ45*BJ47)/V45)</f>
        <v>60</v>
      </c>
      <c r="W47" s="137">
        <f t="shared" si="82"/>
        <v>32</v>
      </c>
      <c r="X47" s="808">
        <f>(BH45*BH47+BI45*BI47)/X45</f>
        <v>57.23088133773107</v>
      </c>
      <c r="Y47" s="808">
        <f>IF(ISERROR((BK47*BK45+BL47*BL45+BN47*BN45)/Y45),(BL47*BL45+BN47*BN45)/(BL45+BN45),(BK47*BK45+BL47*BL45+BN47*BN45)/Y45)</f>
        <v>88.895976993722755</v>
      </c>
      <c r="Z47" s="137">
        <f t="shared" si="83"/>
        <v>72</v>
      </c>
      <c r="AA47" s="808">
        <f>IF(ISERROR((BO47*BO45+BQ47*BQ45)/AA45),BQ47,(BO47*BO45+BQ47*BQ45)/AA45)</f>
        <v>49</v>
      </c>
      <c r="AB47" s="139">
        <f t="shared" si="84"/>
        <v>26</v>
      </c>
      <c r="AC47" s="137">
        <f t="shared" si="85"/>
        <v>30</v>
      </c>
      <c r="AD47" s="137">
        <f t="shared" si="86"/>
        <v>16</v>
      </c>
      <c r="AE47" s="808">
        <f>(BS45*BS47+BT45*BT47)/AE45</f>
        <v>13.87991819244254</v>
      </c>
      <c r="AF47" s="137">
        <f t="shared" si="87"/>
        <v>24</v>
      </c>
      <c r="AG47" s="137">
        <f t="shared" si="88"/>
        <v>20</v>
      </c>
      <c r="AH47" s="137">
        <f t="shared" si="89"/>
        <v>70</v>
      </c>
      <c r="AI47" s="137">
        <f t="shared" si="90"/>
        <v>54</v>
      </c>
      <c r="AJ47" s="137">
        <f t="shared" si="91"/>
        <v>44</v>
      </c>
      <c r="AK47" s="139">
        <f t="shared" si="92"/>
        <v>27</v>
      </c>
      <c r="AL47" s="137">
        <f t="shared" si="93"/>
        <v>47</v>
      </c>
      <c r="AM47" s="137">
        <f t="shared" si="94"/>
        <v>103</v>
      </c>
      <c r="AN47" s="137">
        <f t="shared" si="95"/>
        <v>88</v>
      </c>
      <c r="AO47" s="137">
        <f t="shared" si="96"/>
        <v>36</v>
      </c>
      <c r="AP47" s="137">
        <f t="shared" si="97"/>
        <v>66</v>
      </c>
      <c r="AQ47" s="137">
        <f t="shared" si="98"/>
        <v>81</v>
      </c>
      <c r="AR47" s="137">
        <f t="shared" si="99"/>
        <v>68</v>
      </c>
      <c r="AS47" s="144">
        <f>(CF45*CF47+CG45*CG47)/AS45</f>
        <v>124.44577449759348</v>
      </c>
      <c r="AT47" s="137" t="s">
        <v>233</v>
      </c>
      <c r="AU47" s="137">
        <v>85</v>
      </c>
      <c r="AV47" s="137">
        <v>38</v>
      </c>
      <c r="AW47" s="137">
        <v>61</v>
      </c>
      <c r="AX47" s="137">
        <v>123</v>
      </c>
      <c r="AY47" s="137">
        <v>45</v>
      </c>
      <c r="AZ47" s="137" t="s">
        <v>233</v>
      </c>
      <c r="BA47" s="137">
        <v>100</v>
      </c>
      <c r="BB47" s="137">
        <v>134</v>
      </c>
      <c r="BC47" s="137">
        <v>132</v>
      </c>
      <c r="BD47" s="137">
        <v>70</v>
      </c>
      <c r="BE47" s="137">
        <v>98</v>
      </c>
      <c r="BF47" s="139">
        <v>57</v>
      </c>
      <c r="BG47" s="137">
        <v>0</v>
      </c>
      <c r="BH47" s="137">
        <v>77</v>
      </c>
      <c r="BI47" s="137">
        <v>55</v>
      </c>
      <c r="BJ47" s="137">
        <v>60</v>
      </c>
      <c r="BK47" s="137" t="s">
        <v>233</v>
      </c>
      <c r="BL47" s="137">
        <v>85</v>
      </c>
      <c r="BM47" s="137">
        <v>72</v>
      </c>
      <c r="BN47" s="137">
        <v>89</v>
      </c>
      <c r="BO47" s="137" t="s">
        <v>233</v>
      </c>
      <c r="BP47" s="137">
        <v>26</v>
      </c>
      <c r="BQ47" s="137">
        <v>49</v>
      </c>
      <c r="BR47" s="139">
        <v>32</v>
      </c>
      <c r="BS47" s="137">
        <v>11</v>
      </c>
      <c r="BT47" s="137">
        <v>14</v>
      </c>
      <c r="BU47" s="137">
        <v>16</v>
      </c>
      <c r="BV47" s="137">
        <v>20</v>
      </c>
      <c r="BW47" s="137">
        <v>54</v>
      </c>
      <c r="BX47" s="137">
        <v>30</v>
      </c>
      <c r="BY47" s="137">
        <v>44</v>
      </c>
      <c r="BZ47" s="137">
        <v>70</v>
      </c>
      <c r="CA47" s="137">
        <v>24</v>
      </c>
      <c r="CB47" s="139">
        <v>27</v>
      </c>
      <c r="CC47" s="137">
        <v>36</v>
      </c>
      <c r="CD47" s="137">
        <v>66</v>
      </c>
      <c r="CE47" s="137">
        <v>47</v>
      </c>
      <c r="CF47" s="137">
        <v>186</v>
      </c>
      <c r="CG47" s="137">
        <v>120</v>
      </c>
      <c r="CH47" s="137">
        <v>103</v>
      </c>
      <c r="CI47" s="137">
        <v>68</v>
      </c>
      <c r="CJ47" s="137">
        <v>88</v>
      </c>
      <c r="CK47" s="138">
        <v>81</v>
      </c>
      <c r="CL47" s="140">
        <v>74</v>
      </c>
    </row>
    <row r="48" spans="1:90">
      <c r="A48" s="80">
        <f>ROWS($A$3:A46)</f>
        <v>44</v>
      </c>
      <c r="B48" s="196" t="s">
        <v>239</v>
      </c>
      <c r="C48" s="202">
        <v>2007</v>
      </c>
      <c r="D48" s="254" t="s">
        <v>7</v>
      </c>
      <c r="E48" s="256">
        <v>40652</v>
      </c>
      <c r="F48" s="116">
        <v>21010</v>
      </c>
      <c r="G48" s="137">
        <v>12940</v>
      </c>
      <c r="H48" s="137">
        <v>15249</v>
      </c>
      <c r="I48" s="138">
        <v>18617</v>
      </c>
      <c r="J48" s="141"/>
      <c r="K48" s="116">
        <f t="shared" si="74"/>
        <v>3648</v>
      </c>
      <c r="L48" s="137">
        <f t="shared" si="75"/>
        <v>2101</v>
      </c>
      <c r="M48" s="137">
        <f t="shared" si="76"/>
        <v>973</v>
      </c>
      <c r="N48" s="137">
        <f t="shared" si="77"/>
        <v>1831</v>
      </c>
      <c r="O48" s="137">
        <f t="shared" si="78"/>
        <v>931</v>
      </c>
      <c r="P48" s="137">
        <f>AZ48+BA48</f>
        <v>1659</v>
      </c>
      <c r="Q48" s="137">
        <f>'2007'!AU48</f>
        <v>2372</v>
      </c>
      <c r="R48" s="137">
        <f>AT48+AX48</f>
        <v>2573</v>
      </c>
      <c r="S48" s="137">
        <f t="shared" si="79"/>
        <v>2186</v>
      </c>
      <c r="T48" s="137">
        <f t="shared" si="80"/>
        <v>917</v>
      </c>
      <c r="U48" s="139">
        <f t="shared" si="81"/>
        <v>1819</v>
      </c>
      <c r="V48" s="137">
        <f>BG48+BJ48</f>
        <v>839</v>
      </c>
      <c r="W48" s="137">
        <f t="shared" si="82"/>
        <v>1202</v>
      </c>
      <c r="X48" s="137">
        <f>BH48+BI48</f>
        <v>2766</v>
      </c>
      <c r="Y48" s="137">
        <f>BK48+BL48+BN48</f>
        <v>3143</v>
      </c>
      <c r="Z48" s="137">
        <f t="shared" si="83"/>
        <v>1855</v>
      </c>
      <c r="AA48" s="137">
        <f>BO48+BQ48</f>
        <v>1630</v>
      </c>
      <c r="AB48" s="139">
        <f t="shared" si="84"/>
        <v>1505</v>
      </c>
      <c r="AC48" s="137">
        <f t="shared" si="85"/>
        <v>1374</v>
      </c>
      <c r="AD48" s="137">
        <f t="shared" si="86"/>
        <v>1092</v>
      </c>
      <c r="AE48" s="137">
        <f>BS48+BT48</f>
        <v>2820</v>
      </c>
      <c r="AF48" s="137">
        <f t="shared" si="87"/>
        <v>1822</v>
      </c>
      <c r="AG48" s="137">
        <f t="shared" si="88"/>
        <v>1978</v>
      </c>
      <c r="AH48" s="137">
        <f t="shared" si="89"/>
        <v>1799</v>
      </c>
      <c r="AI48" s="137">
        <f t="shared" si="90"/>
        <v>1100</v>
      </c>
      <c r="AJ48" s="137">
        <f t="shared" si="91"/>
        <v>908</v>
      </c>
      <c r="AK48" s="139">
        <f t="shared" si="92"/>
        <v>2356</v>
      </c>
      <c r="AL48" s="137">
        <f t="shared" si="93"/>
        <v>1861</v>
      </c>
      <c r="AM48" s="137">
        <f t="shared" si="94"/>
        <v>2346</v>
      </c>
      <c r="AN48" s="137">
        <f t="shared" si="95"/>
        <v>4253</v>
      </c>
      <c r="AO48" s="137">
        <f t="shared" si="96"/>
        <v>2871</v>
      </c>
      <c r="AP48" s="137">
        <f t="shared" si="97"/>
        <v>986</v>
      </c>
      <c r="AQ48" s="137">
        <f t="shared" si="98"/>
        <v>1856</v>
      </c>
      <c r="AR48" s="137">
        <f t="shared" si="99"/>
        <v>1984</v>
      </c>
      <c r="AS48" s="138">
        <f>CF48+CG48</f>
        <v>2460</v>
      </c>
      <c r="AT48" s="137">
        <v>255</v>
      </c>
      <c r="AU48" s="141">
        <v>2372</v>
      </c>
      <c r="AV48" s="141">
        <v>2186</v>
      </c>
      <c r="AW48" s="141">
        <v>1831</v>
      </c>
      <c r="AX48" s="141">
        <v>2318</v>
      </c>
      <c r="AY48" s="137">
        <v>2101</v>
      </c>
      <c r="AZ48" s="137">
        <v>41</v>
      </c>
      <c r="BA48" s="137">
        <v>1618</v>
      </c>
      <c r="BB48" s="137">
        <v>917</v>
      </c>
      <c r="BC48" s="137">
        <v>1819</v>
      </c>
      <c r="BD48" s="137">
        <v>973</v>
      </c>
      <c r="BE48" s="137">
        <v>931</v>
      </c>
      <c r="BF48" s="139">
        <v>3648</v>
      </c>
      <c r="BG48" s="137">
        <v>61</v>
      </c>
      <c r="BH48" s="137">
        <v>171</v>
      </c>
      <c r="BI48" s="137">
        <v>2595</v>
      </c>
      <c r="BJ48" s="137">
        <v>778</v>
      </c>
      <c r="BK48" s="137">
        <v>176</v>
      </c>
      <c r="BL48" s="137">
        <v>444</v>
      </c>
      <c r="BM48" s="137">
        <v>1855</v>
      </c>
      <c r="BN48" s="137">
        <v>2523</v>
      </c>
      <c r="BO48" s="137">
        <v>173</v>
      </c>
      <c r="BP48" s="137">
        <v>1505</v>
      </c>
      <c r="BQ48" s="137">
        <v>1457</v>
      </c>
      <c r="BR48" s="139">
        <v>1202</v>
      </c>
      <c r="BS48" s="137">
        <v>214</v>
      </c>
      <c r="BT48" s="137">
        <v>2606</v>
      </c>
      <c r="BU48" s="137">
        <v>1092</v>
      </c>
      <c r="BV48" s="137">
        <v>1978</v>
      </c>
      <c r="BW48" s="137">
        <v>1100</v>
      </c>
      <c r="BX48" s="137">
        <v>1374</v>
      </c>
      <c r="BY48" s="137">
        <v>908</v>
      </c>
      <c r="BZ48" s="137">
        <v>1799</v>
      </c>
      <c r="CA48" s="137">
        <v>1822</v>
      </c>
      <c r="CB48" s="139">
        <v>2356</v>
      </c>
      <c r="CC48" s="137">
        <v>2871</v>
      </c>
      <c r="CD48" s="137">
        <v>986</v>
      </c>
      <c r="CE48" s="137">
        <v>1861</v>
      </c>
      <c r="CF48" s="137">
        <v>249</v>
      </c>
      <c r="CG48" s="137">
        <v>2211</v>
      </c>
      <c r="CH48" s="137">
        <v>2346</v>
      </c>
      <c r="CI48" s="137">
        <v>1984</v>
      </c>
      <c r="CJ48" s="137">
        <v>4253</v>
      </c>
      <c r="CK48" s="138">
        <v>1856</v>
      </c>
      <c r="CL48" s="140">
        <v>67816</v>
      </c>
    </row>
    <row r="49" spans="1:90">
      <c r="A49" s="80">
        <f>ROWS($A$3:A47)</f>
        <v>45</v>
      </c>
      <c r="B49" s="92" t="s">
        <v>75</v>
      </c>
      <c r="C49" s="202">
        <v>2007</v>
      </c>
      <c r="D49" s="254" t="s">
        <v>7</v>
      </c>
      <c r="E49" s="256">
        <v>40652</v>
      </c>
      <c r="F49" s="116">
        <v>89942</v>
      </c>
      <c r="G49" s="137">
        <v>37333</v>
      </c>
      <c r="H49" s="137">
        <v>58301</v>
      </c>
      <c r="I49" s="138">
        <v>80552</v>
      </c>
      <c r="J49" s="141"/>
      <c r="K49" s="116">
        <f t="shared" si="74"/>
        <v>11991</v>
      </c>
      <c r="L49" s="137">
        <f t="shared" si="75"/>
        <v>7878</v>
      </c>
      <c r="M49" s="137">
        <f t="shared" si="76"/>
        <v>5265</v>
      </c>
      <c r="N49" s="137">
        <f t="shared" si="77"/>
        <v>10904</v>
      </c>
      <c r="O49" s="137">
        <f t="shared" si="78"/>
        <v>9890</v>
      </c>
      <c r="P49" s="137">
        <f>AZ49+BA49</f>
        <v>8353</v>
      </c>
      <c r="Q49" s="137" t="str">
        <f>'2007'!AU49</f>
        <v>*</v>
      </c>
      <c r="R49" s="137">
        <f>AX49</f>
        <v>3392</v>
      </c>
      <c r="S49" s="137">
        <f t="shared" si="79"/>
        <v>15210</v>
      </c>
      <c r="T49" s="137">
        <f t="shared" si="80"/>
        <v>5129</v>
      </c>
      <c r="U49" s="139">
        <f t="shared" si="81"/>
        <v>11930</v>
      </c>
      <c r="V49" s="137">
        <f>BG49+BJ49</f>
        <v>4810</v>
      </c>
      <c r="W49" s="137">
        <f t="shared" si="82"/>
        <v>8680</v>
      </c>
      <c r="X49" s="137">
        <f>BI49</f>
        <v>4163</v>
      </c>
      <c r="Y49" s="137">
        <f>BK49+BN49</f>
        <v>5602</v>
      </c>
      <c r="Z49" s="137">
        <f t="shared" si="83"/>
        <v>3542</v>
      </c>
      <c r="AA49" s="137">
        <f>BQ49</f>
        <v>1825</v>
      </c>
      <c r="AB49" s="139">
        <f t="shared" si="84"/>
        <v>8711</v>
      </c>
      <c r="AC49" s="137">
        <f t="shared" si="85"/>
        <v>4487</v>
      </c>
      <c r="AD49" s="137">
        <f t="shared" si="86"/>
        <v>2542</v>
      </c>
      <c r="AE49" s="137">
        <f>BS49+BT49</f>
        <v>10824</v>
      </c>
      <c r="AF49" s="137">
        <f t="shared" si="87"/>
        <v>6289</v>
      </c>
      <c r="AG49" s="137">
        <f t="shared" si="88"/>
        <v>8615</v>
      </c>
      <c r="AH49" s="137">
        <f t="shared" si="89"/>
        <v>4780</v>
      </c>
      <c r="AI49" s="137">
        <f t="shared" si="90"/>
        <v>8579</v>
      </c>
      <c r="AJ49" s="137">
        <f t="shared" si="91"/>
        <v>5877</v>
      </c>
      <c r="AK49" s="139">
        <f t="shared" si="92"/>
        <v>6308</v>
      </c>
      <c r="AL49" s="137">
        <f t="shared" si="93"/>
        <v>16954</v>
      </c>
      <c r="AM49" s="137">
        <f t="shared" si="94"/>
        <v>6344</v>
      </c>
      <c r="AN49" s="137">
        <f t="shared" si="95"/>
        <v>5993</v>
      </c>
      <c r="AO49" s="137">
        <f t="shared" si="96"/>
        <v>21478</v>
      </c>
      <c r="AP49" s="137">
        <f t="shared" si="97"/>
        <v>6610</v>
      </c>
      <c r="AQ49" s="137">
        <f t="shared" si="98"/>
        <v>5780</v>
      </c>
      <c r="AR49" s="137">
        <f t="shared" si="99"/>
        <v>5166</v>
      </c>
      <c r="AS49" s="138">
        <f>CF49+CG49</f>
        <v>12227</v>
      </c>
      <c r="AT49" s="141" t="s">
        <v>233</v>
      </c>
      <c r="AU49" s="137" t="s">
        <v>233</v>
      </c>
      <c r="AV49" s="141">
        <v>15210</v>
      </c>
      <c r="AW49" s="141">
        <v>10904</v>
      </c>
      <c r="AX49" s="141">
        <v>3392</v>
      </c>
      <c r="AY49" s="137">
        <v>7878</v>
      </c>
      <c r="AZ49" s="137">
        <v>0</v>
      </c>
      <c r="BA49" s="137">
        <v>8353</v>
      </c>
      <c r="BB49" s="137">
        <v>5129</v>
      </c>
      <c r="BC49" s="137">
        <v>11930</v>
      </c>
      <c r="BD49" s="137">
        <v>5265</v>
      </c>
      <c r="BE49" s="137">
        <v>9890</v>
      </c>
      <c r="BF49" s="139">
        <v>11991</v>
      </c>
      <c r="BG49" s="137">
        <v>1814</v>
      </c>
      <c r="BH49" s="137" t="s">
        <v>233</v>
      </c>
      <c r="BI49" s="137">
        <v>4163</v>
      </c>
      <c r="BJ49" s="137">
        <v>2996</v>
      </c>
      <c r="BK49" s="137">
        <v>107</v>
      </c>
      <c r="BL49" s="137" t="s">
        <v>233</v>
      </c>
      <c r="BM49" s="137">
        <v>3542</v>
      </c>
      <c r="BN49" s="137">
        <v>5495</v>
      </c>
      <c r="BO49" s="137" t="s">
        <v>233</v>
      </c>
      <c r="BP49" s="137">
        <v>8711</v>
      </c>
      <c r="BQ49" s="137">
        <v>1825</v>
      </c>
      <c r="BR49" s="139">
        <v>8680</v>
      </c>
      <c r="BS49" s="137">
        <v>3705</v>
      </c>
      <c r="BT49" s="137">
        <v>7119</v>
      </c>
      <c r="BU49" s="137">
        <v>2542</v>
      </c>
      <c r="BV49" s="137">
        <v>8615</v>
      </c>
      <c r="BW49" s="137">
        <v>8579</v>
      </c>
      <c r="BX49" s="137">
        <v>4487</v>
      </c>
      <c r="BY49" s="137">
        <v>5877</v>
      </c>
      <c r="BZ49" s="137">
        <v>4780</v>
      </c>
      <c r="CA49" s="137">
        <v>6289</v>
      </c>
      <c r="CB49" s="139">
        <v>6308</v>
      </c>
      <c r="CC49" s="137">
        <v>21478</v>
      </c>
      <c r="CD49" s="137">
        <v>6610</v>
      </c>
      <c r="CE49" s="137">
        <v>16954</v>
      </c>
      <c r="CF49" s="137">
        <v>372</v>
      </c>
      <c r="CG49" s="137">
        <v>11855</v>
      </c>
      <c r="CH49" s="137">
        <v>6344</v>
      </c>
      <c r="CI49" s="137">
        <v>5166</v>
      </c>
      <c r="CJ49" s="137">
        <v>5993</v>
      </c>
      <c r="CK49" s="138">
        <v>5780</v>
      </c>
      <c r="CL49" s="140">
        <v>274311</v>
      </c>
    </row>
    <row r="50" spans="1:90">
      <c r="A50" s="80">
        <f>ROWS($A$3:A48)</f>
        <v>46</v>
      </c>
      <c r="B50" s="92" t="s">
        <v>76</v>
      </c>
      <c r="C50" s="202">
        <v>2007</v>
      </c>
      <c r="D50" s="254" t="s">
        <v>21</v>
      </c>
      <c r="E50" s="269"/>
      <c r="F50" s="116">
        <v>81</v>
      </c>
      <c r="G50" s="137">
        <v>45</v>
      </c>
      <c r="H50" s="137">
        <v>63</v>
      </c>
      <c r="I50" s="138">
        <v>95</v>
      </c>
      <c r="J50" s="141"/>
      <c r="K50" s="116">
        <f t="shared" si="74"/>
        <v>111</v>
      </c>
      <c r="L50" s="137">
        <f t="shared" si="75"/>
        <v>81</v>
      </c>
      <c r="M50" s="137">
        <f t="shared" si="76"/>
        <v>48</v>
      </c>
      <c r="N50" s="137">
        <f t="shared" si="77"/>
        <v>98</v>
      </c>
      <c r="O50" s="137">
        <f t="shared" si="78"/>
        <v>91</v>
      </c>
      <c r="P50" s="143">
        <f>(AZ50*AZ35+BA50*BA35)/P35</f>
        <v>30.653188206771443</v>
      </c>
      <c r="Q50" s="137">
        <f>'2007'!AU50</f>
        <v>53</v>
      </c>
      <c r="R50" s="143">
        <f>(AT50*AT35+AX50*AX35)/R35</f>
        <v>53.913272722090802</v>
      </c>
      <c r="S50" s="137">
        <f t="shared" si="79"/>
        <v>58</v>
      </c>
      <c r="T50" s="137">
        <f t="shared" si="80"/>
        <v>94</v>
      </c>
      <c r="U50" s="139">
        <f t="shared" si="81"/>
        <v>130</v>
      </c>
      <c r="V50" s="143">
        <f>(BG50*BG35+BJ50*BJ35)/V35</f>
        <v>23.895006016847173</v>
      </c>
      <c r="W50" s="137">
        <f t="shared" si="82"/>
        <v>66</v>
      </c>
      <c r="X50" s="143">
        <f>(BH50*BH35+BI50*BI35)/X35</f>
        <v>23</v>
      </c>
      <c r="Y50" s="143">
        <f>(BK50*BK35+BL50*BL35+BN50*BN35)/Y35</f>
        <v>41.784437531918847</v>
      </c>
      <c r="Z50" s="137">
        <f t="shared" si="83"/>
        <v>55</v>
      </c>
      <c r="AA50" s="143">
        <f>(BO50*BO35+BQ50*BQ35)/AA35</f>
        <v>51.704883859440145</v>
      </c>
      <c r="AB50" s="139">
        <f t="shared" si="84"/>
        <v>67</v>
      </c>
      <c r="AC50" s="137">
        <f t="shared" si="85"/>
        <v>73</v>
      </c>
      <c r="AD50" s="137">
        <f t="shared" si="86"/>
        <v>61</v>
      </c>
      <c r="AE50" s="143">
        <f>(BS50*BS35+BT50*BT35)/AE35</f>
        <v>54.127943602819862</v>
      </c>
      <c r="AF50" s="137">
        <f t="shared" si="87"/>
        <v>64</v>
      </c>
      <c r="AG50" s="137">
        <f t="shared" si="88"/>
        <v>52</v>
      </c>
      <c r="AH50" s="137">
        <f t="shared" si="89"/>
        <v>69</v>
      </c>
      <c r="AI50" s="137">
        <f t="shared" si="90"/>
        <v>65</v>
      </c>
      <c r="AJ50" s="137">
        <f t="shared" si="91"/>
        <v>60</v>
      </c>
      <c r="AK50" s="139">
        <f t="shared" si="92"/>
        <v>80</v>
      </c>
      <c r="AL50" s="137">
        <f t="shared" si="93"/>
        <v>42</v>
      </c>
      <c r="AM50" s="137">
        <f t="shared" si="94"/>
        <v>115</v>
      </c>
      <c r="AN50" s="137">
        <f t="shared" si="95"/>
        <v>142</v>
      </c>
      <c r="AO50" s="137">
        <f t="shared" si="96"/>
        <v>67</v>
      </c>
      <c r="AP50" s="137">
        <f t="shared" si="97"/>
        <v>39</v>
      </c>
      <c r="AQ50" s="137">
        <f t="shared" si="98"/>
        <v>79</v>
      </c>
      <c r="AR50" s="137">
        <f t="shared" si="99"/>
        <v>72</v>
      </c>
      <c r="AS50" s="144">
        <f>(CF50*CF35+CG50*CG35)/AS35</f>
        <v>98.34433179953362</v>
      </c>
      <c r="AT50" s="137">
        <v>40</v>
      </c>
      <c r="AU50" s="141">
        <v>53</v>
      </c>
      <c r="AV50" s="141">
        <v>58</v>
      </c>
      <c r="AW50" s="141">
        <v>98</v>
      </c>
      <c r="AX50" s="141">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c r="A51" s="80">
        <f>ROWS($A$3:A49)</f>
        <v>47</v>
      </c>
      <c r="B51" s="54" t="s">
        <v>92</v>
      </c>
      <c r="C51" s="252">
        <f>C95</f>
        <v>2007</v>
      </c>
      <c r="D51" s="254" t="s">
        <v>9</v>
      </c>
      <c r="E51" s="256">
        <v>40441</v>
      </c>
      <c r="F51" s="142">
        <f>ROUND(F96/F95*1000,0)</f>
        <v>6189</v>
      </c>
      <c r="G51" s="143">
        <f>ROUND(G96/G95*1000,0)</f>
        <v>5800</v>
      </c>
      <c r="H51" s="143">
        <f>ROUND(H96/H95*1000,0)</f>
        <v>5483</v>
      </c>
      <c r="I51" s="144">
        <f>ROUND(I96/I95*1000,0)</f>
        <v>6312</v>
      </c>
      <c r="J51" s="141"/>
      <c r="K51" s="145">
        <f t="shared" si="74"/>
        <v>6547</v>
      </c>
      <c r="L51" s="146">
        <f t="shared" si="75"/>
        <v>6140</v>
      </c>
      <c r="M51" s="146">
        <f t="shared" si="76"/>
        <v>6070</v>
      </c>
      <c r="N51" s="146">
        <f t="shared" si="77"/>
        <v>5641</v>
      </c>
      <c r="O51" s="146">
        <f t="shared" si="78"/>
        <v>5931</v>
      </c>
      <c r="P51" s="143">
        <f>ROUND(P96/P95*1000,0)</f>
        <v>5937</v>
      </c>
      <c r="Q51" s="146">
        <f>'2007'!AU51</f>
        <v>5965</v>
      </c>
      <c r="R51" s="143">
        <f>ROUND(R96/R95*1000,0)</f>
        <v>6146</v>
      </c>
      <c r="S51" s="146">
        <f t="shared" si="79"/>
        <v>4808</v>
      </c>
      <c r="T51" s="146">
        <f t="shared" si="80"/>
        <v>6195</v>
      </c>
      <c r="U51" s="147">
        <f t="shared" si="81"/>
        <v>6486</v>
      </c>
      <c r="V51" s="143">
        <f>ROUND(V96/V95*1000,0)</f>
        <v>4312</v>
      </c>
      <c r="W51" s="146">
        <f t="shared" si="82"/>
        <v>5676</v>
      </c>
      <c r="X51" s="143">
        <f>ROUND(X96/X95*1000,0)</f>
        <v>4766</v>
      </c>
      <c r="Y51" s="143">
        <f>ROUND(Y96/Y95*1000,0)</f>
        <v>5783</v>
      </c>
      <c r="Z51" s="146">
        <f t="shared" si="83"/>
        <v>6089</v>
      </c>
      <c r="AA51" s="143">
        <f>ROUND(AA96/AA95*1000,0)</f>
        <v>6049</v>
      </c>
      <c r="AB51" s="147">
        <f t="shared" si="84"/>
        <v>5735</v>
      </c>
      <c r="AC51" s="146">
        <f t="shared" si="85"/>
        <v>5274</v>
      </c>
      <c r="AD51" s="146">
        <f t="shared" si="86"/>
        <v>4967</v>
      </c>
      <c r="AE51" s="143">
        <f>ROUND(AE96/AE95*1000,0)</f>
        <v>5502</v>
      </c>
      <c r="AF51" s="146">
        <f t="shared" si="87"/>
        <v>4804</v>
      </c>
      <c r="AG51" s="146">
        <f t="shared" si="88"/>
        <v>4629</v>
      </c>
      <c r="AH51" s="146">
        <f t="shared" si="89"/>
        <v>6408</v>
      </c>
      <c r="AI51" s="146">
        <f t="shared" si="90"/>
        <v>5198</v>
      </c>
      <c r="AJ51" s="146">
        <f t="shared" si="91"/>
        <v>6251</v>
      </c>
      <c r="AK51" s="147">
        <f t="shared" si="92"/>
        <v>5872</v>
      </c>
      <c r="AL51" s="146">
        <f t="shared" si="93"/>
        <v>6500</v>
      </c>
      <c r="AM51" s="146">
        <f t="shared" si="94"/>
        <v>6297</v>
      </c>
      <c r="AN51" s="146">
        <f t="shared" si="95"/>
        <v>6568</v>
      </c>
      <c r="AO51" s="146">
        <f t="shared" si="96"/>
        <v>5866</v>
      </c>
      <c r="AP51" s="146">
        <f t="shared" si="97"/>
        <v>5410</v>
      </c>
      <c r="AQ51" s="146">
        <f t="shared" si="98"/>
        <v>5897</v>
      </c>
      <c r="AR51" s="146">
        <f t="shared" si="99"/>
        <v>6003</v>
      </c>
      <c r="AS51" s="144">
        <f>ROUND(AS96/AS95*1000,0)</f>
        <v>6146</v>
      </c>
      <c r="AT51" s="143">
        <f>IF(ISERROR(AT96/AT95)=TRUE,0,ROUND(AT96/AT95*1000,0))</f>
        <v>0</v>
      </c>
      <c r="AU51" s="143">
        <f t="shared" ref="AU51:CL51" si="100">IF(ISERROR(AU96/AU95)=TRUE,0,ROUND(AU96/AU95*1000,0))</f>
        <v>5965</v>
      </c>
      <c r="AV51" s="143">
        <f t="shared" si="100"/>
        <v>4808</v>
      </c>
      <c r="AW51" s="143">
        <f t="shared" si="100"/>
        <v>5641</v>
      </c>
      <c r="AX51" s="143">
        <f t="shared" si="100"/>
        <v>6146</v>
      </c>
      <c r="AY51" s="143">
        <f t="shared" si="100"/>
        <v>6140</v>
      </c>
      <c r="AZ51" s="143">
        <f t="shared" si="100"/>
        <v>3503</v>
      </c>
      <c r="BA51" s="143">
        <f t="shared" si="100"/>
        <v>6010</v>
      </c>
      <c r="BB51" s="143">
        <f t="shared" si="100"/>
        <v>6195</v>
      </c>
      <c r="BC51" s="143">
        <f t="shared" si="100"/>
        <v>6486</v>
      </c>
      <c r="BD51" s="143">
        <f t="shared" si="100"/>
        <v>6070</v>
      </c>
      <c r="BE51" s="143">
        <f t="shared" si="100"/>
        <v>5931</v>
      </c>
      <c r="BF51" s="148">
        <f t="shared" si="100"/>
        <v>6547</v>
      </c>
      <c r="BG51" s="143">
        <f t="shared" si="100"/>
        <v>0</v>
      </c>
      <c r="BH51" s="143">
        <f t="shared" si="100"/>
        <v>4135</v>
      </c>
      <c r="BI51" s="143">
        <f t="shared" si="100"/>
        <v>4804</v>
      </c>
      <c r="BJ51" s="143">
        <f t="shared" si="100"/>
        <v>4312</v>
      </c>
      <c r="BK51" s="143">
        <f t="shared" si="100"/>
        <v>4737</v>
      </c>
      <c r="BL51" s="143">
        <f t="shared" si="100"/>
        <v>3563</v>
      </c>
      <c r="BM51" s="143">
        <f t="shared" si="100"/>
        <v>6089</v>
      </c>
      <c r="BN51" s="143">
        <f t="shared" si="100"/>
        <v>5847</v>
      </c>
      <c r="BO51" s="143">
        <f t="shared" si="100"/>
        <v>2244</v>
      </c>
      <c r="BP51" s="143">
        <f t="shared" si="100"/>
        <v>5735</v>
      </c>
      <c r="BQ51" s="143">
        <f t="shared" si="100"/>
        <v>6154</v>
      </c>
      <c r="BR51" s="148">
        <f t="shared" si="100"/>
        <v>5676</v>
      </c>
      <c r="BS51" s="143">
        <f t="shared" si="100"/>
        <v>0</v>
      </c>
      <c r="BT51" s="143">
        <f t="shared" si="100"/>
        <v>5502</v>
      </c>
      <c r="BU51" s="143">
        <f t="shared" si="100"/>
        <v>4967</v>
      </c>
      <c r="BV51" s="143">
        <f t="shared" si="100"/>
        <v>4629</v>
      </c>
      <c r="BW51" s="143">
        <f t="shared" si="100"/>
        <v>5198</v>
      </c>
      <c r="BX51" s="143">
        <f t="shared" si="100"/>
        <v>5274</v>
      </c>
      <c r="BY51" s="143">
        <f t="shared" si="100"/>
        <v>6251</v>
      </c>
      <c r="BZ51" s="143">
        <f t="shared" si="100"/>
        <v>6408</v>
      </c>
      <c r="CA51" s="143">
        <f t="shared" si="100"/>
        <v>4804</v>
      </c>
      <c r="CB51" s="148">
        <f t="shared" si="100"/>
        <v>5872</v>
      </c>
      <c r="CC51" s="143">
        <f t="shared" si="100"/>
        <v>5866</v>
      </c>
      <c r="CD51" s="143">
        <f t="shared" si="100"/>
        <v>5410</v>
      </c>
      <c r="CE51" s="143">
        <f t="shared" si="100"/>
        <v>6500</v>
      </c>
      <c r="CF51" s="143">
        <f t="shared" si="100"/>
        <v>7285</v>
      </c>
      <c r="CG51" s="143">
        <f t="shared" si="100"/>
        <v>6095</v>
      </c>
      <c r="CH51" s="143">
        <f t="shared" si="100"/>
        <v>6297</v>
      </c>
      <c r="CI51" s="143">
        <f t="shared" si="100"/>
        <v>6003</v>
      </c>
      <c r="CJ51" s="143">
        <f t="shared" si="100"/>
        <v>6568</v>
      </c>
      <c r="CK51" s="144">
        <f t="shared" si="100"/>
        <v>5897</v>
      </c>
      <c r="CL51" s="149">
        <f t="shared" si="100"/>
        <v>6082</v>
      </c>
    </row>
    <row r="52" spans="1:90">
      <c r="A52" s="80">
        <f>ROWS($A$3:A50)</f>
        <v>48</v>
      </c>
      <c r="B52" s="388" t="str">
        <f>'Stand der Daten'!B53</f>
        <v>Milcherzeugung</v>
      </c>
      <c r="C52" s="204">
        <v>2007</v>
      </c>
      <c r="D52" s="259" t="s">
        <v>358</v>
      </c>
      <c r="E52" s="437">
        <v>42919</v>
      </c>
      <c r="F52" s="389">
        <v>650.9</v>
      </c>
      <c r="G52" s="390">
        <v>151.80000000000001</v>
      </c>
      <c r="H52" s="390">
        <v>381.7</v>
      </c>
      <c r="I52" s="391">
        <v>1028.0999999999999</v>
      </c>
      <c r="J52" s="390"/>
      <c r="K52" s="389">
        <f t="shared" si="74"/>
        <v>163.5</v>
      </c>
      <c r="L52" s="390">
        <f t="shared" si="75"/>
        <v>47.2</v>
      </c>
      <c r="M52" s="390">
        <f t="shared" si="76"/>
        <v>46.1</v>
      </c>
      <c r="N52" s="390">
        <f t="shared" si="77"/>
        <v>60.5</v>
      </c>
      <c r="O52" s="390">
        <f t="shared" si="78"/>
        <v>46.6</v>
      </c>
      <c r="P52" s="390">
        <f>AZ52+BA52</f>
        <v>31.5</v>
      </c>
      <c r="Q52" s="390">
        <f>'2009'!AU52</f>
        <v>18.2</v>
      </c>
      <c r="R52" s="390">
        <f>AT52+AX52</f>
        <v>32.299999999999997</v>
      </c>
      <c r="S52" s="390">
        <f t="shared" si="79"/>
        <v>14.1</v>
      </c>
      <c r="T52" s="390">
        <f t="shared" si="80"/>
        <v>46.2</v>
      </c>
      <c r="U52" s="514">
        <f t="shared" si="81"/>
        <v>143.9</v>
      </c>
      <c r="V52" s="390">
        <f>BG52+BJ52</f>
        <v>2.2000000000000002</v>
      </c>
      <c r="W52" s="390">
        <f t="shared" si="82"/>
        <v>22.9</v>
      </c>
      <c r="X52" s="390">
        <f>BH52+BI52</f>
        <v>7.9</v>
      </c>
      <c r="Y52" s="390">
        <f>BK52+BL52+BN52</f>
        <v>25.1</v>
      </c>
      <c r="Z52" s="390">
        <f t="shared" si="83"/>
        <v>53.3</v>
      </c>
      <c r="AA52" s="390">
        <f>BO52+BQ52</f>
        <v>18</v>
      </c>
      <c r="AB52" s="514">
        <f t="shared" si="84"/>
        <v>22.4</v>
      </c>
      <c r="AC52" s="390">
        <f t="shared" si="85"/>
        <v>63.4</v>
      </c>
      <c r="AD52" s="390">
        <f t="shared" si="86"/>
        <v>19.3</v>
      </c>
      <c r="AE52" s="390">
        <f>BS52+BT52</f>
        <v>58.5</v>
      </c>
      <c r="AF52" s="390">
        <f t="shared" si="87"/>
        <v>19.600000000000001</v>
      </c>
      <c r="AG52" s="390">
        <f t="shared" si="88"/>
        <v>42.7</v>
      </c>
      <c r="AH52" s="390">
        <f t="shared" si="89"/>
        <v>58.5</v>
      </c>
      <c r="AI52" s="390">
        <f t="shared" si="90"/>
        <v>29.3</v>
      </c>
      <c r="AJ52" s="390">
        <f t="shared" si="91"/>
        <v>31.7</v>
      </c>
      <c r="AK52" s="514">
        <f t="shared" si="92"/>
        <v>58.9</v>
      </c>
      <c r="AL52" s="390">
        <f t="shared" si="93"/>
        <v>20.7</v>
      </c>
      <c r="AM52" s="390">
        <f t="shared" si="94"/>
        <v>225.2</v>
      </c>
      <c r="AN52" s="390">
        <f t="shared" si="95"/>
        <v>447.2</v>
      </c>
      <c r="AO52" s="390">
        <f t="shared" si="96"/>
        <v>53</v>
      </c>
      <c r="AP52" s="390">
        <f t="shared" si="97"/>
        <v>10</v>
      </c>
      <c r="AQ52" s="390">
        <f t="shared" si="98"/>
        <v>80.3</v>
      </c>
      <c r="AR52" s="390">
        <f t="shared" si="99"/>
        <v>68.599999999999994</v>
      </c>
      <c r="AS52" s="391">
        <f>CF52+CG52</f>
        <v>123</v>
      </c>
      <c r="AT52" s="390">
        <v>2.2999999999999998</v>
      </c>
      <c r="AU52" s="390">
        <v>18.5</v>
      </c>
      <c r="AV52" s="390">
        <v>14.1</v>
      </c>
      <c r="AW52" s="390">
        <v>60.5</v>
      </c>
      <c r="AX52" s="390">
        <v>30</v>
      </c>
      <c r="AY52" s="390">
        <v>47.2</v>
      </c>
      <c r="AZ52" s="390">
        <v>0</v>
      </c>
      <c r="BA52" s="390">
        <v>31.5</v>
      </c>
      <c r="BB52" s="390">
        <v>46.2</v>
      </c>
      <c r="BC52" s="390">
        <v>143.9</v>
      </c>
      <c r="BD52" s="390">
        <v>46.1</v>
      </c>
      <c r="BE52" s="390">
        <v>46.6</v>
      </c>
      <c r="BF52" s="514">
        <v>163.5</v>
      </c>
      <c r="BG52" s="390">
        <v>0</v>
      </c>
      <c r="BH52" s="390">
        <v>0</v>
      </c>
      <c r="BI52" s="390">
        <v>7.9</v>
      </c>
      <c r="BJ52" s="390">
        <v>2.2000000000000002</v>
      </c>
      <c r="BK52" s="390">
        <v>0</v>
      </c>
      <c r="BL52" s="390">
        <v>0</v>
      </c>
      <c r="BM52" s="390">
        <v>53.3</v>
      </c>
      <c r="BN52" s="390">
        <v>25.1</v>
      </c>
      <c r="BO52" s="390">
        <v>0</v>
      </c>
      <c r="BP52" s="390">
        <v>22.4</v>
      </c>
      <c r="BQ52" s="390">
        <v>18</v>
      </c>
      <c r="BR52" s="514">
        <v>22.9</v>
      </c>
      <c r="BS52" s="390">
        <v>0</v>
      </c>
      <c r="BT52" s="390">
        <v>58.5</v>
      </c>
      <c r="BU52" s="390">
        <v>19.3</v>
      </c>
      <c r="BV52" s="390">
        <v>42.7</v>
      </c>
      <c r="BW52" s="390">
        <v>29.3</v>
      </c>
      <c r="BX52" s="390">
        <v>63.4</v>
      </c>
      <c r="BY52" s="390">
        <v>31.7</v>
      </c>
      <c r="BZ52" s="390">
        <v>58.5</v>
      </c>
      <c r="CA52" s="390">
        <v>19.600000000000001</v>
      </c>
      <c r="CB52" s="514">
        <v>58.9</v>
      </c>
      <c r="CC52" s="390">
        <v>53</v>
      </c>
      <c r="CD52" s="390">
        <v>10</v>
      </c>
      <c r="CE52" s="390">
        <v>20.7</v>
      </c>
      <c r="CF52" s="390">
        <v>0</v>
      </c>
      <c r="CG52" s="390">
        <v>123</v>
      </c>
      <c r="CH52" s="390">
        <v>225.2</v>
      </c>
      <c r="CI52" s="390">
        <v>68.599999999999994</v>
      </c>
      <c r="CJ52" s="390">
        <v>447.2</v>
      </c>
      <c r="CK52" s="391">
        <v>80.3</v>
      </c>
      <c r="CL52" s="515">
        <v>2212.5</v>
      </c>
    </row>
    <row r="53" spans="1:90">
      <c r="A53" s="80">
        <f>ROWS($A$3:A51)</f>
        <v>49</v>
      </c>
      <c r="B53" s="54" t="str">
        <f>"Änderung der Milcherzeugungung "&amp;C95&amp;"/"&amp;C98</f>
        <v>Änderung der Milcherzeugungung 2007/2001</v>
      </c>
      <c r="C53" s="252"/>
      <c r="D53" s="254" t="s">
        <v>3</v>
      </c>
      <c r="E53" s="483">
        <v>42919</v>
      </c>
      <c r="F53" s="167">
        <f>F52/'2001'!F52%-100</f>
        <v>-2.0901180063026885</v>
      </c>
      <c r="G53" s="168">
        <f>G52/'2001'!G52%-100</f>
        <v>-3.2806835341416587</v>
      </c>
      <c r="H53" s="168">
        <f>H52/'2001'!H52%-100</f>
        <v>-3.8831993271572145</v>
      </c>
      <c r="I53" s="169">
        <f>I52/'2001'!I52%-100</f>
        <v>-3.252125093750692</v>
      </c>
      <c r="J53" s="173"/>
      <c r="K53" s="178">
        <f t="shared" si="74"/>
        <v>1.2195876926886626</v>
      </c>
      <c r="L53" s="179">
        <f t="shared" si="75"/>
        <v>2.3550331786442342</v>
      </c>
      <c r="M53" s="179">
        <f t="shared" si="76"/>
        <v>-7.1163765312701486</v>
      </c>
      <c r="N53" s="179">
        <f t="shared" si="77"/>
        <v>-2.6015841329126204</v>
      </c>
      <c r="O53" s="179">
        <f t="shared" si="78"/>
        <v>2.783536988839387</v>
      </c>
      <c r="P53" s="168">
        <f>(P52-P99)/P99%</f>
        <v>-99.90822747931476</v>
      </c>
      <c r="Q53" s="179">
        <f>'2007'!AU53</f>
        <v>-6.4853662235252472</v>
      </c>
      <c r="R53" s="168">
        <f>(R52-R99)/R99%</f>
        <v>-99.8981072555205</v>
      </c>
      <c r="S53" s="179">
        <f t="shared" si="79"/>
        <v>-11.509978661980668</v>
      </c>
      <c r="T53" s="179">
        <f t="shared" si="80"/>
        <v>-4.5789701964186094</v>
      </c>
      <c r="U53" s="180">
        <f t="shared" si="81"/>
        <v>-0.78325381284646767</v>
      </c>
      <c r="V53" s="168">
        <f>(V52-V99)/V99%</f>
        <v>-99.921847246891659</v>
      </c>
      <c r="W53" s="179">
        <f t="shared" si="82"/>
        <v>-1.8641525605313944</v>
      </c>
      <c r="X53" s="168">
        <f>(X52-X99)/X99%</f>
        <v>-99.910390199637035</v>
      </c>
      <c r="Y53" s="168">
        <f>(Y52-Y99)/Y99%</f>
        <v>-99.903103767757869</v>
      </c>
      <c r="Z53" s="179">
        <f t="shared" si="83"/>
        <v>-1.7909787735849108</v>
      </c>
      <c r="AA53" s="168">
        <f>(AA52-AA99)/AA99%</f>
        <v>-99.888998519980262</v>
      </c>
      <c r="AB53" s="180">
        <f t="shared" si="84"/>
        <v>-1.164842922696792</v>
      </c>
      <c r="AC53" s="179">
        <f t="shared" si="85"/>
        <v>-5.067081935793027</v>
      </c>
      <c r="AD53" s="179">
        <f t="shared" si="86"/>
        <v>-9.0652091971353173</v>
      </c>
      <c r="AE53" s="168">
        <f>(AE52-AE99)/AE99%</f>
        <v>-99.894085057845842</v>
      </c>
      <c r="AF53" s="179">
        <f t="shared" si="87"/>
        <v>-10.81179468511101</v>
      </c>
      <c r="AG53" s="179">
        <f t="shared" si="88"/>
        <v>-12.625332514835264</v>
      </c>
      <c r="AH53" s="179">
        <f t="shared" si="89"/>
        <v>2.242340563119356</v>
      </c>
      <c r="AI53" s="179">
        <f t="shared" si="90"/>
        <v>-8.6202594810379196</v>
      </c>
      <c r="AJ53" s="179">
        <f t="shared" si="91"/>
        <v>3.6354125800967694</v>
      </c>
      <c r="AK53" s="180">
        <f t="shared" si="92"/>
        <v>0.68548180310773432</v>
      </c>
      <c r="AL53" s="179">
        <f t="shared" si="93"/>
        <v>3.0414654786201396</v>
      </c>
      <c r="AM53" s="179">
        <f t="shared" si="94"/>
        <v>-2.6734547466138849</v>
      </c>
      <c r="AN53" s="179">
        <f t="shared" si="95"/>
        <v>-2.6450419070425681</v>
      </c>
      <c r="AO53" s="179">
        <f t="shared" si="96"/>
        <v>-3.7798191786790625</v>
      </c>
      <c r="AP53" s="179">
        <f t="shared" si="97"/>
        <v>-0.87232355273592077</v>
      </c>
      <c r="AQ53" s="179">
        <f t="shared" si="98"/>
        <v>-5.3735564459109213</v>
      </c>
      <c r="AR53" s="179">
        <f t="shared" si="99"/>
        <v>-9.0113271613125789</v>
      </c>
      <c r="AS53" s="169">
        <f>(AS52-AS99)/AS99%</f>
        <v>-99.897113317551799</v>
      </c>
      <c r="AT53" s="168">
        <f>AT52/'2001'!AT52%-100</f>
        <v>-1.0752688172043179</v>
      </c>
      <c r="AU53" s="168">
        <f>AU52/'2001'!AU52%-100</f>
        <v>-6.4853662235252472</v>
      </c>
      <c r="AV53" s="168">
        <f>AV52/'2001'!AV52%-100</f>
        <v>-11.509978661980668</v>
      </c>
      <c r="AW53" s="168">
        <f>AW52/'2001'!AW52%-100</f>
        <v>-2.6015841329126204</v>
      </c>
      <c r="AX53" s="168">
        <f>AX52/'2001'!AX52%-100</f>
        <v>-5.3717313818881394</v>
      </c>
      <c r="AY53" s="168">
        <f>AY52/'2001'!AY52%-100</f>
        <v>2.3550331786442342</v>
      </c>
      <c r="AZ53" s="168" t="e">
        <f>AZ52/'2001'!AZ52%-100</f>
        <v>#DIV/0!</v>
      </c>
      <c r="BA53" s="168">
        <f>BA52/'2001'!BA52%-100</f>
        <v>-14.557734559362032</v>
      </c>
      <c r="BB53" s="168">
        <f>BB52/'2001'!BB52%-100</f>
        <v>-4.5789701964186094</v>
      </c>
      <c r="BC53" s="168">
        <f>BC52/'2001'!BC52%-100</f>
        <v>-0.78325381284646767</v>
      </c>
      <c r="BD53" s="168">
        <f>BD52/'2001'!BD52%-100</f>
        <v>-7.1163765312701486</v>
      </c>
      <c r="BE53" s="168">
        <f>BE52/'2001'!BE52%-100</f>
        <v>2.783536988839387</v>
      </c>
      <c r="BF53" s="176">
        <f>BF52/'2001'!BF52%-100</f>
        <v>1.2195876926886626</v>
      </c>
      <c r="BG53" s="168">
        <v>0</v>
      </c>
      <c r="BH53" s="168" t="e">
        <f>BH52/'2001'!BH52%-100</f>
        <v>#DIV/0!</v>
      </c>
      <c r="BI53" s="168">
        <f>BI52/'2001'!BI52%-100</f>
        <v>-15.688367129135528</v>
      </c>
      <c r="BJ53" s="168">
        <f>BJ52/'2001'!BJ52%-100</f>
        <v>-26.934573231484549</v>
      </c>
      <c r="BK53" s="168" t="e">
        <f>BK52/'2001'!BK52%-100</f>
        <v>#DIV/0!</v>
      </c>
      <c r="BL53" s="168" t="e">
        <f>BL52/'2001'!BL52%-100</f>
        <v>#DIV/0!</v>
      </c>
      <c r="BM53" s="168">
        <f>BM52/'2001'!BM52%-100</f>
        <v>-1.7909787735849108</v>
      </c>
      <c r="BN53" s="168">
        <f>BN52/'2001'!BN52%-100</f>
        <v>-7.8425613159054137</v>
      </c>
      <c r="BO53" s="168" t="e">
        <f>BO52/'2001'!BO52%-100</f>
        <v>#DIV/0!</v>
      </c>
      <c r="BP53" s="168">
        <f>BP52/'2001'!BP52%-100</f>
        <v>-1.164842922696792</v>
      </c>
      <c r="BQ53" s="168">
        <f>BQ52/'2001'!BQ52%-100</f>
        <v>5.5037805521364476</v>
      </c>
      <c r="BR53" s="176">
        <f>BR52/'2001'!BR52%-100</f>
        <v>-1.8641525605313944</v>
      </c>
      <c r="BS53" s="168">
        <v>0</v>
      </c>
      <c r="BT53" s="168">
        <f>BT52/'2001'!BT52%-100</f>
        <v>-2.3355982570660672</v>
      </c>
      <c r="BU53" s="168">
        <f>BU52/'2001'!BU52%-100</f>
        <v>-9.0652091971353173</v>
      </c>
      <c r="BV53" s="168">
        <f>BV52/'2001'!BV52%-100</f>
        <v>-12.625332514835264</v>
      </c>
      <c r="BW53" s="168">
        <f>BW52/'2001'!BW52%-100</f>
        <v>-8.6202594810379196</v>
      </c>
      <c r="BX53" s="168">
        <f>BX52/'2001'!BX52%-100</f>
        <v>-5.067081935793027</v>
      </c>
      <c r="BY53" s="168">
        <f>BY52/'2001'!BY52%-100</f>
        <v>3.6354125800967694</v>
      </c>
      <c r="BZ53" s="168">
        <f>BZ52/'2001'!BZ52%-100</f>
        <v>2.242340563119356</v>
      </c>
      <c r="CA53" s="168">
        <f>CA52/'2001'!CA52%-100</f>
        <v>-10.81179468511101</v>
      </c>
      <c r="CB53" s="176">
        <f>CB52/'2001'!CB52%-100</f>
        <v>0.68548180310773432</v>
      </c>
      <c r="CC53" s="168">
        <f>CC52/'2001'!CC52%-100</f>
        <v>-3.7798191786790625</v>
      </c>
      <c r="CD53" s="168">
        <f>CD52/'2001'!CD52%-100</f>
        <v>-0.87232355273592077</v>
      </c>
      <c r="CE53" s="168">
        <f>CE52/'2001'!CE52%-100</f>
        <v>3.0414654786201396</v>
      </c>
      <c r="CF53" s="168" t="e">
        <f>CF52/'2001'!CF52%-100</f>
        <v>#DIV/0!</v>
      </c>
      <c r="CG53" s="168">
        <f>CG52/'2001'!CG52%-100</f>
        <v>-2.6975713946681452</v>
      </c>
      <c r="CH53" s="168">
        <f>CH52/'2001'!CH52%-100</f>
        <v>-2.6734547466138849</v>
      </c>
      <c r="CI53" s="168">
        <f>CI52/'2001'!CI52%-100</f>
        <v>-9.0113271613125789</v>
      </c>
      <c r="CJ53" s="168">
        <f>CJ52/'2001'!CJ52%-100</f>
        <v>-2.6450419070425681</v>
      </c>
      <c r="CK53" s="169">
        <f>CK52/'2001'!CK52%-100</f>
        <v>-5.3735564459109213</v>
      </c>
      <c r="CL53" s="177">
        <f>CL52/'2001'!CL52%-100</f>
        <v>-3.0253462159503925</v>
      </c>
    </row>
    <row r="54" spans="1:90">
      <c r="A54" s="80">
        <f>ROWS($A$3:A52)</f>
        <v>50</v>
      </c>
      <c r="B54" s="93" t="str">
        <f>"Änderung der Milchkühe "&amp;C95&amp;"/"&amp;C98</f>
        <v>Änderung der Milchkühe 2007/2001</v>
      </c>
      <c r="C54" s="253"/>
      <c r="D54" s="255" t="s">
        <v>3</v>
      </c>
      <c r="E54" s="257">
        <v>40441</v>
      </c>
      <c r="F54" s="181">
        <f>ROUND((F95-F98)/F98%,3)</f>
        <v>-15.074999999999999</v>
      </c>
      <c r="G54" s="182">
        <f>ROUND((G95-G98)/G98%,3)</f>
        <v>-16.677</v>
      </c>
      <c r="H54" s="182">
        <f>ROUND((H95-H98)/H98%,3)</f>
        <v>-15.555999999999999</v>
      </c>
      <c r="I54" s="183">
        <f>ROUND((I95-I98)/I98%,3)</f>
        <v>-12.976000000000001</v>
      </c>
      <c r="J54" s="279"/>
      <c r="K54" s="184">
        <f t="shared" si="74"/>
        <v>-13.090999999999999</v>
      </c>
      <c r="L54" s="185">
        <f t="shared" si="75"/>
        <v>-17.587</v>
      </c>
      <c r="M54" s="185">
        <f t="shared" si="76"/>
        <v>-20.67</v>
      </c>
      <c r="N54" s="185">
        <f t="shared" si="77"/>
        <v>-13.417999999999999</v>
      </c>
      <c r="O54" s="185">
        <f t="shared" si="78"/>
        <v>-11.045</v>
      </c>
      <c r="P54" s="182">
        <f>ROUND((P95-P98)/P98%,3)</f>
        <v>-23.215</v>
      </c>
      <c r="Q54" s="185">
        <f>'2007'!AU54</f>
        <v>-15.266999999999999</v>
      </c>
      <c r="R54" s="182">
        <f>ROUND((R95-R98)/R98%,3)</f>
        <v>-25.082999999999998</v>
      </c>
      <c r="S54" s="185">
        <f t="shared" si="79"/>
        <v>-19.544</v>
      </c>
      <c r="T54" s="185">
        <f t="shared" si="80"/>
        <v>-16.832000000000001</v>
      </c>
      <c r="U54" s="186">
        <f t="shared" si="81"/>
        <v>-12.271000000000001</v>
      </c>
      <c r="V54" s="182">
        <f>ROUND((V95-V98)/V98%,3)</f>
        <v>-32.606000000000002</v>
      </c>
      <c r="W54" s="185">
        <f t="shared" si="82"/>
        <v>-15.555999999999999</v>
      </c>
      <c r="X54" s="182">
        <f>ROUND((X95-X98)/X98%,3)</f>
        <v>-25.736999999999998</v>
      </c>
      <c r="Y54" s="182">
        <f>ROUND((Y95-Y98)/Y98%,3)</f>
        <v>-19.440000000000001</v>
      </c>
      <c r="Z54" s="185">
        <f t="shared" si="83"/>
        <v>-13.868</v>
      </c>
      <c r="AA54" s="182">
        <f>ROUND((AA95-AA98)/AA98%,3)</f>
        <v>-11.72</v>
      </c>
      <c r="AB54" s="186">
        <f t="shared" si="84"/>
        <v>-17.562000000000001</v>
      </c>
      <c r="AC54" s="185">
        <f t="shared" si="85"/>
        <v>-12.337999999999999</v>
      </c>
      <c r="AD54" s="185">
        <f t="shared" si="86"/>
        <v>-16.385999999999999</v>
      </c>
      <c r="AE54" s="182">
        <f>ROUND((AE95-AE98)/AE98%,3)</f>
        <v>-16.420999999999999</v>
      </c>
      <c r="AF54" s="185">
        <f t="shared" si="87"/>
        <v>-21.422000000000001</v>
      </c>
      <c r="AG54" s="185">
        <f t="shared" si="88"/>
        <v>-20.622</v>
      </c>
      <c r="AH54" s="185">
        <f t="shared" si="89"/>
        <v>-11.781000000000001</v>
      </c>
      <c r="AI54" s="185">
        <f t="shared" si="90"/>
        <v>-20.283999999999999</v>
      </c>
      <c r="AJ54" s="185">
        <f t="shared" si="91"/>
        <v>-9.4730000000000008</v>
      </c>
      <c r="AK54" s="186">
        <f t="shared" si="92"/>
        <v>-14.081</v>
      </c>
      <c r="AL54" s="185">
        <f t="shared" si="93"/>
        <v>-13.688000000000001</v>
      </c>
      <c r="AM54" s="185">
        <f t="shared" si="94"/>
        <v>-11.965999999999999</v>
      </c>
      <c r="AN54" s="185">
        <f t="shared" si="95"/>
        <v>-11.115</v>
      </c>
      <c r="AO54" s="185">
        <f t="shared" si="96"/>
        <v>-16.248000000000001</v>
      </c>
      <c r="AP54" s="185">
        <f t="shared" si="97"/>
        <v>-18.236000000000001</v>
      </c>
      <c r="AQ54" s="185">
        <f t="shared" si="98"/>
        <v>-15.907</v>
      </c>
      <c r="AR54" s="185">
        <f t="shared" si="99"/>
        <v>-15.773</v>
      </c>
      <c r="AS54" s="183">
        <f>ROUND((AS95-AS98)/AS98%,3)</f>
        <v>-15.255000000000001</v>
      </c>
      <c r="AT54" s="182">
        <f>IF(AT95=0,0,ROUND((AT95-AT98)/AT98%,3))</f>
        <v>0</v>
      </c>
      <c r="AU54" s="182">
        <f>IF(AU95=0,0,ROUND((AU95-AU98)/AU98%,3))</f>
        <v>-15.266999999999999</v>
      </c>
      <c r="AV54" s="182">
        <f t="shared" ref="AV54:CK54" si="101">IF(AV95=0,0,ROUND((AV95-AV98)/AV98%,3))</f>
        <v>-19.544</v>
      </c>
      <c r="AW54" s="182">
        <f t="shared" si="101"/>
        <v>-13.417999999999999</v>
      </c>
      <c r="AX54" s="182">
        <f t="shared" si="101"/>
        <v>-18.855</v>
      </c>
      <c r="AY54" s="182">
        <f t="shared" si="101"/>
        <v>-17.587</v>
      </c>
      <c r="AZ54" s="182">
        <f t="shared" si="101"/>
        <v>-43.232999999999997</v>
      </c>
      <c r="BA54" s="182">
        <f t="shared" si="101"/>
        <v>-22.393999999999998</v>
      </c>
      <c r="BB54" s="182">
        <f t="shared" si="101"/>
        <v>-16.832000000000001</v>
      </c>
      <c r="BC54" s="182">
        <f t="shared" si="101"/>
        <v>-12.271000000000001</v>
      </c>
      <c r="BD54" s="182">
        <f t="shared" si="101"/>
        <v>-20.67</v>
      </c>
      <c r="BE54" s="182">
        <f t="shared" si="101"/>
        <v>-11.045</v>
      </c>
      <c r="BF54" s="187">
        <f t="shared" si="101"/>
        <v>-13.090999999999999</v>
      </c>
      <c r="BG54" s="182">
        <f t="shared" si="101"/>
        <v>0</v>
      </c>
      <c r="BH54" s="182">
        <f t="shared" si="101"/>
        <v>-21.239000000000001</v>
      </c>
      <c r="BI54" s="182">
        <f t="shared" si="101"/>
        <v>-25.992999999999999</v>
      </c>
      <c r="BJ54" s="182">
        <f t="shared" si="101"/>
        <v>-32.606000000000002</v>
      </c>
      <c r="BK54" s="182">
        <f t="shared" si="101"/>
        <v>-19.922000000000001</v>
      </c>
      <c r="BL54" s="182">
        <f t="shared" si="101"/>
        <v>-58.973999999999997</v>
      </c>
      <c r="BM54" s="182">
        <f t="shared" si="101"/>
        <v>-13.868</v>
      </c>
      <c r="BN54" s="182">
        <f t="shared" si="101"/>
        <v>-19.097999999999999</v>
      </c>
      <c r="BO54" s="182">
        <f t="shared" si="101"/>
        <v>-30.972999999999999</v>
      </c>
      <c r="BP54" s="182">
        <f t="shared" si="101"/>
        <v>-17.562000000000001</v>
      </c>
      <c r="BQ54" s="182">
        <f t="shared" si="101"/>
        <v>-11.038</v>
      </c>
      <c r="BR54" s="187">
        <f t="shared" si="101"/>
        <v>-15.555999999999999</v>
      </c>
      <c r="BS54" s="182">
        <f t="shared" si="101"/>
        <v>0</v>
      </c>
      <c r="BT54" s="182">
        <f t="shared" si="101"/>
        <v>-16.420999999999999</v>
      </c>
      <c r="BU54" s="182">
        <f t="shared" si="101"/>
        <v>-16.385999999999999</v>
      </c>
      <c r="BV54" s="182">
        <f t="shared" si="101"/>
        <v>-20.622</v>
      </c>
      <c r="BW54" s="182">
        <f t="shared" si="101"/>
        <v>-20.283999999999999</v>
      </c>
      <c r="BX54" s="182">
        <f t="shared" si="101"/>
        <v>-12.337999999999999</v>
      </c>
      <c r="BY54" s="182">
        <f t="shared" si="101"/>
        <v>-9.4730000000000008</v>
      </c>
      <c r="BZ54" s="182">
        <f t="shared" si="101"/>
        <v>-11.781000000000001</v>
      </c>
      <c r="CA54" s="182">
        <f t="shared" si="101"/>
        <v>-21.422000000000001</v>
      </c>
      <c r="CB54" s="187">
        <f t="shared" si="101"/>
        <v>-14.081</v>
      </c>
      <c r="CC54" s="182">
        <f t="shared" si="101"/>
        <v>-16.248000000000001</v>
      </c>
      <c r="CD54" s="182">
        <f t="shared" si="101"/>
        <v>-18.236000000000001</v>
      </c>
      <c r="CE54" s="182">
        <f t="shared" si="101"/>
        <v>-13.688000000000001</v>
      </c>
      <c r="CF54" s="182">
        <f t="shared" si="101"/>
        <v>-15.468999999999999</v>
      </c>
      <c r="CG54" s="182">
        <f t="shared" si="101"/>
        <v>-15.246</v>
      </c>
      <c r="CH54" s="182">
        <f t="shared" si="101"/>
        <v>-11.965999999999999</v>
      </c>
      <c r="CI54" s="182">
        <f t="shared" si="101"/>
        <v>-15.773</v>
      </c>
      <c r="CJ54" s="182">
        <f t="shared" si="101"/>
        <v>-11.115</v>
      </c>
      <c r="CK54" s="183">
        <f t="shared" si="101"/>
        <v>-15.907</v>
      </c>
      <c r="CL54" s="188">
        <f>ROUND((CL95-CL98)/CL98%,3)</f>
        <v>-14.355</v>
      </c>
    </row>
    <row r="55" spans="1:90" ht="14.25">
      <c r="A55" s="80">
        <f>ROWS($A$3:A53)</f>
        <v>51</v>
      </c>
      <c r="B55" s="59" t="s">
        <v>208</v>
      </c>
      <c r="C55" s="203"/>
      <c r="D55" s="254"/>
      <c r="E55" s="269"/>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2">
        <v>2006</v>
      </c>
      <c r="D56" s="254" t="s">
        <v>13</v>
      </c>
      <c r="E56" s="256">
        <v>40441</v>
      </c>
      <c r="F56" s="116">
        <v>262</v>
      </c>
      <c r="G56" s="137">
        <v>238</v>
      </c>
      <c r="H56" s="137">
        <v>268</v>
      </c>
      <c r="I56" s="138">
        <v>312</v>
      </c>
      <c r="J56" s="141"/>
      <c r="K56" s="116">
        <f t="shared" ref="K56:K63" si="102">BF56</f>
        <v>41</v>
      </c>
      <c r="L56" s="137">
        <f t="shared" ref="L56:L63" si="103">AY56</f>
        <v>24</v>
      </c>
      <c r="M56" s="137">
        <f t="shared" ref="M56:M63" si="104">BD56</f>
        <v>33</v>
      </c>
      <c r="N56" s="137">
        <f t="shared" ref="N56:N63" si="105">AW56</f>
        <v>19</v>
      </c>
      <c r="O56" s="137">
        <f t="shared" ref="O56:O63" si="106">BE56</f>
        <v>11</v>
      </c>
      <c r="P56" s="137">
        <f t="shared" ref="P56:P63" si="107">AZ56+BA56</f>
        <v>22</v>
      </c>
      <c r="Q56" s="137">
        <f>'2007'!AU56</f>
        <v>19</v>
      </c>
      <c r="R56" s="137">
        <f t="shared" ref="R56:R63" si="108">AT56+AX56</f>
        <v>27</v>
      </c>
      <c r="S56" s="137">
        <f t="shared" ref="S56:S63" si="109">AV56</f>
        <v>27</v>
      </c>
      <c r="T56" s="137">
        <f t="shared" ref="T56:U63" si="110">BB56</f>
        <v>21</v>
      </c>
      <c r="U56" s="139">
        <f t="shared" si="110"/>
        <v>18</v>
      </c>
      <c r="V56" s="137">
        <f t="shared" ref="V56:V63" si="111">BG56+BJ56</f>
        <v>32</v>
      </c>
      <c r="W56" s="137">
        <f t="shared" ref="W56:W63" si="112">BR56</f>
        <v>18</v>
      </c>
      <c r="X56" s="137">
        <f t="shared" ref="X56:X63" si="113">BH56+BI56</f>
        <v>47</v>
      </c>
      <c r="Y56" s="137">
        <f t="shared" ref="Y56:Y63" si="114">BK56+BL56+BN56</f>
        <v>61</v>
      </c>
      <c r="Z56" s="137">
        <f t="shared" ref="Z56:Z63" si="115">BM56</f>
        <v>25</v>
      </c>
      <c r="AA56" s="137">
        <f t="shared" ref="AA56:AA63" si="116">BO56+BQ56</f>
        <v>29</v>
      </c>
      <c r="AB56" s="139">
        <f t="shared" ref="AB56:AB63" si="117">BP56</f>
        <v>26</v>
      </c>
      <c r="AC56" s="137">
        <f t="shared" ref="AC56:AC63" si="118">BX56</f>
        <v>24</v>
      </c>
      <c r="AD56" s="137">
        <f t="shared" ref="AD56:AD63" si="119">BU56</f>
        <v>19</v>
      </c>
      <c r="AE56" s="137">
        <f t="shared" ref="AE56:AE63" si="120">BS56+BT56</f>
        <v>49</v>
      </c>
      <c r="AF56" s="137">
        <f t="shared" ref="AF56:AF63" si="121">CA56</f>
        <v>25</v>
      </c>
      <c r="AG56" s="137">
        <f t="shared" ref="AG56:AG63" si="122">BV56</f>
        <v>23</v>
      </c>
      <c r="AH56" s="137">
        <f t="shared" ref="AH56:AH63" si="123">BZ56</f>
        <v>59</v>
      </c>
      <c r="AI56" s="137">
        <f t="shared" ref="AI56:AI63" si="124">BW56</f>
        <v>10</v>
      </c>
      <c r="AJ56" s="137">
        <f t="shared" ref="AJ56:AJ63" si="125">BY56</f>
        <v>23</v>
      </c>
      <c r="AK56" s="139">
        <f t="shared" ref="AK56:AK63" si="126">CB56</f>
        <v>36</v>
      </c>
      <c r="AL56" s="137">
        <f t="shared" ref="AL56:AL63" si="127">CE56</f>
        <v>53</v>
      </c>
      <c r="AM56" s="137">
        <f t="shared" ref="AM56:AM63" si="128">CH56</f>
        <v>30</v>
      </c>
      <c r="AN56" s="137">
        <f t="shared" ref="AN56:AN63" si="129">CJ56</f>
        <v>75</v>
      </c>
      <c r="AO56" s="137">
        <f t="shared" ref="AO56:AP63" si="130">CC56</f>
        <v>42</v>
      </c>
      <c r="AP56" s="137">
        <f t="shared" si="130"/>
        <v>22</v>
      </c>
      <c r="AQ56" s="137">
        <f t="shared" ref="AQ56:AQ63" si="131">CK56</f>
        <v>25</v>
      </c>
      <c r="AR56" s="137">
        <f t="shared" ref="AR56:AR63" si="132">CI56</f>
        <v>31</v>
      </c>
      <c r="AS56" s="138">
        <f t="shared" ref="AS56:AS63" si="133">CF56+CG56</f>
        <v>34</v>
      </c>
      <c r="AT56" s="146">
        <v>7</v>
      </c>
      <c r="AU56" s="137">
        <v>19</v>
      </c>
      <c r="AV56" s="137">
        <v>27</v>
      </c>
      <c r="AW56" s="141">
        <v>19</v>
      </c>
      <c r="AX56" s="137">
        <v>20</v>
      </c>
      <c r="AY56" s="137">
        <v>24</v>
      </c>
      <c r="AZ56" s="137">
        <v>4</v>
      </c>
      <c r="BA56" s="137">
        <v>18</v>
      </c>
      <c r="BB56" s="137">
        <v>21</v>
      </c>
      <c r="BC56" s="137">
        <v>18</v>
      </c>
      <c r="BD56" s="137">
        <v>33</v>
      </c>
      <c r="BE56" s="137">
        <v>11</v>
      </c>
      <c r="BF56" s="139">
        <v>41</v>
      </c>
      <c r="BG56" s="137">
        <v>5</v>
      </c>
      <c r="BH56" s="137">
        <v>7</v>
      </c>
      <c r="BI56" s="137">
        <v>40</v>
      </c>
      <c r="BJ56" s="137">
        <v>27</v>
      </c>
      <c r="BK56" s="137">
        <v>5</v>
      </c>
      <c r="BL56" s="137">
        <v>9</v>
      </c>
      <c r="BM56" s="137">
        <v>25</v>
      </c>
      <c r="BN56" s="137">
        <v>47</v>
      </c>
      <c r="BO56" s="137">
        <v>3</v>
      </c>
      <c r="BP56" s="137">
        <v>26</v>
      </c>
      <c r="BQ56" s="137">
        <v>26</v>
      </c>
      <c r="BR56" s="139">
        <v>18</v>
      </c>
      <c r="BS56" s="137">
        <v>6</v>
      </c>
      <c r="BT56" s="137">
        <v>43</v>
      </c>
      <c r="BU56" s="137">
        <v>19</v>
      </c>
      <c r="BV56" s="137">
        <v>23</v>
      </c>
      <c r="BW56" s="137">
        <v>10</v>
      </c>
      <c r="BX56" s="137">
        <v>24</v>
      </c>
      <c r="BY56" s="137">
        <v>23</v>
      </c>
      <c r="BZ56" s="137">
        <v>59</v>
      </c>
      <c r="CA56" s="137">
        <v>25</v>
      </c>
      <c r="CB56" s="139">
        <v>36</v>
      </c>
      <c r="CC56" s="137">
        <v>42</v>
      </c>
      <c r="CD56" s="137">
        <v>22</v>
      </c>
      <c r="CE56" s="137">
        <v>53</v>
      </c>
      <c r="CF56" s="137">
        <v>1</v>
      </c>
      <c r="CG56" s="137">
        <v>33</v>
      </c>
      <c r="CH56" s="137">
        <v>30</v>
      </c>
      <c r="CI56" s="137">
        <v>31</v>
      </c>
      <c r="CJ56" s="137">
        <v>75</v>
      </c>
      <c r="CK56" s="138">
        <v>25</v>
      </c>
      <c r="CL56" s="140">
        <v>1080</v>
      </c>
    </row>
    <row r="57" spans="1:90">
      <c r="A57" s="80">
        <f>ROWS($A$3:A55)</f>
        <v>53</v>
      </c>
      <c r="B57" s="92"/>
      <c r="C57" s="203"/>
      <c r="D57" s="254" t="s">
        <v>1</v>
      </c>
      <c r="E57" s="269"/>
      <c r="F57" s="116">
        <v>14267</v>
      </c>
      <c r="G57" s="137">
        <v>19565</v>
      </c>
      <c r="H57" s="137">
        <v>30701</v>
      </c>
      <c r="I57" s="138">
        <v>19492</v>
      </c>
      <c r="J57" s="141"/>
      <c r="K57" s="116">
        <f t="shared" si="102"/>
        <v>1872</v>
      </c>
      <c r="L57" s="137">
        <f t="shared" si="103"/>
        <v>772</v>
      </c>
      <c r="M57" s="137">
        <f t="shared" si="104"/>
        <v>1042</v>
      </c>
      <c r="N57" s="137">
        <f t="shared" si="105"/>
        <v>2872</v>
      </c>
      <c r="O57" s="137">
        <f t="shared" si="106"/>
        <v>509</v>
      </c>
      <c r="P57" s="137">
        <f t="shared" si="107"/>
        <v>454</v>
      </c>
      <c r="Q57" s="137">
        <f>'2007'!AU57</f>
        <v>709</v>
      </c>
      <c r="R57" s="137">
        <f t="shared" si="108"/>
        <v>1904</v>
      </c>
      <c r="S57" s="137">
        <f t="shared" si="109"/>
        <v>2242</v>
      </c>
      <c r="T57" s="137">
        <f t="shared" si="110"/>
        <v>494</v>
      </c>
      <c r="U57" s="139">
        <f t="shared" si="110"/>
        <v>1397</v>
      </c>
      <c r="V57" s="137">
        <f t="shared" si="111"/>
        <v>4357</v>
      </c>
      <c r="W57" s="137">
        <f t="shared" si="112"/>
        <v>2885</v>
      </c>
      <c r="X57" s="137">
        <f t="shared" si="113"/>
        <v>3870</v>
      </c>
      <c r="Y57" s="137">
        <f t="shared" si="114"/>
        <v>3718</v>
      </c>
      <c r="Z57" s="137">
        <f t="shared" si="115"/>
        <v>902</v>
      </c>
      <c r="AA57" s="137">
        <f t="shared" si="116"/>
        <v>1555</v>
      </c>
      <c r="AB57" s="139">
        <f t="shared" si="117"/>
        <v>2278</v>
      </c>
      <c r="AC57" s="137">
        <f t="shared" si="118"/>
        <v>1949</v>
      </c>
      <c r="AD57" s="137">
        <f t="shared" si="119"/>
        <v>3808</v>
      </c>
      <c r="AE57" s="137">
        <f t="shared" si="120"/>
        <v>5875</v>
      </c>
      <c r="AF57" s="137">
        <f t="shared" si="121"/>
        <v>5582</v>
      </c>
      <c r="AG57" s="137">
        <f t="shared" si="122"/>
        <v>3485</v>
      </c>
      <c r="AH57" s="137">
        <f t="shared" si="123"/>
        <v>4251</v>
      </c>
      <c r="AI57" s="137">
        <f t="shared" si="124"/>
        <v>436</v>
      </c>
      <c r="AJ57" s="137">
        <f t="shared" si="125"/>
        <v>1880</v>
      </c>
      <c r="AK57" s="139">
        <f t="shared" si="126"/>
        <v>3435</v>
      </c>
      <c r="AL57" s="137">
        <f t="shared" si="127"/>
        <v>1545</v>
      </c>
      <c r="AM57" s="137">
        <f t="shared" si="128"/>
        <v>3563</v>
      </c>
      <c r="AN57" s="137">
        <f t="shared" si="129"/>
        <v>5909</v>
      </c>
      <c r="AO57" s="137">
        <f t="shared" si="130"/>
        <v>1980</v>
      </c>
      <c r="AP57" s="137">
        <f t="shared" si="130"/>
        <v>1184</v>
      </c>
      <c r="AQ57" s="137">
        <f t="shared" si="131"/>
        <v>2011</v>
      </c>
      <c r="AR57" s="137">
        <f t="shared" si="132"/>
        <v>1485</v>
      </c>
      <c r="AS57" s="138">
        <f t="shared" si="133"/>
        <v>1815</v>
      </c>
      <c r="AT57" s="137">
        <v>1360</v>
      </c>
      <c r="AU57" s="137">
        <v>709</v>
      </c>
      <c r="AV57" s="137">
        <v>2242</v>
      </c>
      <c r="AW57" s="137">
        <v>2872</v>
      </c>
      <c r="AX57" s="137">
        <v>544</v>
      </c>
      <c r="AY57" s="137">
        <v>772</v>
      </c>
      <c r="AZ57" s="137">
        <v>95</v>
      </c>
      <c r="BA57" s="137">
        <v>359</v>
      </c>
      <c r="BB57" s="137">
        <v>494</v>
      </c>
      <c r="BC57" s="137">
        <v>1397</v>
      </c>
      <c r="BD57" s="137">
        <v>1042</v>
      </c>
      <c r="BE57" s="137">
        <v>509</v>
      </c>
      <c r="BF57" s="139">
        <v>1872</v>
      </c>
      <c r="BG57" s="137">
        <v>438</v>
      </c>
      <c r="BH57" s="137">
        <v>646</v>
      </c>
      <c r="BI57" s="137">
        <v>3224</v>
      </c>
      <c r="BJ57" s="137">
        <v>3919</v>
      </c>
      <c r="BK57" s="137">
        <v>84</v>
      </c>
      <c r="BL57" s="137">
        <v>691</v>
      </c>
      <c r="BM57" s="137">
        <v>902</v>
      </c>
      <c r="BN57" s="137">
        <v>2943</v>
      </c>
      <c r="BO57" s="137">
        <v>198</v>
      </c>
      <c r="BP57" s="137">
        <v>2278</v>
      </c>
      <c r="BQ57" s="137">
        <v>1357</v>
      </c>
      <c r="BR57" s="139">
        <v>2885</v>
      </c>
      <c r="BS57" s="137">
        <v>655</v>
      </c>
      <c r="BT57" s="137">
        <v>5220</v>
      </c>
      <c r="BU57" s="137">
        <v>3808</v>
      </c>
      <c r="BV57" s="137">
        <v>3485</v>
      </c>
      <c r="BW57" s="137">
        <v>436</v>
      </c>
      <c r="BX57" s="137">
        <v>1949</v>
      </c>
      <c r="BY57" s="137">
        <v>1880</v>
      </c>
      <c r="BZ57" s="137">
        <v>4251</v>
      </c>
      <c r="CA57" s="137">
        <v>5582</v>
      </c>
      <c r="CB57" s="139">
        <v>3435</v>
      </c>
      <c r="CC57" s="137">
        <v>1980</v>
      </c>
      <c r="CD57" s="137">
        <v>1184</v>
      </c>
      <c r="CE57" s="137">
        <v>1545</v>
      </c>
      <c r="CF57" s="137">
        <v>39</v>
      </c>
      <c r="CG57" s="137">
        <v>1776</v>
      </c>
      <c r="CH57" s="137">
        <v>3563</v>
      </c>
      <c r="CI57" s="137">
        <v>1485</v>
      </c>
      <c r="CJ57" s="137">
        <v>5909</v>
      </c>
      <c r="CK57" s="138">
        <v>2011</v>
      </c>
      <c r="CL57" s="140">
        <v>84025</v>
      </c>
    </row>
    <row r="58" spans="1:90">
      <c r="A58" s="80">
        <f>ROWS($A$3:A56)</f>
        <v>54</v>
      </c>
      <c r="B58" s="92" t="s">
        <v>231</v>
      </c>
      <c r="C58" s="203">
        <v>2007</v>
      </c>
      <c r="D58" s="254" t="s">
        <v>13</v>
      </c>
      <c r="E58" s="273"/>
      <c r="F58" s="116"/>
      <c r="G58" s="137"/>
      <c r="H58" s="137"/>
      <c r="I58" s="138"/>
      <c r="J58" s="141"/>
      <c r="K58" s="116">
        <f t="shared" si="102"/>
        <v>0</v>
      </c>
      <c r="L58" s="137">
        <f t="shared" si="103"/>
        <v>0</v>
      </c>
      <c r="M58" s="137">
        <f t="shared" si="104"/>
        <v>0</v>
      </c>
      <c r="N58" s="137">
        <f t="shared" si="105"/>
        <v>0</v>
      </c>
      <c r="O58" s="137">
        <f t="shared" si="106"/>
        <v>0</v>
      </c>
      <c r="P58" s="137">
        <f t="shared" si="107"/>
        <v>0</v>
      </c>
      <c r="Q58" s="137">
        <f>'2007'!AU58</f>
        <v>0</v>
      </c>
      <c r="R58" s="137">
        <f t="shared" si="108"/>
        <v>0</v>
      </c>
      <c r="S58" s="137">
        <f t="shared" si="109"/>
        <v>0</v>
      </c>
      <c r="T58" s="137">
        <f t="shared" si="110"/>
        <v>0</v>
      </c>
      <c r="U58" s="139">
        <f t="shared" si="110"/>
        <v>0</v>
      </c>
      <c r="V58" s="137">
        <f t="shared" si="111"/>
        <v>0</v>
      </c>
      <c r="W58" s="137">
        <f t="shared" si="112"/>
        <v>0</v>
      </c>
      <c r="X58" s="137">
        <f t="shared" si="113"/>
        <v>0</v>
      </c>
      <c r="Y58" s="137">
        <f t="shared" si="114"/>
        <v>0</v>
      </c>
      <c r="Z58" s="137">
        <f t="shared" si="115"/>
        <v>0</v>
      </c>
      <c r="AA58" s="137">
        <f t="shared" si="116"/>
        <v>0</v>
      </c>
      <c r="AB58" s="139">
        <f t="shared" si="117"/>
        <v>0</v>
      </c>
      <c r="AC58" s="137">
        <f t="shared" si="118"/>
        <v>0</v>
      </c>
      <c r="AD58" s="137">
        <f t="shared" si="119"/>
        <v>0</v>
      </c>
      <c r="AE58" s="137">
        <f t="shared" si="120"/>
        <v>0</v>
      </c>
      <c r="AF58" s="137">
        <f t="shared" si="121"/>
        <v>0</v>
      </c>
      <c r="AG58" s="137">
        <f t="shared" si="122"/>
        <v>0</v>
      </c>
      <c r="AH58" s="137">
        <f t="shared" si="123"/>
        <v>0</v>
      </c>
      <c r="AI58" s="137">
        <f t="shared" si="124"/>
        <v>0</v>
      </c>
      <c r="AJ58" s="137">
        <f t="shared" si="125"/>
        <v>0</v>
      </c>
      <c r="AK58" s="139">
        <f t="shared" si="126"/>
        <v>0</v>
      </c>
      <c r="AL58" s="137">
        <f t="shared" si="127"/>
        <v>0</v>
      </c>
      <c r="AM58" s="137">
        <f t="shared" si="128"/>
        <v>0</v>
      </c>
      <c r="AN58" s="137">
        <f t="shared" si="129"/>
        <v>0</v>
      </c>
      <c r="AO58" s="137">
        <f t="shared" si="130"/>
        <v>0</v>
      </c>
      <c r="AP58" s="137">
        <f t="shared" si="130"/>
        <v>0</v>
      </c>
      <c r="AQ58" s="137">
        <f t="shared" si="131"/>
        <v>0</v>
      </c>
      <c r="AR58" s="137">
        <f t="shared" si="132"/>
        <v>0</v>
      </c>
      <c r="AS58" s="138">
        <f t="shared" si="133"/>
        <v>0</v>
      </c>
      <c r="AT58" s="146"/>
      <c r="AU58" s="137"/>
      <c r="AV58" s="141"/>
      <c r="AW58" s="141"/>
      <c r="AX58" s="141"/>
      <c r="AY58" s="141"/>
      <c r="AZ58" s="141"/>
      <c r="BA58" s="141"/>
      <c r="BB58" s="141"/>
      <c r="BC58" s="141"/>
      <c r="BD58" s="141"/>
      <c r="BE58" s="141"/>
      <c r="BF58" s="139"/>
      <c r="BG58" s="141"/>
      <c r="BH58" s="141"/>
      <c r="BI58" s="141"/>
      <c r="BJ58" s="141"/>
      <c r="BK58" s="141"/>
      <c r="BL58" s="141"/>
      <c r="BM58" s="141"/>
      <c r="BN58" s="141"/>
      <c r="BO58" s="141"/>
      <c r="BP58" s="141"/>
      <c r="BQ58" s="141"/>
      <c r="BR58" s="139"/>
      <c r="BS58" s="141"/>
      <c r="BT58" s="141"/>
      <c r="BU58" s="141"/>
      <c r="BV58" s="141"/>
      <c r="BW58" s="141"/>
      <c r="BX58" s="141"/>
      <c r="BY58" s="141"/>
      <c r="BZ58" s="141"/>
      <c r="CA58" s="141"/>
      <c r="CB58" s="139"/>
      <c r="CC58" s="141"/>
      <c r="CD58" s="141"/>
      <c r="CE58" s="141"/>
      <c r="CF58" s="141"/>
      <c r="CG58" s="141"/>
      <c r="CH58" s="141"/>
      <c r="CI58" s="141"/>
      <c r="CJ58" s="141"/>
      <c r="CK58" s="138"/>
      <c r="CL58" s="140">
        <v>260</v>
      </c>
    </row>
    <row r="59" spans="1:90">
      <c r="A59" s="80">
        <f>ROWS($A$3:A57)</f>
        <v>55</v>
      </c>
      <c r="B59" s="92"/>
      <c r="C59" s="203"/>
      <c r="D59" s="254" t="s">
        <v>1</v>
      </c>
      <c r="E59" s="269"/>
      <c r="F59" s="116"/>
      <c r="G59" s="137"/>
      <c r="H59" s="137"/>
      <c r="I59" s="138"/>
      <c r="J59" s="141"/>
      <c r="K59" s="116">
        <f t="shared" si="102"/>
        <v>0</v>
      </c>
      <c r="L59" s="137">
        <f t="shared" si="103"/>
        <v>0</v>
      </c>
      <c r="M59" s="137">
        <f t="shared" si="104"/>
        <v>0</v>
      </c>
      <c r="N59" s="137">
        <f t="shared" si="105"/>
        <v>0</v>
      </c>
      <c r="O59" s="137">
        <f t="shared" si="106"/>
        <v>0</v>
      </c>
      <c r="P59" s="137">
        <f t="shared" si="107"/>
        <v>0</v>
      </c>
      <c r="Q59" s="137">
        <f>'2007'!AU59</f>
        <v>0</v>
      </c>
      <c r="R59" s="137">
        <f t="shared" si="108"/>
        <v>0</v>
      </c>
      <c r="S59" s="137">
        <f t="shared" si="109"/>
        <v>0</v>
      </c>
      <c r="T59" s="137">
        <f t="shared" si="110"/>
        <v>0</v>
      </c>
      <c r="U59" s="139">
        <f t="shared" si="110"/>
        <v>0</v>
      </c>
      <c r="V59" s="137">
        <f t="shared" si="111"/>
        <v>0</v>
      </c>
      <c r="W59" s="137">
        <f t="shared" si="112"/>
        <v>0</v>
      </c>
      <c r="X59" s="137">
        <f t="shared" si="113"/>
        <v>0</v>
      </c>
      <c r="Y59" s="137">
        <f t="shared" si="114"/>
        <v>0</v>
      </c>
      <c r="Z59" s="137">
        <f t="shared" si="115"/>
        <v>0</v>
      </c>
      <c r="AA59" s="137">
        <f t="shared" si="116"/>
        <v>0</v>
      </c>
      <c r="AB59" s="139">
        <f t="shared" si="117"/>
        <v>0</v>
      </c>
      <c r="AC59" s="137">
        <f t="shared" si="118"/>
        <v>0</v>
      </c>
      <c r="AD59" s="137">
        <f t="shared" si="119"/>
        <v>0</v>
      </c>
      <c r="AE59" s="137">
        <f t="shared" si="120"/>
        <v>0</v>
      </c>
      <c r="AF59" s="137">
        <f t="shared" si="121"/>
        <v>0</v>
      </c>
      <c r="AG59" s="137">
        <f t="shared" si="122"/>
        <v>0</v>
      </c>
      <c r="AH59" s="137">
        <f t="shared" si="123"/>
        <v>0</v>
      </c>
      <c r="AI59" s="137">
        <f t="shared" si="124"/>
        <v>0</v>
      </c>
      <c r="AJ59" s="137">
        <f t="shared" si="125"/>
        <v>0</v>
      </c>
      <c r="AK59" s="139">
        <f t="shared" si="126"/>
        <v>0</v>
      </c>
      <c r="AL59" s="137">
        <f t="shared" si="127"/>
        <v>0</v>
      </c>
      <c r="AM59" s="137">
        <f t="shared" si="128"/>
        <v>0</v>
      </c>
      <c r="AN59" s="137">
        <f t="shared" si="129"/>
        <v>0</v>
      </c>
      <c r="AO59" s="137">
        <f t="shared" si="130"/>
        <v>0</v>
      </c>
      <c r="AP59" s="137">
        <f t="shared" si="130"/>
        <v>0</v>
      </c>
      <c r="AQ59" s="137">
        <f t="shared" si="131"/>
        <v>0</v>
      </c>
      <c r="AR59" s="137">
        <f t="shared" si="132"/>
        <v>0</v>
      </c>
      <c r="AS59" s="138">
        <f t="shared" si="133"/>
        <v>0</v>
      </c>
      <c r="AT59" s="137"/>
      <c r="AU59" s="137"/>
      <c r="AV59" s="137"/>
      <c r="AW59" s="137"/>
      <c r="AX59" s="137"/>
      <c r="AY59" s="137"/>
      <c r="AZ59" s="137"/>
      <c r="BA59" s="137"/>
      <c r="BB59" s="137"/>
      <c r="BC59" s="137"/>
      <c r="BD59" s="137"/>
      <c r="BE59" s="137"/>
      <c r="BF59" s="139"/>
      <c r="BG59" s="137"/>
      <c r="BH59" s="137"/>
      <c r="BI59" s="137"/>
      <c r="BJ59" s="137"/>
      <c r="BK59" s="137"/>
      <c r="BL59" s="137"/>
      <c r="BM59" s="137"/>
      <c r="BN59" s="137"/>
      <c r="BO59" s="137"/>
      <c r="BP59" s="137"/>
      <c r="BQ59" s="137"/>
      <c r="BR59" s="139"/>
      <c r="BS59" s="137"/>
      <c r="BT59" s="137"/>
      <c r="BU59" s="137"/>
      <c r="BV59" s="137"/>
      <c r="BW59" s="137"/>
      <c r="BX59" s="137"/>
      <c r="BY59" s="137"/>
      <c r="BZ59" s="137"/>
      <c r="CA59" s="137"/>
      <c r="CB59" s="139"/>
      <c r="CC59" s="137"/>
      <c r="CD59" s="137"/>
      <c r="CE59" s="137"/>
      <c r="CF59" s="137"/>
      <c r="CG59" s="137"/>
      <c r="CH59" s="137"/>
      <c r="CI59" s="137"/>
      <c r="CJ59" s="137"/>
      <c r="CK59" s="138"/>
      <c r="CL59" s="140">
        <v>426219</v>
      </c>
    </row>
    <row r="60" spans="1:90">
      <c r="A60" s="80">
        <f>ROWS($A$3:A58)</f>
        <v>56</v>
      </c>
      <c r="B60" s="92" t="s">
        <v>232</v>
      </c>
      <c r="C60" s="203">
        <v>2007</v>
      </c>
      <c r="D60" s="254" t="s">
        <v>13</v>
      </c>
      <c r="E60" s="273"/>
      <c r="F60" s="116"/>
      <c r="G60" s="141"/>
      <c r="H60" s="141"/>
      <c r="I60" s="138"/>
      <c r="J60" s="141"/>
      <c r="K60" s="116">
        <f t="shared" si="102"/>
        <v>0</v>
      </c>
      <c r="L60" s="137">
        <f t="shared" si="103"/>
        <v>0</v>
      </c>
      <c r="M60" s="137">
        <f t="shared" si="104"/>
        <v>0</v>
      </c>
      <c r="N60" s="137">
        <f t="shared" si="105"/>
        <v>0</v>
      </c>
      <c r="O60" s="137">
        <f t="shared" si="106"/>
        <v>0</v>
      </c>
      <c r="P60" s="137">
        <f t="shared" si="107"/>
        <v>0</v>
      </c>
      <c r="Q60" s="137">
        <f>'2007'!AU60</f>
        <v>0</v>
      </c>
      <c r="R60" s="137">
        <f t="shared" si="108"/>
        <v>0</v>
      </c>
      <c r="S60" s="137">
        <f t="shared" si="109"/>
        <v>0</v>
      </c>
      <c r="T60" s="137">
        <f t="shared" si="110"/>
        <v>0</v>
      </c>
      <c r="U60" s="139">
        <f t="shared" si="110"/>
        <v>0</v>
      </c>
      <c r="V60" s="137">
        <f t="shared" si="111"/>
        <v>0</v>
      </c>
      <c r="W60" s="137">
        <f t="shared" si="112"/>
        <v>0</v>
      </c>
      <c r="X60" s="137">
        <f t="shared" si="113"/>
        <v>0</v>
      </c>
      <c r="Y60" s="137">
        <f t="shared" si="114"/>
        <v>0</v>
      </c>
      <c r="Z60" s="137">
        <f t="shared" si="115"/>
        <v>0</v>
      </c>
      <c r="AA60" s="137">
        <f t="shared" si="116"/>
        <v>0</v>
      </c>
      <c r="AB60" s="139">
        <f t="shared" si="117"/>
        <v>0</v>
      </c>
      <c r="AC60" s="137">
        <f t="shared" si="118"/>
        <v>0</v>
      </c>
      <c r="AD60" s="137">
        <f t="shared" si="119"/>
        <v>0</v>
      </c>
      <c r="AE60" s="137">
        <f t="shared" si="120"/>
        <v>0</v>
      </c>
      <c r="AF60" s="137">
        <f t="shared" si="121"/>
        <v>0</v>
      </c>
      <c r="AG60" s="137">
        <f t="shared" si="122"/>
        <v>0</v>
      </c>
      <c r="AH60" s="137">
        <f t="shared" si="123"/>
        <v>0</v>
      </c>
      <c r="AI60" s="137">
        <f t="shared" si="124"/>
        <v>0</v>
      </c>
      <c r="AJ60" s="137">
        <f t="shared" si="125"/>
        <v>0</v>
      </c>
      <c r="AK60" s="139">
        <f t="shared" si="126"/>
        <v>0</v>
      </c>
      <c r="AL60" s="137">
        <f t="shared" si="127"/>
        <v>0</v>
      </c>
      <c r="AM60" s="137">
        <f t="shared" si="128"/>
        <v>0</v>
      </c>
      <c r="AN60" s="137">
        <f t="shared" si="129"/>
        <v>0</v>
      </c>
      <c r="AO60" s="137">
        <f t="shared" si="130"/>
        <v>0</v>
      </c>
      <c r="AP60" s="137">
        <f t="shared" si="130"/>
        <v>0</v>
      </c>
      <c r="AQ60" s="137">
        <f t="shared" si="131"/>
        <v>0</v>
      </c>
      <c r="AR60" s="137">
        <f t="shared" si="132"/>
        <v>0</v>
      </c>
      <c r="AS60" s="138">
        <f t="shared" si="133"/>
        <v>0</v>
      </c>
      <c r="AT60" s="137"/>
      <c r="AU60" s="141"/>
      <c r="AV60" s="141"/>
      <c r="AW60" s="141"/>
      <c r="AX60" s="141"/>
      <c r="AY60" s="141"/>
      <c r="AZ60" s="141"/>
      <c r="BA60" s="141"/>
      <c r="BB60" s="141"/>
      <c r="BC60" s="141"/>
      <c r="BD60" s="141"/>
      <c r="BE60" s="141"/>
      <c r="BF60" s="139"/>
      <c r="BG60" s="141"/>
      <c r="BH60" s="141"/>
      <c r="BI60" s="141"/>
      <c r="BJ60" s="141"/>
      <c r="BK60" s="141"/>
      <c r="BL60" s="141"/>
      <c r="BM60" s="141"/>
      <c r="BN60" s="141"/>
      <c r="BO60" s="141"/>
      <c r="BP60" s="141"/>
      <c r="BQ60" s="141"/>
      <c r="BR60" s="139"/>
      <c r="BS60" s="141"/>
      <c r="BT60" s="141"/>
      <c r="BU60" s="141"/>
      <c r="BV60" s="141"/>
      <c r="BW60" s="141"/>
      <c r="BX60" s="141"/>
      <c r="BY60" s="141"/>
      <c r="BZ60" s="141"/>
      <c r="CA60" s="141"/>
      <c r="CB60" s="139"/>
      <c r="CC60" s="141"/>
      <c r="CD60" s="141"/>
      <c r="CE60" s="141"/>
      <c r="CF60" s="141"/>
      <c r="CG60" s="141"/>
      <c r="CH60" s="141"/>
      <c r="CI60" s="141"/>
      <c r="CJ60" s="141"/>
      <c r="CK60" s="138"/>
      <c r="CL60" s="140">
        <v>90</v>
      </c>
    </row>
    <row r="61" spans="1:90">
      <c r="A61" s="80">
        <f>ROWS($A$3:A59)</f>
        <v>57</v>
      </c>
      <c r="B61" s="92"/>
      <c r="C61" s="203"/>
      <c r="D61" s="254" t="s">
        <v>1</v>
      </c>
      <c r="E61" s="269"/>
      <c r="F61" s="116"/>
      <c r="G61" s="137"/>
      <c r="H61" s="137"/>
      <c r="I61" s="138"/>
      <c r="J61" s="141"/>
      <c r="K61" s="116">
        <f t="shared" si="102"/>
        <v>0</v>
      </c>
      <c r="L61" s="137">
        <f t="shared" si="103"/>
        <v>0</v>
      </c>
      <c r="M61" s="137">
        <f t="shared" si="104"/>
        <v>0</v>
      </c>
      <c r="N61" s="137">
        <f t="shared" si="105"/>
        <v>0</v>
      </c>
      <c r="O61" s="137">
        <f t="shared" si="106"/>
        <v>0</v>
      </c>
      <c r="P61" s="137">
        <f t="shared" si="107"/>
        <v>0</v>
      </c>
      <c r="Q61" s="137">
        <f>'2007'!AU61</f>
        <v>0</v>
      </c>
      <c r="R61" s="137">
        <f t="shared" si="108"/>
        <v>0</v>
      </c>
      <c r="S61" s="137">
        <f t="shared" si="109"/>
        <v>0</v>
      </c>
      <c r="T61" s="137">
        <f t="shared" si="110"/>
        <v>0</v>
      </c>
      <c r="U61" s="139">
        <f t="shared" si="110"/>
        <v>0</v>
      </c>
      <c r="V61" s="137">
        <f t="shared" si="111"/>
        <v>0</v>
      </c>
      <c r="W61" s="137">
        <f t="shared" si="112"/>
        <v>0</v>
      </c>
      <c r="X61" s="137">
        <f t="shared" si="113"/>
        <v>0</v>
      </c>
      <c r="Y61" s="137">
        <f t="shared" si="114"/>
        <v>0</v>
      </c>
      <c r="Z61" s="137">
        <f t="shared" si="115"/>
        <v>0</v>
      </c>
      <c r="AA61" s="137">
        <f t="shared" si="116"/>
        <v>0</v>
      </c>
      <c r="AB61" s="139">
        <f t="shared" si="117"/>
        <v>0</v>
      </c>
      <c r="AC61" s="137">
        <f t="shared" si="118"/>
        <v>0</v>
      </c>
      <c r="AD61" s="137">
        <f t="shared" si="119"/>
        <v>0</v>
      </c>
      <c r="AE61" s="137">
        <f t="shared" si="120"/>
        <v>0</v>
      </c>
      <c r="AF61" s="137">
        <f t="shared" si="121"/>
        <v>0</v>
      </c>
      <c r="AG61" s="137">
        <f t="shared" si="122"/>
        <v>0</v>
      </c>
      <c r="AH61" s="137">
        <f t="shared" si="123"/>
        <v>0</v>
      </c>
      <c r="AI61" s="137">
        <f t="shared" si="124"/>
        <v>0</v>
      </c>
      <c r="AJ61" s="137">
        <f t="shared" si="125"/>
        <v>0</v>
      </c>
      <c r="AK61" s="139">
        <f t="shared" si="126"/>
        <v>0</v>
      </c>
      <c r="AL61" s="137">
        <f t="shared" si="127"/>
        <v>0</v>
      </c>
      <c r="AM61" s="137">
        <f t="shared" si="128"/>
        <v>0</v>
      </c>
      <c r="AN61" s="137">
        <f t="shared" si="129"/>
        <v>0</v>
      </c>
      <c r="AO61" s="137">
        <f t="shared" si="130"/>
        <v>0</v>
      </c>
      <c r="AP61" s="137">
        <f t="shared" si="130"/>
        <v>0</v>
      </c>
      <c r="AQ61" s="137">
        <f t="shared" si="131"/>
        <v>0</v>
      </c>
      <c r="AR61" s="137">
        <f t="shared" si="132"/>
        <v>0</v>
      </c>
      <c r="AS61" s="138">
        <f t="shared" si="133"/>
        <v>0</v>
      </c>
      <c r="AT61" s="137"/>
      <c r="AU61" s="137"/>
      <c r="AV61" s="137"/>
      <c r="AW61" s="137"/>
      <c r="AX61" s="137"/>
      <c r="AY61" s="137"/>
      <c r="AZ61" s="137"/>
      <c r="BA61" s="137"/>
      <c r="BB61" s="137"/>
      <c r="BC61" s="137"/>
      <c r="BD61" s="137"/>
      <c r="BE61" s="137"/>
      <c r="BF61" s="139"/>
      <c r="BG61" s="137"/>
      <c r="BH61" s="137"/>
      <c r="BI61" s="137"/>
      <c r="BJ61" s="137"/>
      <c r="BK61" s="137"/>
      <c r="BL61" s="137"/>
      <c r="BM61" s="137"/>
      <c r="BN61" s="137"/>
      <c r="BO61" s="137"/>
      <c r="BP61" s="137"/>
      <c r="BQ61" s="137"/>
      <c r="BR61" s="139"/>
      <c r="BS61" s="137"/>
      <c r="BT61" s="137"/>
      <c r="BU61" s="137"/>
      <c r="BV61" s="137"/>
      <c r="BW61" s="137"/>
      <c r="BX61" s="137"/>
      <c r="BY61" s="137"/>
      <c r="BZ61" s="137"/>
      <c r="CA61" s="137"/>
      <c r="CB61" s="139"/>
      <c r="CC61" s="137"/>
      <c r="CD61" s="137"/>
      <c r="CE61" s="137"/>
      <c r="CF61" s="137"/>
      <c r="CG61" s="137"/>
      <c r="CH61" s="137"/>
      <c r="CI61" s="137"/>
      <c r="CJ61" s="137"/>
      <c r="CK61" s="138"/>
      <c r="CL61" s="140">
        <v>395957</v>
      </c>
    </row>
    <row r="62" spans="1:90">
      <c r="A62" s="80">
        <f>ROWS($A$3:A60)</f>
        <v>58</v>
      </c>
      <c r="B62" s="92" t="s">
        <v>56</v>
      </c>
      <c r="C62" s="202">
        <v>2006</v>
      </c>
      <c r="D62" s="254" t="s">
        <v>13</v>
      </c>
      <c r="E62" s="256">
        <v>40442</v>
      </c>
      <c r="F62" s="116">
        <v>817</v>
      </c>
      <c r="G62" s="137">
        <v>404</v>
      </c>
      <c r="H62" s="137">
        <v>1019</v>
      </c>
      <c r="I62" s="138">
        <v>387</v>
      </c>
      <c r="J62" s="141"/>
      <c r="K62" s="116">
        <f t="shared" si="102"/>
        <v>86</v>
      </c>
      <c r="L62" s="137">
        <f t="shared" si="103"/>
        <v>192</v>
      </c>
      <c r="M62" s="137">
        <f t="shared" si="104"/>
        <v>53</v>
      </c>
      <c r="N62" s="137">
        <f t="shared" si="105"/>
        <v>40</v>
      </c>
      <c r="O62" s="137">
        <f t="shared" si="106"/>
        <v>15</v>
      </c>
      <c r="P62" s="137">
        <f t="shared" si="107"/>
        <v>123</v>
      </c>
      <c r="Q62" s="137">
        <f>'2007'!AU62</f>
        <v>29</v>
      </c>
      <c r="R62" s="137">
        <f t="shared" si="108"/>
        <v>52</v>
      </c>
      <c r="S62" s="137">
        <f t="shared" si="109"/>
        <v>45</v>
      </c>
      <c r="T62" s="137">
        <f t="shared" si="110"/>
        <v>82</v>
      </c>
      <c r="U62" s="139">
        <f t="shared" si="110"/>
        <v>100</v>
      </c>
      <c r="V62" s="137">
        <f t="shared" si="111"/>
        <v>76</v>
      </c>
      <c r="W62" s="137">
        <f t="shared" si="112"/>
        <v>52</v>
      </c>
      <c r="X62" s="137">
        <f t="shared" si="113"/>
        <v>53</v>
      </c>
      <c r="Y62" s="137">
        <f t="shared" si="114"/>
        <v>66</v>
      </c>
      <c r="Z62" s="137">
        <f t="shared" si="115"/>
        <v>44</v>
      </c>
      <c r="AA62" s="137">
        <f t="shared" si="116"/>
        <v>50</v>
      </c>
      <c r="AB62" s="139">
        <f t="shared" si="117"/>
        <v>63</v>
      </c>
      <c r="AC62" s="137">
        <f t="shared" si="118"/>
        <v>123</v>
      </c>
      <c r="AD62" s="137">
        <f t="shared" si="119"/>
        <v>78</v>
      </c>
      <c r="AE62" s="137">
        <f t="shared" si="120"/>
        <v>129</v>
      </c>
      <c r="AF62" s="137">
        <f t="shared" si="121"/>
        <v>129</v>
      </c>
      <c r="AG62" s="137">
        <f t="shared" si="122"/>
        <v>147</v>
      </c>
      <c r="AH62" s="137">
        <f t="shared" si="123"/>
        <v>103</v>
      </c>
      <c r="AI62" s="137">
        <f t="shared" si="124"/>
        <v>43</v>
      </c>
      <c r="AJ62" s="137">
        <f t="shared" si="125"/>
        <v>70</v>
      </c>
      <c r="AK62" s="139">
        <f t="shared" si="126"/>
        <v>197</v>
      </c>
      <c r="AL62" s="137">
        <f t="shared" si="127"/>
        <v>42</v>
      </c>
      <c r="AM62" s="137">
        <f t="shared" si="128"/>
        <v>53</v>
      </c>
      <c r="AN62" s="137">
        <f t="shared" si="129"/>
        <v>80</v>
      </c>
      <c r="AO62" s="137">
        <f t="shared" si="130"/>
        <v>45</v>
      </c>
      <c r="AP62" s="137">
        <f t="shared" si="130"/>
        <v>14</v>
      </c>
      <c r="AQ62" s="137">
        <f t="shared" si="131"/>
        <v>67</v>
      </c>
      <c r="AR62" s="137">
        <f t="shared" si="132"/>
        <v>42</v>
      </c>
      <c r="AS62" s="138">
        <f t="shared" si="133"/>
        <v>44</v>
      </c>
      <c r="AT62" s="141">
        <v>4</v>
      </c>
      <c r="AU62" s="141">
        <v>29</v>
      </c>
      <c r="AV62" s="141">
        <v>45</v>
      </c>
      <c r="AW62" s="141">
        <v>40</v>
      </c>
      <c r="AX62" s="141">
        <v>48</v>
      </c>
      <c r="AY62" s="137">
        <v>192</v>
      </c>
      <c r="AZ62" s="137">
        <v>8</v>
      </c>
      <c r="BA62" s="137">
        <v>115</v>
      </c>
      <c r="BB62" s="137">
        <v>82</v>
      </c>
      <c r="BC62" s="137">
        <v>100</v>
      </c>
      <c r="BD62" s="137">
        <v>53</v>
      </c>
      <c r="BE62" s="137">
        <v>15</v>
      </c>
      <c r="BF62" s="139">
        <v>86</v>
      </c>
      <c r="BG62" s="137">
        <v>9</v>
      </c>
      <c r="BH62" s="137">
        <v>4</v>
      </c>
      <c r="BI62" s="137">
        <v>49</v>
      </c>
      <c r="BJ62" s="137">
        <v>67</v>
      </c>
      <c r="BK62" s="137">
        <v>9</v>
      </c>
      <c r="BL62" s="137">
        <v>3</v>
      </c>
      <c r="BM62" s="137">
        <v>44</v>
      </c>
      <c r="BN62" s="137">
        <v>54</v>
      </c>
      <c r="BO62" s="137">
        <v>6</v>
      </c>
      <c r="BP62" s="137">
        <v>63</v>
      </c>
      <c r="BQ62" s="137">
        <v>44</v>
      </c>
      <c r="BR62" s="139">
        <v>52</v>
      </c>
      <c r="BS62" s="137">
        <v>12</v>
      </c>
      <c r="BT62" s="137">
        <v>117</v>
      </c>
      <c r="BU62" s="137">
        <v>78</v>
      </c>
      <c r="BV62" s="137">
        <v>147</v>
      </c>
      <c r="BW62" s="137">
        <v>43</v>
      </c>
      <c r="BX62" s="137">
        <v>123</v>
      </c>
      <c r="BY62" s="137">
        <v>70</v>
      </c>
      <c r="BZ62" s="137">
        <v>103</v>
      </c>
      <c r="CA62" s="137">
        <v>129</v>
      </c>
      <c r="CB62" s="139">
        <v>197</v>
      </c>
      <c r="CC62" s="137">
        <v>45</v>
      </c>
      <c r="CD62" s="137">
        <v>14</v>
      </c>
      <c r="CE62" s="137">
        <v>42</v>
      </c>
      <c r="CF62" s="137">
        <v>4</v>
      </c>
      <c r="CG62" s="137">
        <v>40</v>
      </c>
      <c r="CH62" s="137">
        <v>53</v>
      </c>
      <c r="CI62" s="137">
        <v>42</v>
      </c>
      <c r="CJ62" s="137">
        <v>80</v>
      </c>
      <c r="CK62" s="138">
        <v>67</v>
      </c>
      <c r="CL62" s="140">
        <v>2627</v>
      </c>
    </row>
    <row r="63" spans="1:90">
      <c r="A63" s="80">
        <f>ROWS($A$3:A61)</f>
        <v>59</v>
      </c>
      <c r="B63" s="92"/>
      <c r="C63" s="203"/>
      <c r="D63" s="254" t="s">
        <v>1</v>
      </c>
      <c r="E63" s="269"/>
      <c r="F63" s="116">
        <v>279763</v>
      </c>
      <c r="G63" s="137">
        <v>194567</v>
      </c>
      <c r="H63" s="137">
        <v>142071</v>
      </c>
      <c r="I63" s="138">
        <v>291144</v>
      </c>
      <c r="J63" s="141"/>
      <c r="K63" s="116">
        <f t="shared" si="102"/>
        <v>39519</v>
      </c>
      <c r="L63" s="137">
        <f t="shared" si="103"/>
        <v>7643</v>
      </c>
      <c r="M63" s="137">
        <f t="shared" si="104"/>
        <v>52162</v>
      </c>
      <c r="N63" s="137">
        <f t="shared" si="105"/>
        <v>19602</v>
      </c>
      <c r="O63" s="137">
        <f t="shared" si="106"/>
        <v>59210</v>
      </c>
      <c r="P63" s="137">
        <f t="shared" si="107"/>
        <v>27159</v>
      </c>
      <c r="Q63" s="137">
        <f>'2007'!AU63</f>
        <v>28662</v>
      </c>
      <c r="R63" s="137">
        <f t="shared" si="108"/>
        <v>16873</v>
      </c>
      <c r="S63" s="137">
        <f t="shared" si="109"/>
        <v>9242</v>
      </c>
      <c r="T63" s="137">
        <f t="shared" si="110"/>
        <v>13465</v>
      </c>
      <c r="U63" s="139">
        <f t="shared" si="110"/>
        <v>6227</v>
      </c>
      <c r="V63" s="137">
        <f t="shared" si="111"/>
        <v>16336</v>
      </c>
      <c r="W63" s="137">
        <f t="shared" si="112"/>
        <v>16529</v>
      </c>
      <c r="X63" s="137">
        <f t="shared" si="113"/>
        <v>42088</v>
      </c>
      <c r="Y63" s="137">
        <f t="shared" si="114"/>
        <v>39804</v>
      </c>
      <c r="Z63" s="137">
        <f t="shared" si="115"/>
        <v>30183</v>
      </c>
      <c r="AA63" s="137">
        <f t="shared" si="116"/>
        <v>28342</v>
      </c>
      <c r="AB63" s="139">
        <f t="shared" si="117"/>
        <v>21286</v>
      </c>
      <c r="AC63" s="137">
        <f t="shared" si="118"/>
        <v>17125</v>
      </c>
      <c r="AD63" s="137">
        <f t="shared" si="119"/>
        <v>7670</v>
      </c>
      <c r="AE63" s="137">
        <f t="shared" si="120"/>
        <v>18825</v>
      </c>
      <c r="AF63" s="137">
        <f t="shared" si="121"/>
        <v>8694</v>
      </c>
      <c r="AG63" s="137">
        <f t="shared" si="122"/>
        <v>18154</v>
      </c>
      <c r="AH63" s="137">
        <f t="shared" si="123"/>
        <v>20552</v>
      </c>
      <c r="AI63" s="137">
        <f t="shared" si="124"/>
        <v>16996</v>
      </c>
      <c r="AJ63" s="137">
        <f t="shared" si="125"/>
        <v>13838</v>
      </c>
      <c r="AK63" s="139">
        <f t="shared" si="126"/>
        <v>20216</v>
      </c>
      <c r="AL63" s="137">
        <f t="shared" si="127"/>
        <v>27351</v>
      </c>
      <c r="AM63" s="137">
        <f t="shared" si="128"/>
        <v>26438</v>
      </c>
      <c r="AN63" s="137">
        <f t="shared" si="129"/>
        <v>18899</v>
      </c>
      <c r="AO63" s="137">
        <f t="shared" si="130"/>
        <v>65653</v>
      </c>
      <c r="AP63" s="137">
        <f t="shared" si="130"/>
        <v>10482</v>
      </c>
      <c r="AQ63" s="137">
        <f t="shared" si="131"/>
        <v>40540</v>
      </c>
      <c r="AR63" s="137">
        <f t="shared" si="132"/>
        <v>8379</v>
      </c>
      <c r="AS63" s="138">
        <f t="shared" si="133"/>
        <v>93401</v>
      </c>
      <c r="AT63" s="137">
        <v>1262</v>
      </c>
      <c r="AU63" s="137">
        <v>28662</v>
      </c>
      <c r="AV63" s="137">
        <v>9242</v>
      </c>
      <c r="AW63" s="137">
        <v>19602</v>
      </c>
      <c r="AX63" s="137">
        <v>15611</v>
      </c>
      <c r="AY63" s="137">
        <v>7643</v>
      </c>
      <c r="AZ63" s="137">
        <v>2749</v>
      </c>
      <c r="BA63" s="137">
        <v>24410</v>
      </c>
      <c r="BB63" s="137">
        <v>13465</v>
      </c>
      <c r="BC63" s="137">
        <v>6227</v>
      </c>
      <c r="BD63" s="137">
        <v>52162</v>
      </c>
      <c r="BE63" s="137">
        <v>59210</v>
      </c>
      <c r="BF63" s="139">
        <v>39519</v>
      </c>
      <c r="BG63" s="137">
        <v>2570</v>
      </c>
      <c r="BH63" s="137">
        <v>5709</v>
      </c>
      <c r="BI63" s="137">
        <v>36379</v>
      </c>
      <c r="BJ63" s="137">
        <v>13766</v>
      </c>
      <c r="BK63" s="137">
        <v>4141</v>
      </c>
      <c r="BL63" s="137">
        <v>2955</v>
      </c>
      <c r="BM63" s="137">
        <v>30183</v>
      </c>
      <c r="BN63" s="137">
        <v>32708</v>
      </c>
      <c r="BO63" s="137">
        <v>3500</v>
      </c>
      <c r="BP63" s="137">
        <v>21286</v>
      </c>
      <c r="BQ63" s="137">
        <v>24842</v>
      </c>
      <c r="BR63" s="139">
        <v>16529</v>
      </c>
      <c r="BS63" s="137">
        <v>2001</v>
      </c>
      <c r="BT63" s="137">
        <v>16824</v>
      </c>
      <c r="BU63" s="137">
        <v>7670</v>
      </c>
      <c r="BV63" s="137">
        <v>18154</v>
      </c>
      <c r="BW63" s="137">
        <v>16996</v>
      </c>
      <c r="BX63" s="137">
        <v>17125</v>
      </c>
      <c r="BY63" s="137">
        <v>13838</v>
      </c>
      <c r="BZ63" s="137">
        <v>20552</v>
      </c>
      <c r="CA63" s="137">
        <v>8694</v>
      </c>
      <c r="CB63" s="139">
        <v>20216</v>
      </c>
      <c r="CC63" s="137">
        <v>65653</v>
      </c>
      <c r="CD63" s="137">
        <v>10482</v>
      </c>
      <c r="CE63" s="137">
        <v>27351</v>
      </c>
      <c r="CF63" s="137">
        <v>884</v>
      </c>
      <c r="CG63" s="137">
        <v>92517</v>
      </c>
      <c r="CH63" s="137">
        <v>26438</v>
      </c>
      <c r="CI63" s="137">
        <v>8379</v>
      </c>
      <c r="CJ63" s="137">
        <v>18899</v>
      </c>
      <c r="CK63" s="138">
        <v>40540</v>
      </c>
      <c r="CL63" s="140">
        <v>907545</v>
      </c>
    </row>
    <row r="64" spans="1:90">
      <c r="A64" s="80">
        <f>ROWS($A$3:A62)</f>
        <v>60</v>
      </c>
      <c r="B64" s="59" t="s">
        <v>80</v>
      </c>
      <c r="C64" s="203"/>
      <c r="D64" s="254"/>
      <c r="E64" s="269"/>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v>11660</v>
      </c>
      <c r="AW65" s="493">
        <v>21550</v>
      </c>
      <c r="AX65" s="493">
        <v>184</v>
      </c>
      <c r="AY65" s="493">
        <v>17583</v>
      </c>
      <c r="AZ65" s="493">
        <v>0</v>
      </c>
      <c r="BA65" s="493">
        <v>4301</v>
      </c>
      <c r="BB65" s="493">
        <v>20868</v>
      </c>
      <c r="BC65" s="493">
        <v>72802</v>
      </c>
      <c r="BD65" s="493">
        <v>44936</v>
      </c>
      <c r="BE65" s="493">
        <v>13465</v>
      </c>
      <c r="BF65" s="510">
        <v>64713</v>
      </c>
      <c r="BG65" s="493">
        <v>0</v>
      </c>
      <c r="BH65" s="493">
        <v>0</v>
      </c>
      <c r="BI65" s="493">
        <v>1416</v>
      </c>
      <c r="BJ65" s="493">
        <v>1994</v>
      </c>
      <c r="BK65" s="493">
        <v>0</v>
      </c>
      <c r="BL65" s="493">
        <v>0</v>
      </c>
      <c r="BM65" s="493">
        <v>29776</v>
      </c>
      <c r="BN65" s="493">
        <v>2994</v>
      </c>
      <c r="BO65" s="493">
        <v>0</v>
      </c>
      <c r="BP65" s="493">
        <v>11776</v>
      </c>
      <c r="BQ65" s="493">
        <v>7224</v>
      </c>
      <c r="BR65" s="510">
        <v>16365</v>
      </c>
      <c r="BS65" s="493">
        <v>0</v>
      </c>
      <c r="BT65" s="493">
        <v>25848</v>
      </c>
      <c r="BU65" s="493">
        <v>10282</v>
      </c>
      <c r="BV65" s="493">
        <v>23805</v>
      </c>
      <c r="BW65" s="493">
        <v>31285</v>
      </c>
      <c r="BX65" s="493">
        <v>38054</v>
      </c>
      <c r="BY65" s="493">
        <v>24640</v>
      </c>
      <c r="BZ65" s="493">
        <v>19530</v>
      </c>
      <c r="CA65" s="493">
        <v>14169</v>
      </c>
      <c r="CB65" s="510">
        <v>40181</v>
      </c>
      <c r="CC65" s="493">
        <v>40988</v>
      </c>
      <c r="CD65" s="493">
        <v>10760</v>
      </c>
      <c r="CE65" s="493">
        <v>33810</v>
      </c>
      <c r="CF65" s="493">
        <v>0</v>
      </c>
      <c r="CG65" s="493">
        <v>34239</v>
      </c>
      <c r="CH65" s="493">
        <v>10710</v>
      </c>
      <c r="CI65" s="493">
        <v>8198</v>
      </c>
      <c r="CJ65" s="493">
        <v>52208</v>
      </c>
      <c r="CK65" s="509">
        <v>40571</v>
      </c>
      <c r="CL65" s="511">
        <v>815447</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2007</v>
      </c>
      <c r="D67" s="260" t="s">
        <v>3</v>
      </c>
      <c r="E67" s="483">
        <v>42909</v>
      </c>
      <c r="F67" s="526">
        <f>IF(F65/F35%&gt;100,100,F65/F35%)</f>
        <v>60.085129260167044</v>
      </c>
      <c r="G67" s="523">
        <f t="shared" ref="G67:BR67" si="134">IF(G65/G35%&gt;100,100,G65/G35%)</f>
        <v>35.104634331836806</v>
      </c>
      <c r="H67" s="523">
        <f t="shared" si="134"/>
        <v>69.598347683151133</v>
      </c>
      <c r="I67" s="525">
        <f t="shared" si="134"/>
        <v>53.56888300580389</v>
      </c>
      <c r="J67" s="173"/>
      <c r="K67" s="170">
        <f t="shared" si="134"/>
        <v>97.897221003585315</v>
      </c>
      <c r="L67" s="171">
        <f t="shared" si="134"/>
        <v>67.031375090541729</v>
      </c>
      <c r="M67" s="171">
        <f t="shared" si="134"/>
        <v>64.885782770670289</v>
      </c>
      <c r="N67" s="171">
        <f t="shared" si="134"/>
        <v>75.736276094749414</v>
      </c>
      <c r="O67" s="171">
        <f t="shared" si="134"/>
        <v>51.081183611532623</v>
      </c>
      <c r="P67" s="171">
        <f t="shared" si="134"/>
        <v>12.344771652792836</v>
      </c>
      <c r="Q67" s="171">
        <f t="shared" si="134"/>
        <v>58.64742265353398</v>
      </c>
      <c r="R67" s="171">
        <f t="shared" si="134"/>
        <v>0.52441075042038365</v>
      </c>
      <c r="S67" s="171">
        <f t="shared" si="134"/>
        <v>58.507702343318783</v>
      </c>
      <c r="T67" s="171">
        <f t="shared" si="134"/>
        <v>49.737820573934599</v>
      </c>
      <c r="U67" s="172">
        <f t="shared" si="134"/>
        <v>93.910194393921799</v>
      </c>
      <c r="V67" s="171">
        <f t="shared" si="134"/>
        <v>11.997593261131168</v>
      </c>
      <c r="W67" s="171">
        <f t="shared" si="134"/>
        <v>83.798453581852627</v>
      </c>
      <c r="X67" s="171">
        <f t="shared" si="134"/>
        <v>3.537170263788969</v>
      </c>
      <c r="Y67" s="171">
        <f t="shared" si="134"/>
        <v>6.9501833882724364</v>
      </c>
      <c r="Z67" s="171">
        <f t="shared" si="134"/>
        <v>63.550604003927091</v>
      </c>
      <c r="AA67" s="171">
        <f t="shared" si="134"/>
        <v>35.854675402025016</v>
      </c>
      <c r="AB67" s="172">
        <f t="shared" si="134"/>
        <v>67.122663018695846</v>
      </c>
      <c r="AC67" s="171">
        <f t="shared" si="134"/>
        <v>96.412465163415249</v>
      </c>
      <c r="AD67" s="171">
        <f t="shared" si="134"/>
        <v>44.838864419344993</v>
      </c>
      <c r="AE67" s="171">
        <f t="shared" si="134"/>
        <v>48.462576871156443</v>
      </c>
      <c r="AF67" s="171">
        <f t="shared" si="134"/>
        <v>59.26963942106584</v>
      </c>
      <c r="AG67" s="171">
        <f t="shared" si="134"/>
        <v>40.484005374058263</v>
      </c>
      <c r="AH67" s="171">
        <f t="shared" si="134"/>
        <v>56.595572041265797</v>
      </c>
      <c r="AI67" s="171">
        <f t="shared" si="134"/>
        <v>100</v>
      </c>
      <c r="AJ67" s="171">
        <f t="shared" si="134"/>
        <v>100</v>
      </c>
      <c r="AK67" s="172">
        <f t="shared" si="134"/>
        <v>100</v>
      </c>
      <c r="AL67" s="171">
        <f t="shared" si="134"/>
        <v>99.123398516520567</v>
      </c>
      <c r="AM67" s="171">
        <f t="shared" si="134"/>
        <v>13.804748524142196</v>
      </c>
      <c r="AN67" s="171">
        <f t="shared" si="134"/>
        <v>59.473252528934658</v>
      </c>
      <c r="AO67" s="171">
        <f t="shared" si="134"/>
        <v>94.555688843775954</v>
      </c>
      <c r="AP67" s="171">
        <f t="shared" si="134"/>
        <v>54.157439098047107</v>
      </c>
      <c r="AQ67" s="171">
        <f t="shared" si="134"/>
        <v>73.52349540602745</v>
      </c>
      <c r="AR67" s="171">
        <f t="shared" si="134"/>
        <v>24.069996183094045</v>
      </c>
      <c r="AS67" s="174">
        <f t="shared" si="134"/>
        <v>42.695746511540911</v>
      </c>
      <c r="AT67" s="523">
        <f t="shared" si="134"/>
        <v>0</v>
      </c>
      <c r="AU67" s="523">
        <f t="shared" si="134"/>
        <v>52.329701479316149</v>
      </c>
      <c r="AV67" s="523">
        <f t="shared" si="134"/>
        <v>58.507702343318783</v>
      </c>
      <c r="AW67" s="523">
        <f t="shared" si="134"/>
        <v>75.736276094749414</v>
      </c>
      <c r="AX67" s="523">
        <f t="shared" si="134"/>
        <v>0.56537102473498235</v>
      </c>
      <c r="AY67" s="523">
        <f t="shared" si="134"/>
        <v>67.031375090541729</v>
      </c>
      <c r="AZ67" s="523">
        <f t="shared" si="134"/>
        <v>0</v>
      </c>
      <c r="BA67" s="523">
        <f t="shared" si="134"/>
        <v>7.8482537133681252</v>
      </c>
      <c r="BB67" s="523">
        <f t="shared" si="134"/>
        <v>49.737820573934599</v>
      </c>
      <c r="BC67" s="523">
        <f t="shared" si="134"/>
        <v>93.910194393921799</v>
      </c>
      <c r="BD67" s="523">
        <f t="shared" si="134"/>
        <v>64.885782770670289</v>
      </c>
      <c r="BE67" s="523">
        <f t="shared" si="134"/>
        <v>51.081183611532623</v>
      </c>
      <c r="BF67" s="524">
        <f t="shared" si="134"/>
        <v>97.897221003585315</v>
      </c>
      <c r="BG67" s="523">
        <f t="shared" si="134"/>
        <v>0</v>
      </c>
      <c r="BH67" s="523">
        <f t="shared" si="134"/>
        <v>0</v>
      </c>
      <c r="BI67" s="523">
        <f t="shared" si="134"/>
        <v>3.7863999786079097</v>
      </c>
      <c r="BJ67" s="523">
        <f t="shared" si="134"/>
        <v>13.405042016806723</v>
      </c>
      <c r="BK67" s="523">
        <f t="shared" si="134"/>
        <v>0</v>
      </c>
      <c r="BL67" s="523">
        <f t="shared" si="134"/>
        <v>0</v>
      </c>
      <c r="BM67" s="523">
        <f t="shared" si="134"/>
        <v>63.550604003927091</v>
      </c>
      <c r="BN67" s="523">
        <f t="shared" si="134"/>
        <v>7.7798565637667609</v>
      </c>
      <c r="BO67" s="523">
        <f t="shared" si="134"/>
        <v>0</v>
      </c>
      <c r="BP67" s="523">
        <f t="shared" si="134"/>
        <v>67.122663018695846</v>
      </c>
      <c r="BQ67" s="523">
        <f t="shared" si="134"/>
        <v>37.709453463485936</v>
      </c>
      <c r="BR67" s="524">
        <f t="shared" si="134"/>
        <v>83.798453581852627</v>
      </c>
      <c r="BS67" s="523">
        <f t="shared" ref="BS67:CL67" si="135">IF(BS65/BS35%&gt;100,100,BS65/BS35%)</f>
        <v>0</v>
      </c>
      <c r="BT67" s="523">
        <f t="shared" si="135"/>
        <v>51.934900542495484</v>
      </c>
      <c r="BU67" s="523">
        <f t="shared" si="135"/>
        <v>44.838864419344993</v>
      </c>
      <c r="BV67" s="523">
        <f t="shared" si="135"/>
        <v>40.484005374058263</v>
      </c>
      <c r="BW67" s="523">
        <f t="shared" si="135"/>
        <v>100</v>
      </c>
      <c r="BX67" s="523">
        <f t="shared" si="135"/>
        <v>96.412465163415249</v>
      </c>
      <c r="BY67" s="523">
        <f t="shared" si="135"/>
        <v>100</v>
      </c>
      <c r="BZ67" s="523">
        <f t="shared" si="135"/>
        <v>56.595572041265797</v>
      </c>
      <c r="CA67" s="523">
        <f t="shared" si="135"/>
        <v>59.26963942106584</v>
      </c>
      <c r="CB67" s="524">
        <f t="shared" si="135"/>
        <v>100</v>
      </c>
      <c r="CC67" s="523">
        <f t="shared" si="135"/>
        <v>94.555688843775954</v>
      </c>
      <c r="CD67" s="523">
        <f t="shared" si="135"/>
        <v>54.157439098047107</v>
      </c>
      <c r="CE67" s="523">
        <f t="shared" si="135"/>
        <v>99.123398516520567</v>
      </c>
      <c r="CF67" s="523">
        <f t="shared" si="135"/>
        <v>0</v>
      </c>
      <c r="CG67" s="523">
        <f t="shared" si="135"/>
        <v>45.401986394918652</v>
      </c>
      <c r="CH67" s="523">
        <f t="shared" si="135"/>
        <v>13.804748524142196</v>
      </c>
      <c r="CI67" s="523">
        <f t="shared" si="135"/>
        <v>24.069996183094045</v>
      </c>
      <c r="CJ67" s="523">
        <f t="shared" si="135"/>
        <v>59.473252528934658</v>
      </c>
      <c r="CK67" s="525">
        <f t="shared" si="135"/>
        <v>73.52349540602745</v>
      </c>
      <c r="CL67" s="478">
        <f t="shared" si="135"/>
        <v>56.798580744203804</v>
      </c>
    </row>
    <row r="68" spans="1:90">
      <c r="A68" s="80">
        <f>ROWS($A$3:A66)</f>
        <v>64</v>
      </c>
      <c r="B68" s="59" t="s">
        <v>81</v>
      </c>
      <c r="C68" s="203"/>
      <c r="D68" s="254"/>
      <c r="E68" s="269"/>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82</v>
      </c>
      <c r="C69" s="202">
        <v>2007</v>
      </c>
      <c r="D69" s="254" t="s">
        <v>13</v>
      </c>
      <c r="E69" s="269"/>
      <c r="F69" s="116">
        <v>756</v>
      </c>
      <c r="G69" s="137">
        <v>221</v>
      </c>
      <c r="H69" s="137">
        <v>1049</v>
      </c>
      <c r="I69" s="138">
        <v>870</v>
      </c>
      <c r="J69" s="141"/>
      <c r="K69" s="116">
        <f>BF69</f>
        <v>91</v>
      </c>
      <c r="L69" s="137">
        <f>AY69</f>
        <v>119</v>
      </c>
      <c r="M69" s="137">
        <f>BD69</f>
        <v>104</v>
      </c>
      <c r="N69" s="137">
        <f>AW69</f>
        <v>40</v>
      </c>
      <c r="O69" s="137">
        <f>BE69</f>
        <v>40</v>
      </c>
      <c r="P69" s="137">
        <f>'2007'!AZ69+'2007'!BA69</f>
        <v>60</v>
      </c>
      <c r="Q69" s="137">
        <f>'2007'!AU69</f>
        <v>26</v>
      </c>
      <c r="R69" s="137">
        <f>AT69+AX69</f>
        <v>52</v>
      </c>
      <c r="S69" s="137">
        <f>AV69</f>
        <v>40</v>
      </c>
      <c r="T69" s="137">
        <f t="shared" ref="T69:U71" si="136">BB69</f>
        <v>64</v>
      </c>
      <c r="U69" s="139">
        <f t="shared" si="136"/>
        <v>120</v>
      </c>
      <c r="V69" s="137">
        <f>BG69+BJ69</f>
        <v>18</v>
      </c>
      <c r="W69" s="137">
        <f>BR69</f>
        <v>35</v>
      </c>
      <c r="X69" s="137">
        <f>BH69+BI69</f>
        <v>38</v>
      </c>
      <c r="Y69" s="137">
        <f>BK69+BL69+BN69</f>
        <v>35</v>
      </c>
      <c r="Z69" s="137">
        <f>BM69</f>
        <v>35</v>
      </c>
      <c r="AA69" s="137">
        <f>BO69+BQ69</f>
        <v>35</v>
      </c>
      <c r="AB69" s="139">
        <f>BP69</f>
        <v>25</v>
      </c>
      <c r="AC69" s="137">
        <f>BX69</f>
        <v>98</v>
      </c>
      <c r="AD69" s="137">
        <f>BU69</f>
        <v>77</v>
      </c>
      <c r="AE69" s="137">
        <f>BS69+BT69</f>
        <v>261</v>
      </c>
      <c r="AF69" s="137">
        <f>CA69</f>
        <v>101</v>
      </c>
      <c r="AG69" s="137">
        <f>BV69</f>
        <v>137</v>
      </c>
      <c r="AH69" s="137">
        <f>BZ69</f>
        <v>98</v>
      </c>
      <c r="AI69" s="137">
        <f>BW69</f>
        <v>46</v>
      </c>
      <c r="AJ69" s="137">
        <f>BY69</f>
        <v>40</v>
      </c>
      <c r="AK69" s="139">
        <f>CB69</f>
        <v>191</v>
      </c>
      <c r="AL69" s="137">
        <f>CE69</f>
        <v>55</v>
      </c>
      <c r="AM69" s="137">
        <f>CH69</f>
        <v>60</v>
      </c>
      <c r="AN69" s="137">
        <f>CJ69</f>
        <v>325</v>
      </c>
      <c r="AO69" s="137">
        <f t="shared" ref="AO69:AP71" si="137">CC69</f>
        <v>66</v>
      </c>
      <c r="AP69" s="137">
        <f t="shared" si="137"/>
        <v>40</v>
      </c>
      <c r="AQ69" s="137">
        <f>CK69</f>
        <v>77</v>
      </c>
      <c r="AR69" s="137">
        <f>CI69</f>
        <v>178</v>
      </c>
      <c r="AS69" s="138">
        <f>CF69+CG69</f>
        <v>69</v>
      </c>
      <c r="AT69" s="137">
        <v>7</v>
      </c>
      <c r="AU69" s="137">
        <v>26</v>
      </c>
      <c r="AV69" s="137">
        <v>40</v>
      </c>
      <c r="AW69" s="141">
        <v>40</v>
      </c>
      <c r="AX69" s="137">
        <v>45</v>
      </c>
      <c r="AY69" s="137">
        <v>119</v>
      </c>
      <c r="AZ69" s="137">
        <v>7</v>
      </c>
      <c r="BA69" s="137">
        <v>53</v>
      </c>
      <c r="BB69" s="137">
        <v>64</v>
      </c>
      <c r="BC69" s="137">
        <v>120</v>
      </c>
      <c r="BD69" s="137">
        <v>104</v>
      </c>
      <c r="BE69" s="137">
        <v>40</v>
      </c>
      <c r="BF69" s="139">
        <v>91</v>
      </c>
      <c r="BG69" s="137">
        <v>4</v>
      </c>
      <c r="BH69" s="137">
        <v>6</v>
      </c>
      <c r="BI69" s="137">
        <v>32</v>
      </c>
      <c r="BJ69" s="137">
        <v>14</v>
      </c>
      <c r="BK69" s="137">
        <v>3</v>
      </c>
      <c r="BL69" s="137">
        <v>0</v>
      </c>
      <c r="BM69" s="137">
        <v>35</v>
      </c>
      <c r="BN69" s="137">
        <v>32</v>
      </c>
      <c r="BO69" s="137">
        <v>2</v>
      </c>
      <c r="BP69" s="137">
        <v>25</v>
      </c>
      <c r="BQ69" s="137">
        <v>33</v>
      </c>
      <c r="BR69" s="139">
        <v>35</v>
      </c>
      <c r="BS69" s="137">
        <v>15</v>
      </c>
      <c r="BT69" s="137">
        <v>246</v>
      </c>
      <c r="BU69" s="137">
        <v>77</v>
      </c>
      <c r="BV69" s="137">
        <v>137</v>
      </c>
      <c r="BW69" s="137">
        <v>46</v>
      </c>
      <c r="BX69" s="137">
        <v>98</v>
      </c>
      <c r="BY69" s="137">
        <v>40</v>
      </c>
      <c r="BZ69" s="137">
        <v>98</v>
      </c>
      <c r="CA69" s="137">
        <v>101</v>
      </c>
      <c r="CB69" s="139">
        <v>191</v>
      </c>
      <c r="CC69" s="137">
        <v>66</v>
      </c>
      <c r="CD69" s="137">
        <v>40</v>
      </c>
      <c r="CE69" s="137">
        <v>55</v>
      </c>
      <c r="CF69" s="137">
        <v>1</v>
      </c>
      <c r="CG69" s="137">
        <v>68</v>
      </c>
      <c r="CH69" s="137">
        <v>60</v>
      </c>
      <c r="CI69" s="137">
        <v>178</v>
      </c>
      <c r="CJ69" s="137">
        <v>325</v>
      </c>
      <c r="CK69" s="138">
        <v>77</v>
      </c>
      <c r="CL69" s="140">
        <v>2896</v>
      </c>
    </row>
    <row r="70" spans="1:90">
      <c r="A70" s="80">
        <f>ROWS($A$3:A68)</f>
        <v>66</v>
      </c>
      <c r="B70" s="92" t="s">
        <v>70</v>
      </c>
      <c r="C70" s="203"/>
      <c r="D70" s="254" t="s">
        <v>1</v>
      </c>
      <c r="E70" s="269"/>
      <c r="F70" s="116">
        <v>24805</v>
      </c>
      <c r="G70" s="137">
        <v>8359</v>
      </c>
      <c r="H70" s="137">
        <v>31034</v>
      </c>
      <c r="I70" s="138">
        <v>30108</v>
      </c>
      <c r="J70" s="141"/>
      <c r="K70" s="116">
        <f>BF70</f>
        <v>2642</v>
      </c>
      <c r="L70" s="137">
        <f>AY70</f>
        <v>3591</v>
      </c>
      <c r="M70" s="137">
        <f>BD70</f>
        <v>3673</v>
      </c>
      <c r="N70" s="137">
        <f>AW70</f>
        <v>1503</v>
      </c>
      <c r="O70" s="137">
        <f>BE70</f>
        <v>2148</v>
      </c>
      <c r="P70" s="137">
        <f>'2007'!AZ70+'2007'!BA70</f>
        <v>1599</v>
      </c>
      <c r="Q70" s="137">
        <f>'2007'!AU70</f>
        <v>1022</v>
      </c>
      <c r="R70" s="137">
        <f>AT70+AX70</f>
        <v>1365</v>
      </c>
      <c r="S70" s="137">
        <f>AV70</f>
        <v>1181</v>
      </c>
      <c r="T70" s="137">
        <f t="shared" si="136"/>
        <v>2074</v>
      </c>
      <c r="U70" s="139">
        <f t="shared" si="136"/>
        <v>4007</v>
      </c>
      <c r="V70" s="137">
        <f>BG70+BJ70</f>
        <v>559</v>
      </c>
      <c r="W70" s="137">
        <f>BR70</f>
        <v>1270</v>
      </c>
      <c r="X70" s="137">
        <f>BH70+BI70</f>
        <v>1145</v>
      </c>
      <c r="Y70" s="137">
        <f>BL70+BN70</f>
        <v>1278</v>
      </c>
      <c r="Z70" s="137">
        <f>BM70</f>
        <v>1872</v>
      </c>
      <c r="AA70" s="137">
        <f>BQ70</f>
        <v>1486</v>
      </c>
      <c r="AB70" s="139">
        <f>BP70</f>
        <v>749</v>
      </c>
      <c r="AC70" s="137">
        <f>BX70</f>
        <v>3007</v>
      </c>
      <c r="AD70" s="137">
        <f>BU70</f>
        <v>1334</v>
      </c>
      <c r="AE70" s="137">
        <f>BS70+BT70</f>
        <v>5979</v>
      </c>
      <c r="AF70" s="137">
        <f>CA70</f>
        <v>2677</v>
      </c>
      <c r="AG70" s="137">
        <f>BV70</f>
        <v>2883</v>
      </c>
      <c r="AH70" s="137">
        <f>BZ70</f>
        <v>4133</v>
      </c>
      <c r="AI70" s="137">
        <f>BW70</f>
        <v>1627</v>
      </c>
      <c r="AJ70" s="137">
        <f>BY70</f>
        <v>2784</v>
      </c>
      <c r="AK70" s="139">
        <f>CB70</f>
        <v>6610</v>
      </c>
      <c r="AL70" s="137">
        <f>CE70</f>
        <v>3211</v>
      </c>
      <c r="AM70" s="137">
        <f>CH70</f>
        <v>2501</v>
      </c>
      <c r="AN70" s="137">
        <f>CJ70</f>
        <v>9892</v>
      </c>
      <c r="AO70" s="137">
        <f t="shared" si="137"/>
        <v>2429</v>
      </c>
      <c r="AP70" s="137">
        <f t="shared" si="137"/>
        <v>2971</v>
      </c>
      <c r="AQ70" s="137">
        <f>CK70</f>
        <v>3153</v>
      </c>
      <c r="AR70" s="137">
        <f>CI70</f>
        <v>3609</v>
      </c>
      <c r="AS70" s="138">
        <f>CG70</f>
        <v>2342</v>
      </c>
      <c r="AT70" s="137">
        <v>266</v>
      </c>
      <c r="AU70" s="141">
        <v>1022</v>
      </c>
      <c r="AV70" s="141">
        <v>1181</v>
      </c>
      <c r="AW70" s="141">
        <v>1503</v>
      </c>
      <c r="AX70" s="141">
        <v>1099</v>
      </c>
      <c r="AY70" s="137">
        <v>3591</v>
      </c>
      <c r="AZ70" s="137">
        <v>87</v>
      </c>
      <c r="BA70" s="137">
        <v>1512</v>
      </c>
      <c r="BB70" s="137">
        <v>2074</v>
      </c>
      <c r="BC70" s="137">
        <v>4007</v>
      </c>
      <c r="BD70" s="137">
        <v>3673</v>
      </c>
      <c r="BE70" s="137">
        <v>2148</v>
      </c>
      <c r="BF70" s="139">
        <v>2642</v>
      </c>
      <c r="BG70" s="137">
        <v>217</v>
      </c>
      <c r="BH70" s="137">
        <v>147</v>
      </c>
      <c r="BI70" s="137">
        <v>998</v>
      </c>
      <c r="BJ70" s="137">
        <v>342</v>
      </c>
      <c r="BK70" s="137" t="s">
        <v>233</v>
      </c>
      <c r="BL70" s="137">
        <v>0</v>
      </c>
      <c r="BM70" s="137">
        <v>1872</v>
      </c>
      <c r="BN70" s="137">
        <v>1278</v>
      </c>
      <c r="BO70" s="137" t="s">
        <v>233</v>
      </c>
      <c r="BP70" s="137">
        <v>749</v>
      </c>
      <c r="BQ70" s="137">
        <v>1486</v>
      </c>
      <c r="BR70" s="139">
        <v>1270</v>
      </c>
      <c r="BS70" s="137">
        <v>215</v>
      </c>
      <c r="BT70" s="137">
        <v>5764</v>
      </c>
      <c r="BU70" s="137">
        <v>1334</v>
      </c>
      <c r="BV70" s="137">
        <v>2883</v>
      </c>
      <c r="BW70" s="137">
        <v>1627</v>
      </c>
      <c r="BX70" s="137">
        <v>3007</v>
      </c>
      <c r="BY70" s="137">
        <v>2784</v>
      </c>
      <c r="BZ70" s="137">
        <v>4133</v>
      </c>
      <c r="CA70" s="137">
        <v>2677</v>
      </c>
      <c r="CB70" s="139">
        <v>6610</v>
      </c>
      <c r="CC70" s="137">
        <v>2429</v>
      </c>
      <c r="CD70" s="137">
        <v>2971</v>
      </c>
      <c r="CE70" s="137">
        <v>3211</v>
      </c>
      <c r="CF70" s="137" t="s">
        <v>233</v>
      </c>
      <c r="CG70" s="137">
        <v>2342</v>
      </c>
      <c r="CH70" s="137">
        <v>2501</v>
      </c>
      <c r="CI70" s="137">
        <v>3609</v>
      </c>
      <c r="CJ70" s="137">
        <v>9892</v>
      </c>
      <c r="CK70" s="138">
        <v>3153</v>
      </c>
      <c r="CL70" s="140">
        <v>94593</v>
      </c>
    </row>
    <row r="71" spans="1:90">
      <c r="A71" s="80">
        <f>ROWS($A$3:A69)</f>
        <v>67</v>
      </c>
      <c r="B71" s="54" t="s">
        <v>67</v>
      </c>
      <c r="C71" s="252"/>
      <c r="D71" s="254" t="s">
        <v>1</v>
      </c>
      <c r="E71" s="269"/>
      <c r="F71" s="167">
        <f>IF(OR(F69&lt;0.1,F70&lt;0.1),0,F70/F69)</f>
        <v>32.810846560846564</v>
      </c>
      <c r="G71" s="168">
        <f>IF(OR(G69&lt;0.1,G70&lt;0.1),0,G70/G69)</f>
        <v>37.823529411764703</v>
      </c>
      <c r="H71" s="168">
        <f>IF(OR(H69&lt;0.1,H70&lt;0.1),0,H70/H69)</f>
        <v>29.584366062917063</v>
      </c>
      <c r="I71" s="169">
        <f>IF(OR(I69&lt;0.1,I70&lt;0.1),0,I70/I69)</f>
        <v>34.606896551724141</v>
      </c>
      <c r="J71" s="173"/>
      <c r="K71" s="178">
        <f>BF71</f>
        <v>29.032967032967033</v>
      </c>
      <c r="L71" s="179">
        <f>AY71</f>
        <v>30.176470588235293</v>
      </c>
      <c r="M71" s="179">
        <f>BD71</f>
        <v>35.317307692307693</v>
      </c>
      <c r="N71" s="179">
        <f>AW71</f>
        <v>37.575000000000003</v>
      </c>
      <c r="O71" s="179">
        <f>BE71</f>
        <v>53.7</v>
      </c>
      <c r="P71" s="168">
        <f>IF(OR(P69&lt;0.1,P70&lt;0.1),0,P70/P69)</f>
        <v>26.65</v>
      </c>
      <c r="Q71" s="179">
        <f>'2007'!AU71</f>
        <v>39.307692307692307</v>
      </c>
      <c r="R71" s="168">
        <f>IF(OR(R69&lt;0.1,R70&lt;0.1),0,R70/R69)</f>
        <v>26.25</v>
      </c>
      <c r="S71" s="179">
        <f>AV71</f>
        <v>29.524999999999999</v>
      </c>
      <c r="T71" s="179">
        <f t="shared" si="136"/>
        <v>32.40625</v>
      </c>
      <c r="U71" s="180">
        <f t="shared" si="136"/>
        <v>33.391666666666666</v>
      </c>
      <c r="V71" s="168">
        <f>IF(OR(V69&lt;0.1,V70&lt;0.1),0,V70/V69)</f>
        <v>31.055555555555557</v>
      </c>
      <c r="W71" s="179">
        <f>BR71</f>
        <v>36.285714285714285</v>
      </c>
      <c r="X71" s="168">
        <f>IF(OR(X69&lt;0.1,X70&lt;0.1),0,X70/X69)</f>
        <v>30.131578947368421</v>
      </c>
      <c r="Y71" s="168">
        <f>IF(OR(Y69&lt;0.1,Y70&lt;0.1),0,Y70/Y69)</f>
        <v>36.514285714285712</v>
      </c>
      <c r="Z71" s="179">
        <f>BM71</f>
        <v>53.485714285714288</v>
      </c>
      <c r="AA71" s="168">
        <f>IF(OR(AA69&lt;0.1,AA70&lt;0.1),0,AA70/AA69)</f>
        <v>42.457142857142856</v>
      </c>
      <c r="AB71" s="180">
        <f>BP71</f>
        <v>29.96</v>
      </c>
      <c r="AC71" s="179">
        <f>BX71</f>
        <v>30.683673469387756</v>
      </c>
      <c r="AD71" s="179">
        <f>BU71</f>
        <v>17.324675324675326</v>
      </c>
      <c r="AE71" s="168">
        <f>IF(OR(AE69&lt;0.1,AE70&lt;0.1),0,AE70/AE69)</f>
        <v>22.908045977011493</v>
      </c>
      <c r="AF71" s="179">
        <f>CA71</f>
        <v>26.504950495049506</v>
      </c>
      <c r="AG71" s="179">
        <f>BV71</f>
        <v>21.043795620437955</v>
      </c>
      <c r="AH71" s="179">
        <f>BZ71</f>
        <v>42.173469387755105</v>
      </c>
      <c r="AI71" s="179">
        <f>BW71</f>
        <v>35.369565217391305</v>
      </c>
      <c r="AJ71" s="179">
        <f>BY71</f>
        <v>69.599999999999994</v>
      </c>
      <c r="AK71" s="180">
        <f>CB71</f>
        <v>34.607329842931939</v>
      </c>
      <c r="AL71" s="179">
        <f>CE71</f>
        <v>58.381818181818183</v>
      </c>
      <c r="AM71" s="179">
        <f>CH71</f>
        <v>41.68333333333333</v>
      </c>
      <c r="AN71" s="179">
        <f>CJ71</f>
        <v>30.436923076923076</v>
      </c>
      <c r="AO71" s="179">
        <f t="shared" si="137"/>
        <v>36.803030303030305</v>
      </c>
      <c r="AP71" s="179">
        <f t="shared" si="137"/>
        <v>74.275000000000006</v>
      </c>
      <c r="AQ71" s="179">
        <f>CK71</f>
        <v>40.948051948051948</v>
      </c>
      <c r="AR71" s="179">
        <f>CI71</f>
        <v>20.275280898876403</v>
      </c>
      <c r="AS71" s="169">
        <f t="shared" ref="AS71:BJ71" si="138">IF(OR(AS69&lt;0.1,AS70&lt;0.1),0,AS70/AS69)</f>
        <v>33.94202898550725</v>
      </c>
      <c r="AT71" s="168">
        <f t="shared" si="138"/>
        <v>38</v>
      </c>
      <c r="AU71" s="168">
        <f t="shared" si="138"/>
        <v>39.307692307692307</v>
      </c>
      <c r="AV71" s="168">
        <f t="shared" si="138"/>
        <v>29.524999999999999</v>
      </c>
      <c r="AW71" s="168">
        <f t="shared" si="138"/>
        <v>37.575000000000003</v>
      </c>
      <c r="AX71" s="168">
        <f t="shared" si="138"/>
        <v>24.422222222222221</v>
      </c>
      <c r="AY71" s="168">
        <f t="shared" si="138"/>
        <v>30.176470588235293</v>
      </c>
      <c r="AZ71" s="168">
        <f t="shared" si="138"/>
        <v>12.428571428571429</v>
      </c>
      <c r="BA71" s="168">
        <f t="shared" si="138"/>
        <v>28.528301886792452</v>
      </c>
      <c r="BB71" s="168">
        <f t="shared" si="138"/>
        <v>32.40625</v>
      </c>
      <c r="BC71" s="168">
        <f t="shared" si="138"/>
        <v>33.391666666666666</v>
      </c>
      <c r="BD71" s="168">
        <f t="shared" si="138"/>
        <v>35.317307692307693</v>
      </c>
      <c r="BE71" s="168">
        <f t="shared" si="138"/>
        <v>53.7</v>
      </c>
      <c r="BF71" s="176">
        <f t="shared" si="138"/>
        <v>29.032967032967033</v>
      </c>
      <c r="BG71" s="168">
        <f t="shared" si="138"/>
        <v>54.25</v>
      </c>
      <c r="BH71" s="168">
        <f t="shared" si="138"/>
        <v>24.5</v>
      </c>
      <c r="BI71" s="168">
        <f t="shared" si="138"/>
        <v>31.1875</v>
      </c>
      <c r="BJ71" s="168">
        <f t="shared" si="138"/>
        <v>24.428571428571427</v>
      </c>
      <c r="BK71" s="168">
        <v>0</v>
      </c>
      <c r="BL71" s="168">
        <f>IF(OR(BL69&lt;0.1,BL70&lt;0.1),0,BL70/BL69)</f>
        <v>0</v>
      </c>
      <c r="BM71" s="168">
        <f>IF(OR(BM69&lt;0.1,BM70&lt;0.1),0,BM70/BM69)</f>
        <v>53.485714285714288</v>
      </c>
      <c r="BN71" s="168">
        <f>IF(OR(BN69&lt;0.1,BN70&lt;0.1),0,BN70/BN69)</f>
        <v>39.9375</v>
      </c>
      <c r="BO71" s="168">
        <v>0</v>
      </c>
      <c r="BP71" s="168">
        <f t="shared" ref="BP71:CE71" si="139">IF(OR(BP69&lt;0.1,BP70&lt;0.1),0,BP70/BP69)</f>
        <v>29.96</v>
      </c>
      <c r="BQ71" s="168">
        <f t="shared" si="139"/>
        <v>45.030303030303031</v>
      </c>
      <c r="BR71" s="176">
        <f t="shared" si="139"/>
        <v>36.285714285714285</v>
      </c>
      <c r="BS71" s="168">
        <f t="shared" si="139"/>
        <v>14.333333333333334</v>
      </c>
      <c r="BT71" s="168">
        <f t="shared" si="139"/>
        <v>23.430894308943088</v>
      </c>
      <c r="BU71" s="168">
        <f t="shared" si="139"/>
        <v>17.324675324675326</v>
      </c>
      <c r="BV71" s="168">
        <f t="shared" si="139"/>
        <v>21.043795620437955</v>
      </c>
      <c r="BW71" s="168">
        <f t="shared" si="139"/>
        <v>35.369565217391305</v>
      </c>
      <c r="BX71" s="168">
        <f t="shared" si="139"/>
        <v>30.683673469387756</v>
      </c>
      <c r="BY71" s="168">
        <f t="shared" si="139"/>
        <v>69.599999999999994</v>
      </c>
      <c r="BZ71" s="168">
        <f t="shared" si="139"/>
        <v>42.173469387755105</v>
      </c>
      <c r="CA71" s="168">
        <f t="shared" si="139"/>
        <v>26.504950495049506</v>
      </c>
      <c r="CB71" s="176">
        <f t="shared" si="139"/>
        <v>34.607329842931939</v>
      </c>
      <c r="CC71" s="168">
        <f t="shared" si="139"/>
        <v>36.803030303030305</v>
      </c>
      <c r="CD71" s="168">
        <f t="shared" si="139"/>
        <v>74.275000000000006</v>
      </c>
      <c r="CE71" s="168">
        <f t="shared" si="139"/>
        <v>58.381818181818183</v>
      </c>
      <c r="CF71" s="168">
        <v>0</v>
      </c>
      <c r="CG71" s="168">
        <f t="shared" ref="CG71:CL71" si="140">IF(OR(CG69&lt;0.1,CG70&lt;0.1),0,CG70/CG69)</f>
        <v>34.441176470588232</v>
      </c>
      <c r="CH71" s="168">
        <f t="shared" si="140"/>
        <v>41.68333333333333</v>
      </c>
      <c r="CI71" s="168">
        <f t="shared" si="140"/>
        <v>20.275280898876403</v>
      </c>
      <c r="CJ71" s="168">
        <f t="shared" si="140"/>
        <v>30.436923076923076</v>
      </c>
      <c r="CK71" s="169">
        <f t="shared" si="140"/>
        <v>40.948051948051948</v>
      </c>
      <c r="CL71" s="177">
        <f t="shared" si="140"/>
        <v>32.663328729281766</v>
      </c>
    </row>
    <row r="72" spans="1:90">
      <c r="A72" s="80">
        <f>ROWS($A$3:A70)</f>
        <v>68</v>
      </c>
      <c r="B72" s="59" t="s">
        <v>83</v>
      </c>
      <c r="C72" s="203"/>
      <c r="D72" s="254"/>
      <c r="E72" s="269"/>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202">
        <v>2007</v>
      </c>
      <c r="D73" s="254" t="s">
        <v>13</v>
      </c>
      <c r="E73" s="269"/>
      <c r="F73" s="116">
        <v>3236</v>
      </c>
      <c r="G73" s="137">
        <v>1923</v>
      </c>
      <c r="H73" s="137">
        <v>1605</v>
      </c>
      <c r="I73" s="138">
        <v>2415</v>
      </c>
      <c r="J73" s="141"/>
      <c r="K73" s="116">
        <f t="shared" ref="K73:K78" si="141">BF73</f>
        <v>258</v>
      </c>
      <c r="L73" s="137">
        <f t="shared" ref="L73:L78" si="142">AY73</f>
        <v>124</v>
      </c>
      <c r="M73" s="137">
        <f t="shared" ref="M73:M78" si="143">BD73</f>
        <v>783</v>
      </c>
      <c r="N73" s="137">
        <f t="shared" ref="N73:N78" si="144">AW73</f>
        <v>78</v>
      </c>
      <c r="O73" s="137">
        <f t="shared" ref="O73:O78" si="145">BE73</f>
        <v>164</v>
      </c>
      <c r="P73" s="137">
        <f>'2007'!AZ73+'2007'!BA73</f>
        <v>528</v>
      </c>
      <c r="Q73" s="137">
        <f>'2007'!AU73</f>
        <v>343</v>
      </c>
      <c r="R73" s="137">
        <f t="shared" ref="R73:R78" si="146">AT73+AX73</f>
        <v>373</v>
      </c>
      <c r="S73" s="137">
        <f t="shared" ref="S73:S78" si="147">AV73</f>
        <v>189</v>
      </c>
      <c r="T73" s="137">
        <f t="shared" ref="T73:U78" si="148">BB73</f>
        <v>211</v>
      </c>
      <c r="U73" s="139">
        <f t="shared" si="148"/>
        <v>185</v>
      </c>
      <c r="V73" s="137">
        <f t="shared" ref="V73:V78" si="149">BG73+BJ73</f>
        <v>146</v>
      </c>
      <c r="W73" s="137">
        <f t="shared" ref="W73:W78" si="150">BR73</f>
        <v>159</v>
      </c>
      <c r="X73" s="137">
        <f t="shared" ref="X73:X78" si="151">BH73+BI73</f>
        <v>423</v>
      </c>
      <c r="Y73" s="137">
        <f t="shared" ref="Y73:Y78" si="152">BK73+BL73+BN73</f>
        <v>513</v>
      </c>
      <c r="Z73" s="137">
        <f t="shared" ref="Z73:Z78" si="153">BM73</f>
        <v>398</v>
      </c>
      <c r="AA73" s="137">
        <f t="shared" ref="AA73:AA78" si="154">BO73+BQ73</f>
        <v>148</v>
      </c>
      <c r="AB73" s="139">
        <f t="shared" ref="AB73:AB78" si="155">BP73</f>
        <v>136</v>
      </c>
      <c r="AC73" s="137">
        <f t="shared" ref="AC73:AC78" si="156">BX73</f>
        <v>124</v>
      </c>
      <c r="AD73" s="137">
        <f t="shared" ref="AD73:AD78" si="157">BU73</f>
        <v>143</v>
      </c>
      <c r="AE73" s="137">
        <f t="shared" ref="AE73:AE78" si="158">BS73+BT73</f>
        <v>261</v>
      </c>
      <c r="AF73" s="137">
        <f t="shared" ref="AF73:AF78" si="159">CA73</f>
        <v>54</v>
      </c>
      <c r="AG73" s="137">
        <f t="shared" ref="AG73:AG78" si="160">BV73</f>
        <v>438</v>
      </c>
      <c r="AH73" s="137">
        <f t="shared" ref="AH73:AH78" si="161">BZ73</f>
        <v>209</v>
      </c>
      <c r="AI73" s="137">
        <f t="shared" ref="AI73:AI78" si="162">BW73</f>
        <v>192</v>
      </c>
      <c r="AJ73" s="137">
        <f t="shared" ref="AJ73:AJ78" si="163">BY73</f>
        <v>58</v>
      </c>
      <c r="AK73" s="139">
        <f t="shared" ref="AK73:AK78" si="164">CB73</f>
        <v>126</v>
      </c>
      <c r="AL73" s="137">
        <f t="shared" ref="AL73:AL78" si="165">CE73</f>
        <v>213</v>
      </c>
      <c r="AM73" s="137">
        <f t="shared" ref="AM73:AM78" si="166">CH73</f>
        <v>407</v>
      </c>
      <c r="AN73" s="137">
        <f t="shared" ref="AN73:AN78" si="167">CJ73</f>
        <v>132</v>
      </c>
      <c r="AO73" s="137">
        <f t="shared" ref="AO73:AP78" si="168">CC73</f>
        <v>318</v>
      </c>
      <c r="AP73" s="137">
        <f t="shared" si="168"/>
        <v>233</v>
      </c>
      <c r="AQ73" s="137">
        <f t="shared" ref="AQ73:AQ78" si="169">CK73</f>
        <v>351</v>
      </c>
      <c r="AR73" s="137">
        <f t="shared" ref="AR73:AR78" si="170">CI73</f>
        <v>154</v>
      </c>
      <c r="AS73" s="138">
        <f t="shared" ref="AS73:AS78" si="171">CF73+CG73</f>
        <v>607</v>
      </c>
      <c r="AT73" s="137">
        <v>29</v>
      </c>
      <c r="AU73" s="137">
        <v>343</v>
      </c>
      <c r="AV73" s="137">
        <v>189</v>
      </c>
      <c r="AW73" s="141">
        <v>78</v>
      </c>
      <c r="AX73" s="137">
        <v>344</v>
      </c>
      <c r="AY73" s="137">
        <v>124</v>
      </c>
      <c r="AZ73" s="137">
        <v>63</v>
      </c>
      <c r="BA73" s="137">
        <v>465</v>
      </c>
      <c r="BB73" s="137">
        <v>211</v>
      </c>
      <c r="BC73" s="137">
        <v>185</v>
      </c>
      <c r="BD73" s="137">
        <v>783</v>
      </c>
      <c r="BE73" s="137">
        <v>164</v>
      </c>
      <c r="BF73" s="139">
        <v>258</v>
      </c>
      <c r="BG73" s="137">
        <v>5</v>
      </c>
      <c r="BH73" s="137">
        <v>30</v>
      </c>
      <c r="BI73" s="137">
        <v>393</v>
      </c>
      <c r="BJ73" s="137">
        <v>141</v>
      </c>
      <c r="BK73" s="137">
        <v>31</v>
      </c>
      <c r="BL73" s="137">
        <v>48</v>
      </c>
      <c r="BM73" s="137">
        <v>398</v>
      </c>
      <c r="BN73" s="137">
        <v>434</v>
      </c>
      <c r="BO73" s="137">
        <v>4</v>
      </c>
      <c r="BP73" s="137">
        <v>136</v>
      </c>
      <c r="BQ73" s="137">
        <v>144</v>
      </c>
      <c r="BR73" s="139">
        <v>159</v>
      </c>
      <c r="BS73" s="137">
        <v>16</v>
      </c>
      <c r="BT73" s="137">
        <v>245</v>
      </c>
      <c r="BU73" s="137">
        <v>143</v>
      </c>
      <c r="BV73" s="137">
        <v>438</v>
      </c>
      <c r="BW73" s="137">
        <v>192</v>
      </c>
      <c r="BX73" s="137">
        <v>124</v>
      </c>
      <c r="BY73" s="137">
        <v>58</v>
      </c>
      <c r="BZ73" s="137">
        <v>209</v>
      </c>
      <c r="CA73" s="137">
        <v>54</v>
      </c>
      <c r="CB73" s="139">
        <v>126</v>
      </c>
      <c r="CC73" s="137">
        <v>318</v>
      </c>
      <c r="CD73" s="137">
        <v>233</v>
      </c>
      <c r="CE73" s="137">
        <v>213</v>
      </c>
      <c r="CF73" s="137">
        <v>44</v>
      </c>
      <c r="CG73" s="137">
        <v>563</v>
      </c>
      <c r="CH73" s="137">
        <v>407</v>
      </c>
      <c r="CI73" s="137">
        <v>154</v>
      </c>
      <c r="CJ73" s="137">
        <v>132</v>
      </c>
      <c r="CK73" s="138">
        <v>351</v>
      </c>
      <c r="CL73" s="140">
        <v>9179</v>
      </c>
    </row>
    <row r="74" spans="1:90">
      <c r="A74" s="80">
        <f>ROWS($A$3:A72)</f>
        <v>70</v>
      </c>
      <c r="B74" s="92" t="s">
        <v>85</v>
      </c>
      <c r="C74" s="203"/>
      <c r="D74" s="254" t="s">
        <v>13</v>
      </c>
      <c r="E74" s="269"/>
      <c r="F74" s="116">
        <v>598</v>
      </c>
      <c r="G74" s="137">
        <v>342</v>
      </c>
      <c r="H74" s="137">
        <v>417</v>
      </c>
      <c r="I74" s="138">
        <v>243</v>
      </c>
      <c r="J74" s="141"/>
      <c r="K74" s="116">
        <f t="shared" si="141"/>
        <v>55</v>
      </c>
      <c r="L74" s="137">
        <f t="shared" si="142"/>
        <v>96</v>
      </c>
      <c r="M74" s="137">
        <f t="shared" si="143"/>
        <v>15</v>
      </c>
      <c r="N74" s="137">
        <f t="shared" si="144"/>
        <v>39</v>
      </c>
      <c r="O74" s="137">
        <f t="shared" si="145"/>
        <v>14</v>
      </c>
      <c r="P74" s="137">
        <f>'2007'!AZ74+'2007'!BA74</f>
        <v>64</v>
      </c>
      <c r="Q74" s="137">
        <f>'2007'!AU74</f>
        <v>30</v>
      </c>
      <c r="R74" s="137">
        <f t="shared" si="146"/>
        <v>172</v>
      </c>
      <c r="S74" s="137">
        <f t="shared" si="147"/>
        <v>71</v>
      </c>
      <c r="T74" s="137">
        <f t="shared" si="148"/>
        <v>18</v>
      </c>
      <c r="U74" s="139">
        <f t="shared" si="148"/>
        <v>24</v>
      </c>
      <c r="V74" s="137">
        <f t="shared" si="149"/>
        <v>39</v>
      </c>
      <c r="W74" s="137">
        <f t="shared" si="150"/>
        <v>18</v>
      </c>
      <c r="X74" s="137">
        <f t="shared" si="151"/>
        <v>78</v>
      </c>
      <c r="Y74" s="137">
        <f t="shared" si="152"/>
        <v>107</v>
      </c>
      <c r="Z74" s="137">
        <f t="shared" si="153"/>
        <v>24</v>
      </c>
      <c r="AA74" s="137">
        <f t="shared" si="154"/>
        <v>42</v>
      </c>
      <c r="AB74" s="139">
        <f t="shared" si="155"/>
        <v>34</v>
      </c>
      <c r="AC74" s="137">
        <f t="shared" si="156"/>
        <v>18</v>
      </c>
      <c r="AD74" s="137">
        <f t="shared" si="157"/>
        <v>39</v>
      </c>
      <c r="AE74" s="137">
        <f t="shared" si="158"/>
        <v>73</v>
      </c>
      <c r="AF74" s="137">
        <f t="shared" si="159"/>
        <v>35</v>
      </c>
      <c r="AG74" s="137">
        <f t="shared" si="160"/>
        <v>78</v>
      </c>
      <c r="AH74" s="137">
        <f t="shared" si="161"/>
        <v>133</v>
      </c>
      <c r="AI74" s="137">
        <f t="shared" si="162"/>
        <v>14</v>
      </c>
      <c r="AJ74" s="137">
        <f t="shared" si="163"/>
        <v>6</v>
      </c>
      <c r="AK74" s="139">
        <f t="shared" si="164"/>
        <v>21</v>
      </c>
      <c r="AL74" s="137">
        <f t="shared" si="165"/>
        <v>24</v>
      </c>
      <c r="AM74" s="137">
        <f t="shared" si="166"/>
        <v>35</v>
      </c>
      <c r="AN74" s="137">
        <f t="shared" si="167"/>
        <v>32</v>
      </c>
      <c r="AO74" s="137">
        <f t="shared" si="168"/>
        <v>38</v>
      </c>
      <c r="AP74" s="137">
        <f t="shared" si="168"/>
        <v>26</v>
      </c>
      <c r="AQ74" s="137">
        <f t="shared" si="169"/>
        <v>20</v>
      </c>
      <c r="AR74" s="137">
        <f t="shared" si="170"/>
        <v>32</v>
      </c>
      <c r="AS74" s="138">
        <f t="shared" si="171"/>
        <v>36</v>
      </c>
      <c r="AT74" s="141">
        <v>63</v>
      </c>
      <c r="AU74" s="141">
        <v>30</v>
      </c>
      <c r="AV74" s="141">
        <v>71</v>
      </c>
      <c r="AW74" s="141">
        <v>39</v>
      </c>
      <c r="AX74" s="141">
        <v>109</v>
      </c>
      <c r="AY74" s="137">
        <v>96</v>
      </c>
      <c r="AZ74" s="137">
        <v>14</v>
      </c>
      <c r="BA74" s="137">
        <v>50</v>
      </c>
      <c r="BB74" s="137">
        <v>18</v>
      </c>
      <c r="BC74" s="137">
        <v>24</v>
      </c>
      <c r="BD74" s="137">
        <v>15</v>
      </c>
      <c r="BE74" s="137">
        <v>14</v>
      </c>
      <c r="BF74" s="139">
        <v>55</v>
      </c>
      <c r="BG74" s="137">
        <v>12</v>
      </c>
      <c r="BH74" s="137">
        <v>22</v>
      </c>
      <c r="BI74" s="137">
        <v>56</v>
      </c>
      <c r="BJ74" s="137">
        <v>27</v>
      </c>
      <c r="BK74" s="137">
        <v>33</v>
      </c>
      <c r="BL74" s="137">
        <v>18</v>
      </c>
      <c r="BM74" s="137">
        <v>24</v>
      </c>
      <c r="BN74" s="137">
        <v>56</v>
      </c>
      <c r="BO74" s="137">
        <v>13</v>
      </c>
      <c r="BP74" s="137">
        <v>34</v>
      </c>
      <c r="BQ74" s="137">
        <v>29</v>
      </c>
      <c r="BR74" s="139">
        <v>18</v>
      </c>
      <c r="BS74" s="137">
        <v>14</v>
      </c>
      <c r="BT74" s="137">
        <v>59</v>
      </c>
      <c r="BU74" s="137">
        <v>39</v>
      </c>
      <c r="BV74" s="137">
        <v>78</v>
      </c>
      <c r="BW74" s="137">
        <v>14</v>
      </c>
      <c r="BX74" s="137">
        <v>18</v>
      </c>
      <c r="BY74" s="137">
        <v>6</v>
      </c>
      <c r="BZ74" s="137">
        <v>133</v>
      </c>
      <c r="CA74" s="137">
        <v>35</v>
      </c>
      <c r="CB74" s="139">
        <v>21</v>
      </c>
      <c r="CC74" s="137">
        <v>38</v>
      </c>
      <c r="CD74" s="137">
        <v>26</v>
      </c>
      <c r="CE74" s="137">
        <v>24</v>
      </c>
      <c r="CF74" s="137">
        <v>15</v>
      </c>
      <c r="CG74" s="137">
        <v>21</v>
      </c>
      <c r="CH74" s="137">
        <v>35</v>
      </c>
      <c r="CI74" s="137">
        <v>32</v>
      </c>
      <c r="CJ74" s="137">
        <v>32</v>
      </c>
      <c r="CK74" s="138">
        <v>20</v>
      </c>
      <c r="CL74" s="140">
        <v>1600</v>
      </c>
    </row>
    <row r="75" spans="1:90">
      <c r="A75" s="80">
        <f>ROWS($A$3:A73)</f>
        <v>71</v>
      </c>
      <c r="B75" s="92" t="s">
        <v>86</v>
      </c>
      <c r="C75" s="203"/>
      <c r="D75" s="254" t="s">
        <v>13</v>
      </c>
      <c r="E75" s="269"/>
      <c r="F75" s="116">
        <v>4333</v>
      </c>
      <c r="G75" s="137">
        <v>1187</v>
      </c>
      <c r="H75" s="137">
        <v>6063</v>
      </c>
      <c r="I75" s="138">
        <v>1239</v>
      </c>
      <c r="J75" s="141"/>
      <c r="K75" s="116">
        <f t="shared" si="141"/>
        <v>10</v>
      </c>
      <c r="L75" s="137">
        <f t="shared" si="142"/>
        <v>611</v>
      </c>
      <c r="M75" s="137">
        <f t="shared" si="143"/>
        <v>306</v>
      </c>
      <c r="N75" s="137">
        <f t="shared" si="144"/>
        <v>44</v>
      </c>
      <c r="O75" s="137">
        <f t="shared" si="145"/>
        <v>4</v>
      </c>
      <c r="P75" s="137">
        <f>'2007'!AZ75+'2007'!BA75</f>
        <v>1739</v>
      </c>
      <c r="Q75" s="137">
        <f>'2007'!AU75</f>
        <v>51</v>
      </c>
      <c r="R75" s="137">
        <f t="shared" si="146"/>
        <v>994</v>
      </c>
      <c r="S75" s="137">
        <f t="shared" si="147"/>
        <v>115</v>
      </c>
      <c r="T75" s="137">
        <f t="shared" si="148"/>
        <v>444</v>
      </c>
      <c r="U75" s="139">
        <f t="shared" si="148"/>
        <v>15</v>
      </c>
      <c r="V75" s="137">
        <f t="shared" si="149"/>
        <v>554</v>
      </c>
      <c r="W75" s="137">
        <f t="shared" si="150"/>
        <v>5</v>
      </c>
      <c r="X75" s="137">
        <f t="shared" si="151"/>
        <v>237</v>
      </c>
      <c r="Y75" s="137">
        <f t="shared" si="152"/>
        <v>248</v>
      </c>
      <c r="Z75" s="137">
        <f t="shared" si="153"/>
        <v>51</v>
      </c>
      <c r="AA75" s="137">
        <f t="shared" si="154"/>
        <v>87</v>
      </c>
      <c r="AB75" s="139">
        <f t="shared" si="155"/>
        <v>5</v>
      </c>
      <c r="AC75" s="137">
        <f t="shared" si="156"/>
        <v>3</v>
      </c>
      <c r="AD75" s="137">
        <f t="shared" si="157"/>
        <v>930</v>
      </c>
      <c r="AE75" s="137">
        <f t="shared" si="158"/>
        <v>2240</v>
      </c>
      <c r="AF75" s="137">
        <f t="shared" si="159"/>
        <v>335</v>
      </c>
      <c r="AG75" s="137">
        <f t="shared" si="160"/>
        <v>2339</v>
      </c>
      <c r="AH75" s="137">
        <f t="shared" si="161"/>
        <v>144</v>
      </c>
      <c r="AI75" s="137">
        <f t="shared" si="162"/>
        <v>9</v>
      </c>
      <c r="AJ75" s="137">
        <f t="shared" si="163"/>
        <v>3</v>
      </c>
      <c r="AK75" s="139">
        <f t="shared" si="164"/>
        <v>60</v>
      </c>
      <c r="AL75" s="137">
        <f t="shared" si="165"/>
        <v>5</v>
      </c>
      <c r="AM75" s="137">
        <f t="shared" si="166"/>
        <v>9</v>
      </c>
      <c r="AN75" s="137">
        <f t="shared" si="167"/>
        <v>155</v>
      </c>
      <c r="AO75" s="137">
        <f t="shared" si="168"/>
        <v>43</v>
      </c>
      <c r="AP75" s="137">
        <f t="shared" si="168"/>
        <v>25</v>
      </c>
      <c r="AQ75" s="137">
        <f t="shared" si="169"/>
        <v>13</v>
      </c>
      <c r="AR75" s="137">
        <f t="shared" si="170"/>
        <v>968</v>
      </c>
      <c r="AS75" s="138">
        <f t="shared" si="171"/>
        <v>21</v>
      </c>
      <c r="AT75" s="141">
        <v>119</v>
      </c>
      <c r="AU75" s="141">
        <v>51</v>
      </c>
      <c r="AV75" s="141">
        <v>115</v>
      </c>
      <c r="AW75" s="141">
        <v>44</v>
      </c>
      <c r="AX75" s="141">
        <v>875</v>
      </c>
      <c r="AY75" s="137">
        <v>611</v>
      </c>
      <c r="AZ75" s="137">
        <v>115</v>
      </c>
      <c r="BA75" s="137">
        <v>1624</v>
      </c>
      <c r="BB75" s="137">
        <v>444</v>
      </c>
      <c r="BC75" s="137">
        <v>15</v>
      </c>
      <c r="BD75" s="137">
        <v>306</v>
      </c>
      <c r="BE75" s="137">
        <v>4</v>
      </c>
      <c r="BF75" s="139">
        <v>10</v>
      </c>
      <c r="BG75" s="137">
        <v>130</v>
      </c>
      <c r="BH75" s="137">
        <v>6</v>
      </c>
      <c r="BI75" s="137">
        <v>231</v>
      </c>
      <c r="BJ75" s="137">
        <v>424</v>
      </c>
      <c r="BK75" s="137">
        <v>15</v>
      </c>
      <c r="BL75" s="137">
        <v>1</v>
      </c>
      <c r="BM75" s="137">
        <v>51</v>
      </c>
      <c r="BN75" s="137">
        <v>232</v>
      </c>
      <c r="BO75" s="137">
        <v>0</v>
      </c>
      <c r="BP75" s="137">
        <v>5</v>
      </c>
      <c r="BQ75" s="137">
        <v>87</v>
      </c>
      <c r="BR75" s="139">
        <v>5</v>
      </c>
      <c r="BS75" s="137">
        <v>190</v>
      </c>
      <c r="BT75" s="137">
        <v>2050</v>
      </c>
      <c r="BU75" s="137">
        <v>930</v>
      </c>
      <c r="BV75" s="137">
        <v>2339</v>
      </c>
      <c r="BW75" s="137">
        <v>9</v>
      </c>
      <c r="BX75" s="137">
        <v>3</v>
      </c>
      <c r="BY75" s="137">
        <v>3</v>
      </c>
      <c r="BZ75" s="137">
        <v>144</v>
      </c>
      <c r="CA75" s="137">
        <v>335</v>
      </c>
      <c r="CB75" s="139">
        <v>60</v>
      </c>
      <c r="CC75" s="137">
        <v>43</v>
      </c>
      <c r="CD75" s="137">
        <v>25</v>
      </c>
      <c r="CE75" s="137">
        <v>5</v>
      </c>
      <c r="CF75" s="137">
        <v>3</v>
      </c>
      <c r="CG75" s="137">
        <v>18</v>
      </c>
      <c r="CH75" s="137">
        <v>9</v>
      </c>
      <c r="CI75" s="137">
        <v>968</v>
      </c>
      <c r="CJ75" s="137">
        <v>155</v>
      </c>
      <c r="CK75" s="138">
        <v>13</v>
      </c>
      <c r="CL75" s="140">
        <v>12822</v>
      </c>
    </row>
    <row r="76" spans="1:90">
      <c r="A76" s="80">
        <f>ROWS($A$3:A74)</f>
        <v>72</v>
      </c>
      <c r="B76" s="92" t="s">
        <v>87</v>
      </c>
      <c r="C76" s="203"/>
      <c r="D76" s="254" t="s">
        <v>13</v>
      </c>
      <c r="E76" s="269"/>
      <c r="F76" s="116">
        <v>5370</v>
      </c>
      <c r="G76" s="137">
        <v>1872</v>
      </c>
      <c r="H76" s="137">
        <v>7638</v>
      </c>
      <c r="I76" s="138">
        <v>6768</v>
      </c>
      <c r="J76" s="141"/>
      <c r="K76" s="116">
        <f t="shared" si="141"/>
        <v>1438</v>
      </c>
      <c r="L76" s="137">
        <f t="shared" si="142"/>
        <v>584</v>
      </c>
      <c r="M76" s="137">
        <f t="shared" si="143"/>
        <v>220</v>
      </c>
      <c r="N76" s="137">
        <f t="shared" si="144"/>
        <v>573</v>
      </c>
      <c r="O76" s="137">
        <f t="shared" si="145"/>
        <v>270</v>
      </c>
      <c r="P76" s="137">
        <f>'2007'!AZ76+'2007'!BA76</f>
        <v>179</v>
      </c>
      <c r="Q76" s="137">
        <f>'2007'!AU76</f>
        <v>149</v>
      </c>
      <c r="R76" s="137">
        <f t="shared" si="146"/>
        <v>141</v>
      </c>
      <c r="S76" s="137">
        <f t="shared" si="147"/>
        <v>277</v>
      </c>
      <c r="T76" s="137">
        <f t="shared" si="148"/>
        <v>357</v>
      </c>
      <c r="U76" s="139">
        <f t="shared" si="148"/>
        <v>1182</v>
      </c>
      <c r="V76" s="137">
        <f t="shared" si="149"/>
        <v>157</v>
      </c>
      <c r="W76" s="137">
        <f t="shared" si="150"/>
        <v>441</v>
      </c>
      <c r="X76" s="137">
        <f t="shared" si="151"/>
        <v>171</v>
      </c>
      <c r="Y76" s="137">
        <f t="shared" si="152"/>
        <v>258</v>
      </c>
      <c r="Z76" s="137">
        <f t="shared" si="153"/>
        <v>335</v>
      </c>
      <c r="AA76" s="137">
        <f t="shared" si="154"/>
        <v>164</v>
      </c>
      <c r="AB76" s="139">
        <f t="shared" si="155"/>
        <v>346</v>
      </c>
      <c r="AC76" s="137">
        <f t="shared" si="156"/>
        <v>950</v>
      </c>
      <c r="AD76" s="137">
        <f t="shared" si="157"/>
        <v>717</v>
      </c>
      <c r="AE76" s="137">
        <f t="shared" si="158"/>
        <v>1214</v>
      </c>
      <c r="AF76" s="137">
        <f t="shared" si="159"/>
        <v>766</v>
      </c>
      <c r="AG76" s="137">
        <f t="shared" si="160"/>
        <v>1509</v>
      </c>
      <c r="AH76" s="137">
        <f t="shared" si="161"/>
        <v>384</v>
      </c>
      <c r="AI76" s="137">
        <f t="shared" si="162"/>
        <v>591</v>
      </c>
      <c r="AJ76" s="137">
        <f t="shared" si="163"/>
        <v>332</v>
      </c>
      <c r="AK76" s="139">
        <f t="shared" si="164"/>
        <v>1175</v>
      </c>
      <c r="AL76" s="137">
        <f t="shared" si="165"/>
        <v>493</v>
      </c>
      <c r="AM76" s="137">
        <f t="shared" si="166"/>
        <v>1206</v>
      </c>
      <c r="AN76" s="137">
        <f t="shared" si="167"/>
        <v>2488</v>
      </c>
      <c r="AO76" s="137">
        <f t="shared" si="168"/>
        <v>545</v>
      </c>
      <c r="AP76" s="137">
        <f t="shared" si="168"/>
        <v>122</v>
      </c>
      <c r="AQ76" s="137">
        <f t="shared" si="169"/>
        <v>655</v>
      </c>
      <c r="AR76" s="137">
        <f t="shared" si="170"/>
        <v>515</v>
      </c>
      <c r="AS76" s="138">
        <f t="shared" si="171"/>
        <v>744</v>
      </c>
      <c r="AT76" s="141">
        <v>16</v>
      </c>
      <c r="AU76" s="141">
        <v>149</v>
      </c>
      <c r="AV76" s="141">
        <v>277</v>
      </c>
      <c r="AW76" s="141">
        <v>573</v>
      </c>
      <c r="AX76" s="141">
        <v>125</v>
      </c>
      <c r="AY76" s="137">
        <v>584</v>
      </c>
      <c r="AZ76" s="137">
        <v>5</v>
      </c>
      <c r="BA76" s="137">
        <v>174</v>
      </c>
      <c r="BB76" s="137">
        <v>357</v>
      </c>
      <c r="BC76" s="137">
        <v>1182</v>
      </c>
      <c r="BD76" s="137">
        <v>220</v>
      </c>
      <c r="BE76" s="137">
        <v>270</v>
      </c>
      <c r="BF76" s="139">
        <v>1438</v>
      </c>
      <c r="BG76" s="137">
        <v>28</v>
      </c>
      <c r="BH76" s="137">
        <v>15</v>
      </c>
      <c r="BI76" s="137">
        <v>156</v>
      </c>
      <c r="BJ76" s="137">
        <v>129</v>
      </c>
      <c r="BK76" s="137">
        <v>6</v>
      </c>
      <c r="BL76" s="137">
        <v>8</v>
      </c>
      <c r="BM76" s="137">
        <v>335</v>
      </c>
      <c r="BN76" s="137">
        <v>244</v>
      </c>
      <c r="BO76" s="137">
        <v>13</v>
      </c>
      <c r="BP76" s="137">
        <v>346</v>
      </c>
      <c r="BQ76" s="137">
        <v>151</v>
      </c>
      <c r="BR76" s="139">
        <v>441</v>
      </c>
      <c r="BS76" s="137">
        <v>22</v>
      </c>
      <c r="BT76" s="137">
        <v>1192</v>
      </c>
      <c r="BU76" s="137">
        <v>717</v>
      </c>
      <c r="BV76" s="137">
        <v>1509</v>
      </c>
      <c r="BW76" s="137">
        <v>591</v>
      </c>
      <c r="BX76" s="137">
        <v>950</v>
      </c>
      <c r="BY76" s="137">
        <v>332</v>
      </c>
      <c r="BZ76" s="137">
        <v>384</v>
      </c>
      <c r="CA76" s="137">
        <v>766</v>
      </c>
      <c r="CB76" s="139">
        <v>1175</v>
      </c>
      <c r="CC76" s="137">
        <v>545</v>
      </c>
      <c r="CD76" s="137">
        <v>122</v>
      </c>
      <c r="CE76" s="137">
        <v>493</v>
      </c>
      <c r="CF76" s="137">
        <v>29</v>
      </c>
      <c r="CG76" s="137">
        <v>715</v>
      </c>
      <c r="CH76" s="137">
        <v>1206</v>
      </c>
      <c r="CI76" s="137">
        <v>515</v>
      </c>
      <c r="CJ76" s="137">
        <v>2488</v>
      </c>
      <c r="CK76" s="138">
        <v>655</v>
      </c>
      <c r="CL76" s="140">
        <v>21648</v>
      </c>
    </row>
    <row r="77" spans="1:90">
      <c r="A77" s="80">
        <f>ROWS($A$3:A75)</f>
        <v>73</v>
      </c>
      <c r="B77" s="92" t="s">
        <v>88</v>
      </c>
      <c r="C77" s="203"/>
      <c r="D77" s="254" t="s">
        <v>13</v>
      </c>
      <c r="E77" s="269"/>
      <c r="F77" s="116">
        <v>806</v>
      </c>
      <c r="G77" s="137">
        <v>55</v>
      </c>
      <c r="H77" s="137">
        <v>94</v>
      </c>
      <c r="I77" s="138">
        <v>392</v>
      </c>
      <c r="J77" s="141"/>
      <c r="K77" s="116">
        <f t="shared" si="141"/>
        <v>84</v>
      </c>
      <c r="L77" s="137">
        <f t="shared" si="142"/>
        <v>16</v>
      </c>
      <c r="M77" s="137">
        <f t="shared" si="143"/>
        <v>93</v>
      </c>
      <c r="N77" s="137">
        <f t="shared" si="144"/>
        <v>14</v>
      </c>
      <c r="O77" s="137">
        <f t="shared" si="145"/>
        <v>19</v>
      </c>
      <c r="P77" s="137">
        <f>'2007'!AZ77+'2007'!BA77</f>
        <v>14</v>
      </c>
      <c r="Q77" s="137">
        <f>'2007'!AU77</f>
        <v>8</v>
      </c>
      <c r="R77" s="137">
        <f t="shared" si="146"/>
        <v>14</v>
      </c>
      <c r="S77" s="137">
        <f t="shared" si="147"/>
        <v>7</v>
      </c>
      <c r="T77" s="137">
        <f t="shared" si="148"/>
        <v>119</v>
      </c>
      <c r="U77" s="139">
        <f t="shared" si="148"/>
        <v>418</v>
      </c>
      <c r="V77" s="137">
        <f t="shared" si="149"/>
        <v>3</v>
      </c>
      <c r="W77" s="137">
        <f t="shared" si="150"/>
        <v>8</v>
      </c>
      <c r="X77" s="137">
        <f t="shared" si="151"/>
        <v>3</v>
      </c>
      <c r="Y77" s="137">
        <f t="shared" si="152"/>
        <v>17</v>
      </c>
      <c r="Z77" s="137">
        <f t="shared" si="153"/>
        <v>13</v>
      </c>
      <c r="AA77" s="137">
        <f t="shared" si="154"/>
        <v>4</v>
      </c>
      <c r="AB77" s="139">
        <f t="shared" si="155"/>
        <v>7</v>
      </c>
      <c r="AC77" s="137">
        <f t="shared" si="156"/>
        <v>14</v>
      </c>
      <c r="AD77" s="137">
        <f t="shared" si="157"/>
        <v>6</v>
      </c>
      <c r="AE77" s="137">
        <f t="shared" si="158"/>
        <v>6</v>
      </c>
      <c r="AF77" s="137">
        <f t="shared" si="159"/>
        <v>2</v>
      </c>
      <c r="AG77" s="137">
        <f t="shared" si="160"/>
        <v>20</v>
      </c>
      <c r="AH77" s="137">
        <f t="shared" si="161"/>
        <v>14</v>
      </c>
      <c r="AI77" s="137">
        <f t="shared" si="162"/>
        <v>13</v>
      </c>
      <c r="AJ77" s="137">
        <f t="shared" si="163"/>
        <v>3</v>
      </c>
      <c r="AK77" s="139">
        <f t="shared" si="164"/>
        <v>16</v>
      </c>
      <c r="AL77" s="137">
        <f t="shared" si="165"/>
        <v>3</v>
      </c>
      <c r="AM77" s="137">
        <f t="shared" si="166"/>
        <v>92</v>
      </c>
      <c r="AN77" s="137">
        <f t="shared" si="167"/>
        <v>52</v>
      </c>
      <c r="AO77" s="137">
        <f t="shared" si="168"/>
        <v>26</v>
      </c>
      <c r="AP77" s="137">
        <f t="shared" si="168"/>
        <v>3</v>
      </c>
      <c r="AQ77" s="137">
        <f t="shared" si="169"/>
        <v>42</v>
      </c>
      <c r="AR77" s="137">
        <f t="shared" si="170"/>
        <v>10</v>
      </c>
      <c r="AS77" s="138">
        <f t="shared" si="171"/>
        <v>164</v>
      </c>
      <c r="AT77" s="141">
        <v>1</v>
      </c>
      <c r="AU77" s="141">
        <v>8</v>
      </c>
      <c r="AV77" s="141">
        <v>7</v>
      </c>
      <c r="AW77" s="141">
        <v>14</v>
      </c>
      <c r="AX77" s="141">
        <v>13</v>
      </c>
      <c r="AY77" s="137">
        <v>16</v>
      </c>
      <c r="AZ77" s="137">
        <v>1</v>
      </c>
      <c r="BA77" s="137">
        <v>13</v>
      </c>
      <c r="BB77" s="137">
        <v>119</v>
      </c>
      <c r="BC77" s="137">
        <v>418</v>
      </c>
      <c r="BD77" s="137">
        <v>93</v>
      </c>
      <c r="BE77" s="137">
        <v>19</v>
      </c>
      <c r="BF77" s="139">
        <v>84</v>
      </c>
      <c r="BG77" s="137">
        <v>0</v>
      </c>
      <c r="BH77" s="137">
        <v>0</v>
      </c>
      <c r="BI77" s="137">
        <v>3</v>
      </c>
      <c r="BJ77" s="137">
        <v>3</v>
      </c>
      <c r="BK77" s="137">
        <v>0</v>
      </c>
      <c r="BL77" s="137">
        <v>1</v>
      </c>
      <c r="BM77" s="137">
        <v>13</v>
      </c>
      <c r="BN77" s="137">
        <v>16</v>
      </c>
      <c r="BO77" s="137">
        <v>0</v>
      </c>
      <c r="BP77" s="137">
        <v>7</v>
      </c>
      <c r="BQ77" s="137">
        <v>4</v>
      </c>
      <c r="BR77" s="139">
        <v>8</v>
      </c>
      <c r="BS77" s="137">
        <v>0</v>
      </c>
      <c r="BT77" s="137">
        <v>6</v>
      </c>
      <c r="BU77" s="137">
        <v>6</v>
      </c>
      <c r="BV77" s="137">
        <v>20</v>
      </c>
      <c r="BW77" s="137">
        <v>13</v>
      </c>
      <c r="BX77" s="137">
        <v>14</v>
      </c>
      <c r="BY77" s="137">
        <v>3</v>
      </c>
      <c r="BZ77" s="137">
        <v>14</v>
      </c>
      <c r="CA77" s="137">
        <v>2</v>
      </c>
      <c r="CB77" s="139">
        <v>16</v>
      </c>
      <c r="CC77" s="137">
        <v>26</v>
      </c>
      <c r="CD77" s="137">
        <v>3</v>
      </c>
      <c r="CE77" s="137">
        <v>3</v>
      </c>
      <c r="CF77" s="137">
        <v>8</v>
      </c>
      <c r="CG77" s="137">
        <v>156</v>
      </c>
      <c r="CH77" s="137">
        <v>92</v>
      </c>
      <c r="CI77" s="137">
        <v>10</v>
      </c>
      <c r="CJ77" s="137">
        <v>52</v>
      </c>
      <c r="CK77" s="138">
        <v>42</v>
      </c>
      <c r="CL77" s="140">
        <v>1347</v>
      </c>
    </row>
    <row r="78" spans="1:90">
      <c r="A78" s="80">
        <f>ROWS($A$3:A76)</f>
        <v>74</v>
      </c>
      <c r="B78" s="92" t="s">
        <v>89</v>
      </c>
      <c r="C78" s="203"/>
      <c r="D78" s="254" t="s">
        <v>13</v>
      </c>
      <c r="E78" s="269"/>
      <c r="F78" s="116">
        <v>3870</v>
      </c>
      <c r="G78" s="137">
        <v>1268</v>
      </c>
      <c r="H78" s="137">
        <v>2311</v>
      </c>
      <c r="I78" s="138">
        <v>3004</v>
      </c>
      <c r="J78" s="141"/>
      <c r="K78" s="116">
        <f t="shared" si="141"/>
        <v>447</v>
      </c>
      <c r="L78" s="137">
        <f t="shared" si="142"/>
        <v>277</v>
      </c>
      <c r="M78" s="137">
        <f t="shared" si="143"/>
        <v>487</v>
      </c>
      <c r="N78" s="137">
        <f t="shared" si="144"/>
        <v>185</v>
      </c>
      <c r="O78" s="137">
        <f t="shared" si="145"/>
        <v>192</v>
      </c>
      <c r="P78" s="137">
        <f>'2007'!AZ78+'2007'!BA78</f>
        <v>423</v>
      </c>
      <c r="Q78" s="137">
        <f>'2007'!AU78</f>
        <v>202</v>
      </c>
      <c r="R78" s="137">
        <f t="shared" si="146"/>
        <v>369</v>
      </c>
      <c r="S78" s="137">
        <f t="shared" si="147"/>
        <v>192</v>
      </c>
      <c r="T78" s="137">
        <f t="shared" si="148"/>
        <v>435</v>
      </c>
      <c r="U78" s="139">
        <f t="shared" si="148"/>
        <v>661</v>
      </c>
      <c r="V78" s="137">
        <f t="shared" si="149"/>
        <v>105</v>
      </c>
      <c r="W78" s="137">
        <f t="shared" si="150"/>
        <v>115</v>
      </c>
      <c r="X78" s="137">
        <f t="shared" si="151"/>
        <v>181</v>
      </c>
      <c r="Y78" s="137">
        <f t="shared" si="152"/>
        <v>229</v>
      </c>
      <c r="Z78" s="137">
        <f t="shared" si="153"/>
        <v>330</v>
      </c>
      <c r="AA78" s="137">
        <f t="shared" si="154"/>
        <v>148</v>
      </c>
      <c r="AB78" s="139">
        <f t="shared" si="155"/>
        <v>160</v>
      </c>
      <c r="AC78" s="137">
        <f t="shared" si="156"/>
        <v>216</v>
      </c>
      <c r="AD78" s="137">
        <f t="shared" si="157"/>
        <v>160</v>
      </c>
      <c r="AE78" s="137">
        <f t="shared" si="158"/>
        <v>288</v>
      </c>
      <c r="AF78" s="137">
        <f t="shared" si="159"/>
        <v>179</v>
      </c>
      <c r="AG78" s="137">
        <f t="shared" si="160"/>
        <v>584</v>
      </c>
      <c r="AH78" s="137">
        <f t="shared" si="161"/>
        <v>239</v>
      </c>
      <c r="AI78" s="137">
        <f t="shared" si="162"/>
        <v>247</v>
      </c>
      <c r="AJ78" s="137">
        <f t="shared" si="163"/>
        <v>165</v>
      </c>
      <c r="AK78" s="139">
        <f t="shared" si="164"/>
        <v>233</v>
      </c>
      <c r="AL78" s="137">
        <f t="shared" si="165"/>
        <v>186</v>
      </c>
      <c r="AM78" s="137">
        <f t="shared" si="166"/>
        <v>458</v>
      </c>
      <c r="AN78" s="137">
        <f t="shared" si="167"/>
        <v>251</v>
      </c>
      <c r="AO78" s="137">
        <f t="shared" si="168"/>
        <v>366</v>
      </c>
      <c r="AP78" s="137">
        <f t="shared" si="168"/>
        <v>137</v>
      </c>
      <c r="AQ78" s="137">
        <f t="shared" si="169"/>
        <v>502</v>
      </c>
      <c r="AR78" s="137">
        <f t="shared" si="170"/>
        <v>317</v>
      </c>
      <c r="AS78" s="138">
        <f t="shared" si="171"/>
        <v>787</v>
      </c>
      <c r="AT78" s="141">
        <v>29</v>
      </c>
      <c r="AU78" s="141">
        <v>202</v>
      </c>
      <c r="AV78" s="141">
        <v>192</v>
      </c>
      <c r="AW78" s="141">
        <v>185</v>
      </c>
      <c r="AX78" s="141">
        <v>340</v>
      </c>
      <c r="AY78" s="137">
        <v>277</v>
      </c>
      <c r="AZ78" s="137">
        <v>18</v>
      </c>
      <c r="BA78" s="137">
        <v>405</v>
      </c>
      <c r="BB78" s="137">
        <v>435</v>
      </c>
      <c r="BC78" s="137">
        <v>661</v>
      </c>
      <c r="BD78" s="137">
        <v>487</v>
      </c>
      <c r="BE78" s="137">
        <v>192</v>
      </c>
      <c r="BF78" s="139">
        <v>447</v>
      </c>
      <c r="BG78" s="137">
        <v>6</v>
      </c>
      <c r="BH78" s="137">
        <v>15</v>
      </c>
      <c r="BI78" s="137">
        <v>166</v>
      </c>
      <c r="BJ78" s="137">
        <v>99</v>
      </c>
      <c r="BK78" s="137">
        <v>19</v>
      </c>
      <c r="BL78" s="137">
        <v>4</v>
      </c>
      <c r="BM78" s="137">
        <v>330</v>
      </c>
      <c r="BN78" s="137">
        <v>206</v>
      </c>
      <c r="BO78" s="137">
        <v>7</v>
      </c>
      <c r="BP78" s="137">
        <v>160</v>
      </c>
      <c r="BQ78" s="137">
        <v>141</v>
      </c>
      <c r="BR78" s="139">
        <v>115</v>
      </c>
      <c r="BS78" s="137">
        <v>29</v>
      </c>
      <c r="BT78" s="137">
        <v>259</v>
      </c>
      <c r="BU78" s="137">
        <v>160</v>
      </c>
      <c r="BV78" s="137">
        <v>584</v>
      </c>
      <c r="BW78" s="137">
        <v>247</v>
      </c>
      <c r="BX78" s="137">
        <v>216</v>
      </c>
      <c r="BY78" s="137">
        <v>165</v>
      </c>
      <c r="BZ78" s="137">
        <v>239</v>
      </c>
      <c r="CA78" s="137">
        <v>179</v>
      </c>
      <c r="CB78" s="139">
        <v>233</v>
      </c>
      <c r="CC78" s="137">
        <v>366</v>
      </c>
      <c r="CD78" s="137">
        <v>137</v>
      </c>
      <c r="CE78" s="137">
        <v>186</v>
      </c>
      <c r="CF78" s="137">
        <v>47</v>
      </c>
      <c r="CG78" s="137">
        <v>740</v>
      </c>
      <c r="CH78" s="137">
        <v>458</v>
      </c>
      <c r="CI78" s="137">
        <v>317</v>
      </c>
      <c r="CJ78" s="137">
        <v>251</v>
      </c>
      <c r="CK78" s="138">
        <v>502</v>
      </c>
      <c r="CL78" s="140">
        <v>10453</v>
      </c>
    </row>
    <row r="79" spans="1:90">
      <c r="A79" s="80">
        <f>ROWS($A$3:A77)</f>
        <v>75</v>
      </c>
      <c r="B79" s="59" t="s">
        <v>79</v>
      </c>
      <c r="C79" s="202">
        <v>2008</v>
      </c>
      <c r="D79" s="254"/>
      <c r="E79" s="269"/>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c r="A80" s="80">
        <f>ROWS($A$3:A78)</f>
        <v>76</v>
      </c>
      <c r="B80" s="92" t="s">
        <v>90</v>
      </c>
      <c r="C80" s="205"/>
      <c r="D80" s="254" t="s">
        <v>13</v>
      </c>
      <c r="E80" s="270"/>
      <c r="F80" s="116">
        <v>16240</v>
      </c>
      <c r="G80" s="137">
        <v>5846</v>
      </c>
      <c r="H80" s="137">
        <v>14532</v>
      </c>
      <c r="I80" s="138">
        <v>14317</v>
      </c>
      <c r="J80" s="141"/>
      <c r="K80" s="116">
        <f>BF80</f>
        <v>2584</v>
      </c>
      <c r="L80" s="137">
        <f>AY80</f>
        <v>1202</v>
      </c>
      <c r="M80" s="137">
        <f>BD80</f>
        <v>1953</v>
      </c>
      <c r="N80" s="137">
        <f>AW80</f>
        <v>897</v>
      </c>
      <c r="O80" s="137">
        <f>BE80</f>
        <v>685</v>
      </c>
      <c r="P80" s="137">
        <f>'2007'!AZ80+'2007'!BA80</f>
        <v>1953</v>
      </c>
      <c r="Q80" s="137">
        <f>'2007'!AU80</f>
        <v>725</v>
      </c>
      <c r="R80" s="137">
        <f>AT80+AX80</f>
        <v>1181</v>
      </c>
      <c r="S80" s="137">
        <f>AV80</f>
        <v>637</v>
      </c>
      <c r="T80" s="137">
        <f>BB80</f>
        <v>1588</v>
      </c>
      <c r="U80" s="139">
        <f>BC80</f>
        <v>2844</v>
      </c>
      <c r="V80" s="137">
        <f>BG80+BJ80</f>
        <v>570</v>
      </c>
      <c r="W80" s="137">
        <f>BR80</f>
        <v>949</v>
      </c>
      <c r="X80" s="137">
        <f>BH80+BI80</f>
        <v>812</v>
      </c>
      <c r="Y80" s="137">
        <f>BK80+BL80+BN80</f>
        <v>1082</v>
      </c>
      <c r="Z80" s="137">
        <f>BM80</f>
        <v>1246</v>
      </c>
      <c r="AA80" s="137">
        <f>BO80+BQ80</f>
        <v>468</v>
      </c>
      <c r="AB80" s="139">
        <f>BP80</f>
        <v>723</v>
      </c>
      <c r="AC80" s="137">
        <f>BX80</f>
        <v>1373</v>
      </c>
      <c r="AD80" s="137">
        <f>BU80</f>
        <v>1274</v>
      </c>
      <c r="AE80" s="137">
        <f>BS80+BT80</f>
        <v>2288</v>
      </c>
      <c r="AF80" s="137">
        <f>CA80</f>
        <v>1225</v>
      </c>
      <c r="AG80" s="137">
        <f>BV80</f>
        <v>3640</v>
      </c>
      <c r="AH80" s="137">
        <f>BZ80</f>
        <v>1046</v>
      </c>
      <c r="AI80" s="137">
        <f>BW80</f>
        <v>1159</v>
      </c>
      <c r="AJ80" s="137">
        <f>BY80</f>
        <v>603</v>
      </c>
      <c r="AK80" s="139">
        <f>CB80</f>
        <v>1924</v>
      </c>
      <c r="AL80" s="137">
        <f>CE80</f>
        <v>990</v>
      </c>
      <c r="AM80" s="137">
        <f>CH80</f>
        <v>2354</v>
      </c>
      <c r="AN80" s="137">
        <f>CJ80</f>
        <v>3359</v>
      </c>
      <c r="AO80" s="137">
        <f>CC80</f>
        <v>1277</v>
      </c>
      <c r="AP80" s="137">
        <f>CD80</f>
        <v>513</v>
      </c>
      <c r="AQ80" s="137">
        <f>CK80</f>
        <v>1722</v>
      </c>
      <c r="AR80" s="137">
        <f>CI80</f>
        <v>1576</v>
      </c>
      <c r="AS80" s="138">
        <f>CF80+CG80</f>
        <v>2541</v>
      </c>
      <c r="AT80" s="141">
        <v>129</v>
      </c>
      <c r="AU80" s="141">
        <v>725</v>
      </c>
      <c r="AV80" s="141">
        <v>637</v>
      </c>
      <c r="AW80" s="141">
        <v>897</v>
      </c>
      <c r="AX80" s="141">
        <v>1052</v>
      </c>
      <c r="AY80" s="137">
        <v>1202</v>
      </c>
      <c r="AZ80" s="137">
        <v>172</v>
      </c>
      <c r="BA80" s="137">
        <v>1781</v>
      </c>
      <c r="BB80" s="137">
        <v>1588</v>
      </c>
      <c r="BC80" s="137">
        <v>2844</v>
      </c>
      <c r="BD80" s="137">
        <v>1953</v>
      </c>
      <c r="BE80" s="137">
        <v>685</v>
      </c>
      <c r="BF80" s="139">
        <v>2584</v>
      </c>
      <c r="BG80" s="137">
        <v>65</v>
      </c>
      <c r="BH80" s="137">
        <v>49</v>
      </c>
      <c r="BI80" s="137">
        <v>763</v>
      </c>
      <c r="BJ80" s="137">
        <v>505</v>
      </c>
      <c r="BK80" s="137">
        <v>70</v>
      </c>
      <c r="BL80" s="137">
        <v>67</v>
      </c>
      <c r="BM80" s="137">
        <v>1246</v>
      </c>
      <c r="BN80" s="137">
        <v>945</v>
      </c>
      <c r="BO80" s="137">
        <v>18</v>
      </c>
      <c r="BP80" s="137">
        <v>723</v>
      </c>
      <c r="BQ80" s="137">
        <v>450</v>
      </c>
      <c r="BR80" s="139">
        <v>949</v>
      </c>
      <c r="BS80" s="137">
        <v>143</v>
      </c>
      <c r="BT80" s="137">
        <v>2145</v>
      </c>
      <c r="BU80" s="137">
        <v>1274</v>
      </c>
      <c r="BV80" s="137">
        <v>3640</v>
      </c>
      <c r="BW80" s="137">
        <v>1159</v>
      </c>
      <c r="BX80" s="137">
        <v>1373</v>
      </c>
      <c r="BY80" s="137">
        <v>603</v>
      </c>
      <c r="BZ80" s="137">
        <v>1046</v>
      </c>
      <c r="CA80" s="137">
        <v>1225</v>
      </c>
      <c r="CB80" s="139">
        <v>1924</v>
      </c>
      <c r="CC80" s="137">
        <v>1277</v>
      </c>
      <c r="CD80" s="137">
        <v>513</v>
      </c>
      <c r="CE80" s="137">
        <v>990</v>
      </c>
      <c r="CF80" s="137">
        <v>137</v>
      </c>
      <c r="CG80" s="137">
        <v>2404</v>
      </c>
      <c r="CH80" s="137">
        <v>2354</v>
      </c>
      <c r="CI80" s="137">
        <v>1576</v>
      </c>
      <c r="CJ80" s="137">
        <v>3359</v>
      </c>
      <c r="CK80" s="138">
        <v>1722</v>
      </c>
      <c r="CL80" s="149">
        <f>SUM(AT80:CK80)</f>
        <v>50963</v>
      </c>
    </row>
    <row r="81" spans="1:90">
      <c r="A81" s="80">
        <f>ROWS($A$3:A79)</f>
        <v>77</v>
      </c>
      <c r="B81" s="602" t="s">
        <v>365</v>
      </c>
      <c r="C81" s="590">
        <v>2007</v>
      </c>
      <c r="D81" s="603" t="s">
        <v>13</v>
      </c>
      <c r="E81" s="522">
        <v>43320</v>
      </c>
      <c r="F81" s="116">
        <v>549195</v>
      </c>
      <c r="G81" s="137">
        <v>247320</v>
      </c>
      <c r="H81" s="137">
        <v>411311</v>
      </c>
      <c r="I81" s="138">
        <v>377603</v>
      </c>
      <c r="J81" s="141"/>
      <c r="K81" s="154">
        <f>BF81</f>
        <v>80872</v>
      </c>
      <c r="L81" s="155">
        <f>AY81</f>
        <v>124590</v>
      </c>
      <c r="M81" s="155">
        <f>BD81</f>
        <v>101080</v>
      </c>
      <c r="N81" s="155">
        <f>AW81</f>
        <v>54014</v>
      </c>
      <c r="O81" s="155">
        <f>BE81</f>
        <v>30441</v>
      </c>
      <c r="P81" s="155">
        <f>AZ81+BA81</f>
        <v>155433</v>
      </c>
      <c r="Q81" s="155">
        <f>AU81</f>
        <v>103587</v>
      </c>
      <c r="R81" s="155">
        <f>AT81+AX81</f>
        <v>148943</v>
      </c>
      <c r="S81" s="155">
        <f>AV81</f>
        <v>107587</v>
      </c>
      <c r="T81" s="155">
        <f>BB81</f>
        <v>52874</v>
      </c>
      <c r="U81" s="552">
        <f>BC81</f>
        <v>85814</v>
      </c>
      <c r="V81" s="155">
        <f>BG81+BJ81</f>
        <v>93275</v>
      </c>
      <c r="W81" s="155">
        <f>BR81</f>
        <v>51692</v>
      </c>
      <c r="X81" s="155">
        <f>BH81+BI81</f>
        <v>175313</v>
      </c>
      <c r="Y81" s="155">
        <f>BK81+BL81+BN81</f>
        <v>104028</v>
      </c>
      <c r="Z81" s="155">
        <f>BM81</f>
        <v>81419</v>
      </c>
      <c r="AA81" s="155">
        <f>BO81+BQ81</f>
        <v>113879</v>
      </c>
      <c r="AB81" s="552">
        <f>BP81</f>
        <v>58820</v>
      </c>
      <c r="AC81" s="155">
        <f>BX81</f>
        <v>38509</v>
      </c>
      <c r="AD81" s="155">
        <f>BU81</f>
        <v>57404</v>
      </c>
      <c r="AE81" s="155">
        <f>BS81+BT81</f>
        <v>105911</v>
      </c>
      <c r="AF81" s="155">
        <f>CA81</f>
        <v>73928</v>
      </c>
      <c r="AG81" s="155">
        <f>BV81</f>
        <v>142334</v>
      </c>
      <c r="AH81" s="155">
        <f>BZ81</f>
        <v>61058</v>
      </c>
      <c r="AI81" s="155">
        <f>BW81</f>
        <v>61734</v>
      </c>
      <c r="AJ81" s="155">
        <f>BY81</f>
        <v>77487</v>
      </c>
      <c r="AK81" s="552">
        <f>CB81</f>
        <v>64447</v>
      </c>
      <c r="AL81" s="155">
        <f>CE81</f>
        <v>104324</v>
      </c>
      <c r="AM81" s="155">
        <f>CH81</f>
        <v>76275</v>
      </c>
      <c r="AN81" s="155">
        <f>CJ81</f>
        <v>34054</v>
      </c>
      <c r="AO81" s="155">
        <f>CC81</f>
        <v>81311</v>
      </c>
      <c r="AP81" s="155">
        <f>CD81</f>
        <v>94645</v>
      </c>
      <c r="AQ81" s="155">
        <f>CK81</f>
        <v>71648</v>
      </c>
      <c r="AR81" s="155">
        <f>CI81</f>
        <v>61932</v>
      </c>
      <c r="AS81" s="156">
        <f>CF81+CG81</f>
        <v>75931</v>
      </c>
      <c r="AT81" s="155">
        <v>12832</v>
      </c>
      <c r="AU81" s="155">
        <v>103587</v>
      </c>
      <c r="AV81" s="155">
        <v>107587</v>
      </c>
      <c r="AW81" s="155">
        <v>54014</v>
      </c>
      <c r="AX81" s="155">
        <v>136111</v>
      </c>
      <c r="AY81" s="155">
        <v>124590</v>
      </c>
      <c r="AZ81" s="155">
        <v>15935</v>
      </c>
      <c r="BA81" s="155">
        <v>139498</v>
      </c>
      <c r="BB81" s="155">
        <v>52874</v>
      </c>
      <c r="BC81" s="155">
        <v>85814</v>
      </c>
      <c r="BD81" s="155">
        <v>101080</v>
      </c>
      <c r="BE81" s="155">
        <v>30441</v>
      </c>
      <c r="BF81" s="552">
        <v>80872</v>
      </c>
      <c r="BG81" s="155">
        <v>11978</v>
      </c>
      <c r="BH81" s="155">
        <v>10540</v>
      </c>
      <c r="BI81" s="155">
        <v>164773</v>
      </c>
      <c r="BJ81" s="155">
        <v>81297</v>
      </c>
      <c r="BK81" s="155">
        <v>3732</v>
      </c>
      <c r="BL81" s="155">
        <v>5325</v>
      </c>
      <c r="BM81" s="155">
        <v>81419</v>
      </c>
      <c r="BN81" s="155">
        <v>94971</v>
      </c>
      <c r="BO81" s="155">
        <v>4793</v>
      </c>
      <c r="BP81" s="155">
        <v>58820</v>
      </c>
      <c r="BQ81" s="155">
        <v>109086</v>
      </c>
      <c r="BR81" s="552">
        <v>51692</v>
      </c>
      <c r="BS81" s="155">
        <v>9292</v>
      </c>
      <c r="BT81" s="155">
        <v>96619</v>
      </c>
      <c r="BU81" s="155">
        <v>57404</v>
      </c>
      <c r="BV81" s="155">
        <v>142334</v>
      </c>
      <c r="BW81" s="155">
        <v>61734</v>
      </c>
      <c r="BX81" s="155">
        <v>38509</v>
      </c>
      <c r="BY81" s="155">
        <v>77487</v>
      </c>
      <c r="BZ81" s="155">
        <v>61058</v>
      </c>
      <c r="CA81" s="155">
        <v>73928</v>
      </c>
      <c r="CB81" s="552">
        <v>64447</v>
      </c>
      <c r="CC81" s="155">
        <v>81311</v>
      </c>
      <c r="CD81" s="155">
        <v>94645</v>
      </c>
      <c r="CE81" s="155">
        <v>104324</v>
      </c>
      <c r="CF81" s="155">
        <v>5789</v>
      </c>
      <c r="CG81" s="155">
        <v>70142</v>
      </c>
      <c r="CH81" s="155">
        <v>76275</v>
      </c>
      <c r="CI81" s="155">
        <v>61932</v>
      </c>
      <c r="CJ81" s="155">
        <v>34054</v>
      </c>
      <c r="CK81" s="156">
        <v>71648</v>
      </c>
      <c r="CL81" s="553">
        <f>SUM(AT81:CK81)</f>
        <v>3006593</v>
      </c>
    </row>
    <row r="82" spans="1:90">
      <c r="A82" s="80">
        <f>ROWS($A$3:A80)</f>
        <v>78</v>
      </c>
      <c r="B82" s="610" t="s">
        <v>367</v>
      </c>
      <c r="C82" s="590">
        <v>2007</v>
      </c>
      <c r="D82" s="603" t="s">
        <v>13</v>
      </c>
      <c r="E82" s="522">
        <v>43320</v>
      </c>
      <c r="F82" s="142">
        <f>IF(OR(F80&lt;0.1,F81&lt;0.1),0,F81/F80)</f>
        <v>33.817426108374384</v>
      </c>
      <c r="G82" s="143">
        <f>IF(OR(G80&lt;0.1,G81&lt;0.1),0,G81/G80)</f>
        <v>42.305850153951418</v>
      </c>
      <c r="H82" s="143">
        <f>IF(OR(H80&lt;0.1,H81&lt;0.1),0,H81/H80)</f>
        <v>28.303812276355629</v>
      </c>
      <c r="I82" s="144">
        <f>IF(OR(I80&lt;0.1,I81&lt;0.1),0,I81/I80)</f>
        <v>26.374449954599427</v>
      </c>
      <c r="J82" s="141"/>
      <c r="K82" s="530">
        <f t="shared" ref="K82:AQ82" si="172">K81/K80</f>
        <v>31.297213622291022</v>
      </c>
      <c r="L82" s="531">
        <f t="shared" si="172"/>
        <v>103.65224625623961</v>
      </c>
      <c r="M82" s="531">
        <f t="shared" si="172"/>
        <v>51.756272401433691</v>
      </c>
      <c r="N82" s="531">
        <f t="shared" si="172"/>
        <v>60.216276477146039</v>
      </c>
      <c r="O82" s="531">
        <f t="shared" si="172"/>
        <v>44.439416058394158</v>
      </c>
      <c r="P82" s="531">
        <f t="shared" si="172"/>
        <v>79.586789554531492</v>
      </c>
      <c r="Q82" s="531">
        <f t="shared" si="172"/>
        <v>142.87862068965518</v>
      </c>
      <c r="R82" s="531">
        <f t="shared" si="172"/>
        <v>126.1160033869602</v>
      </c>
      <c r="S82" s="531">
        <f t="shared" si="172"/>
        <v>168.89638932496075</v>
      </c>
      <c r="T82" s="531">
        <f t="shared" si="172"/>
        <v>33.295969773299745</v>
      </c>
      <c r="U82" s="555">
        <f t="shared" si="172"/>
        <v>30.173699015471168</v>
      </c>
      <c r="V82" s="531">
        <f t="shared" si="172"/>
        <v>163.64035087719299</v>
      </c>
      <c r="W82" s="531">
        <f t="shared" si="172"/>
        <v>54.469968387776603</v>
      </c>
      <c r="X82" s="531">
        <f t="shared" si="172"/>
        <v>215.90270935960592</v>
      </c>
      <c r="Y82" s="531">
        <f t="shared" si="172"/>
        <v>96.144177449168211</v>
      </c>
      <c r="Z82" s="531">
        <f t="shared" si="172"/>
        <v>65.344301765650087</v>
      </c>
      <c r="AA82" s="531">
        <f t="shared" si="172"/>
        <v>243.33119658119659</v>
      </c>
      <c r="AB82" s="555">
        <f t="shared" si="172"/>
        <v>81.355463347164587</v>
      </c>
      <c r="AC82" s="531">
        <f t="shared" si="172"/>
        <v>28.04734158776402</v>
      </c>
      <c r="AD82" s="531">
        <f t="shared" si="172"/>
        <v>45.058084772370485</v>
      </c>
      <c r="AE82" s="531">
        <f t="shared" si="172"/>
        <v>46.289772727272727</v>
      </c>
      <c r="AF82" s="531">
        <f t="shared" si="172"/>
        <v>60.349387755102043</v>
      </c>
      <c r="AG82" s="531">
        <f t="shared" si="172"/>
        <v>39.10274725274725</v>
      </c>
      <c r="AH82" s="531">
        <f t="shared" si="172"/>
        <v>58.372848948374759</v>
      </c>
      <c r="AI82" s="531">
        <f t="shared" si="172"/>
        <v>53.264883520276101</v>
      </c>
      <c r="AJ82" s="531">
        <f t="shared" si="172"/>
        <v>128.50248756218906</v>
      </c>
      <c r="AK82" s="555">
        <f t="shared" si="172"/>
        <v>33.49636174636175</v>
      </c>
      <c r="AL82" s="531">
        <f t="shared" si="172"/>
        <v>105.37777777777778</v>
      </c>
      <c r="AM82" s="531">
        <f t="shared" si="172"/>
        <v>32.402293967714527</v>
      </c>
      <c r="AN82" s="531">
        <f t="shared" si="172"/>
        <v>10.138136350104197</v>
      </c>
      <c r="AO82" s="531">
        <f t="shared" si="172"/>
        <v>63.673453406421302</v>
      </c>
      <c r="AP82" s="531">
        <f t="shared" si="172"/>
        <v>184.49317738791424</v>
      </c>
      <c r="AQ82" s="531">
        <f t="shared" si="172"/>
        <v>41.607433217189318</v>
      </c>
      <c r="AR82" s="531">
        <f>AR81/AR80</f>
        <v>39.296954314720814</v>
      </c>
      <c r="AS82" s="532">
        <f>AS81/AS80</f>
        <v>29.882329791420702</v>
      </c>
      <c r="AT82" s="531">
        <f>IF(OR(AT80&lt;0.1,AT81&lt;0.1),0,AT81/AT80)</f>
        <v>99.47286821705427</v>
      </c>
      <c r="AU82" s="531">
        <f>IF(OR(AU80&lt;0.1,AU81&lt;0.1),0,AU81/AU80)</f>
        <v>142.87862068965518</v>
      </c>
      <c r="AV82" s="531">
        <f t="shared" ref="AV82:CK82" si="173">IF(OR(AV80&lt;0.1,AV81&lt;0.1),0,AV81/AV80)</f>
        <v>168.89638932496075</v>
      </c>
      <c r="AW82" s="531">
        <f t="shared" si="173"/>
        <v>60.216276477146039</v>
      </c>
      <c r="AX82" s="531">
        <f>IF(OR(AX80&lt;0.1,AX81&lt;0.1),0,AX81/AX80)</f>
        <v>129.38307984790873</v>
      </c>
      <c r="AY82" s="531">
        <f t="shared" si="173"/>
        <v>103.65224625623961</v>
      </c>
      <c r="AZ82" s="531">
        <f t="shared" si="173"/>
        <v>92.645348837209298</v>
      </c>
      <c r="BA82" s="531">
        <f t="shared" si="173"/>
        <v>78.325659741718141</v>
      </c>
      <c r="BB82" s="531">
        <f t="shared" si="173"/>
        <v>33.295969773299745</v>
      </c>
      <c r="BC82" s="531">
        <f t="shared" si="173"/>
        <v>30.173699015471168</v>
      </c>
      <c r="BD82" s="531">
        <f t="shared" si="173"/>
        <v>51.756272401433691</v>
      </c>
      <c r="BE82" s="531">
        <f t="shared" si="173"/>
        <v>44.439416058394158</v>
      </c>
      <c r="BF82" s="555">
        <f t="shared" si="173"/>
        <v>31.297213622291022</v>
      </c>
      <c r="BG82" s="531">
        <f t="shared" si="173"/>
        <v>184.27692307692308</v>
      </c>
      <c r="BH82" s="531">
        <f>IF(OR(BH80&lt;0.1,BH81&lt;0.1),0,BH81/BH80)</f>
        <v>215.10204081632654</v>
      </c>
      <c r="BI82" s="531">
        <f>IF(OR(BI80&lt;0.1,BI81&lt;0.1),0,BI81/BI80)</f>
        <v>215.95412844036699</v>
      </c>
      <c r="BJ82" s="531">
        <f>IF(OR(BJ80&lt;0.1,BJ81&lt;0.1),0,BJ81/BJ80)</f>
        <v>160.98415841584159</v>
      </c>
      <c r="BK82" s="531">
        <f t="shared" si="173"/>
        <v>53.314285714285717</v>
      </c>
      <c r="BL82" s="531">
        <f t="shared" si="173"/>
        <v>79.477611940298502</v>
      </c>
      <c r="BM82" s="531">
        <f>IF(OR(BM80&lt;0.1,BM81&lt;0.1),0,BM81/BM80)</f>
        <v>65.344301765650087</v>
      </c>
      <c r="BN82" s="531">
        <f t="shared" si="173"/>
        <v>100.49841269841269</v>
      </c>
      <c r="BO82" s="531">
        <f t="shared" si="173"/>
        <v>266.27777777777777</v>
      </c>
      <c r="BP82" s="531">
        <f t="shared" si="173"/>
        <v>81.355463347164587</v>
      </c>
      <c r="BQ82" s="531">
        <f>IF(OR(BQ80&lt;0.1,BQ81&lt;0.1),0,BQ81/BQ80)</f>
        <v>242.41333333333333</v>
      </c>
      <c r="BR82" s="555">
        <f t="shared" si="173"/>
        <v>54.469968387776603</v>
      </c>
      <c r="BS82" s="531">
        <f t="shared" si="173"/>
        <v>64.979020979020973</v>
      </c>
      <c r="BT82" s="531">
        <f t="shared" si="173"/>
        <v>45.043822843822845</v>
      </c>
      <c r="BU82" s="531">
        <f t="shared" si="173"/>
        <v>45.058084772370485</v>
      </c>
      <c r="BV82" s="531">
        <f t="shared" si="173"/>
        <v>39.10274725274725</v>
      </c>
      <c r="BW82" s="531">
        <f t="shared" si="173"/>
        <v>53.264883520276101</v>
      </c>
      <c r="BX82" s="531">
        <f t="shared" si="173"/>
        <v>28.04734158776402</v>
      </c>
      <c r="BY82" s="531">
        <f t="shared" si="173"/>
        <v>128.50248756218906</v>
      </c>
      <c r="BZ82" s="531">
        <f t="shared" si="173"/>
        <v>58.372848948374759</v>
      </c>
      <c r="CA82" s="531">
        <f t="shared" si="173"/>
        <v>60.349387755102043</v>
      </c>
      <c r="CB82" s="555">
        <f t="shared" si="173"/>
        <v>33.49636174636175</v>
      </c>
      <c r="CC82" s="531">
        <f t="shared" si="173"/>
        <v>63.673453406421302</v>
      </c>
      <c r="CD82" s="531">
        <f t="shared" si="173"/>
        <v>184.49317738791424</v>
      </c>
      <c r="CE82" s="531">
        <f t="shared" si="173"/>
        <v>105.37777777777778</v>
      </c>
      <c r="CF82" s="531">
        <f t="shared" si="173"/>
        <v>42.255474452554743</v>
      </c>
      <c r="CG82" s="531">
        <f t="shared" si="173"/>
        <v>29.177204658901829</v>
      </c>
      <c r="CH82" s="531">
        <f t="shared" si="173"/>
        <v>32.402293967714527</v>
      </c>
      <c r="CI82" s="531">
        <f t="shared" si="173"/>
        <v>39.296954314720814</v>
      </c>
      <c r="CJ82" s="531">
        <f t="shared" si="173"/>
        <v>10.138136350104197</v>
      </c>
      <c r="CK82" s="532">
        <f t="shared" si="173"/>
        <v>41.607433217189318</v>
      </c>
      <c r="CL82" s="556">
        <f>IF(OR(CL80&lt;0.1,CL81&lt;0.1),0,CL81/CL80)</f>
        <v>58.995604654357081</v>
      </c>
    </row>
    <row r="83" spans="1:90">
      <c r="A83" s="80">
        <f>ROWS($A$3:A81)</f>
        <v>79</v>
      </c>
      <c r="B83" s="602" t="s">
        <v>366</v>
      </c>
      <c r="C83" s="590">
        <v>2007</v>
      </c>
      <c r="D83" s="603" t="s">
        <v>13</v>
      </c>
      <c r="E83" s="522">
        <v>43320</v>
      </c>
      <c r="F83" s="117">
        <v>1.33</v>
      </c>
      <c r="G83" s="118">
        <v>1.1599999999999999</v>
      </c>
      <c r="H83" s="118">
        <v>1.08</v>
      </c>
      <c r="I83" s="119">
        <v>1.47</v>
      </c>
      <c r="J83" s="122"/>
      <c r="K83" s="154">
        <f>BF83</f>
        <v>104652</v>
      </c>
      <c r="L83" s="155">
        <f>AY83</f>
        <v>139862</v>
      </c>
      <c r="M83" s="155">
        <f>BD83</f>
        <v>120625</v>
      </c>
      <c r="N83" s="155">
        <f>AW83</f>
        <v>66435</v>
      </c>
      <c r="O83" s="155">
        <f>BE83</f>
        <v>37298</v>
      </c>
      <c r="P83" s="155">
        <f>AZ83+BA83</f>
        <v>176985</v>
      </c>
      <c r="Q83" s="155">
        <f>AU83</f>
        <v>115010</v>
      </c>
      <c r="R83" s="155">
        <f>AT83+AX83</f>
        <v>164531</v>
      </c>
      <c r="S83" s="155">
        <f>AV83</f>
        <v>118490</v>
      </c>
      <c r="T83" s="155">
        <f>BB83</f>
        <v>66865</v>
      </c>
      <c r="U83" s="552">
        <f>BC83</f>
        <v>115264</v>
      </c>
      <c r="V83" s="155">
        <f>BG83+BJ83</f>
        <v>102009</v>
      </c>
      <c r="W83" s="155">
        <f>BR83</f>
        <v>63237</v>
      </c>
      <c r="X83" s="155">
        <f>BH83+BI83</f>
        <v>193212</v>
      </c>
      <c r="Y83" s="155">
        <f>BK83+BL83+BN83</f>
        <v>118525</v>
      </c>
      <c r="Z83" s="155">
        <f>BM83</f>
        <v>99609</v>
      </c>
      <c r="AA83" s="155">
        <f>BO83+BQ83</f>
        <v>128421</v>
      </c>
      <c r="AB83" s="552">
        <f>BP83</f>
        <v>68437</v>
      </c>
      <c r="AC83" s="155">
        <f>BX83</f>
        <v>59219</v>
      </c>
      <c r="AD83" s="155">
        <f>BU83</f>
        <v>69623</v>
      </c>
      <c r="AE83" s="155">
        <f>BS83+BT83</f>
        <v>127560</v>
      </c>
      <c r="AF83" s="155">
        <f>CA83</f>
        <v>88768</v>
      </c>
      <c r="AG83" s="155">
        <f>BV83</f>
        <v>186825</v>
      </c>
      <c r="AH83" s="155">
        <f>BZ83</f>
        <v>79452</v>
      </c>
      <c r="AI83" s="155">
        <f>BW83</f>
        <v>76917</v>
      </c>
      <c r="AJ83" s="155">
        <f>BY83</f>
        <v>89439</v>
      </c>
      <c r="AK83" s="552">
        <f>CB83</f>
        <v>82915</v>
      </c>
      <c r="AL83" s="155">
        <f>CE83</f>
        <v>117764</v>
      </c>
      <c r="AM83" s="155">
        <f>CH83</f>
        <v>94507</v>
      </c>
      <c r="AN83" s="155">
        <f>CJ83</f>
        <v>50122</v>
      </c>
      <c r="AO83" s="155">
        <f>CC83</f>
        <v>97337</v>
      </c>
      <c r="AP83" s="155">
        <f>CD83</f>
        <v>103325</v>
      </c>
      <c r="AQ83" s="155">
        <f>CK83</f>
        <v>89425</v>
      </c>
      <c r="AR83" s="155">
        <f>CI83</f>
        <v>96897</v>
      </c>
      <c r="AS83" s="156">
        <f>CF83+CG83</f>
        <v>97457</v>
      </c>
      <c r="AT83" s="155">
        <v>13868</v>
      </c>
      <c r="AU83" s="155">
        <v>115010</v>
      </c>
      <c r="AV83" s="155">
        <v>118490</v>
      </c>
      <c r="AW83" s="155">
        <v>66435</v>
      </c>
      <c r="AX83" s="155">
        <v>150663</v>
      </c>
      <c r="AY83" s="155">
        <v>139862</v>
      </c>
      <c r="AZ83" s="155">
        <v>21376</v>
      </c>
      <c r="BA83" s="155">
        <v>155609</v>
      </c>
      <c r="BB83" s="155">
        <v>66865</v>
      </c>
      <c r="BC83" s="155">
        <v>115264</v>
      </c>
      <c r="BD83" s="155">
        <v>120625</v>
      </c>
      <c r="BE83" s="155">
        <v>37298</v>
      </c>
      <c r="BF83" s="552">
        <v>104652</v>
      </c>
      <c r="BG83" s="155">
        <v>13459</v>
      </c>
      <c r="BH83" s="155">
        <v>12068</v>
      </c>
      <c r="BI83" s="155">
        <v>181144</v>
      </c>
      <c r="BJ83" s="155">
        <v>88550</v>
      </c>
      <c r="BK83" s="155">
        <v>4621</v>
      </c>
      <c r="BL83" s="155">
        <v>6105</v>
      </c>
      <c r="BM83" s="155">
        <v>99609</v>
      </c>
      <c r="BN83" s="155">
        <v>107799</v>
      </c>
      <c r="BO83" s="155">
        <v>5287</v>
      </c>
      <c r="BP83" s="155">
        <v>68437</v>
      </c>
      <c r="BQ83" s="155">
        <v>123134</v>
      </c>
      <c r="BR83" s="552">
        <v>63237</v>
      </c>
      <c r="BS83" s="155">
        <v>10423</v>
      </c>
      <c r="BT83" s="155">
        <v>117137</v>
      </c>
      <c r="BU83" s="155">
        <v>69623</v>
      </c>
      <c r="BV83" s="155">
        <v>186825</v>
      </c>
      <c r="BW83" s="155">
        <v>76917</v>
      </c>
      <c r="BX83" s="155">
        <v>59219</v>
      </c>
      <c r="BY83" s="155">
        <v>89439</v>
      </c>
      <c r="BZ83" s="155">
        <v>79452</v>
      </c>
      <c r="CA83" s="155">
        <v>88768</v>
      </c>
      <c r="CB83" s="552">
        <v>82915</v>
      </c>
      <c r="CC83" s="155">
        <v>97337</v>
      </c>
      <c r="CD83" s="155">
        <v>103325</v>
      </c>
      <c r="CE83" s="155">
        <v>117764</v>
      </c>
      <c r="CF83" s="155">
        <v>7008</v>
      </c>
      <c r="CG83" s="155">
        <v>90449</v>
      </c>
      <c r="CH83" s="155">
        <v>94507</v>
      </c>
      <c r="CI83" s="155">
        <v>96897</v>
      </c>
      <c r="CJ83" s="155">
        <v>50122</v>
      </c>
      <c r="CK83" s="156">
        <v>89425</v>
      </c>
      <c r="CL83" s="320">
        <f>SUM(AT83:CK83)</f>
        <v>3607019</v>
      </c>
    </row>
    <row r="84" spans="1:90">
      <c r="A84" s="80">
        <f>ROWS($A$3:A82)</f>
        <v>80</v>
      </c>
      <c r="B84" s="610" t="s">
        <v>368</v>
      </c>
      <c r="C84" s="590">
        <v>2007</v>
      </c>
      <c r="D84" s="603" t="s">
        <v>13</v>
      </c>
      <c r="E84" s="522">
        <v>43320</v>
      </c>
      <c r="F84" s="117">
        <v>0.77</v>
      </c>
      <c r="G84" s="118">
        <v>0.68</v>
      </c>
      <c r="H84" s="118">
        <v>1.05</v>
      </c>
      <c r="I84" s="119">
        <v>1.23</v>
      </c>
      <c r="J84" s="122"/>
      <c r="K84" s="530">
        <f t="shared" ref="K84:BV84" si="174">K83/K80</f>
        <v>40.5</v>
      </c>
      <c r="L84" s="531">
        <f t="shared" si="174"/>
        <v>116.35773710482529</v>
      </c>
      <c r="M84" s="531">
        <f t="shared" si="174"/>
        <v>61.763952892985152</v>
      </c>
      <c r="N84" s="531">
        <f t="shared" si="174"/>
        <v>74.063545150501668</v>
      </c>
      <c r="O84" s="531">
        <f t="shared" si="174"/>
        <v>54.449635036496353</v>
      </c>
      <c r="P84" s="531">
        <f t="shared" si="174"/>
        <v>90.622119815668199</v>
      </c>
      <c r="Q84" s="531">
        <f t="shared" si="174"/>
        <v>158.63448275862069</v>
      </c>
      <c r="R84" s="531">
        <f t="shared" si="174"/>
        <v>139.31498729889924</v>
      </c>
      <c r="S84" s="531">
        <f t="shared" si="174"/>
        <v>186.01255886970173</v>
      </c>
      <c r="T84" s="531">
        <f t="shared" si="174"/>
        <v>42.106423173803528</v>
      </c>
      <c r="U84" s="555">
        <f t="shared" si="174"/>
        <v>40.528832630098449</v>
      </c>
      <c r="V84" s="531">
        <f t="shared" si="174"/>
        <v>178.96315789473684</v>
      </c>
      <c r="W84" s="531">
        <f t="shared" si="174"/>
        <v>66.635405690200216</v>
      </c>
      <c r="X84" s="531">
        <f t="shared" si="174"/>
        <v>237.94581280788177</v>
      </c>
      <c r="Y84" s="531">
        <f t="shared" si="174"/>
        <v>109.54251386321627</v>
      </c>
      <c r="Z84" s="531">
        <f t="shared" si="174"/>
        <v>79.9430176565008</v>
      </c>
      <c r="AA84" s="531">
        <f t="shared" si="174"/>
        <v>274.40384615384613</v>
      </c>
      <c r="AB84" s="555">
        <f t="shared" si="174"/>
        <v>94.656984785615492</v>
      </c>
      <c r="AC84" s="531">
        <f t="shared" si="174"/>
        <v>43.131099781500367</v>
      </c>
      <c r="AD84" s="531">
        <f t="shared" si="174"/>
        <v>54.649136577708006</v>
      </c>
      <c r="AE84" s="531">
        <f t="shared" si="174"/>
        <v>55.751748251748253</v>
      </c>
      <c r="AF84" s="531">
        <f t="shared" si="174"/>
        <v>72.463673469387757</v>
      </c>
      <c r="AG84" s="531">
        <f t="shared" si="174"/>
        <v>51.325549450549453</v>
      </c>
      <c r="AH84" s="531">
        <f t="shared" si="174"/>
        <v>75.957934990439767</v>
      </c>
      <c r="AI84" s="531">
        <f t="shared" si="174"/>
        <v>66.364969801553059</v>
      </c>
      <c r="AJ84" s="531">
        <f t="shared" si="174"/>
        <v>148.3233830845771</v>
      </c>
      <c r="AK84" s="555">
        <f t="shared" si="174"/>
        <v>43.095114345114347</v>
      </c>
      <c r="AL84" s="531">
        <f t="shared" si="174"/>
        <v>118.95353535353536</v>
      </c>
      <c r="AM84" s="531">
        <f t="shared" si="174"/>
        <v>40.147408666100254</v>
      </c>
      <c r="AN84" s="531">
        <f t="shared" si="174"/>
        <v>14.921702887764216</v>
      </c>
      <c r="AO84" s="531">
        <f t="shared" si="174"/>
        <v>76.2231793265466</v>
      </c>
      <c r="AP84" s="531">
        <f t="shared" si="174"/>
        <v>201.41325536062379</v>
      </c>
      <c r="AQ84" s="531">
        <f t="shared" si="174"/>
        <v>51.930894308943088</v>
      </c>
      <c r="AR84" s="531">
        <f t="shared" si="174"/>
        <v>61.482868020304565</v>
      </c>
      <c r="AS84" s="532">
        <f t="shared" si="174"/>
        <v>38.353797717434084</v>
      </c>
      <c r="AT84" s="531">
        <f t="shared" si="174"/>
        <v>107.50387596899225</v>
      </c>
      <c r="AU84" s="531">
        <f t="shared" si="174"/>
        <v>158.63448275862069</v>
      </c>
      <c r="AV84" s="531">
        <f t="shared" si="174"/>
        <v>186.01255886970173</v>
      </c>
      <c r="AW84" s="531">
        <f t="shared" si="174"/>
        <v>74.063545150501668</v>
      </c>
      <c r="AX84" s="531">
        <f t="shared" si="174"/>
        <v>143.21577946768062</v>
      </c>
      <c r="AY84" s="531">
        <f t="shared" si="174"/>
        <v>116.35773710482529</v>
      </c>
      <c r="AZ84" s="531">
        <f t="shared" si="174"/>
        <v>124.27906976744185</v>
      </c>
      <c r="BA84" s="531">
        <f t="shared" si="174"/>
        <v>87.371701291409323</v>
      </c>
      <c r="BB84" s="531">
        <f t="shared" si="174"/>
        <v>42.106423173803528</v>
      </c>
      <c r="BC84" s="531">
        <f t="shared" si="174"/>
        <v>40.528832630098449</v>
      </c>
      <c r="BD84" s="531">
        <f t="shared" si="174"/>
        <v>61.763952892985152</v>
      </c>
      <c r="BE84" s="531">
        <f t="shared" si="174"/>
        <v>54.449635036496353</v>
      </c>
      <c r="BF84" s="555">
        <f t="shared" si="174"/>
        <v>40.5</v>
      </c>
      <c r="BG84" s="531">
        <f t="shared" si="174"/>
        <v>207.06153846153848</v>
      </c>
      <c r="BH84" s="531">
        <f t="shared" si="174"/>
        <v>246.28571428571428</v>
      </c>
      <c r="BI84" s="531">
        <f t="shared" si="174"/>
        <v>237.41022280471822</v>
      </c>
      <c r="BJ84" s="531">
        <f t="shared" si="174"/>
        <v>175.34653465346534</v>
      </c>
      <c r="BK84" s="531">
        <f t="shared" si="174"/>
        <v>66.01428571428572</v>
      </c>
      <c r="BL84" s="531">
        <f t="shared" si="174"/>
        <v>91.119402985074629</v>
      </c>
      <c r="BM84" s="531">
        <f t="shared" si="174"/>
        <v>79.9430176565008</v>
      </c>
      <c r="BN84" s="531">
        <f t="shared" si="174"/>
        <v>114.07301587301588</v>
      </c>
      <c r="BO84" s="531">
        <f t="shared" si="174"/>
        <v>293.72222222222223</v>
      </c>
      <c r="BP84" s="531">
        <f t="shared" si="174"/>
        <v>94.656984785615492</v>
      </c>
      <c r="BQ84" s="531">
        <f t="shared" si="174"/>
        <v>273.63111111111112</v>
      </c>
      <c r="BR84" s="555">
        <f t="shared" si="174"/>
        <v>66.635405690200216</v>
      </c>
      <c r="BS84" s="531">
        <f t="shared" si="174"/>
        <v>72.888111888111894</v>
      </c>
      <c r="BT84" s="531">
        <f t="shared" si="174"/>
        <v>54.609324009324013</v>
      </c>
      <c r="BU84" s="531">
        <f t="shared" si="174"/>
        <v>54.649136577708006</v>
      </c>
      <c r="BV84" s="531">
        <f t="shared" si="174"/>
        <v>51.325549450549453</v>
      </c>
      <c r="BW84" s="531">
        <f t="shared" ref="BW84:CL84" si="175">BW83/BW80</f>
        <v>66.364969801553059</v>
      </c>
      <c r="BX84" s="531">
        <f t="shared" si="175"/>
        <v>43.131099781500367</v>
      </c>
      <c r="BY84" s="531">
        <f t="shared" si="175"/>
        <v>148.3233830845771</v>
      </c>
      <c r="BZ84" s="531">
        <f t="shared" si="175"/>
        <v>75.957934990439767</v>
      </c>
      <c r="CA84" s="531">
        <f t="shared" si="175"/>
        <v>72.463673469387757</v>
      </c>
      <c r="CB84" s="555">
        <f t="shared" si="175"/>
        <v>43.095114345114347</v>
      </c>
      <c r="CC84" s="531">
        <f t="shared" si="175"/>
        <v>76.2231793265466</v>
      </c>
      <c r="CD84" s="531">
        <f t="shared" si="175"/>
        <v>201.41325536062379</v>
      </c>
      <c r="CE84" s="531">
        <f t="shared" si="175"/>
        <v>118.95353535353536</v>
      </c>
      <c r="CF84" s="531">
        <f t="shared" si="175"/>
        <v>51.153284671532845</v>
      </c>
      <c r="CG84" s="531">
        <f t="shared" si="175"/>
        <v>37.624376039933445</v>
      </c>
      <c r="CH84" s="531">
        <f t="shared" si="175"/>
        <v>40.147408666100254</v>
      </c>
      <c r="CI84" s="531">
        <f t="shared" si="175"/>
        <v>61.482868020304565</v>
      </c>
      <c r="CJ84" s="531">
        <f t="shared" si="175"/>
        <v>14.921702887764216</v>
      </c>
      <c r="CK84" s="532">
        <f t="shared" si="175"/>
        <v>51.930894308943088</v>
      </c>
      <c r="CL84" s="556">
        <f t="shared" si="175"/>
        <v>70.777210917724631</v>
      </c>
    </row>
    <row r="85" spans="1:90">
      <c r="A85" s="80">
        <f>ROWS($A$3:A83)</f>
        <v>81</v>
      </c>
      <c r="B85" s="92"/>
      <c r="C85" s="203"/>
      <c r="D85" s="259"/>
      <c r="E85" s="451"/>
      <c r="F85" s="117">
        <v>0.08</v>
      </c>
      <c r="G85" s="118">
        <v>0.04</v>
      </c>
      <c r="H85" s="118">
        <v>0.09</v>
      </c>
      <c r="I85" s="119">
        <v>0.06</v>
      </c>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2">
        <v>2007</v>
      </c>
      <c r="D86" s="254"/>
      <c r="E86" s="269"/>
      <c r="F86" s="116"/>
      <c r="G86" s="137"/>
      <c r="H86" s="137"/>
      <c r="I86" s="138"/>
      <c r="J86" s="141"/>
      <c r="K86" s="116"/>
      <c r="L86" s="137"/>
      <c r="M86" s="137"/>
      <c r="N86" s="137"/>
      <c r="O86" s="137"/>
      <c r="P86" s="137"/>
      <c r="Q86" s="137"/>
      <c r="R86" s="141"/>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41"/>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4" t="s">
        <v>188</v>
      </c>
      <c r="E87" s="256">
        <v>40694</v>
      </c>
      <c r="F87" s="151">
        <v>20664</v>
      </c>
      <c r="G87" s="151">
        <v>21956</v>
      </c>
      <c r="H87" s="151">
        <v>15588</v>
      </c>
      <c r="I87" s="152">
        <v>15862</v>
      </c>
      <c r="J87" s="280"/>
      <c r="K87" s="116">
        <f>BF87</f>
        <v>16557</v>
      </c>
      <c r="L87" s="137">
        <f>AY87</f>
        <v>25353</v>
      </c>
      <c r="M87" s="137">
        <f>BD87</f>
        <v>10205</v>
      </c>
      <c r="N87" s="137">
        <f>AW87</f>
        <v>16831</v>
      </c>
      <c r="O87" s="137">
        <f>BE87</f>
        <v>16903</v>
      </c>
      <c r="P87" s="143">
        <f>(AZ101*AZ87+BA101*BA87)/(AZ101+BA101)</f>
        <v>26647.802575107296</v>
      </c>
      <c r="Q87" s="137">
        <f>'2008'!AU87</f>
        <v>31866</v>
      </c>
      <c r="R87" s="143">
        <f>(AT101*AT87+AX101*AX87)/(AT101+AX101)</f>
        <v>39260.194690265489</v>
      </c>
      <c r="S87" s="137">
        <f>AV87</f>
        <v>24730</v>
      </c>
      <c r="T87" s="137">
        <f>BB87</f>
        <v>19093</v>
      </c>
      <c r="U87" s="139">
        <f>BC87</f>
        <v>17299</v>
      </c>
      <c r="V87" s="143">
        <f>(BG101*BG87+BJ101*BJ87)/(BG101+BJ101)</f>
        <v>20347.333333333332</v>
      </c>
      <c r="W87" s="137">
        <f>BR87</f>
        <v>11511</v>
      </c>
      <c r="X87" s="143">
        <f>(BH101*BH87+BI101*BI87)/(BH101+BI101)</f>
        <v>33056.043103448275</v>
      </c>
      <c r="Y87" s="143">
        <f>(BK101*BK87+BL101*BL87+BN101*BN87)/(BK101+BL101+BN101)</f>
        <v>42032.74698795181</v>
      </c>
      <c r="Z87" s="137">
        <f>BM87</f>
        <v>9403</v>
      </c>
      <c r="AA87" s="143">
        <f>(BO101*BO87+BQ101*BQ87)/(BO101+BQ101)</f>
        <v>24789.4375</v>
      </c>
      <c r="AB87" s="139">
        <f>BP87</f>
        <v>14131</v>
      </c>
      <c r="AC87" s="137">
        <f>BX87</f>
        <v>10647</v>
      </c>
      <c r="AD87" s="137">
        <f>BU87</f>
        <v>21366</v>
      </c>
      <c r="AE87" s="143">
        <f>(BS101*BS87+BT101*BT87)/(BS101+BT101)</f>
        <v>21726.625</v>
      </c>
      <c r="AF87" s="137">
        <f>CA87</f>
        <v>16037</v>
      </c>
      <c r="AG87" s="137">
        <f>BV87</f>
        <v>21317</v>
      </c>
      <c r="AH87" s="137">
        <f>BZ87</f>
        <v>14199</v>
      </c>
      <c r="AI87" s="137">
        <f>BW87</f>
        <v>11344</v>
      </c>
      <c r="AJ87" s="137">
        <f>BY87</f>
        <v>8988</v>
      </c>
      <c r="AK87" s="139">
        <f>CB87</f>
        <v>10088</v>
      </c>
      <c r="AL87" s="137">
        <f>CE87</f>
        <v>9649</v>
      </c>
      <c r="AM87" s="137">
        <f>CH87</f>
        <v>16589</v>
      </c>
      <c r="AN87" s="137">
        <f>CJ87</f>
        <v>13452</v>
      </c>
      <c r="AO87" s="137">
        <f>CC87</f>
        <v>15002</v>
      </c>
      <c r="AP87" s="137">
        <f>CD87</f>
        <v>20500</v>
      </c>
      <c r="AQ87" s="137">
        <f>CK87</f>
        <v>10549</v>
      </c>
      <c r="AR87" s="137">
        <f>CI87</f>
        <v>21107</v>
      </c>
      <c r="AS87" s="144">
        <f>(CF101*CF87+CG101*CG87)/(CF101+CG101)</f>
        <v>23485.127659574468</v>
      </c>
      <c r="AT87" s="141">
        <v>115519</v>
      </c>
      <c r="AU87" s="151">
        <v>32848</v>
      </c>
      <c r="AV87" s="151">
        <v>24730</v>
      </c>
      <c r="AW87" s="151">
        <v>16831</v>
      </c>
      <c r="AX87" s="151">
        <v>34984</v>
      </c>
      <c r="AY87" s="151">
        <v>25353</v>
      </c>
      <c r="AZ87" s="151">
        <v>25881</v>
      </c>
      <c r="BA87" s="151">
        <v>26712</v>
      </c>
      <c r="BB87" s="151">
        <v>19093</v>
      </c>
      <c r="BC87" s="151">
        <v>17299</v>
      </c>
      <c r="BD87" s="151">
        <v>10205</v>
      </c>
      <c r="BE87" s="151">
        <v>16903</v>
      </c>
      <c r="BF87" s="153">
        <v>16557</v>
      </c>
      <c r="BG87" s="151">
        <v>28564</v>
      </c>
      <c r="BH87" s="151">
        <v>53814</v>
      </c>
      <c r="BI87" s="151">
        <v>32121</v>
      </c>
      <c r="BJ87" s="151">
        <v>19864</v>
      </c>
      <c r="BK87" s="151">
        <v>123922</v>
      </c>
      <c r="BL87" s="151">
        <v>49674</v>
      </c>
      <c r="BM87" s="151">
        <v>9403</v>
      </c>
      <c r="BN87" s="151">
        <v>40706</v>
      </c>
      <c r="BO87" s="151">
        <v>54306</v>
      </c>
      <c r="BP87" s="151">
        <v>14131</v>
      </c>
      <c r="BQ87" s="151">
        <v>21736</v>
      </c>
      <c r="BR87" s="153">
        <v>11511</v>
      </c>
      <c r="BS87" s="151">
        <v>33609</v>
      </c>
      <c r="BT87" s="151">
        <v>21210</v>
      </c>
      <c r="BU87" s="151">
        <v>21366</v>
      </c>
      <c r="BV87" s="151">
        <v>21317</v>
      </c>
      <c r="BW87" s="151">
        <v>11344</v>
      </c>
      <c r="BX87" s="151">
        <v>10647</v>
      </c>
      <c r="BY87" s="151">
        <v>8988</v>
      </c>
      <c r="BZ87" s="151">
        <v>14199</v>
      </c>
      <c r="CA87" s="151">
        <v>16037</v>
      </c>
      <c r="CB87" s="153">
        <v>10088</v>
      </c>
      <c r="CC87" s="151">
        <v>15002</v>
      </c>
      <c r="CD87" s="151">
        <v>20500</v>
      </c>
      <c r="CE87" s="151">
        <v>9649</v>
      </c>
      <c r="CF87" s="151">
        <v>52063</v>
      </c>
      <c r="CG87" s="151">
        <v>23281</v>
      </c>
      <c r="CH87" s="151">
        <v>16589</v>
      </c>
      <c r="CI87" s="151">
        <v>21107</v>
      </c>
      <c r="CJ87" s="151">
        <v>13452</v>
      </c>
      <c r="CK87" s="151">
        <v>10549</v>
      </c>
      <c r="CL87" s="140">
        <v>18305</v>
      </c>
    </row>
    <row r="88" spans="1:90">
      <c r="A88" s="80">
        <f>ROWS($A$3:A86)</f>
        <v>84</v>
      </c>
      <c r="B88" s="59" t="s">
        <v>190</v>
      </c>
      <c r="C88" s="202">
        <v>2007</v>
      </c>
      <c r="D88" s="254"/>
      <c r="E88" s="270"/>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c r="A89" s="80">
        <f>ROWS($A$3:A87)</f>
        <v>85</v>
      </c>
      <c r="B89" s="92" t="str">
        <f>'2012'!B89</f>
        <v>Winterweizen (einschl. Dinkel u. Einkorn)</v>
      </c>
      <c r="C89" s="205"/>
      <c r="D89" s="254" t="s">
        <v>192</v>
      </c>
      <c r="E89" s="278">
        <v>41499</v>
      </c>
      <c r="F89" s="389">
        <f>6840814/93495</f>
        <v>73.167698807422852</v>
      </c>
      <c r="G89" s="390">
        <f>2528854/38767</f>
        <v>65.232130420202751</v>
      </c>
      <c r="H89" s="390">
        <f>1828272/26483</f>
        <v>69.035683268511875</v>
      </c>
      <c r="I89" s="391">
        <f>4680448/60979</f>
        <v>76.755079617573259</v>
      </c>
      <c r="J89" s="173"/>
      <c r="K89" s="170">
        <f>BF89</f>
        <v>70.590740114903682</v>
      </c>
      <c r="L89" s="171">
        <f>AY89</f>
        <v>66.137623762376236</v>
      </c>
      <c r="M89" s="171">
        <f>BD89</f>
        <v>70.048821906177039</v>
      </c>
      <c r="N89" s="171">
        <f>AW89</f>
        <v>68.529815797689665</v>
      </c>
      <c r="O89" s="171">
        <f>BE89</f>
        <v>77.763026819923368</v>
      </c>
      <c r="P89" s="171">
        <f>'2007'!BA89</f>
        <v>71.461883749239192</v>
      </c>
      <c r="Q89" s="171">
        <f>'2007'!AU89</f>
        <v>80.381578947368425</v>
      </c>
      <c r="R89" s="171">
        <f>AX89</f>
        <v>73.85248024867245</v>
      </c>
      <c r="S89" s="171">
        <f>AV89</f>
        <v>69.50673110113911</v>
      </c>
      <c r="T89" s="171">
        <f t="shared" ref="T89:U93" si="176">BB89</f>
        <v>74.178619615983393</v>
      </c>
      <c r="U89" s="172">
        <f t="shared" si="176"/>
        <v>77.223808222920368</v>
      </c>
      <c r="V89" s="171">
        <f>BJ89</f>
        <v>58.30190058479532</v>
      </c>
      <c r="W89" s="171">
        <f>BR89</f>
        <v>71.136911281489589</v>
      </c>
      <c r="X89" s="171">
        <f>BI89</f>
        <v>62.986054373855474</v>
      </c>
      <c r="Y89" s="171">
        <f>BN89</f>
        <v>65.704214031461703</v>
      </c>
      <c r="Z89" s="171">
        <f>BM89</f>
        <v>66.028092783505159</v>
      </c>
      <c r="AA89" s="171">
        <f>BQ89</f>
        <v>63.088772123893804</v>
      </c>
      <c r="AB89" s="172">
        <f>BP89</f>
        <v>68.205491990846681</v>
      </c>
      <c r="AC89" s="171">
        <f>BX89</f>
        <v>78.40629312724262</v>
      </c>
      <c r="AD89" s="171">
        <f>BU89</f>
        <v>49.491046182846368</v>
      </c>
      <c r="AE89" s="171">
        <f>BT89</f>
        <v>62.855939716312058</v>
      </c>
      <c r="AF89" s="171">
        <f>CA89</f>
        <v>56.874748827863364</v>
      </c>
      <c r="AG89" s="171">
        <f>BV89</f>
        <v>63.823442136498514</v>
      </c>
      <c r="AH89" s="171">
        <f>BZ89</f>
        <v>74.476739034116079</v>
      </c>
      <c r="AI89" s="171">
        <f>BW89</f>
        <v>74.377120586886747</v>
      </c>
      <c r="AJ89" s="171">
        <f>BY89</f>
        <v>67.426400759734094</v>
      </c>
      <c r="AK89" s="172">
        <f>CB89</f>
        <v>67.314374353671141</v>
      </c>
      <c r="AL89" s="171">
        <f>CE89</f>
        <v>65.06842966194111</v>
      </c>
      <c r="AM89" s="171">
        <f>CH89</f>
        <v>79.632283061627305</v>
      </c>
      <c r="AN89" s="171">
        <f>CJ89</f>
        <v>77.569560776302353</v>
      </c>
      <c r="AO89" s="171">
        <f t="shared" ref="AO89:AP93" si="177">CC89</f>
        <v>62.679948029449982</v>
      </c>
      <c r="AP89" s="171">
        <f t="shared" si="177"/>
        <v>65.074174111780593</v>
      </c>
      <c r="AQ89" s="171">
        <f>CK89</f>
        <v>81.369212067631778</v>
      </c>
      <c r="AR89" s="171">
        <f>CI89</f>
        <v>76.267299327797545</v>
      </c>
      <c r="AS89" s="174">
        <f>CG89</f>
        <v>80.829410691479652</v>
      </c>
      <c r="AT89" s="173">
        <v>0</v>
      </c>
      <c r="AU89" s="173">
        <f>390976/4864</f>
        <v>80.381578947368425</v>
      </c>
      <c r="AV89" s="173">
        <f>201361/2897</f>
        <v>69.50673110113911</v>
      </c>
      <c r="AW89" s="173">
        <f>219501/3203</f>
        <v>68.529815797689665</v>
      </c>
      <c r="AX89" s="173">
        <f>570215/7721</f>
        <v>73.85248024867245</v>
      </c>
      <c r="AY89" s="173">
        <f>200397/3030</f>
        <v>66.137623762376236</v>
      </c>
      <c r="AZ89" s="171">
        <v>0</v>
      </c>
      <c r="BA89" s="173">
        <f>939295/13144</f>
        <v>71.461883749239192</v>
      </c>
      <c r="BB89" s="173">
        <f>714711/9635</f>
        <v>74.178619615983393</v>
      </c>
      <c r="BC89" s="173">
        <f>1130711/14642</f>
        <v>77.223808222920368</v>
      </c>
      <c r="BD89" s="173">
        <f>1320000/18844</f>
        <v>70.048821906177039</v>
      </c>
      <c r="BE89" s="173">
        <f>405923/5220</f>
        <v>77.763026819923368</v>
      </c>
      <c r="BF89" s="172">
        <f>626634/8877</f>
        <v>70.590740114903682</v>
      </c>
      <c r="BG89" s="173">
        <v>0</v>
      </c>
      <c r="BH89" s="171">
        <v>0</v>
      </c>
      <c r="BI89" s="173">
        <f>447138/7099</f>
        <v>62.986054373855474</v>
      </c>
      <c r="BJ89" s="173">
        <f>79757/1368</f>
        <v>58.30190058479532</v>
      </c>
      <c r="BK89" s="171">
        <v>0</v>
      </c>
      <c r="BL89" s="173">
        <v>0</v>
      </c>
      <c r="BM89" s="173">
        <f>768567/11640</f>
        <v>66.028092783505159</v>
      </c>
      <c r="BN89" s="173">
        <f>572218/8709</f>
        <v>65.704214031461703</v>
      </c>
      <c r="BO89" s="173">
        <v>0</v>
      </c>
      <c r="BP89" s="173">
        <f>149029/2185</f>
        <v>68.205491990846681</v>
      </c>
      <c r="BQ89" s="173">
        <f>228129/3616</f>
        <v>63.088772123893804</v>
      </c>
      <c r="BR89" s="172">
        <f>194844/2739</f>
        <v>71.136911281489589</v>
      </c>
      <c r="BS89" s="173">
        <v>0</v>
      </c>
      <c r="BT89" s="173">
        <f>141803/2256</f>
        <v>62.855939716312058</v>
      </c>
      <c r="BU89" s="173">
        <f>52510/1061</f>
        <v>49.491046182846368</v>
      </c>
      <c r="BV89" s="173">
        <f>258102/4044</f>
        <v>63.823442136498514</v>
      </c>
      <c r="BW89" s="173">
        <f>324433/4362</f>
        <v>74.377120586886747</v>
      </c>
      <c r="BX89" s="173">
        <f>284066/3623</f>
        <v>78.40629312724262</v>
      </c>
      <c r="BY89" s="173">
        <f>142000/2106</f>
        <v>67.426400759734094</v>
      </c>
      <c r="BZ89" s="173">
        <f>336188/4514</f>
        <v>74.476739034116079</v>
      </c>
      <c r="CA89" s="173">
        <f>84914/1493</f>
        <v>56.874748827863364</v>
      </c>
      <c r="CB89" s="172">
        <f>195279/2901</f>
        <v>67.314374353671141</v>
      </c>
      <c r="CC89" s="173">
        <f>289456/4618</f>
        <v>62.679948029449982</v>
      </c>
      <c r="CD89" s="173">
        <f>313202/4813</f>
        <v>65.074174111780593</v>
      </c>
      <c r="CE89" s="173">
        <f>238671/3668</f>
        <v>65.06842966194111</v>
      </c>
      <c r="CF89" s="173">
        <v>0</v>
      </c>
      <c r="CG89" s="173">
        <f>1329078/16443</f>
        <v>80.829410691479652</v>
      </c>
      <c r="CH89" s="173">
        <f>1089290/13679</f>
        <v>79.632283061627305</v>
      </c>
      <c r="CI89" s="173">
        <f>192880/2529</f>
        <v>76.267299327797545</v>
      </c>
      <c r="CJ89" s="173">
        <f>379703/4895</f>
        <v>77.569560776302353</v>
      </c>
      <c r="CK89" s="174">
        <f>736310/9049</f>
        <v>81.369212067631778</v>
      </c>
      <c r="CL89" s="175">
        <f>15878389/219723</f>
        <v>72.265484268829397</v>
      </c>
    </row>
    <row r="90" spans="1:90">
      <c r="A90" s="80">
        <f>ROWS($A$3:A88)</f>
        <v>86</v>
      </c>
      <c r="B90" s="92" t="s">
        <v>193</v>
      </c>
      <c r="C90" s="203"/>
      <c r="D90" s="254" t="s">
        <v>192</v>
      </c>
      <c r="E90" s="256">
        <v>40695</v>
      </c>
      <c r="F90" s="167">
        <f>8798557/13410</f>
        <v>656.11909023117073</v>
      </c>
      <c r="G90" s="168">
        <f>2363285/3928</f>
        <v>601.650967413442</v>
      </c>
      <c r="H90" s="168">
        <f>166222/266</f>
        <v>624.89473684210532</v>
      </c>
      <c r="I90" s="169">
        <f>548233/831</f>
        <v>659.72683513838751</v>
      </c>
      <c r="J90" s="173"/>
      <c r="K90" s="170">
        <f>BF90</f>
        <v>673.8</v>
      </c>
      <c r="L90" s="171">
        <f>AY90</f>
        <v>651.79999999999995</v>
      </c>
      <c r="M90" s="171">
        <f>BD90</f>
        <v>651</v>
      </c>
      <c r="N90" s="171">
        <f>AW90</f>
        <v>0</v>
      </c>
      <c r="O90" s="171">
        <f>BE90</f>
        <v>696.3</v>
      </c>
      <c r="P90" s="171">
        <f>'2007'!BA90</f>
        <v>657.7</v>
      </c>
      <c r="Q90" s="171">
        <f>'2007'!AU90</f>
        <v>625.6</v>
      </c>
      <c r="R90" s="171">
        <f>AX90</f>
        <v>661.9</v>
      </c>
      <c r="S90" s="171">
        <f>AV90</f>
        <v>0</v>
      </c>
      <c r="T90" s="171">
        <f t="shared" si="176"/>
        <v>664.1</v>
      </c>
      <c r="U90" s="172">
        <f t="shared" si="176"/>
        <v>623.1</v>
      </c>
      <c r="V90" s="171">
        <f>BJ90</f>
        <v>0</v>
      </c>
      <c r="W90" s="171">
        <f>BR90</f>
        <v>0</v>
      </c>
      <c r="X90" s="171">
        <f>BI90</f>
        <v>596.70000000000005</v>
      </c>
      <c r="Y90" s="171">
        <f>BN90</f>
        <v>599</v>
      </c>
      <c r="Z90" s="171">
        <f>BM90</f>
        <v>624.4</v>
      </c>
      <c r="AA90" s="171">
        <f>BQ90</f>
        <v>0</v>
      </c>
      <c r="AB90" s="172">
        <f>BP90</f>
        <v>0</v>
      </c>
      <c r="AC90" s="171">
        <f>BX90</f>
        <v>0</v>
      </c>
      <c r="AD90" s="171">
        <f>BU90</f>
        <v>0</v>
      </c>
      <c r="AE90" s="171">
        <f>BT90</f>
        <v>654.79999999999995</v>
      </c>
      <c r="AF90" s="171">
        <f>CA90</f>
        <v>0</v>
      </c>
      <c r="AG90" s="171">
        <f>BV90</f>
        <v>0</v>
      </c>
      <c r="AH90" s="171">
        <f>BZ90</f>
        <v>0</v>
      </c>
      <c r="AI90" s="171">
        <f>BW90</f>
        <v>0</v>
      </c>
      <c r="AJ90" s="171">
        <f>BY90</f>
        <v>0</v>
      </c>
      <c r="AK90" s="172">
        <f>CB90</f>
        <v>0</v>
      </c>
      <c r="AL90" s="171">
        <f>CE90</f>
        <v>0</v>
      </c>
      <c r="AM90" s="171">
        <f>CH90</f>
        <v>680.3</v>
      </c>
      <c r="AN90" s="171">
        <f>CJ90</f>
        <v>0</v>
      </c>
      <c r="AO90" s="171">
        <f t="shared" si="177"/>
        <v>0</v>
      </c>
      <c r="AP90" s="171">
        <f t="shared" si="177"/>
        <v>0</v>
      </c>
      <c r="AQ90" s="171">
        <f>CK90</f>
        <v>0</v>
      </c>
      <c r="AR90" s="171">
        <f>CI90</f>
        <v>651.20000000000005</v>
      </c>
      <c r="AS90" s="174">
        <f>CG90</f>
        <v>649.4</v>
      </c>
      <c r="AT90" s="173">
        <v>0</v>
      </c>
      <c r="AU90" s="173">
        <v>625.6</v>
      </c>
      <c r="AV90" s="173">
        <v>0</v>
      </c>
      <c r="AW90" s="173">
        <v>0</v>
      </c>
      <c r="AX90" s="173">
        <v>661.9</v>
      </c>
      <c r="AY90" s="173">
        <v>651.79999999999995</v>
      </c>
      <c r="AZ90" s="171">
        <v>0</v>
      </c>
      <c r="BA90" s="173">
        <v>657.7</v>
      </c>
      <c r="BB90" s="173">
        <v>664.1</v>
      </c>
      <c r="BC90" s="173">
        <v>623.1</v>
      </c>
      <c r="BD90" s="173">
        <v>651</v>
      </c>
      <c r="BE90" s="171">
        <v>696.3</v>
      </c>
      <c r="BF90" s="172">
        <v>673.8</v>
      </c>
      <c r="BG90" s="173">
        <v>0</v>
      </c>
      <c r="BH90" s="171">
        <v>0</v>
      </c>
      <c r="BI90" s="173">
        <v>596.70000000000005</v>
      </c>
      <c r="BJ90" s="173">
        <v>0</v>
      </c>
      <c r="BK90" s="171">
        <v>0</v>
      </c>
      <c r="BL90" s="173">
        <v>0</v>
      </c>
      <c r="BM90" s="173">
        <v>624.4</v>
      </c>
      <c r="BN90" s="173">
        <v>599</v>
      </c>
      <c r="BO90" s="173">
        <v>0</v>
      </c>
      <c r="BP90" s="171">
        <v>0</v>
      </c>
      <c r="BQ90" s="171">
        <v>0</v>
      </c>
      <c r="BR90" s="172">
        <v>0</v>
      </c>
      <c r="BS90" s="173">
        <v>0</v>
      </c>
      <c r="BT90" s="173">
        <v>654.79999999999995</v>
      </c>
      <c r="BU90" s="173">
        <v>0</v>
      </c>
      <c r="BV90" s="173">
        <v>0</v>
      </c>
      <c r="BW90" s="173">
        <v>0</v>
      </c>
      <c r="BX90" s="173">
        <v>0</v>
      </c>
      <c r="BY90" s="173">
        <v>0</v>
      </c>
      <c r="BZ90" s="173">
        <v>0</v>
      </c>
      <c r="CA90" s="173">
        <v>0</v>
      </c>
      <c r="CB90" s="172">
        <v>0</v>
      </c>
      <c r="CC90" s="173">
        <v>0</v>
      </c>
      <c r="CD90" s="173">
        <v>0</v>
      </c>
      <c r="CE90" s="173">
        <v>0</v>
      </c>
      <c r="CF90" s="173">
        <v>0</v>
      </c>
      <c r="CG90" s="173">
        <v>649.4</v>
      </c>
      <c r="CH90" s="173">
        <v>680.3</v>
      </c>
      <c r="CI90" s="171">
        <v>651.20000000000005</v>
      </c>
      <c r="CJ90" s="173">
        <v>0</v>
      </c>
      <c r="CK90" s="174">
        <v>0</v>
      </c>
      <c r="CL90" s="189">
        <v>644.20000000000005</v>
      </c>
    </row>
    <row r="91" spans="1:90">
      <c r="A91" s="80">
        <f>ROWS($A$3:A89)</f>
        <v>87</v>
      </c>
      <c r="B91" s="92" t="s">
        <v>194</v>
      </c>
      <c r="C91" s="203"/>
      <c r="D91" s="254" t="s">
        <v>192</v>
      </c>
      <c r="E91" s="256">
        <v>40695</v>
      </c>
      <c r="F91" s="167">
        <f>1191162/31596</f>
        <v>37.699772123053549</v>
      </c>
      <c r="G91" s="168">
        <f>426766/11988</f>
        <v>35.599432766099433</v>
      </c>
      <c r="H91" s="168">
        <f>268938/7115</f>
        <v>37.798735066760365</v>
      </c>
      <c r="I91" s="169">
        <f>768324/19853</f>
        <v>38.700649775852519</v>
      </c>
      <c r="J91" s="173"/>
      <c r="K91" s="170">
        <f>BF91</f>
        <v>43.1</v>
      </c>
      <c r="L91" s="171">
        <f>AY91</f>
        <v>40.200000000000003</v>
      </c>
      <c r="M91" s="171">
        <f>BD91</f>
        <v>40.6</v>
      </c>
      <c r="N91" s="171">
        <f>AW91</f>
        <v>46.9</v>
      </c>
      <c r="O91" s="171">
        <f>BE91</f>
        <v>46</v>
      </c>
      <c r="P91" s="171">
        <f>'2007'!BA91</f>
        <v>40.700000000000003</v>
      </c>
      <c r="Q91" s="171">
        <f>'2007'!AU91</f>
        <v>47.5</v>
      </c>
      <c r="R91" s="171">
        <f>AX91</f>
        <v>42.1</v>
      </c>
      <c r="S91" s="171">
        <f>AV91</f>
        <v>42.8</v>
      </c>
      <c r="T91" s="171">
        <f t="shared" si="176"/>
        <v>38.9</v>
      </c>
      <c r="U91" s="172">
        <f t="shared" si="176"/>
        <v>42.9</v>
      </c>
      <c r="V91" s="171">
        <f>BJ91</f>
        <v>0</v>
      </c>
      <c r="W91" s="171">
        <f>BR91</f>
        <v>44.3</v>
      </c>
      <c r="X91" s="171">
        <f>BI91</f>
        <v>39.299999999999997</v>
      </c>
      <c r="Y91" s="171">
        <f>BN91</f>
        <v>37.9</v>
      </c>
      <c r="Z91" s="171">
        <f>BM91</f>
        <v>39.1</v>
      </c>
      <c r="AA91" s="171">
        <f>BQ91</f>
        <v>39.5</v>
      </c>
      <c r="AB91" s="172">
        <f>BP91</f>
        <v>43.1</v>
      </c>
      <c r="AC91" s="171">
        <f>BX91</f>
        <v>43.8</v>
      </c>
      <c r="AD91" s="171">
        <f>BU91</f>
        <v>0</v>
      </c>
      <c r="AE91" s="171">
        <f>BT91</f>
        <v>43.5</v>
      </c>
      <c r="AF91" s="171">
        <f>CA91</f>
        <v>0</v>
      </c>
      <c r="AG91" s="171">
        <f>BV91</f>
        <v>35.299999999999997</v>
      </c>
      <c r="AH91" s="171">
        <f>BZ91</f>
        <v>41.5</v>
      </c>
      <c r="AI91" s="171">
        <f>BW91</f>
        <v>44.3</v>
      </c>
      <c r="AJ91" s="171">
        <f>BY91</f>
        <v>42.2</v>
      </c>
      <c r="AK91" s="172">
        <f>CB91</f>
        <v>39.1</v>
      </c>
      <c r="AL91" s="171">
        <f>CE91</f>
        <v>37.799999999999997</v>
      </c>
      <c r="AM91" s="171">
        <f>CH91</f>
        <v>42.8</v>
      </c>
      <c r="AN91" s="171">
        <f>CJ91</f>
        <v>44.3</v>
      </c>
      <c r="AO91" s="171">
        <f t="shared" si="177"/>
        <v>39.9</v>
      </c>
      <c r="AP91" s="171">
        <f t="shared" si="177"/>
        <v>46.5</v>
      </c>
      <c r="AQ91" s="171">
        <f>CK91</f>
        <v>43.9</v>
      </c>
      <c r="AR91" s="171">
        <f>CI91</f>
        <v>45.6</v>
      </c>
      <c r="AS91" s="174">
        <f>CG91</f>
        <v>43.5</v>
      </c>
      <c r="AT91" s="173">
        <v>0</v>
      </c>
      <c r="AU91" s="173">
        <v>47.5</v>
      </c>
      <c r="AV91" s="173">
        <v>42.8</v>
      </c>
      <c r="AW91" s="173">
        <v>46.9</v>
      </c>
      <c r="AX91" s="171">
        <v>42.1</v>
      </c>
      <c r="AY91" s="173">
        <v>40.200000000000003</v>
      </c>
      <c r="AZ91" s="171">
        <v>0</v>
      </c>
      <c r="BA91" s="173">
        <v>40.700000000000003</v>
      </c>
      <c r="BB91" s="173">
        <v>38.9</v>
      </c>
      <c r="BC91" s="173">
        <v>42.9</v>
      </c>
      <c r="BD91" s="173">
        <v>40.6</v>
      </c>
      <c r="BE91" s="173">
        <v>46</v>
      </c>
      <c r="BF91" s="172">
        <v>43.1</v>
      </c>
      <c r="BG91" s="173">
        <v>0</v>
      </c>
      <c r="BH91" s="171">
        <v>0</v>
      </c>
      <c r="BI91" s="173">
        <v>39.299999999999997</v>
      </c>
      <c r="BJ91" s="173">
        <v>0</v>
      </c>
      <c r="BK91" s="171">
        <v>0</v>
      </c>
      <c r="BL91" s="173">
        <v>0</v>
      </c>
      <c r="BM91" s="171">
        <v>39.1</v>
      </c>
      <c r="BN91" s="171">
        <v>37.9</v>
      </c>
      <c r="BO91" s="173">
        <v>0</v>
      </c>
      <c r="BP91" s="173">
        <v>43.1</v>
      </c>
      <c r="BQ91" s="171">
        <v>39.5</v>
      </c>
      <c r="BR91" s="172">
        <v>44.3</v>
      </c>
      <c r="BS91" s="173">
        <v>0</v>
      </c>
      <c r="BT91" s="173">
        <v>43.5</v>
      </c>
      <c r="BU91" s="171">
        <v>0</v>
      </c>
      <c r="BV91" s="173">
        <v>35.299999999999997</v>
      </c>
      <c r="BW91" s="173">
        <v>44.3</v>
      </c>
      <c r="BX91" s="173">
        <v>43.8</v>
      </c>
      <c r="BY91" s="173">
        <v>42.2</v>
      </c>
      <c r="BZ91" s="173">
        <v>41.5</v>
      </c>
      <c r="CA91" s="171">
        <v>0</v>
      </c>
      <c r="CB91" s="172">
        <v>39.1</v>
      </c>
      <c r="CC91" s="173">
        <v>39.9</v>
      </c>
      <c r="CD91" s="173">
        <v>46.5</v>
      </c>
      <c r="CE91" s="173">
        <v>37.799999999999997</v>
      </c>
      <c r="CF91" s="173">
        <v>0</v>
      </c>
      <c r="CG91" s="173">
        <v>43.5</v>
      </c>
      <c r="CH91" s="173">
        <v>42.8</v>
      </c>
      <c r="CI91" s="173">
        <v>45.6</v>
      </c>
      <c r="CJ91" s="173">
        <v>44.3</v>
      </c>
      <c r="CK91" s="174">
        <v>43.9</v>
      </c>
      <c r="CL91" s="189">
        <v>42.1</v>
      </c>
    </row>
    <row r="92" spans="1:90">
      <c r="A92" s="80">
        <f>ROWS($A$3:A90)</f>
        <v>88</v>
      </c>
      <c r="B92" s="92" t="s">
        <v>195</v>
      </c>
      <c r="C92" s="203"/>
      <c r="D92" s="254" t="s">
        <v>192</v>
      </c>
      <c r="E92" s="256">
        <v>40695</v>
      </c>
      <c r="F92" s="167">
        <f>13560134/27994</f>
        <v>484.39429877830963</v>
      </c>
      <c r="G92" s="168">
        <f>3839425/8489</f>
        <v>452.28236541406528</v>
      </c>
      <c r="H92" s="168">
        <f>7292594/15353</f>
        <v>474.994724158145</v>
      </c>
      <c r="I92" s="169">
        <f>18057003/39220</f>
        <v>460.40293217746046</v>
      </c>
      <c r="J92" s="173"/>
      <c r="K92" s="170">
        <f>BF92</f>
        <v>477.6</v>
      </c>
      <c r="L92" s="171">
        <f>AY92</f>
        <v>455.6</v>
      </c>
      <c r="M92" s="171">
        <f>BD92</f>
        <v>493.4</v>
      </c>
      <c r="N92" s="171">
        <f>AW92</f>
        <v>519.70000000000005</v>
      </c>
      <c r="O92" s="171">
        <f>BE92</f>
        <v>484.3</v>
      </c>
      <c r="P92" s="171">
        <f>'2007'!BA92</f>
        <v>474.5</v>
      </c>
      <c r="Q92" s="171">
        <f>'2007'!AU92</f>
        <v>516.29999999999995</v>
      </c>
      <c r="R92" s="171">
        <f>AX92</f>
        <v>521.70000000000005</v>
      </c>
      <c r="S92" s="171">
        <f>AV92</f>
        <v>497.3</v>
      </c>
      <c r="T92" s="171">
        <f t="shared" si="176"/>
        <v>468.5</v>
      </c>
      <c r="U92" s="172">
        <f t="shared" si="176"/>
        <v>470</v>
      </c>
      <c r="V92" s="171">
        <f>BJ92</f>
        <v>455.6</v>
      </c>
      <c r="W92" s="171">
        <f>BR92</f>
        <v>461.7</v>
      </c>
      <c r="X92" s="171">
        <f>BI92</f>
        <v>470.5</v>
      </c>
      <c r="Y92" s="171">
        <f>BN92</f>
        <v>425.2</v>
      </c>
      <c r="Z92" s="171">
        <f>BM92</f>
        <v>438</v>
      </c>
      <c r="AA92" s="171">
        <f>BQ92</f>
        <v>528.70000000000005</v>
      </c>
      <c r="AB92" s="172">
        <f>BP92</f>
        <v>415.2</v>
      </c>
      <c r="AC92" s="171">
        <f>BX92</f>
        <v>515.20000000000005</v>
      </c>
      <c r="AD92" s="171">
        <f>BU92</f>
        <v>464.6</v>
      </c>
      <c r="AE92" s="171">
        <f>BT92</f>
        <v>470.7</v>
      </c>
      <c r="AF92" s="171">
        <f>CA92</f>
        <v>505.8</v>
      </c>
      <c r="AG92" s="171">
        <f>BV92</f>
        <v>431.2</v>
      </c>
      <c r="AH92" s="171">
        <f>BZ92</f>
        <v>476.9</v>
      </c>
      <c r="AI92" s="171">
        <f>BW92</f>
        <v>462.7</v>
      </c>
      <c r="AJ92" s="171">
        <f>BY92</f>
        <v>482.6</v>
      </c>
      <c r="AK92" s="172">
        <f>CB92</f>
        <v>474.2</v>
      </c>
      <c r="AL92" s="171">
        <f>CE92</f>
        <v>433.7</v>
      </c>
      <c r="AM92" s="171">
        <f>CH92</f>
        <v>495.4</v>
      </c>
      <c r="AN92" s="171">
        <f>CJ92</f>
        <v>425.7</v>
      </c>
      <c r="AO92" s="171">
        <f t="shared" si="177"/>
        <v>321.8</v>
      </c>
      <c r="AP92" s="171">
        <f t="shared" si="177"/>
        <v>444.2</v>
      </c>
      <c r="AQ92" s="171">
        <f>CK92</f>
        <v>499.3</v>
      </c>
      <c r="AR92" s="171">
        <f>CI92</f>
        <v>497.4</v>
      </c>
      <c r="AS92" s="174">
        <f>CG92</f>
        <v>456.9</v>
      </c>
      <c r="AT92" s="173">
        <v>0</v>
      </c>
      <c r="AU92" s="173">
        <v>516.29999999999995</v>
      </c>
      <c r="AV92" s="173">
        <v>497.3</v>
      </c>
      <c r="AW92" s="173">
        <v>519.70000000000005</v>
      </c>
      <c r="AX92" s="173">
        <v>521.70000000000005</v>
      </c>
      <c r="AY92" s="173">
        <v>455.6</v>
      </c>
      <c r="AZ92" s="171">
        <v>0</v>
      </c>
      <c r="BA92" s="173">
        <v>474.5</v>
      </c>
      <c r="BB92" s="173">
        <v>468.5</v>
      </c>
      <c r="BC92" s="173">
        <v>470</v>
      </c>
      <c r="BD92" s="173">
        <v>493.4</v>
      </c>
      <c r="BE92" s="173">
        <v>484.3</v>
      </c>
      <c r="BF92" s="172">
        <v>477.6</v>
      </c>
      <c r="BG92" s="173">
        <v>0</v>
      </c>
      <c r="BH92" s="171">
        <v>0</v>
      </c>
      <c r="BI92" s="173">
        <v>470.5</v>
      </c>
      <c r="BJ92" s="173">
        <v>455.6</v>
      </c>
      <c r="BK92" s="171">
        <v>0</v>
      </c>
      <c r="BL92" s="173">
        <v>0</v>
      </c>
      <c r="BM92" s="173">
        <v>438</v>
      </c>
      <c r="BN92" s="173">
        <v>425.2</v>
      </c>
      <c r="BO92" s="173">
        <v>0</v>
      </c>
      <c r="BP92" s="173">
        <v>415.2</v>
      </c>
      <c r="BQ92" s="173">
        <v>528.70000000000005</v>
      </c>
      <c r="BR92" s="172">
        <v>461.7</v>
      </c>
      <c r="BS92" s="173">
        <v>0</v>
      </c>
      <c r="BT92" s="173">
        <v>470.7</v>
      </c>
      <c r="BU92" s="171">
        <v>464.6</v>
      </c>
      <c r="BV92" s="173">
        <v>431.2</v>
      </c>
      <c r="BW92" s="173">
        <v>462.7</v>
      </c>
      <c r="BX92" s="173">
        <v>515.20000000000005</v>
      </c>
      <c r="BY92" s="173">
        <v>482.6</v>
      </c>
      <c r="BZ92" s="173">
        <v>476.9</v>
      </c>
      <c r="CA92" s="173">
        <v>505.8</v>
      </c>
      <c r="CB92" s="172">
        <v>474.2</v>
      </c>
      <c r="CC92" s="173">
        <v>321.8</v>
      </c>
      <c r="CD92" s="173">
        <v>444.2</v>
      </c>
      <c r="CE92" s="173">
        <v>433.7</v>
      </c>
      <c r="CF92" s="173">
        <v>0</v>
      </c>
      <c r="CG92" s="173">
        <v>456.9</v>
      </c>
      <c r="CH92" s="173">
        <v>495.4</v>
      </c>
      <c r="CI92" s="173">
        <v>497.4</v>
      </c>
      <c r="CJ92" s="173">
        <v>425.7</v>
      </c>
      <c r="CK92" s="174">
        <v>499.3</v>
      </c>
      <c r="CL92" s="189">
        <v>469.5</v>
      </c>
    </row>
    <row r="93" spans="1:90">
      <c r="A93" s="80">
        <f>ROWS($A$3:A91)</f>
        <v>89</v>
      </c>
      <c r="B93" s="197" t="s">
        <v>94</v>
      </c>
      <c r="C93" s="276"/>
      <c r="D93" s="271" t="s">
        <v>3</v>
      </c>
      <c r="E93" s="272"/>
      <c r="F93" s="116">
        <v>60</v>
      </c>
      <c r="G93" s="137">
        <v>37</v>
      </c>
      <c r="H93" s="137">
        <v>69</v>
      </c>
      <c r="I93" s="138">
        <v>54</v>
      </c>
      <c r="J93" s="141"/>
      <c r="K93" s="116">
        <f>BF93</f>
        <v>97</v>
      </c>
      <c r="L93" s="137">
        <f>AY93</f>
        <v>64</v>
      </c>
      <c r="M93" s="137">
        <f>BD93</f>
        <v>66</v>
      </c>
      <c r="N93" s="137">
        <f>AW93</f>
        <v>75</v>
      </c>
      <c r="O93" s="137">
        <f>BE93</f>
        <v>52</v>
      </c>
      <c r="P93" s="143">
        <f>(AZ35*AZ93+BA35*BA93)/P35</f>
        <v>7.432921350219555</v>
      </c>
      <c r="Q93" s="137">
        <f>'2007'!AU93</f>
        <v>51</v>
      </c>
      <c r="R93" s="143">
        <f>(AT35*AT93+AX35*AX93)/R35</f>
        <v>0</v>
      </c>
      <c r="S93" s="137">
        <f>AV93</f>
        <v>59</v>
      </c>
      <c r="T93" s="137">
        <f t="shared" si="176"/>
        <v>51</v>
      </c>
      <c r="U93" s="139">
        <f t="shared" si="176"/>
        <v>93</v>
      </c>
      <c r="V93" s="143">
        <f>(BG35*BG93+BJ35*BJ93)/V35</f>
        <v>17.984657039711191</v>
      </c>
      <c r="W93" s="137">
        <f>BR93</f>
        <v>82</v>
      </c>
      <c r="X93" s="143">
        <f>(BH35*BH93+BI35*BI93)/X35</f>
        <v>3.736710631494804</v>
      </c>
      <c r="Y93" s="143">
        <f>(BK35*BK93+BL35*BL93+BN35*BN93)/Y35</f>
        <v>6.2961604531315292</v>
      </c>
      <c r="Z93" s="137">
        <f>BM93</f>
        <v>65</v>
      </c>
      <c r="AA93" s="143">
        <f>(BO35*BO93+BQ35*BQ93)/AA35</f>
        <v>41.917907484613856</v>
      </c>
      <c r="AB93" s="139">
        <f>BP93</f>
        <v>74</v>
      </c>
      <c r="AC93" s="137">
        <f>BX93</f>
        <v>96</v>
      </c>
      <c r="AD93" s="137">
        <f>BU93</f>
        <v>46</v>
      </c>
      <c r="AE93" s="143">
        <f>(BS35*BS93+BT35*BT93)/AE35</f>
        <v>48.061084445777709</v>
      </c>
      <c r="AF93" s="137">
        <f>CA93</f>
        <v>57</v>
      </c>
      <c r="AG93" s="137">
        <f>BV93</f>
        <v>38</v>
      </c>
      <c r="AH93" s="137">
        <f>BZ93</f>
        <v>59</v>
      </c>
      <c r="AI93" s="137">
        <f>BW93</f>
        <v>100</v>
      </c>
      <c r="AJ93" s="137">
        <f>BY93</f>
        <v>100</v>
      </c>
      <c r="AK93" s="139">
        <f>CB93</f>
        <v>100</v>
      </c>
      <c r="AL93" s="137">
        <f>CE93</f>
        <v>98</v>
      </c>
      <c r="AM93" s="137">
        <f>CH93</f>
        <v>15</v>
      </c>
      <c r="AN93" s="137">
        <f>CJ93</f>
        <v>58</v>
      </c>
      <c r="AO93" s="137">
        <f t="shared" si="177"/>
        <v>98</v>
      </c>
      <c r="AP93" s="137">
        <f t="shared" si="177"/>
        <v>53</v>
      </c>
      <c r="AQ93" s="137">
        <f>CK93</f>
        <v>73</v>
      </c>
      <c r="AR93" s="137">
        <f>CI93</f>
        <v>26</v>
      </c>
      <c r="AS93" s="144">
        <f>(CF35*CF93+CG35*CG93)/AS35</f>
        <v>41.794570598431285</v>
      </c>
      <c r="AT93" s="141">
        <v>0</v>
      </c>
      <c r="AU93" s="141">
        <v>51</v>
      </c>
      <c r="AV93" s="141">
        <v>59</v>
      </c>
      <c r="AW93" s="141">
        <v>75</v>
      </c>
      <c r="AX93" s="137">
        <v>0</v>
      </c>
      <c r="AY93" s="137">
        <v>64</v>
      </c>
      <c r="AZ93" s="137">
        <v>0</v>
      </c>
      <c r="BA93" s="137">
        <v>8</v>
      </c>
      <c r="BB93" s="137">
        <v>51</v>
      </c>
      <c r="BC93" s="137">
        <v>93</v>
      </c>
      <c r="BD93" s="137">
        <v>66</v>
      </c>
      <c r="BE93" s="137">
        <v>52</v>
      </c>
      <c r="BF93" s="139">
        <v>97</v>
      </c>
      <c r="BG93" s="137">
        <v>69</v>
      </c>
      <c r="BH93" s="137">
        <v>0</v>
      </c>
      <c r="BI93" s="137">
        <v>4</v>
      </c>
      <c r="BJ93" s="137">
        <v>12</v>
      </c>
      <c r="BK93" s="137">
        <v>1</v>
      </c>
      <c r="BL93" s="137">
        <v>0</v>
      </c>
      <c r="BM93" s="137">
        <v>65</v>
      </c>
      <c r="BN93" s="137">
        <v>7</v>
      </c>
      <c r="BO93" s="137">
        <v>21</v>
      </c>
      <c r="BP93" s="137">
        <v>74</v>
      </c>
      <c r="BQ93" s="137">
        <v>43</v>
      </c>
      <c r="BR93" s="139">
        <v>82</v>
      </c>
      <c r="BS93" s="137">
        <v>21</v>
      </c>
      <c r="BT93" s="137">
        <v>50</v>
      </c>
      <c r="BU93" s="137">
        <v>46</v>
      </c>
      <c r="BV93" s="137">
        <v>38</v>
      </c>
      <c r="BW93" s="137">
        <v>100</v>
      </c>
      <c r="BX93" s="137">
        <v>96</v>
      </c>
      <c r="BY93" s="137">
        <v>100</v>
      </c>
      <c r="BZ93" s="137">
        <v>59</v>
      </c>
      <c r="CA93" s="137">
        <v>57</v>
      </c>
      <c r="CB93" s="139">
        <v>100</v>
      </c>
      <c r="CC93" s="137">
        <v>98</v>
      </c>
      <c r="CD93" s="137">
        <v>53</v>
      </c>
      <c r="CE93" s="137">
        <v>98</v>
      </c>
      <c r="CF93" s="137">
        <v>7</v>
      </c>
      <c r="CG93" s="137">
        <v>44</v>
      </c>
      <c r="CH93" s="137">
        <v>15</v>
      </c>
      <c r="CI93" s="137">
        <v>26</v>
      </c>
      <c r="CJ93" s="137">
        <v>58</v>
      </c>
      <c r="CK93" s="138">
        <v>73</v>
      </c>
      <c r="CL93" s="140">
        <v>57</v>
      </c>
    </row>
    <row r="94" spans="1:90">
      <c r="A94" s="80">
        <f>ROWS($A$3:A92)</f>
        <v>90</v>
      </c>
      <c r="B94" s="59" t="s">
        <v>247</v>
      </c>
      <c r="C94" s="203"/>
      <c r="D94" s="254"/>
      <c r="E94" s="273"/>
      <c r="F94" s="116"/>
      <c r="G94" s="137"/>
      <c r="H94" s="137"/>
      <c r="I94" s="138"/>
      <c r="J94" s="141"/>
      <c r="K94" s="116">
        <f t="shared" ref="K94:AS94" si="178">$C$95</f>
        <v>2007</v>
      </c>
      <c r="L94" s="137">
        <f t="shared" si="178"/>
        <v>2007</v>
      </c>
      <c r="M94" s="137">
        <f t="shared" si="178"/>
        <v>2007</v>
      </c>
      <c r="N94" s="137">
        <f t="shared" si="178"/>
        <v>2007</v>
      </c>
      <c r="O94" s="137">
        <f t="shared" si="178"/>
        <v>2007</v>
      </c>
      <c r="P94" s="137">
        <f t="shared" si="178"/>
        <v>2007</v>
      </c>
      <c r="Q94" s="137">
        <f t="shared" si="178"/>
        <v>2007</v>
      </c>
      <c r="R94" s="137">
        <f t="shared" si="178"/>
        <v>2007</v>
      </c>
      <c r="S94" s="137">
        <f t="shared" si="178"/>
        <v>2007</v>
      </c>
      <c r="T94" s="137">
        <f t="shared" si="178"/>
        <v>2007</v>
      </c>
      <c r="U94" s="139">
        <f t="shared" si="178"/>
        <v>2007</v>
      </c>
      <c r="V94" s="137">
        <f t="shared" si="178"/>
        <v>2007</v>
      </c>
      <c r="W94" s="137">
        <f t="shared" si="178"/>
        <v>2007</v>
      </c>
      <c r="X94" s="137">
        <f t="shared" si="178"/>
        <v>2007</v>
      </c>
      <c r="Y94" s="137">
        <f t="shared" si="178"/>
        <v>2007</v>
      </c>
      <c r="Z94" s="137">
        <f t="shared" si="178"/>
        <v>2007</v>
      </c>
      <c r="AA94" s="137">
        <f t="shared" si="178"/>
        <v>2007</v>
      </c>
      <c r="AB94" s="139">
        <f t="shared" si="178"/>
        <v>2007</v>
      </c>
      <c r="AC94" s="137">
        <f t="shared" si="178"/>
        <v>2007</v>
      </c>
      <c r="AD94" s="137">
        <f t="shared" si="178"/>
        <v>2007</v>
      </c>
      <c r="AE94" s="137">
        <f t="shared" si="178"/>
        <v>2007</v>
      </c>
      <c r="AF94" s="137">
        <f t="shared" si="178"/>
        <v>2007</v>
      </c>
      <c r="AG94" s="137">
        <f t="shared" si="178"/>
        <v>2007</v>
      </c>
      <c r="AH94" s="137">
        <f t="shared" si="178"/>
        <v>2007</v>
      </c>
      <c r="AI94" s="137">
        <f t="shared" si="178"/>
        <v>2007</v>
      </c>
      <c r="AJ94" s="137">
        <f t="shared" si="178"/>
        <v>2007</v>
      </c>
      <c r="AK94" s="139">
        <f t="shared" si="178"/>
        <v>2007</v>
      </c>
      <c r="AL94" s="137">
        <f t="shared" si="178"/>
        <v>2007</v>
      </c>
      <c r="AM94" s="137">
        <f t="shared" si="178"/>
        <v>2007</v>
      </c>
      <c r="AN94" s="137">
        <f t="shared" si="178"/>
        <v>2007</v>
      </c>
      <c r="AO94" s="137">
        <f t="shared" si="178"/>
        <v>2007</v>
      </c>
      <c r="AP94" s="137">
        <f t="shared" si="178"/>
        <v>2007</v>
      </c>
      <c r="AQ94" s="137">
        <f t="shared" si="178"/>
        <v>2007</v>
      </c>
      <c r="AR94" s="137">
        <f t="shared" si="178"/>
        <v>2007</v>
      </c>
      <c r="AS94" s="138">
        <f t="shared" si="178"/>
        <v>2007</v>
      </c>
      <c r="AT94" s="137">
        <v>2009</v>
      </c>
      <c r="AU94" s="137">
        <f t="shared" ref="AU94:CL94" si="179">$C$95</f>
        <v>2007</v>
      </c>
      <c r="AV94" s="137">
        <f t="shared" si="179"/>
        <v>2007</v>
      </c>
      <c r="AW94" s="137">
        <f t="shared" si="179"/>
        <v>2007</v>
      </c>
      <c r="AX94" s="137">
        <f t="shared" si="179"/>
        <v>2007</v>
      </c>
      <c r="AY94" s="137">
        <f t="shared" si="179"/>
        <v>2007</v>
      </c>
      <c r="AZ94" s="137">
        <f t="shared" si="179"/>
        <v>2007</v>
      </c>
      <c r="BA94" s="137">
        <f t="shared" si="179"/>
        <v>2007</v>
      </c>
      <c r="BB94" s="137">
        <f t="shared" si="179"/>
        <v>2007</v>
      </c>
      <c r="BC94" s="137">
        <f t="shared" si="179"/>
        <v>2007</v>
      </c>
      <c r="BD94" s="137">
        <f t="shared" si="179"/>
        <v>2007</v>
      </c>
      <c r="BE94" s="137">
        <f t="shared" si="179"/>
        <v>2007</v>
      </c>
      <c r="BF94" s="139">
        <f t="shared" si="179"/>
        <v>2007</v>
      </c>
      <c r="BG94" s="137">
        <f t="shared" si="179"/>
        <v>2007</v>
      </c>
      <c r="BH94" s="137">
        <f t="shared" si="179"/>
        <v>2007</v>
      </c>
      <c r="BI94" s="137">
        <f t="shared" si="179"/>
        <v>2007</v>
      </c>
      <c r="BJ94" s="137">
        <f t="shared" si="179"/>
        <v>2007</v>
      </c>
      <c r="BK94" s="137">
        <f t="shared" si="179"/>
        <v>2007</v>
      </c>
      <c r="BL94" s="137">
        <f t="shared" si="179"/>
        <v>2007</v>
      </c>
      <c r="BM94" s="137">
        <f t="shared" si="179"/>
        <v>2007</v>
      </c>
      <c r="BN94" s="137">
        <f t="shared" si="179"/>
        <v>2007</v>
      </c>
      <c r="BO94" s="137">
        <f t="shared" si="179"/>
        <v>2007</v>
      </c>
      <c r="BP94" s="137">
        <f t="shared" si="179"/>
        <v>2007</v>
      </c>
      <c r="BQ94" s="137">
        <f t="shared" si="179"/>
        <v>2007</v>
      </c>
      <c r="BR94" s="139">
        <f t="shared" si="179"/>
        <v>2007</v>
      </c>
      <c r="BS94" s="137">
        <f t="shared" si="179"/>
        <v>2007</v>
      </c>
      <c r="BT94" s="137">
        <f t="shared" si="179"/>
        <v>2007</v>
      </c>
      <c r="BU94" s="137">
        <f t="shared" si="179"/>
        <v>2007</v>
      </c>
      <c r="BV94" s="137">
        <f t="shared" si="179"/>
        <v>2007</v>
      </c>
      <c r="BW94" s="137">
        <f t="shared" si="179"/>
        <v>2007</v>
      </c>
      <c r="BX94" s="137">
        <f t="shared" si="179"/>
        <v>2007</v>
      </c>
      <c r="BY94" s="137">
        <f t="shared" si="179"/>
        <v>2007</v>
      </c>
      <c r="BZ94" s="137">
        <f t="shared" si="179"/>
        <v>2007</v>
      </c>
      <c r="CA94" s="137">
        <f t="shared" si="179"/>
        <v>2007</v>
      </c>
      <c r="CB94" s="139">
        <f t="shared" si="179"/>
        <v>2007</v>
      </c>
      <c r="CC94" s="137">
        <f t="shared" si="179"/>
        <v>2007</v>
      </c>
      <c r="CD94" s="137">
        <f t="shared" si="179"/>
        <v>2007</v>
      </c>
      <c r="CE94" s="137">
        <f t="shared" si="179"/>
        <v>2007</v>
      </c>
      <c r="CF94" s="137">
        <f t="shared" si="179"/>
        <v>2007</v>
      </c>
      <c r="CG94" s="137">
        <f t="shared" si="179"/>
        <v>2007</v>
      </c>
      <c r="CH94" s="137">
        <f t="shared" si="179"/>
        <v>2007</v>
      </c>
      <c r="CI94" s="137">
        <f t="shared" si="179"/>
        <v>2007</v>
      </c>
      <c r="CJ94" s="137">
        <f t="shared" si="179"/>
        <v>2007</v>
      </c>
      <c r="CK94" s="138">
        <f t="shared" si="179"/>
        <v>2007</v>
      </c>
      <c r="CL94" s="140">
        <f t="shared" si="179"/>
        <v>2007</v>
      </c>
    </row>
    <row r="95" spans="1:90">
      <c r="A95" s="80">
        <f>ROWS($A$3:A93)</f>
        <v>91</v>
      </c>
      <c r="B95" s="92" t="s">
        <v>77</v>
      </c>
      <c r="C95" s="202">
        <v>2007</v>
      </c>
      <c r="D95" s="254" t="s">
        <v>13</v>
      </c>
      <c r="E95" s="256">
        <v>40441</v>
      </c>
      <c r="F95" s="116">
        <v>104235</v>
      </c>
      <c r="G95" s="137">
        <v>25196</v>
      </c>
      <c r="H95" s="137">
        <v>69319</v>
      </c>
      <c r="I95" s="138">
        <v>162587</v>
      </c>
      <c r="J95" s="141"/>
      <c r="K95" s="116">
        <f>BF95</f>
        <v>25240</v>
      </c>
      <c r="L95" s="137">
        <f>AY95</f>
        <v>7146</v>
      </c>
      <c r="M95" s="137">
        <f>BD95</f>
        <v>7653</v>
      </c>
      <c r="N95" s="137">
        <f>AW95</f>
        <v>10524</v>
      </c>
      <c r="O95" s="137">
        <f>BE95</f>
        <v>7901</v>
      </c>
      <c r="P95" s="137">
        <f>AZ95+BA95</f>
        <v>5183</v>
      </c>
      <c r="Q95" s="137">
        <f>'2007'!AU95</f>
        <v>3047</v>
      </c>
      <c r="R95" s="137">
        <f>AX95</f>
        <v>4764</v>
      </c>
      <c r="S95" s="137">
        <f>AV95</f>
        <v>2894</v>
      </c>
      <c r="T95" s="137">
        <f t="shared" ref="T95:U99" si="180">BB95</f>
        <v>7525</v>
      </c>
      <c r="U95" s="139">
        <f t="shared" si="180"/>
        <v>21941</v>
      </c>
      <c r="V95" s="137">
        <f>BJ95</f>
        <v>494</v>
      </c>
      <c r="W95" s="137">
        <f>BR95</f>
        <v>4006</v>
      </c>
      <c r="X95" s="137">
        <f>BH95+BI95</f>
        <v>1561</v>
      </c>
      <c r="Y95" s="137">
        <f>BK95+BL95+BN95</f>
        <v>4169</v>
      </c>
      <c r="Z95" s="137">
        <f>BM95</f>
        <v>8366</v>
      </c>
      <c r="AA95" s="137">
        <f>BO95+BQ95</f>
        <v>2915</v>
      </c>
      <c r="AB95" s="139">
        <f>BP95</f>
        <v>3685</v>
      </c>
      <c r="AC95" s="137">
        <f>BX95</f>
        <v>12022</v>
      </c>
      <c r="AD95" s="137">
        <f>BU95</f>
        <v>3827</v>
      </c>
      <c r="AE95" s="137">
        <f>BT95</f>
        <v>10510</v>
      </c>
      <c r="AF95" s="137">
        <f>CA95</f>
        <v>3991</v>
      </c>
      <c r="AG95" s="137">
        <f>BV95</f>
        <v>9030</v>
      </c>
      <c r="AH95" s="137">
        <f>BZ95</f>
        <v>9076</v>
      </c>
      <c r="AI95" s="137">
        <f>BW95</f>
        <v>5553</v>
      </c>
      <c r="AJ95" s="137">
        <f>BY95</f>
        <v>5132</v>
      </c>
      <c r="AK95" s="139">
        <f>CB95</f>
        <v>10178</v>
      </c>
      <c r="AL95" s="137">
        <f>CE95</f>
        <v>3178</v>
      </c>
      <c r="AM95" s="137">
        <f>CH95</f>
        <v>35255</v>
      </c>
      <c r="AN95" s="137">
        <f>CJ95</f>
        <v>69212</v>
      </c>
      <c r="AO95" s="137">
        <f t="shared" ref="AO95:AP99" si="181">CC95</f>
        <v>8763</v>
      </c>
      <c r="AP95" s="137">
        <f t="shared" si="181"/>
        <v>1789</v>
      </c>
      <c r="AQ95" s="137">
        <f>CK95</f>
        <v>13497</v>
      </c>
      <c r="AR95" s="137">
        <f>CI95</f>
        <v>11150</v>
      </c>
      <c r="AS95" s="138">
        <f>CF95+CG95</f>
        <v>19743</v>
      </c>
      <c r="AT95" s="141">
        <v>0</v>
      </c>
      <c r="AU95" s="141">
        <v>3047</v>
      </c>
      <c r="AV95" s="141">
        <v>2894</v>
      </c>
      <c r="AW95" s="141">
        <v>10524</v>
      </c>
      <c r="AX95" s="137">
        <v>4764</v>
      </c>
      <c r="AY95" s="137">
        <v>7146</v>
      </c>
      <c r="AZ95" s="137">
        <v>151</v>
      </c>
      <c r="BA95" s="137">
        <v>5032</v>
      </c>
      <c r="BB95" s="137">
        <v>7525</v>
      </c>
      <c r="BC95" s="137">
        <v>21941</v>
      </c>
      <c r="BD95" s="137">
        <v>7653</v>
      </c>
      <c r="BE95" s="137">
        <v>7901</v>
      </c>
      <c r="BF95" s="139">
        <v>25240</v>
      </c>
      <c r="BG95" s="137">
        <v>0</v>
      </c>
      <c r="BH95" s="137">
        <v>89</v>
      </c>
      <c r="BI95" s="137">
        <v>1472</v>
      </c>
      <c r="BJ95" s="137">
        <v>494</v>
      </c>
      <c r="BK95" s="137">
        <v>205</v>
      </c>
      <c r="BL95" s="137">
        <v>16</v>
      </c>
      <c r="BM95" s="137">
        <v>8366</v>
      </c>
      <c r="BN95" s="137">
        <v>3948</v>
      </c>
      <c r="BO95" s="137">
        <v>78</v>
      </c>
      <c r="BP95" s="137">
        <v>3685</v>
      </c>
      <c r="BQ95" s="137">
        <v>2837</v>
      </c>
      <c r="BR95" s="139">
        <v>4006</v>
      </c>
      <c r="BS95" s="137">
        <v>0</v>
      </c>
      <c r="BT95" s="137">
        <v>10510</v>
      </c>
      <c r="BU95" s="137">
        <v>3827</v>
      </c>
      <c r="BV95" s="137">
        <v>9030</v>
      </c>
      <c r="BW95" s="137">
        <v>5553</v>
      </c>
      <c r="BX95" s="137">
        <v>12022</v>
      </c>
      <c r="BY95" s="137">
        <v>5132</v>
      </c>
      <c r="BZ95" s="137">
        <v>9076</v>
      </c>
      <c r="CA95" s="137">
        <v>3991</v>
      </c>
      <c r="CB95" s="139">
        <v>10178</v>
      </c>
      <c r="CC95" s="137">
        <v>8763</v>
      </c>
      <c r="CD95" s="137">
        <v>1789</v>
      </c>
      <c r="CE95" s="137">
        <v>3178</v>
      </c>
      <c r="CF95" s="137">
        <v>847</v>
      </c>
      <c r="CG95" s="137">
        <v>18896</v>
      </c>
      <c r="CH95" s="137">
        <v>35255</v>
      </c>
      <c r="CI95" s="137">
        <v>11150</v>
      </c>
      <c r="CJ95" s="137">
        <v>69212</v>
      </c>
      <c r="CK95" s="138">
        <v>13497</v>
      </c>
      <c r="CL95" s="140">
        <v>361332</v>
      </c>
    </row>
    <row r="96" spans="1:90">
      <c r="A96" s="80">
        <f>ROWS($A$3:A94)</f>
        <v>92</v>
      </c>
      <c r="B96" s="92" t="s">
        <v>95</v>
      </c>
      <c r="C96" s="203">
        <f>C95</f>
        <v>2007</v>
      </c>
      <c r="D96" s="254" t="s">
        <v>10</v>
      </c>
      <c r="E96" s="256">
        <v>40441</v>
      </c>
      <c r="F96" s="116">
        <v>645090</v>
      </c>
      <c r="G96" s="137">
        <v>146126</v>
      </c>
      <c r="H96" s="137">
        <v>380080</v>
      </c>
      <c r="I96" s="138">
        <v>1026213</v>
      </c>
      <c r="J96" s="141"/>
      <c r="K96" s="116">
        <f>BF96</f>
        <v>165245</v>
      </c>
      <c r="L96" s="137">
        <f>AY96</f>
        <v>43879</v>
      </c>
      <c r="M96" s="137">
        <f>BD96</f>
        <v>46454</v>
      </c>
      <c r="N96" s="137">
        <f>AW96</f>
        <v>59369</v>
      </c>
      <c r="O96" s="137">
        <f>BE96</f>
        <v>46862</v>
      </c>
      <c r="P96" s="137">
        <f>AZ96+BA96</f>
        <v>30771</v>
      </c>
      <c r="Q96" s="137">
        <f>'2007'!AU96</f>
        <v>18174</v>
      </c>
      <c r="R96" s="137">
        <f>AX96</f>
        <v>29281</v>
      </c>
      <c r="S96" s="137">
        <f>AV96</f>
        <v>13914</v>
      </c>
      <c r="T96" s="137">
        <f t="shared" si="180"/>
        <v>46620</v>
      </c>
      <c r="U96" s="139">
        <f t="shared" si="180"/>
        <v>142313</v>
      </c>
      <c r="V96" s="137">
        <f>BJ96</f>
        <v>2130</v>
      </c>
      <c r="W96" s="137">
        <f>BR96</f>
        <v>22739</v>
      </c>
      <c r="X96" s="137">
        <f>BH96+BI96</f>
        <v>7440</v>
      </c>
      <c r="Y96" s="137">
        <f>BK96+BL96+BN96</f>
        <v>24111</v>
      </c>
      <c r="Z96" s="137">
        <f>BM96</f>
        <v>50938</v>
      </c>
      <c r="AA96" s="137">
        <f>BO96+BQ96</f>
        <v>17633</v>
      </c>
      <c r="AB96" s="139">
        <f>BP96</f>
        <v>21135</v>
      </c>
      <c r="AC96" s="137">
        <f>BX96</f>
        <v>63405</v>
      </c>
      <c r="AD96" s="137">
        <f>BU96</f>
        <v>19010</v>
      </c>
      <c r="AE96" s="137">
        <f>BT96</f>
        <v>57822</v>
      </c>
      <c r="AF96" s="137">
        <f>CA96</f>
        <v>19171</v>
      </c>
      <c r="AG96" s="137">
        <f>BV96</f>
        <v>41802</v>
      </c>
      <c r="AH96" s="137">
        <f>BZ96</f>
        <v>58162</v>
      </c>
      <c r="AI96" s="137">
        <f>BW96</f>
        <v>28864</v>
      </c>
      <c r="AJ96" s="137">
        <f>BY96</f>
        <v>32079</v>
      </c>
      <c r="AK96" s="139">
        <f>CB96</f>
        <v>59765</v>
      </c>
      <c r="AL96" s="137">
        <f>CE96</f>
        <v>20658</v>
      </c>
      <c r="AM96" s="137">
        <f>CH96</f>
        <v>221995</v>
      </c>
      <c r="AN96" s="137">
        <f>CJ96</f>
        <v>454613</v>
      </c>
      <c r="AO96" s="137">
        <f t="shared" si="181"/>
        <v>51408</v>
      </c>
      <c r="AP96" s="137">
        <f t="shared" si="181"/>
        <v>9678</v>
      </c>
      <c r="AQ96" s="137">
        <f>CK96</f>
        <v>79595</v>
      </c>
      <c r="AR96" s="137">
        <f>CI96</f>
        <v>66931</v>
      </c>
      <c r="AS96" s="138">
        <f>CF96+CG96</f>
        <v>121335</v>
      </c>
      <c r="AT96" s="141">
        <v>0</v>
      </c>
      <c r="AU96" s="141">
        <v>18174</v>
      </c>
      <c r="AV96" s="141">
        <v>13914</v>
      </c>
      <c r="AW96" s="141">
        <v>59369</v>
      </c>
      <c r="AX96" s="137">
        <v>29281</v>
      </c>
      <c r="AY96" s="137">
        <v>43879</v>
      </c>
      <c r="AZ96" s="137">
        <v>529</v>
      </c>
      <c r="BA96" s="137">
        <v>30242</v>
      </c>
      <c r="BB96" s="137">
        <v>46620</v>
      </c>
      <c r="BC96" s="137">
        <v>142313</v>
      </c>
      <c r="BD96" s="137">
        <v>46454</v>
      </c>
      <c r="BE96" s="137">
        <v>46862</v>
      </c>
      <c r="BF96" s="139">
        <v>165245</v>
      </c>
      <c r="BG96" s="137">
        <v>0</v>
      </c>
      <c r="BH96" s="137">
        <v>368</v>
      </c>
      <c r="BI96" s="137">
        <v>7072</v>
      </c>
      <c r="BJ96" s="137">
        <v>2130</v>
      </c>
      <c r="BK96" s="137">
        <v>971</v>
      </c>
      <c r="BL96" s="137">
        <v>57</v>
      </c>
      <c r="BM96" s="137">
        <v>50938</v>
      </c>
      <c r="BN96" s="137">
        <v>23083</v>
      </c>
      <c r="BO96" s="137">
        <v>175</v>
      </c>
      <c r="BP96" s="137">
        <v>21135</v>
      </c>
      <c r="BQ96" s="137">
        <v>17458</v>
      </c>
      <c r="BR96" s="139">
        <v>22739</v>
      </c>
      <c r="BS96" s="137">
        <v>0</v>
      </c>
      <c r="BT96" s="137">
        <v>57822</v>
      </c>
      <c r="BU96" s="137">
        <v>19010</v>
      </c>
      <c r="BV96" s="137">
        <v>41802</v>
      </c>
      <c r="BW96" s="137">
        <v>28864</v>
      </c>
      <c r="BX96" s="137">
        <v>63405</v>
      </c>
      <c r="BY96" s="137">
        <v>32079</v>
      </c>
      <c r="BZ96" s="137">
        <v>58162</v>
      </c>
      <c r="CA96" s="137">
        <v>19171</v>
      </c>
      <c r="CB96" s="139">
        <v>59765</v>
      </c>
      <c r="CC96" s="137">
        <v>51408</v>
      </c>
      <c r="CD96" s="137">
        <v>9678</v>
      </c>
      <c r="CE96" s="137">
        <v>20658</v>
      </c>
      <c r="CF96" s="137">
        <v>6170</v>
      </c>
      <c r="CG96" s="137">
        <v>115165</v>
      </c>
      <c r="CH96" s="137">
        <v>221995</v>
      </c>
      <c r="CI96" s="137">
        <v>66931</v>
      </c>
      <c r="CJ96" s="137">
        <v>454613</v>
      </c>
      <c r="CK96" s="138">
        <v>79595</v>
      </c>
      <c r="CL96" s="140">
        <v>2197509</v>
      </c>
    </row>
    <row r="97" spans="1:90">
      <c r="A97" s="80">
        <f>ROWS($A$3:A95)</f>
        <v>93</v>
      </c>
      <c r="B97" s="92" t="s">
        <v>96</v>
      </c>
      <c r="C97" s="198">
        <f>C95</f>
        <v>2007</v>
      </c>
      <c r="D97" s="254" t="s">
        <v>10</v>
      </c>
      <c r="E97" s="256">
        <v>40441</v>
      </c>
      <c r="F97" s="116">
        <v>603900</v>
      </c>
      <c r="G97" s="137">
        <v>138347</v>
      </c>
      <c r="H97" s="137">
        <v>352711</v>
      </c>
      <c r="I97" s="138">
        <v>981472</v>
      </c>
      <c r="J97" s="141"/>
      <c r="K97" s="116">
        <f>BF97</f>
        <v>155074</v>
      </c>
      <c r="L97" s="137">
        <f>AY97</f>
        <v>41053</v>
      </c>
      <c r="M97" s="137">
        <f>BD97</f>
        <v>43478</v>
      </c>
      <c r="N97" s="137">
        <f>AW97</f>
        <v>55266</v>
      </c>
      <c r="O97" s="137">
        <f>BE97</f>
        <v>43767</v>
      </c>
      <c r="P97" s="137">
        <f>AZ97+BA97</f>
        <v>28830</v>
      </c>
      <c r="Q97" s="137">
        <f>'2007'!AU97</f>
        <v>17006</v>
      </c>
      <c r="R97" s="137">
        <f>AX97</f>
        <v>27467</v>
      </c>
      <c r="S97" s="137">
        <f>AV97</f>
        <v>12840</v>
      </c>
      <c r="T97" s="137">
        <f>BB97</f>
        <v>43685</v>
      </c>
      <c r="U97" s="139">
        <f>BC97</f>
        <v>133375</v>
      </c>
      <c r="V97" s="137">
        <f>BJ97</f>
        <v>1976</v>
      </c>
      <c r="W97" s="137">
        <f>BR97</f>
        <v>21466</v>
      </c>
      <c r="X97" s="137">
        <f>BH97+BI97</f>
        <v>7001</v>
      </c>
      <c r="Y97" s="137">
        <f>BK97+BL97+BN97</f>
        <v>22899</v>
      </c>
      <c r="Z97" s="137">
        <f>BM97</f>
        <v>48317</v>
      </c>
      <c r="AA97" s="137">
        <f>BO97+BQ97</f>
        <v>16733</v>
      </c>
      <c r="AB97" s="139">
        <f>BP97</f>
        <v>19955</v>
      </c>
      <c r="AC97" s="137">
        <f>BX97</f>
        <v>58748</v>
      </c>
      <c r="AD97" s="137">
        <f>BU97</f>
        <v>17428</v>
      </c>
      <c r="AE97" s="137">
        <f>BT97</f>
        <v>53636</v>
      </c>
      <c r="AF97" s="137">
        <f>CA97</f>
        <v>17518</v>
      </c>
      <c r="AG97" s="137">
        <f>BV97</f>
        <v>38241</v>
      </c>
      <c r="AH97" s="137">
        <f>BZ97</f>
        <v>54696</v>
      </c>
      <c r="AI97" s="137">
        <f>BW97</f>
        <v>26720</v>
      </c>
      <c r="AJ97" s="137">
        <f>BY97</f>
        <v>30031</v>
      </c>
      <c r="AK97" s="139">
        <f>CB97</f>
        <v>55693</v>
      </c>
      <c r="AL97" s="137">
        <f>CE97</f>
        <v>19734</v>
      </c>
      <c r="AM97" s="137">
        <f>CH97</f>
        <v>212304</v>
      </c>
      <c r="AN97" s="137">
        <f>CJ97</f>
        <v>435692</v>
      </c>
      <c r="AO97" s="137">
        <f>CC97</f>
        <v>48954</v>
      </c>
      <c r="AP97" s="137">
        <f>CD97</f>
        <v>9167</v>
      </c>
      <c r="AQ97" s="137">
        <f>CK97</f>
        <v>75781</v>
      </c>
      <c r="AR97" s="137">
        <f>CI97</f>
        <v>63850</v>
      </c>
      <c r="AS97" s="138">
        <f>CF97+CG97</f>
        <v>115990</v>
      </c>
      <c r="AT97" s="141">
        <v>0</v>
      </c>
      <c r="AU97" s="141">
        <v>17006</v>
      </c>
      <c r="AV97" s="141">
        <v>12840</v>
      </c>
      <c r="AW97" s="141">
        <v>55266</v>
      </c>
      <c r="AX97" s="137">
        <v>27467</v>
      </c>
      <c r="AY97" s="137">
        <v>41053</v>
      </c>
      <c r="AZ97" s="137">
        <v>483</v>
      </c>
      <c r="BA97" s="137">
        <v>28347</v>
      </c>
      <c r="BB97" s="137">
        <v>43685</v>
      </c>
      <c r="BC97" s="137">
        <v>133375</v>
      </c>
      <c r="BD97" s="137">
        <v>43478</v>
      </c>
      <c r="BE97" s="137">
        <v>43767</v>
      </c>
      <c r="BF97" s="139">
        <v>155074</v>
      </c>
      <c r="BG97" s="141">
        <v>0</v>
      </c>
      <c r="BH97" s="137">
        <v>354</v>
      </c>
      <c r="BI97" s="137">
        <v>6647</v>
      </c>
      <c r="BJ97" s="137">
        <v>1976</v>
      </c>
      <c r="BK97" s="137">
        <v>959</v>
      </c>
      <c r="BL97" s="137">
        <v>55</v>
      </c>
      <c r="BM97" s="137">
        <v>48317</v>
      </c>
      <c r="BN97" s="137">
        <v>21885</v>
      </c>
      <c r="BO97" s="137">
        <v>175</v>
      </c>
      <c r="BP97" s="137">
        <v>19955</v>
      </c>
      <c r="BQ97" s="137">
        <v>16558</v>
      </c>
      <c r="BR97" s="139">
        <v>21466</v>
      </c>
      <c r="BS97" s="137">
        <v>0</v>
      </c>
      <c r="BT97" s="137">
        <v>53636</v>
      </c>
      <c r="BU97" s="137">
        <v>17428</v>
      </c>
      <c r="BV97" s="137">
        <v>38241</v>
      </c>
      <c r="BW97" s="137">
        <v>26720</v>
      </c>
      <c r="BX97" s="137">
        <v>58748</v>
      </c>
      <c r="BY97" s="137">
        <v>30031</v>
      </c>
      <c r="BZ97" s="137">
        <v>54696</v>
      </c>
      <c r="CA97" s="137">
        <v>17518</v>
      </c>
      <c r="CB97" s="139">
        <v>55693</v>
      </c>
      <c r="CC97" s="137">
        <v>48954</v>
      </c>
      <c r="CD97" s="137">
        <v>9167</v>
      </c>
      <c r="CE97" s="137">
        <v>19734</v>
      </c>
      <c r="CF97" s="137">
        <v>6133</v>
      </c>
      <c r="CG97" s="137">
        <v>109857</v>
      </c>
      <c r="CH97" s="137">
        <v>212304</v>
      </c>
      <c r="CI97" s="137">
        <v>63850</v>
      </c>
      <c r="CJ97" s="137">
        <v>435692</v>
      </c>
      <c r="CK97" s="138">
        <v>75781</v>
      </c>
      <c r="CL97" s="140">
        <v>2076430</v>
      </c>
    </row>
    <row r="98" spans="1:90">
      <c r="A98" s="80">
        <f>ROWS($A$3:A96)</f>
        <v>94</v>
      </c>
      <c r="B98" s="55" t="s">
        <v>77</v>
      </c>
      <c r="C98" s="202">
        <v>2001</v>
      </c>
      <c r="D98" s="254" t="s">
        <v>13</v>
      </c>
      <c r="E98" s="256">
        <v>40441</v>
      </c>
      <c r="F98" s="154">
        <v>122737</v>
      </c>
      <c r="G98" s="155">
        <v>30239</v>
      </c>
      <c r="H98" s="155">
        <v>82089</v>
      </c>
      <c r="I98" s="156">
        <v>186831</v>
      </c>
      <c r="J98" s="281"/>
      <c r="K98" s="157">
        <f>BF98</f>
        <v>29042</v>
      </c>
      <c r="L98" s="113">
        <f>AY98</f>
        <v>8671</v>
      </c>
      <c r="M98" s="113">
        <f>BD98</f>
        <v>9647</v>
      </c>
      <c r="N98" s="113">
        <f>AW98</f>
        <v>12155</v>
      </c>
      <c r="O98" s="113">
        <f>BE98</f>
        <v>8882</v>
      </c>
      <c r="P98" s="137">
        <f>AZ98+BA98</f>
        <v>6750</v>
      </c>
      <c r="Q98" s="113">
        <f>'2007'!AU98</f>
        <v>3596</v>
      </c>
      <c r="R98" s="113">
        <f>AT98+AX98</f>
        <v>6359</v>
      </c>
      <c r="S98" s="113">
        <f>AV98</f>
        <v>3597</v>
      </c>
      <c r="T98" s="113">
        <f t="shared" si="180"/>
        <v>9048</v>
      </c>
      <c r="U98" s="112">
        <f t="shared" si="180"/>
        <v>25010</v>
      </c>
      <c r="V98" s="113">
        <f>BJ98</f>
        <v>733</v>
      </c>
      <c r="W98" s="113">
        <f>BR98</f>
        <v>4744</v>
      </c>
      <c r="X98" s="137">
        <f>BH98+BI98</f>
        <v>2102</v>
      </c>
      <c r="Y98" s="137">
        <f>BK98+BL98+BN98</f>
        <v>5175</v>
      </c>
      <c r="Z98" s="113">
        <f>BM98</f>
        <v>9713</v>
      </c>
      <c r="AA98" s="137">
        <f>BO98+BQ98</f>
        <v>3302</v>
      </c>
      <c r="AB98" s="112">
        <f>BP98</f>
        <v>4470</v>
      </c>
      <c r="AC98" s="113">
        <f>BX98</f>
        <v>13714</v>
      </c>
      <c r="AD98" s="113">
        <f>BU98</f>
        <v>4577</v>
      </c>
      <c r="AE98" s="113">
        <f>BT98</f>
        <v>12575</v>
      </c>
      <c r="AF98" s="113">
        <f>CA98</f>
        <v>5079</v>
      </c>
      <c r="AG98" s="113">
        <f>BV98</f>
        <v>11376</v>
      </c>
      <c r="AH98" s="113">
        <f>BZ98</f>
        <v>10288</v>
      </c>
      <c r="AI98" s="113">
        <f>BW98</f>
        <v>6966</v>
      </c>
      <c r="AJ98" s="113">
        <f>BY98</f>
        <v>5669</v>
      </c>
      <c r="AK98" s="112">
        <f>CB98</f>
        <v>11846</v>
      </c>
      <c r="AL98" s="113">
        <f>CE98</f>
        <v>3682</v>
      </c>
      <c r="AM98" s="113">
        <f>CH98</f>
        <v>40047</v>
      </c>
      <c r="AN98" s="113">
        <f>CJ98</f>
        <v>77867</v>
      </c>
      <c r="AO98" s="113">
        <f t="shared" si="181"/>
        <v>10463</v>
      </c>
      <c r="AP98" s="113">
        <f t="shared" si="181"/>
        <v>2188</v>
      </c>
      <c r="AQ98" s="113">
        <f>CK98</f>
        <v>16050</v>
      </c>
      <c r="AR98" s="113">
        <f>CI98</f>
        <v>13238</v>
      </c>
      <c r="AS98" s="138">
        <f>CF98+CG98</f>
        <v>23297</v>
      </c>
      <c r="AT98" s="113">
        <v>488</v>
      </c>
      <c r="AU98" s="113">
        <v>3596</v>
      </c>
      <c r="AV98" s="113">
        <v>3597</v>
      </c>
      <c r="AW98" s="113">
        <v>12155</v>
      </c>
      <c r="AX98" s="113">
        <v>5871</v>
      </c>
      <c r="AY98" s="113">
        <v>8671</v>
      </c>
      <c r="AZ98" s="113">
        <v>266</v>
      </c>
      <c r="BA98" s="113">
        <v>6484</v>
      </c>
      <c r="BB98" s="113">
        <v>9048</v>
      </c>
      <c r="BC98" s="113">
        <v>25010</v>
      </c>
      <c r="BD98" s="113">
        <v>9647</v>
      </c>
      <c r="BE98" s="113">
        <v>8882</v>
      </c>
      <c r="BF98" s="112">
        <v>29042</v>
      </c>
      <c r="BG98" s="159" t="s">
        <v>58</v>
      </c>
      <c r="BH98" s="113">
        <v>113</v>
      </c>
      <c r="BI98" s="113">
        <v>1989</v>
      </c>
      <c r="BJ98" s="113">
        <v>733</v>
      </c>
      <c r="BK98" s="113">
        <v>256</v>
      </c>
      <c r="BL98" s="113">
        <v>39</v>
      </c>
      <c r="BM98" s="113">
        <v>9713</v>
      </c>
      <c r="BN98" s="113">
        <v>4880</v>
      </c>
      <c r="BO98" s="159">
        <v>113</v>
      </c>
      <c r="BP98" s="113">
        <v>4470</v>
      </c>
      <c r="BQ98" s="113">
        <v>3189</v>
      </c>
      <c r="BR98" s="112">
        <v>4744</v>
      </c>
      <c r="BS98" s="159" t="s">
        <v>58</v>
      </c>
      <c r="BT98" s="113">
        <v>12575</v>
      </c>
      <c r="BU98" s="113">
        <v>4577</v>
      </c>
      <c r="BV98" s="113">
        <v>11376</v>
      </c>
      <c r="BW98" s="113">
        <v>6966</v>
      </c>
      <c r="BX98" s="113">
        <v>13714</v>
      </c>
      <c r="BY98" s="113">
        <v>5669</v>
      </c>
      <c r="BZ98" s="113">
        <v>10288</v>
      </c>
      <c r="CA98" s="113">
        <v>5079</v>
      </c>
      <c r="CB98" s="112">
        <v>11846</v>
      </c>
      <c r="CC98" s="113">
        <v>10463</v>
      </c>
      <c r="CD98" s="113">
        <v>2188</v>
      </c>
      <c r="CE98" s="113">
        <v>3682</v>
      </c>
      <c r="CF98" s="113">
        <v>1002</v>
      </c>
      <c r="CG98" s="113">
        <v>22295</v>
      </c>
      <c r="CH98" s="113">
        <v>40047</v>
      </c>
      <c r="CI98" s="113">
        <v>13238</v>
      </c>
      <c r="CJ98" s="113">
        <v>77867</v>
      </c>
      <c r="CK98" s="158">
        <v>16050</v>
      </c>
      <c r="CL98" s="123">
        <v>421896</v>
      </c>
    </row>
    <row r="99" spans="1:90">
      <c r="A99" s="80">
        <f>ROWS($A$3:A97)</f>
        <v>95</v>
      </c>
      <c r="B99" s="55" t="s">
        <v>96</v>
      </c>
      <c r="C99" s="205">
        <f>C98</f>
        <v>2001</v>
      </c>
      <c r="D99" s="254" t="s">
        <v>10</v>
      </c>
      <c r="E99" s="256">
        <v>40441</v>
      </c>
      <c r="F99" s="154">
        <v>618865</v>
      </c>
      <c r="G99" s="155">
        <v>149025</v>
      </c>
      <c r="H99" s="155">
        <v>366598</v>
      </c>
      <c r="I99" s="156">
        <v>1009287</v>
      </c>
      <c r="J99" s="281"/>
      <c r="K99" s="157">
        <f>BF99</f>
        <v>150712</v>
      </c>
      <c r="L99" s="113">
        <f>AY99</f>
        <v>42810</v>
      </c>
      <c r="M99" s="113">
        <f>BD99</f>
        <v>45971</v>
      </c>
      <c r="N99" s="113">
        <f>AW99</f>
        <v>57752</v>
      </c>
      <c r="O99" s="113">
        <f>BE99</f>
        <v>42099</v>
      </c>
      <c r="P99" s="137">
        <f>AZ99+BA99</f>
        <v>34324</v>
      </c>
      <c r="Q99" s="113">
        <f>'2007'!AU99</f>
        <v>18437</v>
      </c>
      <c r="R99" s="113">
        <f>AT99+AX99</f>
        <v>31700</v>
      </c>
      <c r="S99" s="113">
        <f>AV99</f>
        <v>14642</v>
      </c>
      <c r="T99" s="113">
        <f t="shared" si="180"/>
        <v>45007</v>
      </c>
      <c r="U99" s="112">
        <f t="shared" si="180"/>
        <v>135411</v>
      </c>
      <c r="V99" s="113">
        <f>BJ99</f>
        <v>2815</v>
      </c>
      <c r="W99" s="113">
        <f>BR99</f>
        <v>22064</v>
      </c>
      <c r="X99" s="137">
        <f>BH99+BI99</f>
        <v>8816</v>
      </c>
      <c r="Y99" s="137">
        <f>BK99+BL99+BN99</f>
        <v>25904</v>
      </c>
      <c r="Z99" s="113">
        <f>BM99</f>
        <v>51750</v>
      </c>
      <c r="AA99" s="137">
        <f>BO99+BQ99</f>
        <v>16216</v>
      </c>
      <c r="AB99" s="112">
        <f>BP99</f>
        <v>21460</v>
      </c>
      <c r="AC99" s="113">
        <f>BX99</f>
        <v>61788</v>
      </c>
      <c r="AD99" s="113">
        <f>BU99</f>
        <v>19448</v>
      </c>
      <c r="AE99" s="113">
        <f>BT99</f>
        <v>55233</v>
      </c>
      <c r="AF99" s="113">
        <f>CA99</f>
        <v>19955</v>
      </c>
      <c r="AG99" s="113">
        <f>BV99</f>
        <v>44544</v>
      </c>
      <c r="AH99" s="113">
        <f>BZ99</f>
        <v>53603</v>
      </c>
      <c r="AI99" s="113">
        <f>BW99</f>
        <v>29404</v>
      </c>
      <c r="AJ99" s="113">
        <f>BY99</f>
        <v>28518</v>
      </c>
      <c r="AK99" s="112">
        <f>CB99</f>
        <v>54105</v>
      </c>
      <c r="AL99" s="113">
        <f>CE99</f>
        <v>19008</v>
      </c>
      <c r="AM99" s="113">
        <f>CH99</f>
        <v>219991</v>
      </c>
      <c r="AN99" s="113">
        <f>CJ99</f>
        <v>437632</v>
      </c>
      <c r="AO99" s="113">
        <f t="shared" si="181"/>
        <v>51966</v>
      </c>
      <c r="AP99" s="113">
        <f t="shared" si="181"/>
        <v>9443</v>
      </c>
      <c r="AQ99" s="113">
        <f>CK99</f>
        <v>80123</v>
      </c>
      <c r="AR99" s="113">
        <f>CI99</f>
        <v>71575</v>
      </c>
      <c r="AS99" s="138">
        <f>CF99+CG99</f>
        <v>119549</v>
      </c>
      <c r="AT99" s="113">
        <v>2163</v>
      </c>
      <c r="AU99" s="113">
        <v>18437</v>
      </c>
      <c r="AV99" s="113">
        <v>14642</v>
      </c>
      <c r="AW99" s="113">
        <v>57752</v>
      </c>
      <c r="AX99" s="113">
        <v>29537</v>
      </c>
      <c r="AY99" s="113">
        <v>42810</v>
      </c>
      <c r="AZ99" s="113">
        <v>832</v>
      </c>
      <c r="BA99" s="113">
        <v>33492</v>
      </c>
      <c r="BB99" s="113">
        <v>45007</v>
      </c>
      <c r="BC99" s="113">
        <v>135411</v>
      </c>
      <c r="BD99" s="113">
        <v>45971</v>
      </c>
      <c r="BE99" s="113">
        <v>42099</v>
      </c>
      <c r="BF99" s="112">
        <v>150712</v>
      </c>
      <c r="BG99" s="159" t="s">
        <v>58</v>
      </c>
      <c r="BH99" s="113">
        <v>500</v>
      </c>
      <c r="BI99" s="113">
        <v>8316</v>
      </c>
      <c r="BJ99" s="113">
        <v>2815</v>
      </c>
      <c r="BK99" s="113">
        <v>1657</v>
      </c>
      <c r="BL99" s="113">
        <v>163</v>
      </c>
      <c r="BM99" s="113">
        <v>51750</v>
      </c>
      <c r="BN99" s="113">
        <v>24084</v>
      </c>
      <c r="BO99" s="159">
        <v>477</v>
      </c>
      <c r="BP99" s="113">
        <v>21460</v>
      </c>
      <c r="BQ99" s="113">
        <v>15739</v>
      </c>
      <c r="BR99" s="112">
        <v>22064</v>
      </c>
      <c r="BS99" s="159" t="s">
        <v>58</v>
      </c>
      <c r="BT99" s="113">
        <v>55233</v>
      </c>
      <c r="BU99" s="113">
        <v>19448</v>
      </c>
      <c r="BV99" s="113">
        <v>44544</v>
      </c>
      <c r="BW99" s="113">
        <v>29404</v>
      </c>
      <c r="BX99" s="113">
        <v>61788</v>
      </c>
      <c r="BY99" s="113">
        <v>28518</v>
      </c>
      <c r="BZ99" s="113">
        <v>53603</v>
      </c>
      <c r="CA99" s="113">
        <v>19955</v>
      </c>
      <c r="CB99" s="112">
        <v>54105</v>
      </c>
      <c r="CC99" s="113">
        <v>51966</v>
      </c>
      <c r="CD99" s="113">
        <v>9443</v>
      </c>
      <c r="CE99" s="113">
        <v>19008</v>
      </c>
      <c r="CF99" s="113">
        <v>6155</v>
      </c>
      <c r="CG99" s="113">
        <v>113394</v>
      </c>
      <c r="CH99" s="113">
        <v>219991</v>
      </c>
      <c r="CI99" s="113">
        <v>71575</v>
      </c>
      <c r="CJ99" s="113">
        <v>437632</v>
      </c>
      <c r="CK99" s="158">
        <v>80123</v>
      </c>
      <c r="CL99" s="123">
        <v>2143775</v>
      </c>
    </row>
    <row r="100" spans="1:90">
      <c r="A100" s="80">
        <f>ROWS($A$3:A98)</f>
        <v>96</v>
      </c>
      <c r="B100" s="55"/>
      <c r="C100" s="203"/>
      <c r="D100" s="254"/>
      <c r="E100" s="269"/>
      <c r="F100" s="154" t="s">
        <v>228</v>
      </c>
      <c r="G100" s="155" t="s">
        <v>228</v>
      </c>
      <c r="H100" s="155" t="s">
        <v>228</v>
      </c>
      <c r="I100" s="156" t="s">
        <v>228</v>
      </c>
      <c r="J100" s="281"/>
      <c r="K100" s="157" t="s">
        <v>228</v>
      </c>
      <c r="L100" s="113" t="s">
        <v>228</v>
      </c>
      <c r="M100" s="113" t="s">
        <v>228</v>
      </c>
      <c r="N100" s="113" t="s">
        <v>228</v>
      </c>
      <c r="O100" s="113" t="s">
        <v>228</v>
      </c>
      <c r="P100" s="113" t="s">
        <v>212</v>
      </c>
      <c r="Q100" s="113" t="s">
        <v>228</v>
      </c>
      <c r="R100" s="113" t="s">
        <v>213</v>
      </c>
      <c r="S100" s="113" t="s">
        <v>228</v>
      </c>
      <c r="T100" s="113" t="s">
        <v>228</v>
      </c>
      <c r="U100" s="112" t="s">
        <v>228</v>
      </c>
      <c r="V100" s="113" t="s">
        <v>214</v>
      </c>
      <c r="W100" s="113" t="s">
        <v>228</v>
      </c>
      <c r="X100" s="113" t="s">
        <v>215</v>
      </c>
      <c r="Y100" s="113" t="s">
        <v>216</v>
      </c>
      <c r="Z100" s="113" t="s">
        <v>228</v>
      </c>
      <c r="AA100" s="113" t="s">
        <v>217</v>
      </c>
      <c r="AB100" s="112" t="s">
        <v>228</v>
      </c>
      <c r="AC100" s="113" t="s">
        <v>228</v>
      </c>
      <c r="AD100" s="113" t="s">
        <v>228</v>
      </c>
      <c r="AE100" s="113" t="s">
        <v>218</v>
      </c>
      <c r="AF100" s="113" t="s">
        <v>228</v>
      </c>
      <c r="AG100" s="113" t="s">
        <v>228</v>
      </c>
      <c r="AH100" s="113" t="s">
        <v>228</v>
      </c>
      <c r="AI100" s="113" t="s">
        <v>228</v>
      </c>
      <c r="AJ100" s="113" t="s">
        <v>228</v>
      </c>
      <c r="AK100" s="112" t="s">
        <v>228</v>
      </c>
      <c r="AL100" s="113" t="s">
        <v>228</v>
      </c>
      <c r="AM100" s="113" t="s">
        <v>228</v>
      </c>
      <c r="AN100" s="113" t="s">
        <v>228</v>
      </c>
      <c r="AO100" s="113" t="s">
        <v>228</v>
      </c>
      <c r="AP100" s="113" t="s">
        <v>228</v>
      </c>
      <c r="AQ100" s="113" t="s">
        <v>228</v>
      </c>
      <c r="AR100" s="113" t="s">
        <v>228</v>
      </c>
      <c r="AS100" s="158" t="s">
        <v>219</v>
      </c>
      <c r="AT100" s="113" t="s">
        <v>228</v>
      </c>
      <c r="AU100" s="113" t="s">
        <v>228</v>
      </c>
      <c r="AV100" s="113" t="s">
        <v>228</v>
      </c>
      <c r="AW100" s="113" t="s">
        <v>228</v>
      </c>
      <c r="AX100" s="113" t="s">
        <v>228</v>
      </c>
      <c r="AY100" s="113" t="s">
        <v>228</v>
      </c>
      <c r="AZ100" s="113" t="s">
        <v>228</v>
      </c>
      <c r="BA100" s="113" t="s">
        <v>228</v>
      </c>
      <c r="BB100" s="113" t="s">
        <v>228</v>
      </c>
      <c r="BC100" s="113" t="s">
        <v>228</v>
      </c>
      <c r="BD100" s="113" t="s">
        <v>228</v>
      </c>
      <c r="BE100" s="113" t="s">
        <v>228</v>
      </c>
      <c r="BF100" s="112" t="s">
        <v>228</v>
      </c>
      <c r="BG100" s="159" t="s">
        <v>228</v>
      </c>
      <c r="BH100" s="113" t="s">
        <v>228</v>
      </c>
      <c r="BI100" s="113" t="s">
        <v>228</v>
      </c>
      <c r="BJ100" s="113" t="s">
        <v>228</v>
      </c>
      <c r="BK100" s="113" t="s">
        <v>228</v>
      </c>
      <c r="BL100" s="113" t="s">
        <v>228</v>
      </c>
      <c r="BM100" s="113" t="s">
        <v>228</v>
      </c>
      <c r="BN100" s="113" t="s">
        <v>228</v>
      </c>
      <c r="BO100" s="159" t="s">
        <v>228</v>
      </c>
      <c r="BP100" s="113" t="s">
        <v>228</v>
      </c>
      <c r="BQ100" s="113" t="s">
        <v>228</v>
      </c>
      <c r="BR100" s="112" t="s">
        <v>228</v>
      </c>
      <c r="BS100" s="159" t="s">
        <v>228</v>
      </c>
      <c r="BT100" s="113" t="s">
        <v>228</v>
      </c>
      <c r="BU100" s="113" t="s">
        <v>228</v>
      </c>
      <c r="BV100" s="113" t="s">
        <v>228</v>
      </c>
      <c r="BW100" s="113" t="s">
        <v>228</v>
      </c>
      <c r="BX100" s="113" t="s">
        <v>228</v>
      </c>
      <c r="BY100" s="113" t="s">
        <v>228</v>
      </c>
      <c r="BZ100" s="113" t="s">
        <v>228</v>
      </c>
      <c r="CA100" s="113" t="s">
        <v>228</v>
      </c>
      <c r="CB100" s="112" t="s">
        <v>228</v>
      </c>
      <c r="CC100" s="113" t="s">
        <v>228</v>
      </c>
      <c r="CD100" s="113" t="s">
        <v>228</v>
      </c>
      <c r="CE100" s="113" t="s">
        <v>228</v>
      </c>
      <c r="CF100" s="113" t="s">
        <v>228</v>
      </c>
      <c r="CG100" s="113" t="s">
        <v>228</v>
      </c>
      <c r="CH100" s="113" t="s">
        <v>228</v>
      </c>
      <c r="CI100" s="113" t="s">
        <v>228</v>
      </c>
      <c r="CJ100" s="113" t="s">
        <v>228</v>
      </c>
      <c r="CK100" s="158" t="s">
        <v>228</v>
      </c>
      <c r="CL100" s="123" t="s">
        <v>228</v>
      </c>
    </row>
    <row r="101" spans="1:90">
      <c r="A101" s="80">
        <f>ROWS($A$3:A99)</f>
        <v>97</v>
      </c>
      <c r="B101" s="55" t="s">
        <v>255</v>
      </c>
      <c r="C101" s="203">
        <f>C86</f>
        <v>2007</v>
      </c>
      <c r="D101" s="254" t="s">
        <v>13</v>
      </c>
      <c r="E101" s="256">
        <v>40694</v>
      </c>
      <c r="F101" s="154">
        <v>1676</v>
      </c>
      <c r="G101" s="155">
        <v>517</v>
      </c>
      <c r="H101" s="155">
        <v>795</v>
      </c>
      <c r="I101" s="156">
        <v>1507</v>
      </c>
      <c r="J101" s="281"/>
      <c r="K101" s="157">
        <f t="shared" ref="K101:K107" si="182">BF101</f>
        <v>249</v>
      </c>
      <c r="L101" s="113">
        <f t="shared" ref="L101:L107" si="183">AY101</f>
        <v>45</v>
      </c>
      <c r="M101" s="113">
        <f t="shared" ref="M101:M107" si="184">BD101</f>
        <v>199</v>
      </c>
      <c r="N101" s="113">
        <f t="shared" ref="N101:N107" si="185">AW101</f>
        <v>129</v>
      </c>
      <c r="O101" s="113">
        <f t="shared" ref="O101:O107" si="186">BE101</f>
        <v>184</v>
      </c>
      <c r="P101" s="113">
        <f>'2007'!AZ101+'2007'!BA101</f>
        <v>233</v>
      </c>
      <c r="Q101" s="113">
        <f>'2007'!AU101</f>
        <v>97</v>
      </c>
      <c r="R101" s="113">
        <f t="shared" ref="R101:R107" si="187">AT101+AX101</f>
        <v>113</v>
      </c>
      <c r="S101" s="113">
        <f t="shared" ref="S101:S107" si="188">AV101</f>
        <v>78</v>
      </c>
      <c r="T101" s="113">
        <f t="shared" ref="T101:U107" si="189">BB101</f>
        <v>136</v>
      </c>
      <c r="U101" s="112">
        <f t="shared" si="189"/>
        <v>213</v>
      </c>
      <c r="V101" s="113">
        <f t="shared" ref="V101:V107" si="190">BG101+BJ101</f>
        <v>36</v>
      </c>
      <c r="W101" s="113">
        <f t="shared" ref="W101:W107" si="191">BR101</f>
        <v>27</v>
      </c>
      <c r="X101" s="113">
        <f t="shared" ref="X101:X107" si="192">BH101+BI101</f>
        <v>116</v>
      </c>
      <c r="Y101" s="113">
        <f t="shared" ref="Y101:Y107" si="193">BK101+BL101+BN101</f>
        <v>83</v>
      </c>
      <c r="Z101" s="113">
        <f t="shared" ref="Z101:Z107" si="194">BM101</f>
        <v>200</v>
      </c>
      <c r="AA101" s="113">
        <f t="shared" ref="AA101:AA107" si="195">BO101+BQ101</f>
        <v>32</v>
      </c>
      <c r="AB101" s="112">
        <f t="shared" ref="AB101:AB107" si="196">BP101</f>
        <v>23</v>
      </c>
      <c r="AC101" s="113">
        <f t="shared" ref="AC101:AC107" si="197">BX101</f>
        <v>130</v>
      </c>
      <c r="AD101" s="113">
        <f t="shared" ref="AD101:AD107" si="198">BU101</f>
        <v>34</v>
      </c>
      <c r="AE101" s="113">
        <f t="shared" ref="AE101:AE107" si="199">BS101+BT101</f>
        <v>168</v>
      </c>
      <c r="AF101" s="113">
        <f t="shared" ref="AF101:AF107" si="200">CA101</f>
        <v>44</v>
      </c>
      <c r="AG101" s="113">
        <f t="shared" ref="AG101:AG107" si="201">BV101</f>
        <v>127</v>
      </c>
      <c r="AH101" s="113">
        <f t="shared" ref="AH101:AH107" si="202">BZ101</f>
        <v>55</v>
      </c>
      <c r="AI101" s="113">
        <f t="shared" ref="AI101:AI107" si="203">BW101</f>
        <v>101</v>
      </c>
      <c r="AJ101" s="113">
        <f t="shared" ref="AJ101:AJ107" si="204">BY101</f>
        <v>71</v>
      </c>
      <c r="AK101" s="112">
        <f t="shared" ref="AK101:AK107" si="205">CB101</f>
        <v>66</v>
      </c>
      <c r="AL101" s="113">
        <f t="shared" ref="AL101:AL107" si="206">CE101</f>
        <v>91</v>
      </c>
      <c r="AM101" s="113">
        <f t="shared" ref="AM101:AM107" si="207">CH101</f>
        <v>322</v>
      </c>
      <c r="AN101" s="113">
        <f t="shared" ref="AN101:AN107" si="208">CJ101</f>
        <v>207</v>
      </c>
      <c r="AO101" s="113">
        <f t="shared" ref="AO101:AP107" si="209">CC101</f>
        <v>119</v>
      </c>
      <c r="AP101" s="113">
        <f t="shared" si="209"/>
        <v>86</v>
      </c>
      <c r="AQ101" s="113">
        <f t="shared" ref="AQ101:AQ107" si="210">CK101</f>
        <v>352</v>
      </c>
      <c r="AR101" s="113">
        <f t="shared" ref="AR101:AR107" si="211">CI101</f>
        <v>47</v>
      </c>
      <c r="AS101" s="158">
        <f t="shared" ref="AS101:AS107" si="212">CF101+CG101</f>
        <v>282</v>
      </c>
      <c r="AT101" s="113">
        <v>6</v>
      </c>
      <c r="AU101" s="113">
        <v>97</v>
      </c>
      <c r="AV101" s="113">
        <v>78</v>
      </c>
      <c r="AW101" s="113">
        <v>129</v>
      </c>
      <c r="AX101" s="113">
        <v>107</v>
      </c>
      <c r="AY101" s="113">
        <v>45</v>
      </c>
      <c r="AZ101" s="113">
        <v>18</v>
      </c>
      <c r="BA101" s="113">
        <v>215</v>
      </c>
      <c r="BB101" s="113">
        <v>136</v>
      </c>
      <c r="BC101" s="113">
        <v>213</v>
      </c>
      <c r="BD101" s="113">
        <v>199</v>
      </c>
      <c r="BE101" s="113">
        <v>184</v>
      </c>
      <c r="BF101" s="112">
        <v>249</v>
      </c>
      <c r="BG101" s="159">
        <v>2</v>
      </c>
      <c r="BH101" s="113">
        <v>5</v>
      </c>
      <c r="BI101" s="113">
        <v>111</v>
      </c>
      <c r="BJ101" s="113">
        <v>34</v>
      </c>
      <c r="BK101" s="113">
        <v>1</v>
      </c>
      <c r="BL101" s="113">
        <v>3</v>
      </c>
      <c r="BM101" s="113">
        <v>200</v>
      </c>
      <c r="BN101" s="113">
        <v>79</v>
      </c>
      <c r="BO101" s="159">
        <v>3</v>
      </c>
      <c r="BP101" s="113">
        <v>23</v>
      </c>
      <c r="BQ101" s="113">
        <v>29</v>
      </c>
      <c r="BR101" s="112">
        <v>27</v>
      </c>
      <c r="BS101" s="159">
        <v>7</v>
      </c>
      <c r="BT101" s="113">
        <v>161</v>
      </c>
      <c r="BU101" s="113">
        <v>34</v>
      </c>
      <c r="BV101" s="113">
        <v>127</v>
      </c>
      <c r="BW101" s="113">
        <v>101</v>
      </c>
      <c r="BX101" s="113">
        <v>130</v>
      </c>
      <c r="BY101" s="113">
        <v>71</v>
      </c>
      <c r="BZ101" s="113">
        <v>55</v>
      </c>
      <c r="CA101" s="113">
        <v>44</v>
      </c>
      <c r="CB101" s="112">
        <v>66</v>
      </c>
      <c r="CC101" s="113">
        <v>119</v>
      </c>
      <c r="CD101" s="113">
        <v>86</v>
      </c>
      <c r="CE101" s="113">
        <v>91</v>
      </c>
      <c r="CF101" s="113">
        <v>2</v>
      </c>
      <c r="CG101" s="113">
        <v>280</v>
      </c>
      <c r="CH101" s="113">
        <v>322</v>
      </c>
      <c r="CI101" s="113">
        <v>47</v>
      </c>
      <c r="CJ101" s="113">
        <v>207</v>
      </c>
      <c r="CK101" s="158">
        <v>352</v>
      </c>
      <c r="CL101" s="123">
        <v>4496</v>
      </c>
    </row>
    <row r="102" spans="1:90">
      <c r="A102" s="80">
        <f>ROWS($A$3:A100)</f>
        <v>98</v>
      </c>
      <c r="B102" s="602"/>
      <c r="C102" s="590"/>
      <c r="D102" s="603"/>
      <c r="E102" s="522"/>
      <c r="F102" s="485"/>
      <c r="G102" s="479"/>
      <c r="H102" s="479"/>
      <c r="I102" s="481"/>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c r="A103" s="80">
        <f>ROWS($A$3:A101)</f>
        <v>99</v>
      </c>
      <c r="B103" s="602"/>
      <c r="C103" s="590"/>
      <c r="D103" s="603"/>
      <c r="E103" s="522"/>
      <c r="F103" s="485"/>
      <c r="G103" s="479"/>
      <c r="H103" s="479"/>
      <c r="I103" s="481"/>
      <c r="J103" s="281"/>
      <c r="K103" s="157"/>
      <c r="L103" s="113"/>
      <c r="M103" s="113"/>
      <c r="N103" s="113"/>
      <c r="O103" s="113"/>
      <c r="P103" s="113"/>
      <c r="Q103" s="113"/>
      <c r="R103" s="113"/>
      <c r="S103" s="113"/>
      <c r="T103" s="113"/>
      <c r="U103" s="112"/>
      <c r="V103" s="113"/>
      <c r="W103" s="113"/>
      <c r="X103" s="113"/>
      <c r="Y103" s="113"/>
      <c r="Z103" s="113"/>
      <c r="AA103" s="113"/>
      <c r="AB103" s="112"/>
      <c r="AC103" s="113"/>
      <c r="AD103" s="113"/>
      <c r="AE103" s="113"/>
      <c r="AF103" s="113"/>
      <c r="AG103" s="113"/>
      <c r="AH103" s="113"/>
      <c r="AI103" s="113"/>
      <c r="AJ103" s="113"/>
      <c r="AK103" s="112"/>
      <c r="AL103" s="113"/>
      <c r="AM103" s="113"/>
      <c r="AN103" s="113"/>
      <c r="AO103" s="113"/>
      <c r="AP103" s="113"/>
      <c r="AQ103" s="113"/>
      <c r="AR103" s="113"/>
      <c r="AS103" s="158"/>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s="123"/>
    </row>
    <row r="104" spans="1:90">
      <c r="A104" s="80">
        <f>ROWS($A$3:A102)</f>
        <v>100</v>
      </c>
      <c r="B104" s="55"/>
      <c r="C104" s="203"/>
      <c r="D104" s="254"/>
      <c r="E104" s="269"/>
      <c r="F104" s="154"/>
      <c r="G104" s="155"/>
      <c r="H104" s="155"/>
      <c r="I104" s="156"/>
      <c r="J104" s="281"/>
      <c r="K104" s="157">
        <f t="shared" si="182"/>
        <v>0</v>
      </c>
      <c r="L104" s="113">
        <f t="shared" si="183"/>
        <v>0</v>
      </c>
      <c r="M104" s="113">
        <f t="shared" si="184"/>
        <v>0</v>
      </c>
      <c r="N104" s="113">
        <f t="shared" si="185"/>
        <v>0</v>
      </c>
      <c r="O104" s="113">
        <f t="shared" si="186"/>
        <v>0</v>
      </c>
      <c r="P104" s="113">
        <f>'2007'!AZ104+'2007'!BA104</f>
        <v>0</v>
      </c>
      <c r="Q104" s="113">
        <f>'2007'!AU104</f>
        <v>0</v>
      </c>
      <c r="R104" s="113">
        <f t="shared" si="187"/>
        <v>0</v>
      </c>
      <c r="S104" s="113">
        <f t="shared" si="188"/>
        <v>0</v>
      </c>
      <c r="T104" s="113">
        <f t="shared" si="189"/>
        <v>0</v>
      </c>
      <c r="U104" s="112">
        <f t="shared" si="189"/>
        <v>0</v>
      </c>
      <c r="V104" s="113">
        <f t="shared" si="190"/>
        <v>0</v>
      </c>
      <c r="W104" s="113">
        <f t="shared" si="191"/>
        <v>0</v>
      </c>
      <c r="X104" s="113">
        <f t="shared" si="192"/>
        <v>0</v>
      </c>
      <c r="Y104" s="113">
        <f t="shared" si="193"/>
        <v>0</v>
      </c>
      <c r="Z104" s="113">
        <f t="shared" si="194"/>
        <v>0</v>
      </c>
      <c r="AA104" s="113">
        <f t="shared" si="195"/>
        <v>0</v>
      </c>
      <c r="AB104" s="112">
        <f t="shared" si="196"/>
        <v>0</v>
      </c>
      <c r="AC104" s="113">
        <f t="shared" si="197"/>
        <v>0</v>
      </c>
      <c r="AD104" s="113">
        <f t="shared" si="198"/>
        <v>0</v>
      </c>
      <c r="AE104" s="113">
        <f t="shared" si="199"/>
        <v>0</v>
      </c>
      <c r="AF104" s="113">
        <f t="shared" si="200"/>
        <v>0</v>
      </c>
      <c r="AG104" s="113">
        <f t="shared" si="201"/>
        <v>0</v>
      </c>
      <c r="AH104" s="113">
        <f t="shared" si="202"/>
        <v>0</v>
      </c>
      <c r="AI104" s="113">
        <f t="shared" si="203"/>
        <v>0</v>
      </c>
      <c r="AJ104" s="113">
        <f t="shared" si="204"/>
        <v>0</v>
      </c>
      <c r="AK104" s="112">
        <f t="shared" si="205"/>
        <v>0</v>
      </c>
      <c r="AL104" s="113">
        <f t="shared" si="206"/>
        <v>0</v>
      </c>
      <c r="AM104" s="113">
        <f t="shared" si="207"/>
        <v>0</v>
      </c>
      <c r="AN104" s="113">
        <f t="shared" si="208"/>
        <v>0</v>
      </c>
      <c r="AO104" s="113">
        <f t="shared" si="209"/>
        <v>0</v>
      </c>
      <c r="AP104" s="113">
        <f t="shared" si="209"/>
        <v>0</v>
      </c>
      <c r="AQ104" s="113">
        <f t="shared" si="210"/>
        <v>0</v>
      </c>
      <c r="AR104" s="113">
        <f t="shared" si="211"/>
        <v>0</v>
      </c>
      <c r="AS104" s="158">
        <f t="shared" si="212"/>
        <v>0</v>
      </c>
      <c r="AT104" s="113">
        <v>0</v>
      </c>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80">
        <f>ROWS($A$3:A103)</f>
        <v>101</v>
      </c>
      <c r="B105" s="55"/>
      <c r="C105" s="203"/>
      <c r="D105" s="254"/>
      <c r="E105" s="269"/>
      <c r="F105" s="154"/>
      <c r="G105" s="155"/>
      <c r="H105" s="155"/>
      <c r="I105" s="156"/>
      <c r="J105" s="281"/>
      <c r="K105" s="157">
        <f t="shared" si="182"/>
        <v>0</v>
      </c>
      <c r="L105" s="113">
        <f t="shared" si="183"/>
        <v>0</v>
      </c>
      <c r="M105" s="113">
        <f t="shared" si="184"/>
        <v>0</v>
      </c>
      <c r="N105" s="113">
        <f t="shared" si="185"/>
        <v>0</v>
      </c>
      <c r="O105" s="113">
        <f t="shared" si="186"/>
        <v>0</v>
      </c>
      <c r="P105" s="113">
        <f>'2007'!AZ105+'2007'!BA105</f>
        <v>0</v>
      </c>
      <c r="Q105" s="113">
        <f>'2007'!AU105</f>
        <v>0</v>
      </c>
      <c r="R105" s="113">
        <f t="shared" si="187"/>
        <v>0</v>
      </c>
      <c r="S105" s="113">
        <f t="shared" si="188"/>
        <v>0</v>
      </c>
      <c r="T105" s="113">
        <f t="shared" si="189"/>
        <v>0</v>
      </c>
      <c r="U105" s="112">
        <f t="shared" si="189"/>
        <v>0</v>
      </c>
      <c r="V105" s="113">
        <f t="shared" si="190"/>
        <v>0</v>
      </c>
      <c r="W105" s="113">
        <f t="shared" si="191"/>
        <v>0</v>
      </c>
      <c r="X105" s="113">
        <f t="shared" si="192"/>
        <v>0</v>
      </c>
      <c r="Y105" s="113">
        <f t="shared" si="193"/>
        <v>0</v>
      </c>
      <c r="Z105" s="113">
        <f t="shared" si="194"/>
        <v>0</v>
      </c>
      <c r="AA105" s="113">
        <f t="shared" si="195"/>
        <v>0</v>
      </c>
      <c r="AB105" s="112">
        <f t="shared" si="196"/>
        <v>0</v>
      </c>
      <c r="AC105" s="113">
        <f t="shared" si="197"/>
        <v>0</v>
      </c>
      <c r="AD105" s="113">
        <f t="shared" si="198"/>
        <v>0</v>
      </c>
      <c r="AE105" s="113">
        <f t="shared" si="199"/>
        <v>0</v>
      </c>
      <c r="AF105" s="113">
        <f t="shared" si="200"/>
        <v>0</v>
      </c>
      <c r="AG105" s="113">
        <f t="shared" si="201"/>
        <v>0</v>
      </c>
      <c r="AH105" s="113">
        <f t="shared" si="202"/>
        <v>0</v>
      </c>
      <c r="AI105" s="113">
        <f t="shared" si="203"/>
        <v>0</v>
      </c>
      <c r="AJ105" s="113">
        <f t="shared" si="204"/>
        <v>0</v>
      </c>
      <c r="AK105" s="112">
        <f t="shared" si="205"/>
        <v>0</v>
      </c>
      <c r="AL105" s="113">
        <f t="shared" si="206"/>
        <v>0</v>
      </c>
      <c r="AM105" s="113">
        <f t="shared" si="207"/>
        <v>0</v>
      </c>
      <c r="AN105" s="113">
        <f t="shared" si="208"/>
        <v>0</v>
      </c>
      <c r="AO105" s="113">
        <f t="shared" si="209"/>
        <v>0</v>
      </c>
      <c r="AP105" s="113">
        <f t="shared" si="209"/>
        <v>0</v>
      </c>
      <c r="AQ105" s="113">
        <f t="shared" si="210"/>
        <v>0</v>
      </c>
      <c r="AR105" s="113">
        <f t="shared" si="211"/>
        <v>0</v>
      </c>
      <c r="AS105" s="158">
        <f t="shared" si="212"/>
        <v>0</v>
      </c>
      <c r="AT105" s="113">
        <v>0</v>
      </c>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c r="A106" s="80">
        <f>ROWS($A$3:A104)</f>
        <v>102</v>
      </c>
      <c r="B106" s="55"/>
      <c r="C106" s="203"/>
      <c r="D106" s="254"/>
      <c r="E106" s="269"/>
      <c r="F106" s="154"/>
      <c r="G106" s="155"/>
      <c r="H106" s="155"/>
      <c r="I106" s="156"/>
      <c r="J106" s="155"/>
      <c r="K106" s="157">
        <f t="shared" si="182"/>
        <v>0</v>
      </c>
      <c r="L106" s="113">
        <f t="shared" si="183"/>
        <v>0</v>
      </c>
      <c r="M106" s="113">
        <f t="shared" si="184"/>
        <v>0</v>
      </c>
      <c r="N106" s="113">
        <f t="shared" si="185"/>
        <v>0</v>
      </c>
      <c r="O106" s="113">
        <f t="shared" si="186"/>
        <v>0</v>
      </c>
      <c r="P106" s="113">
        <f>'2007'!AZ106+'2007'!BA106</f>
        <v>0</v>
      </c>
      <c r="Q106" s="113">
        <f>'2007'!AU106</f>
        <v>0</v>
      </c>
      <c r="R106" s="113">
        <f t="shared" si="187"/>
        <v>0</v>
      </c>
      <c r="S106" s="113">
        <f t="shared" si="188"/>
        <v>0</v>
      </c>
      <c r="T106" s="113">
        <f t="shared" si="189"/>
        <v>0</v>
      </c>
      <c r="U106" s="112">
        <f t="shared" si="189"/>
        <v>0</v>
      </c>
      <c r="V106" s="113">
        <f t="shared" si="190"/>
        <v>0</v>
      </c>
      <c r="W106" s="113">
        <f t="shared" si="191"/>
        <v>0</v>
      </c>
      <c r="X106" s="113">
        <f t="shared" si="192"/>
        <v>0</v>
      </c>
      <c r="Y106" s="113">
        <f t="shared" si="193"/>
        <v>0</v>
      </c>
      <c r="Z106" s="113">
        <f t="shared" si="194"/>
        <v>0</v>
      </c>
      <c r="AA106" s="113">
        <f t="shared" si="195"/>
        <v>0</v>
      </c>
      <c r="AB106" s="112">
        <f t="shared" si="196"/>
        <v>0</v>
      </c>
      <c r="AC106" s="113">
        <f t="shared" si="197"/>
        <v>0</v>
      </c>
      <c r="AD106" s="113">
        <f t="shared" si="198"/>
        <v>0</v>
      </c>
      <c r="AE106" s="113">
        <f t="shared" si="199"/>
        <v>0</v>
      </c>
      <c r="AF106" s="113">
        <f t="shared" si="200"/>
        <v>0</v>
      </c>
      <c r="AG106" s="113">
        <f t="shared" si="201"/>
        <v>0</v>
      </c>
      <c r="AH106" s="113">
        <f t="shared" si="202"/>
        <v>0</v>
      </c>
      <c r="AI106" s="113">
        <f t="shared" si="203"/>
        <v>0</v>
      </c>
      <c r="AJ106" s="113">
        <f t="shared" si="204"/>
        <v>0</v>
      </c>
      <c r="AK106" s="112">
        <f t="shared" si="205"/>
        <v>0</v>
      </c>
      <c r="AL106" s="113">
        <f t="shared" si="206"/>
        <v>0</v>
      </c>
      <c r="AM106" s="113">
        <f t="shared" si="207"/>
        <v>0</v>
      </c>
      <c r="AN106" s="113">
        <f t="shared" si="208"/>
        <v>0</v>
      </c>
      <c r="AO106" s="113">
        <f t="shared" si="209"/>
        <v>0</v>
      </c>
      <c r="AP106" s="113">
        <f t="shared" si="209"/>
        <v>0</v>
      </c>
      <c r="AQ106" s="113">
        <f t="shared" si="210"/>
        <v>0</v>
      </c>
      <c r="AR106" s="113">
        <f t="shared" si="211"/>
        <v>0</v>
      </c>
      <c r="AS106" s="158">
        <f t="shared" si="212"/>
        <v>0</v>
      </c>
      <c r="AT106" s="113">
        <v>0</v>
      </c>
      <c r="AU106" s="113"/>
      <c r="AV106" s="113"/>
      <c r="AW106" s="113"/>
      <c r="AX106" s="113"/>
      <c r="AY106" s="113"/>
      <c r="AZ106" s="113"/>
      <c r="BA106" s="113"/>
      <c r="BB106" s="113"/>
      <c r="BC106" s="113"/>
      <c r="BD106" s="113"/>
      <c r="BE106" s="113"/>
      <c r="BF106" s="112"/>
      <c r="BG106" s="159"/>
      <c r="BH106" s="113"/>
      <c r="BI106" s="113"/>
      <c r="BJ106" s="113"/>
      <c r="BK106" s="113"/>
      <c r="BL106" s="113"/>
      <c r="BM106" s="113"/>
      <c r="BN106" s="113"/>
      <c r="BO106" s="159"/>
      <c r="BP106" s="113"/>
      <c r="BQ106" s="113"/>
      <c r="BR106" s="112"/>
      <c r="BS106" s="159"/>
      <c r="BT106" s="113"/>
      <c r="BU106" s="113"/>
      <c r="BV106" s="113"/>
      <c r="BW106" s="113"/>
      <c r="BX106" s="113"/>
      <c r="BY106" s="113"/>
      <c r="BZ106" s="113"/>
      <c r="CA106" s="113"/>
      <c r="CB106" s="112"/>
      <c r="CC106" s="113"/>
      <c r="CD106" s="113"/>
      <c r="CE106" s="113"/>
      <c r="CF106" s="113"/>
      <c r="CG106" s="113"/>
      <c r="CH106" s="113"/>
      <c r="CI106" s="113"/>
      <c r="CJ106" s="113"/>
      <c r="CK106" s="158"/>
      <c r="CL106" s="123"/>
    </row>
    <row r="107" spans="1:90" ht="13.5" thickBot="1">
      <c r="A107" s="80">
        <f>ROWS($A$3:A105)</f>
        <v>103</v>
      </c>
      <c r="B107" s="56"/>
      <c r="C107" s="206"/>
      <c r="D107" s="274"/>
      <c r="E107" s="275"/>
      <c r="F107" s="160"/>
      <c r="G107" s="161"/>
      <c r="H107" s="161"/>
      <c r="I107" s="162"/>
      <c r="J107" s="161"/>
      <c r="K107" s="163">
        <f t="shared" si="182"/>
        <v>0</v>
      </c>
      <c r="L107" s="164">
        <f t="shared" si="183"/>
        <v>0</v>
      </c>
      <c r="M107" s="164">
        <f t="shared" si="184"/>
        <v>0</v>
      </c>
      <c r="N107" s="164">
        <f t="shared" si="185"/>
        <v>0</v>
      </c>
      <c r="O107" s="164">
        <f t="shared" si="186"/>
        <v>0</v>
      </c>
      <c r="P107" s="164">
        <f>'2007'!AZ107+'2007'!BA107</f>
        <v>0</v>
      </c>
      <c r="Q107" s="164">
        <f>'2007'!AU107</f>
        <v>0</v>
      </c>
      <c r="R107" s="164">
        <f t="shared" si="187"/>
        <v>0</v>
      </c>
      <c r="S107" s="164">
        <f t="shared" si="188"/>
        <v>0</v>
      </c>
      <c r="T107" s="164">
        <f t="shared" si="189"/>
        <v>0</v>
      </c>
      <c r="U107" s="114">
        <f t="shared" si="189"/>
        <v>0</v>
      </c>
      <c r="V107" s="164">
        <f t="shared" si="190"/>
        <v>0</v>
      </c>
      <c r="W107" s="164">
        <f t="shared" si="191"/>
        <v>0</v>
      </c>
      <c r="X107" s="164">
        <f t="shared" si="192"/>
        <v>0</v>
      </c>
      <c r="Y107" s="164">
        <f t="shared" si="193"/>
        <v>0</v>
      </c>
      <c r="Z107" s="164">
        <f t="shared" si="194"/>
        <v>0</v>
      </c>
      <c r="AA107" s="164">
        <f t="shared" si="195"/>
        <v>0</v>
      </c>
      <c r="AB107" s="114">
        <f t="shared" si="196"/>
        <v>0</v>
      </c>
      <c r="AC107" s="164">
        <f t="shared" si="197"/>
        <v>0</v>
      </c>
      <c r="AD107" s="164">
        <f t="shared" si="198"/>
        <v>0</v>
      </c>
      <c r="AE107" s="164">
        <f t="shared" si="199"/>
        <v>0</v>
      </c>
      <c r="AF107" s="164">
        <f t="shared" si="200"/>
        <v>0</v>
      </c>
      <c r="AG107" s="164">
        <f t="shared" si="201"/>
        <v>0</v>
      </c>
      <c r="AH107" s="164">
        <f t="shared" si="202"/>
        <v>0</v>
      </c>
      <c r="AI107" s="164">
        <f t="shared" si="203"/>
        <v>0</v>
      </c>
      <c r="AJ107" s="164">
        <f t="shared" si="204"/>
        <v>0</v>
      </c>
      <c r="AK107" s="114">
        <f t="shared" si="205"/>
        <v>0</v>
      </c>
      <c r="AL107" s="164">
        <f t="shared" si="206"/>
        <v>0</v>
      </c>
      <c r="AM107" s="164">
        <f t="shared" si="207"/>
        <v>0</v>
      </c>
      <c r="AN107" s="164">
        <f t="shared" si="208"/>
        <v>0</v>
      </c>
      <c r="AO107" s="164">
        <f t="shared" si="209"/>
        <v>0</v>
      </c>
      <c r="AP107" s="164">
        <f t="shared" si="209"/>
        <v>0</v>
      </c>
      <c r="AQ107" s="164">
        <f t="shared" si="210"/>
        <v>0</v>
      </c>
      <c r="AR107" s="164">
        <f t="shared" si="211"/>
        <v>0</v>
      </c>
      <c r="AS107" s="165">
        <f t="shared" si="212"/>
        <v>0</v>
      </c>
      <c r="AT107" s="164">
        <v>0</v>
      </c>
      <c r="AU107" s="164"/>
      <c r="AV107" s="164"/>
      <c r="AW107" s="164"/>
      <c r="AX107" s="164"/>
      <c r="AY107" s="164"/>
      <c r="AZ107" s="164"/>
      <c r="BA107" s="164"/>
      <c r="BB107" s="164"/>
      <c r="BC107" s="164"/>
      <c r="BD107" s="164"/>
      <c r="BE107" s="164"/>
      <c r="BF107" s="114"/>
      <c r="BG107" s="166"/>
      <c r="BH107" s="164"/>
      <c r="BI107" s="164"/>
      <c r="BJ107" s="164"/>
      <c r="BK107" s="164"/>
      <c r="BL107" s="164"/>
      <c r="BM107" s="164"/>
      <c r="BN107" s="164"/>
      <c r="BO107" s="166"/>
      <c r="BP107" s="164"/>
      <c r="BQ107" s="164"/>
      <c r="BR107" s="114"/>
      <c r="BS107" s="166"/>
      <c r="BT107" s="164"/>
      <c r="BU107" s="164"/>
      <c r="BV107" s="164"/>
      <c r="BW107" s="164"/>
      <c r="BX107" s="164"/>
      <c r="BY107" s="164"/>
      <c r="BZ107" s="164"/>
      <c r="CA107" s="164"/>
      <c r="CB107" s="114"/>
      <c r="CC107" s="164"/>
      <c r="CD107" s="164"/>
      <c r="CE107" s="164"/>
      <c r="CF107" s="164"/>
      <c r="CG107" s="164"/>
      <c r="CH107" s="164"/>
      <c r="CI107" s="164"/>
      <c r="CJ107" s="164"/>
      <c r="CK107" s="165"/>
      <c r="CL107" s="124"/>
    </row>
    <row r="108" spans="1:90">
      <c r="B108" s="57"/>
      <c r="C108" s="203"/>
      <c r="D108" s="48"/>
      <c r="E108" s="69"/>
      <c r="F108" s="155"/>
      <c r="G108" s="155"/>
      <c r="H108" s="155"/>
      <c r="I108" s="155"/>
      <c r="J108" s="155"/>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59"/>
      <c r="BH108" s="113"/>
      <c r="BI108" s="113"/>
      <c r="BJ108" s="113"/>
      <c r="BK108" s="113"/>
      <c r="BL108" s="113"/>
      <c r="BM108" s="113"/>
      <c r="BN108" s="113"/>
      <c r="BO108" s="159"/>
      <c r="BP108" s="113"/>
      <c r="BQ108" s="113"/>
      <c r="BR108" s="113"/>
      <c r="BS108" s="159"/>
      <c r="BT108" s="113"/>
      <c r="BU108" s="113"/>
      <c r="BV108" s="113"/>
      <c r="BW108" s="113"/>
      <c r="BX108" s="113"/>
      <c r="BY108" s="113"/>
      <c r="BZ108" s="113"/>
      <c r="CA108" s="113"/>
      <c r="CB108" s="113"/>
      <c r="CC108" s="113"/>
      <c r="CD108" s="113"/>
      <c r="CE108" s="113"/>
      <c r="CF108" s="113"/>
      <c r="CG108" s="113"/>
      <c r="CH108" s="113"/>
      <c r="CI108" s="113"/>
      <c r="CJ108" s="113"/>
      <c r="CK108" s="113"/>
      <c r="CL108" s="125"/>
    </row>
    <row r="109" spans="1:90">
      <c r="B109" s="71" t="s">
        <v>209</v>
      </c>
    </row>
    <row r="110" spans="1:90">
      <c r="B110" s="73" t="s">
        <v>281</v>
      </c>
    </row>
    <row r="111" spans="1:90">
      <c r="B111" s="73" t="s">
        <v>205</v>
      </c>
    </row>
    <row r="112" spans="1:90">
      <c r="B112" s="73" t="s">
        <v>206</v>
      </c>
    </row>
    <row r="113" spans="1:90">
      <c r="B113" s="72"/>
    </row>
    <row r="114" spans="1:90">
      <c r="B114" s="73" t="s">
        <v>78</v>
      </c>
    </row>
    <row r="115" spans="1:90">
      <c r="B115" s="73" t="s">
        <v>207</v>
      </c>
    </row>
    <row r="116" spans="1:90">
      <c r="B116" s="73" t="s">
        <v>211</v>
      </c>
    </row>
    <row r="118" spans="1:90" s="69" customFormat="1" ht="11.25">
      <c r="A118" s="327"/>
      <c r="B118" s="328" t="s">
        <v>63</v>
      </c>
      <c r="C118" s="322"/>
      <c r="D118" s="329" t="s">
        <v>11</v>
      </c>
      <c r="E118" s="330"/>
      <c r="F118" s="323">
        <v>34586</v>
      </c>
      <c r="G118" s="323">
        <v>15204</v>
      </c>
      <c r="H118" s="323">
        <v>27592</v>
      </c>
      <c r="I118" s="323">
        <v>22277</v>
      </c>
      <c r="J118" s="324"/>
      <c r="K118" s="323">
        <f>BF118</f>
        <v>3454</v>
      </c>
      <c r="L118" s="323">
        <f>AY118</f>
        <v>3728</v>
      </c>
      <c r="M118" s="323">
        <f>BD118</f>
        <v>2633</v>
      </c>
      <c r="N118" s="323">
        <f>AW118</f>
        <v>1606</v>
      </c>
      <c r="O118" s="323">
        <f>BE118</f>
        <v>1085</v>
      </c>
      <c r="P118" s="323">
        <f>'2007'!AZ118+'2007'!BA118</f>
        <v>5539</v>
      </c>
      <c r="Q118" s="323">
        <f>'2007'!AU118</f>
        <v>1758</v>
      </c>
      <c r="R118" s="323">
        <f>AT118+AX118</f>
        <v>6411</v>
      </c>
      <c r="S118" s="323">
        <f>AV118</f>
        <v>2471</v>
      </c>
      <c r="T118" s="323">
        <f>BB118</f>
        <v>2433</v>
      </c>
      <c r="U118" s="323">
        <f>BC118</f>
        <v>3467</v>
      </c>
      <c r="V118" s="323">
        <f>BG118+BJ118</f>
        <v>2369</v>
      </c>
      <c r="W118" s="323">
        <f>BR118</f>
        <v>1180</v>
      </c>
      <c r="X118" s="323">
        <f>BH118+BI118</f>
        <v>3094</v>
      </c>
      <c r="Y118" s="323">
        <f>BK118+BL118+BN118</f>
        <v>3911</v>
      </c>
      <c r="Z118" s="323">
        <f>BM118</f>
        <v>1816</v>
      </c>
      <c r="AA118" s="323">
        <f>BO118+BQ118</f>
        <v>1466</v>
      </c>
      <c r="AB118" s="323">
        <f>BP118</f>
        <v>1368</v>
      </c>
      <c r="AC118" s="323">
        <f>BX118</f>
        <v>1878</v>
      </c>
      <c r="AD118" s="323">
        <f>BU118</f>
        <v>2824</v>
      </c>
      <c r="AE118" s="323">
        <f>BS118+BT118</f>
        <v>6019</v>
      </c>
      <c r="AF118" s="323">
        <f>CA118</f>
        <v>2260</v>
      </c>
      <c r="AG118" s="323">
        <f>BV118</f>
        <v>7030</v>
      </c>
      <c r="AH118" s="323">
        <f>BZ118</f>
        <v>2919</v>
      </c>
      <c r="AI118" s="323">
        <f>BW118</f>
        <v>1521</v>
      </c>
      <c r="AJ118" s="323">
        <f>BY118</f>
        <v>891</v>
      </c>
      <c r="AK118" s="323">
        <f>CB118</f>
        <v>2251</v>
      </c>
      <c r="AL118" s="323">
        <f>CE118</f>
        <v>1628</v>
      </c>
      <c r="AM118" s="323">
        <f>CH118</f>
        <v>3212</v>
      </c>
      <c r="AN118" s="323">
        <f>CJ118</f>
        <v>4654</v>
      </c>
      <c r="AO118" s="323">
        <f>CC118</f>
        <v>2581</v>
      </c>
      <c r="AP118" s="323">
        <f>CD118</f>
        <v>1100</v>
      </c>
      <c r="AQ118" s="323">
        <f>CK118</f>
        <v>2366</v>
      </c>
      <c r="AR118" s="323">
        <f>CI118</f>
        <v>3398</v>
      </c>
      <c r="AS118" s="323">
        <f>CF118+CG118</f>
        <v>3338</v>
      </c>
      <c r="AT118" s="324">
        <v>1810</v>
      </c>
      <c r="AU118" s="324">
        <v>1758</v>
      </c>
      <c r="AV118" s="324">
        <v>2471</v>
      </c>
      <c r="AW118" s="324">
        <v>1606</v>
      </c>
      <c r="AX118" s="324">
        <v>4601</v>
      </c>
      <c r="AY118" s="323">
        <v>3728</v>
      </c>
      <c r="AZ118" s="323">
        <v>705</v>
      </c>
      <c r="BA118" s="323">
        <v>4834</v>
      </c>
      <c r="BB118" s="323">
        <v>2433</v>
      </c>
      <c r="BC118" s="323">
        <v>3467</v>
      </c>
      <c r="BD118" s="323">
        <v>2633</v>
      </c>
      <c r="BE118" s="323">
        <v>1085</v>
      </c>
      <c r="BF118" s="323">
        <v>3454</v>
      </c>
      <c r="BG118" s="323">
        <v>587</v>
      </c>
      <c r="BH118" s="323">
        <v>537</v>
      </c>
      <c r="BI118" s="323">
        <v>2557</v>
      </c>
      <c r="BJ118" s="323">
        <v>1782</v>
      </c>
      <c r="BK118" s="323">
        <v>495</v>
      </c>
      <c r="BL118" s="323">
        <v>542</v>
      </c>
      <c r="BM118" s="323">
        <v>1816</v>
      </c>
      <c r="BN118" s="323">
        <v>2874</v>
      </c>
      <c r="BO118" s="323">
        <v>279</v>
      </c>
      <c r="BP118" s="323">
        <v>1368</v>
      </c>
      <c r="BQ118" s="323">
        <v>1187</v>
      </c>
      <c r="BR118" s="323">
        <v>1180</v>
      </c>
      <c r="BS118" s="323">
        <v>596</v>
      </c>
      <c r="BT118" s="323">
        <v>5423</v>
      </c>
      <c r="BU118" s="323">
        <v>2824</v>
      </c>
      <c r="BV118" s="323">
        <v>7030</v>
      </c>
      <c r="BW118" s="323">
        <v>1521</v>
      </c>
      <c r="BX118" s="323">
        <v>1878</v>
      </c>
      <c r="BY118" s="323">
        <v>891</v>
      </c>
      <c r="BZ118" s="323">
        <v>2919</v>
      </c>
      <c r="CA118" s="323">
        <v>2260</v>
      </c>
      <c r="CB118" s="323">
        <v>2251</v>
      </c>
      <c r="CC118" s="323">
        <v>2581</v>
      </c>
      <c r="CD118" s="323">
        <v>1100</v>
      </c>
      <c r="CE118" s="323">
        <v>1628</v>
      </c>
      <c r="CF118" s="323">
        <v>390</v>
      </c>
      <c r="CG118" s="323">
        <v>2948</v>
      </c>
      <c r="CH118" s="323">
        <v>3212</v>
      </c>
      <c r="CI118" s="323">
        <v>3398</v>
      </c>
      <c r="CJ118" s="323">
        <v>4654</v>
      </c>
      <c r="CK118" s="323">
        <v>2366</v>
      </c>
      <c r="CL118" s="323">
        <v>99658</v>
      </c>
    </row>
    <row r="119" spans="1:90" s="69" customFormat="1" ht="11.25">
      <c r="A119" s="327"/>
      <c r="B119" s="331" t="s">
        <v>271</v>
      </c>
      <c r="C119" s="325">
        <v>2007</v>
      </c>
      <c r="D119" s="329" t="s">
        <v>285</v>
      </c>
      <c r="E119" s="329"/>
      <c r="F119" s="324">
        <v>821</v>
      </c>
      <c r="G119" s="324">
        <v>403</v>
      </c>
      <c r="H119" s="324">
        <v>568</v>
      </c>
      <c r="I119" s="324">
        <v>523</v>
      </c>
      <c r="J119" s="324"/>
      <c r="K119" s="323">
        <f>BF119</f>
        <v>85</v>
      </c>
      <c r="L119" s="324">
        <f>AY119</f>
        <v>80</v>
      </c>
      <c r="M119" s="324">
        <f>BD119</f>
        <v>63</v>
      </c>
      <c r="N119" s="324">
        <f>AW119</f>
        <v>35</v>
      </c>
      <c r="O119" s="324">
        <f>BE119</f>
        <v>32</v>
      </c>
      <c r="P119" s="423">
        <f>AZ119+BA119</f>
        <v>115</v>
      </c>
      <c r="Q119" s="323">
        <f>AU119</f>
        <v>42</v>
      </c>
      <c r="R119" s="423">
        <f>AT119+AX119</f>
        <v>149</v>
      </c>
      <c r="S119" s="324">
        <f>AV119</f>
        <v>59</v>
      </c>
      <c r="T119" s="324">
        <f>BB119</f>
        <v>62</v>
      </c>
      <c r="U119" s="323">
        <f>BC119</f>
        <v>99</v>
      </c>
      <c r="V119" s="423">
        <f>BG119+BJ119</f>
        <v>61</v>
      </c>
      <c r="W119" s="324">
        <f>BR119</f>
        <v>26</v>
      </c>
      <c r="X119" s="423">
        <f>BH119+BI119</f>
        <v>78</v>
      </c>
      <c r="Y119" s="423">
        <f>BK119+BL119+BN119</f>
        <v>106</v>
      </c>
      <c r="Z119" s="324">
        <f>BM119</f>
        <v>51</v>
      </c>
      <c r="AA119" s="423">
        <f>BO119+BQ119</f>
        <v>38</v>
      </c>
      <c r="AB119" s="323">
        <f>BP119</f>
        <v>41</v>
      </c>
      <c r="AC119" s="324">
        <f>BX119</f>
        <v>40</v>
      </c>
      <c r="AD119" s="324">
        <f>BU119</f>
        <v>49</v>
      </c>
      <c r="AE119" s="423">
        <f>BS119+BT119</f>
        <v>122</v>
      </c>
      <c r="AF119" s="324">
        <f>CA119</f>
        <v>44</v>
      </c>
      <c r="AG119" s="324">
        <f>BV119</f>
        <v>139</v>
      </c>
      <c r="AH119" s="324">
        <f>BZ119</f>
        <v>81</v>
      </c>
      <c r="AI119" s="324">
        <f>BW119</f>
        <v>34</v>
      </c>
      <c r="AJ119" s="324">
        <f>BY119</f>
        <v>24</v>
      </c>
      <c r="AK119" s="323">
        <f>CB119</f>
        <v>36</v>
      </c>
      <c r="AL119" s="324">
        <f>CE119</f>
        <v>35</v>
      </c>
      <c r="AM119" s="324">
        <f>CH119</f>
        <v>85</v>
      </c>
      <c r="AN119" s="324">
        <f>CJ119</f>
        <v>110</v>
      </c>
      <c r="AO119" s="324">
        <f>CC119</f>
        <v>51</v>
      </c>
      <c r="AP119" s="324">
        <f>CD119</f>
        <v>23</v>
      </c>
      <c r="AQ119" s="324">
        <f>CK119</f>
        <v>55</v>
      </c>
      <c r="AR119" s="324">
        <f>CI119</f>
        <v>84</v>
      </c>
      <c r="AS119" s="423">
        <f>CF119+CG119</f>
        <v>78</v>
      </c>
      <c r="AT119" s="324">
        <v>57</v>
      </c>
      <c r="AU119" s="324">
        <v>42</v>
      </c>
      <c r="AV119" s="324">
        <v>59</v>
      </c>
      <c r="AW119" s="324">
        <v>35</v>
      </c>
      <c r="AX119" s="324">
        <v>92</v>
      </c>
      <c r="AY119" s="324">
        <v>80</v>
      </c>
      <c r="AZ119" s="324">
        <v>18</v>
      </c>
      <c r="BA119" s="324">
        <v>97</v>
      </c>
      <c r="BB119" s="324">
        <v>62</v>
      </c>
      <c r="BC119" s="324">
        <v>99</v>
      </c>
      <c r="BD119" s="324">
        <v>63</v>
      </c>
      <c r="BE119" s="324">
        <v>32</v>
      </c>
      <c r="BF119" s="324">
        <v>85</v>
      </c>
      <c r="BG119" s="324">
        <v>16</v>
      </c>
      <c r="BH119" s="324">
        <v>18</v>
      </c>
      <c r="BI119" s="324">
        <v>60</v>
      </c>
      <c r="BJ119" s="324">
        <v>45</v>
      </c>
      <c r="BK119" s="324">
        <v>17</v>
      </c>
      <c r="BL119" s="324">
        <v>15</v>
      </c>
      <c r="BM119" s="324">
        <v>51</v>
      </c>
      <c r="BN119" s="324">
        <v>74</v>
      </c>
      <c r="BO119" s="324">
        <v>12</v>
      </c>
      <c r="BP119" s="324">
        <v>41</v>
      </c>
      <c r="BQ119" s="324">
        <v>26</v>
      </c>
      <c r="BR119" s="324">
        <v>26</v>
      </c>
      <c r="BS119" s="324">
        <v>17</v>
      </c>
      <c r="BT119" s="324">
        <v>105</v>
      </c>
      <c r="BU119" s="324">
        <v>49</v>
      </c>
      <c r="BV119" s="324">
        <v>139</v>
      </c>
      <c r="BW119" s="324">
        <v>34</v>
      </c>
      <c r="BX119" s="324">
        <v>40</v>
      </c>
      <c r="BY119" s="324">
        <v>24</v>
      </c>
      <c r="BZ119" s="324">
        <v>81</v>
      </c>
      <c r="CA119" s="324">
        <v>44</v>
      </c>
      <c r="CB119" s="324">
        <v>36</v>
      </c>
      <c r="CC119" s="324">
        <v>51</v>
      </c>
      <c r="CD119" s="324">
        <v>23</v>
      </c>
      <c r="CE119" s="324">
        <v>35</v>
      </c>
      <c r="CF119" s="324">
        <v>11</v>
      </c>
      <c r="CG119" s="324">
        <v>67</v>
      </c>
      <c r="CH119" s="324">
        <v>85</v>
      </c>
      <c r="CI119" s="324">
        <v>84</v>
      </c>
      <c r="CJ119" s="324">
        <v>110</v>
      </c>
      <c r="CK119" s="324">
        <v>55</v>
      </c>
      <c r="CL119" s="324">
        <v>2315</v>
      </c>
    </row>
    <row r="120" spans="1:90" s="69" customFormat="1" ht="11.25">
      <c r="B120" s="328" t="s">
        <v>55</v>
      </c>
      <c r="C120" s="322">
        <v>2010</v>
      </c>
      <c r="D120" s="69" t="s">
        <v>13</v>
      </c>
      <c r="E120" s="332">
        <v>40441</v>
      </c>
      <c r="F120" s="323">
        <v>586</v>
      </c>
      <c r="G120" s="323">
        <v>290</v>
      </c>
      <c r="H120" s="323">
        <v>242</v>
      </c>
      <c r="I120" s="323">
        <v>334</v>
      </c>
      <c r="J120" s="323"/>
      <c r="K120" s="323">
        <v>56</v>
      </c>
      <c r="L120" s="323">
        <v>61</v>
      </c>
      <c r="M120" s="323">
        <v>14</v>
      </c>
      <c r="N120" s="323">
        <v>36</v>
      </c>
      <c r="O120" s="323">
        <v>75</v>
      </c>
      <c r="P120" s="323">
        <v>66</v>
      </c>
      <c r="Q120" s="323">
        <v>41</v>
      </c>
      <c r="R120" s="323">
        <v>97</v>
      </c>
      <c r="S120" s="323">
        <v>53</v>
      </c>
      <c r="T120" s="323">
        <v>19</v>
      </c>
      <c r="U120" s="323">
        <v>71</v>
      </c>
      <c r="V120" s="323">
        <v>32</v>
      </c>
      <c r="W120" s="323">
        <v>41</v>
      </c>
      <c r="X120" s="323">
        <v>81</v>
      </c>
      <c r="Y120" s="323">
        <v>56</v>
      </c>
      <c r="Z120" s="323">
        <v>26</v>
      </c>
      <c r="AA120" s="323">
        <v>44</v>
      </c>
      <c r="AB120" s="323">
        <v>21</v>
      </c>
      <c r="AC120" s="323">
        <v>24</v>
      </c>
      <c r="AD120" s="323">
        <v>20</v>
      </c>
      <c r="AE120" s="323">
        <v>42</v>
      </c>
      <c r="AF120" s="323">
        <v>19</v>
      </c>
      <c r="AG120" s="323">
        <v>23</v>
      </c>
      <c r="AH120" s="323">
        <v>16</v>
      </c>
      <c r="AI120" s="323">
        <v>40</v>
      </c>
      <c r="AJ120" s="323">
        <v>39</v>
      </c>
      <c r="AK120" s="323">
        <v>25</v>
      </c>
      <c r="AL120" s="323">
        <v>18</v>
      </c>
      <c r="AM120" s="323">
        <v>34</v>
      </c>
      <c r="AN120" s="323">
        <v>53</v>
      </c>
      <c r="AO120" s="323">
        <v>95</v>
      </c>
      <c r="AP120" s="323">
        <v>21</v>
      </c>
      <c r="AQ120" s="323">
        <v>28</v>
      </c>
      <c r="AR120" s="323">
        <v>27</v>
      </c>
      <c r="AS120" s="323">
        <v>59</v>
      </c>
      <c r="AT120" s="323"/>
      <c r="AU120" s="323">
        <v>41</v>
      </c>
      <c r="AV120" s="323">
        <v>53</v>
      </c>
      <c r="AW120" s="323">
        <v>36</v>
      </c>
      <c r="AX120" s="323">
        <v>70</v>
      </c>
      <c r="AY120" s="323">
        <v>61</v>
      </c>
      <c r="AZ120" s="323">
        <v>15</v>
      </c>
      <c r="BA120" s="323">
        <v>51</v>
      </c>
      <c r="BB120" s="323">
        <v>19</v>
      </c>
      <c r="BC120" s="323">
        <v>71</v>
      </c>
      <c r="BD120" s="323">
        <v>14</v>
      </c>
      <c r="BE120" s="323">
        <v>75</v>
      </c>
      <c r="BF120" s="323">
        <v>56</v>
      </c>
      <c r="BG120" s="323">
        <v>5</v>
      </c>
      <c r="BH120" s="323">
        <v>19</v>
      </c>
      <c r="BI120" s="323">
        <v>62</v>
      </c>
      <c r="BJ120" s="323">
        <v>27</v>
      </c>
      <c r="BK120" s="323">
        <v>2</v>
      </c>
      <c r="BL120" s="323">
        <v>16</v>
      </c>
      <c r="BM120" s="323">
        <v>26</v>
      </c>
      <c r="BN120" s="323">
        <v>38</v>
      </c>
      <c r="BO120" s="323">
        <v>5</v>
      </c>
      <c r="BP120" s="323">
        <v>21</v>
      </c>
      <c r="BQ120" s="323">
        <v>39</v>
      </c>
      <c r="BR120" s="323">
        <v>41</v>
      </c>
      <c r="BS120" s="323">
        <v>8</v>
      </c>
      <c r="BT120" s="323">
        <v>34</v>
      </c>
      <c r="BU120" s="323">
        <v>20</v>
      </c>
      <c r="BV120" s="323">
        <v>23</v>
      </c>
      <c r="BW120" s="323">
        <v>40</v>
      </c>
      <c r="BX120" s="323">
        <v>24</v>
      </c>
      <c r="BY120" s="323">
        <v>39</v>
      </c>
      <c r="BZ120" s="323">
        <v>16</v>
      </c>
      <c r="CA120" s="323">
        <v>19</v>
      </c>
      <c r="CB120" s="323">
        <v>25</v>
      </c>
      <c r="CC120" s="323">
        <v>95</v>
      </c>
      <c r="CD120" s="323">
        <v>21</v>
      </c>
      <c r="CE120" s="323">
        <v>18</v>
      </c>
      <c r="CF120" s="323">
        <v>12</v>
      </c>
      <c r="CG120" s="323">
        <v>47</v>
      </c>
      <c r="CH120" s="323">
        <v>34</v>
      </c>
      <c r="CI120" s="323">
        <v>27</v>
      </c>
      <c r="CJ120" s="323">
        <v>53</v>
      </c>
      <c r="CK120" s="323">
        <v>28</v>
      </c>
      <c r="CL120" s="323">
        <v>1452</v>
      </c>
    </row>
    <row r="121" spans="1:90" s="69" customFormat="1" ht="11.25">
      <c r="B121" s="328"/>
      <c r="C121" s="322"/>
      <c r="D121" s="69" t="s">
        <v>1</v>
      </c>
      <c r="F121" s="323">
        <v>232107.36</v>
      </c>
      <c r="G121" s="323">
        <v>184654.69</v>
      </c>
      <c r="H121" s="323">
        <v>174810.37</v>
      </c>
      <c r="I121" s="323">
        <v>202711.95</v>
      </c>
      <c r="J121" s="323"/>
      <c r="K121" s="323">
        <v>18203.28</v>
      </c>
      <c r="L121" s="323">
        <v>29257.74</v>
      </c>
      <c r="M121" s="323">
        <v>26747.8</v>
      </c>
      <c r="N121" s="323">
        <v>15760.74</v>
      </c>
      <c r="O121" s="323">
        <v>7776.37</v>
      </c>
      <c r="P121" s="323">
        <v>14670.77</v>
      </c>
      <c r="Q121" s="323">
        <v>20995.78</v>
      </c>
      <c r="R121" s="323">
        <v>33590.68</v>
      </c>
      <c r="S121" s="323">
        <v>28171.93</v>
      </c>
      <c r="T121" s="323">
        <v>12926.83</v>
      </c>
      <c r="U121" s="323">
        <v>24005.43</v>
      </c>
      <c r="V121" s="323">
        <v>31773.06</v>
      </c>
      <c r="W121" s="323">
        <v>11941.64</v>
      </c>
      <c r="X121" s="323">
        <v>32421.03</v>
      </c>
      <c r="Y121" s="323">
        <v>49804.35</v>
      </c>
      <c r="Z121" s="323">
        <v>15546.89</v>
      </c>
      <c r="AA121" s="323">
        <v>18158.240000000002</v>
      </c>
      <c r="AB121" s="323">
        <v>25000.47</v>
      </c>
      <c r="AC121" s="323">
        <v>8787.24</v>
      </c>
      <c r="AD121" s="323">
        <v>10687.19</v>
      </c>
      <c r="AE121" s="323">
        <v>72340.58</v>
      </c>
      <c r="AF121" s="323">
        <v>5894.01</v>
      </c>
      <c r="AG121" s="323">
        <v>14323.86</v>
      </c>
      <c r="AH121" s="323">
        <v>20871.22</v>
      </c>
      <c r="AI121" s="323">
        <v>6983.96</v>
      </c>
      <c r="AJ121" s="323">
        <v>7057.98</v>
      </c>
      <c r="AK121" s="323">
        <v>27864.33</v>
      </c>
      <c r="AL121" s="323">
        <v>31057.48</v>
      </c>
      <c r="AM121" s="323">
        <v>29330.19</v>
      </c>
      <c r="AN121" s="323">
        <v>29782.37</v>
      </c>
      <c r="AO121" s="323">
        <v>24341.94</v>
      </c>
      <c r="AP121" s="323">
        <v>20088.61</v>
      </c>
      <c r="AQ121" s="323">
        <v>10922.03</v>
      </c>
      <c r="AR121" s="323">
        <v>9362.69</v>
      </c>
      <c r="AS121" s="323">
        <v>47826.65</v>
      </c>
      <c r="AT121" s="323"/>
      <c r="AU121" s="323">
        <v>20995.78</v>
      </c>
      <c r="AV121" s="323">
        <v>28171.93</v>
      </c>
      <c r="AW121" s="323">
        <v>15760.74</v>
      </c>
      <c r="AX121" s="323">
        <v>26900.82</v>
      </c>
      <c r="AY121" s="323">
        <v>29257.74</v>
      </c>
      <c r="AZ121" s="323">
        <v>2301.91</v>
      </c>
      <c r="BA121" s="323">
        <v>12368.86</v>
      </c>
      <c r="BB121" s="323">
        <v>12926.83</v>
      </c>
      <c r="BC121" s="323">
        <v>24005.43</v>
      </c>
      <c r="BD121" s="323">
        <v>26747.8</v>
      </c>
      <c r="BE121" s="323">
        <v>7776.37</v>
      </c>
      <c r="BF121" s="323">
        <v>18203.28</v>
      </c>
      <c r="BG121" s="323">
        <v>8855.68</v>
      </c>
      <c r="BH121" s="323">
        <v>5712.45</v>
      </c>
      <c r="BI121" s="323">
        <v>26708.58</v>
      </c>
      <c r="BJ121" s="323">
        <v>22917.38</v>
      </c>
      <c r="BK121" s="323">
        <v>4996</v>
      </c>
      <c r="BL121" s="323">
        <v>4092.46</v>
      </c>
      <c r="BM121" s="323">
        <v>15546.89</v>
      </c>
      <c r="BN121" s="323">
        <v>40715.89</v>
      </c>
      <c r="BO121" s="323">
        <v>5897.54</v>
      </c>
      <c r="BP121" s="323">
        <v>25000.47</v>
      </c>
      <c r="BQ121" s="323">
        <v>12260.7</v>
      </c>
      <c r="BR121" s="323">
        <v>11941.64</v>
      </c>
      <c r="BS121" s="323">
        <v>6992.51</v>
      </c>
      <c r="BT121" s="323">
        <v>65348.07</v>
      </c>
      <c r="BU121" s="323">
        <v>10687.19</v>
      </c>
      <c r="BV121" s="323">
        <v>14323.86</v>
      </c>
      <c r="BW121" s="323">
        <v>6983.96</v>
      </c>
      <c r="BX121" s="323">
        <v>8787.24</v>
      </c>
      <c r="BY121" s="323">
        <v>7057.98</v>
      </c>
      <c r="BZ121" s="323">
        <v>20871.22</v>
      </c>
      <c r="CA121" s="323">
        <v>5894.01</v>
      </c>
      <c r="CB121" s="323">
        <v>27864.33</v>
      </c>
      <c r="CC121" s="323">
        <v>24341.94</v>
      </c>
      <c r="CD121" s="323">
        <v>20088.61</v>
      </c>
      <c r="CE121" s="323">
        <v>31057.48</v>
      </c>
      <c r="CF121" s="323">
        <v>3508.14</v>
      </c>
      <c r="CG121" s="323">
        <v>44318.51</v>
      </c>
      <c r="CH121" s="323">
        <v>29330.19</v>
      </c>
      <c r="CI121" s="323">
        <v>9362.69</v>
      </c>
      <c r="CJ121" s="323">
        <v>29782.37</v>
      </c>
      <c r="CK121" s="323">
        <v>10922.03</v>
      </c>
      <c r="CL121" s="323">
        <v>813936.7</v>
      </c>
    </row>
    <row r="122" spans="1:90" s="69" customFormat="1" ht="11.25">
      <c r="B122" s="328" t="s">
        <v>197</v>
      </c>
      <c r="C122" s="322">
        <v>2010</v>
      </c>
      <c r="D122" s="69" t="s">
        <v>13</v>
      </c>
      <c r="E122" s="332">
        <v>40441</v>
      </c>
      <c r="F122" s="323">
        <v>4143</v>
      </c>
      <c r="G122" s="323">
        <v>308</v>
      </c>
      <c r="H122" s="323">
        <v>509</v>
      </c>
      <c r="I122" s="323">
        <v>1271</v>
      </c>
      <c r="J122" s="323"/>
      <c r="K122" s="323">
        <v>398</v>
      </c>
      <c r="L122" s="323">
        <v>596</v>
      </c>
      <c r="M122" s="323">
        <v>282</v>
      </c>
      <c r="N122" s="323">
        <v>246</v>
      </c>
      <c r="O122" s="323">
        <v>239</v>
      </c>
      <c r="P122" s="323">
        <v>184</v>
      </c>
      <c r="Q122" s="323">
        <v>396</v>
      </c>
      <c r="R122" s="323">
        <v>538</v>
      </c>
      <c r="S122" s="323">
        <v>404</v>
      </c>
      <c r="T122" s="323">
        <v>132</v>
      </c>
      <c r="U122" s="323">
        <v>732</v>
      </c>
      <c r="V122" s="323">
        <v>40</v>
      </c>
      <c r="W122" s="323">
        <v>16</v>
      </c>
      <c r="X122" s="323">
        <v>155</v>
      </c>
      <c r="Y122" s="323">
        <v>61</v>
      </c>
      <c r="Z122" s="323">
        <v>23</v>
      </c>
      <c r="AA122" s="323">
        <v>16</v>
      </c>
      <c r="AB122" s="323" t="s">
        <v>58</v>
      </c>
      <c r="AC122" s="323">
        <v>48</v>
      </c>
      <c r="AD122" s="323">
        <v>21</v>
      </c>
      <c r="AE122" s="323">
        <v>55</v>
      </c>
      <c r="AF122" s="323">
        <v>38</v>
      </c>
      <c r="AG122" s="323">
        <v>98</v>
      </c>
      <c r="AH122" s="323">
        <v>68</v>
      </c>
      <c r="AI122" s="323">
        <v>21</v>
      </c>
      <c r="AJ122" s="323">
        <v>81</v>
      </c>
      <c r="AK122" s="323">
        <v>79</v>
      </c>
      <c r="AL122" s="323">
        <v>29</v>
      </c>
      <c r="AM122" s="323">
        <v>7</v>
      </c>
      <c r="AN122" s="323">
        <v>493</v>
      </c>
      <c r="AO122" s="323">
        <v>203</v>
      </c>
      <c r="AP122" s="323">
        <v>17</v>
      </c>
      <c r="AQ122" s="323">
        <v>124</v>
      </c>
      <c r="AR122" s="323">
        <v>28</v>
      </c>
      <c r="AS122" s="323">
        <v>371</v>
      </c>
      <c r="AT122" s="323"/>
      <c r="AU122" s="323">
        <v>396</v>
      </c>
      <c r="AV122" s="323">
        <v>404</v>
      </c>
      <c r="AW122" s="323">
        <v>246</v>
      </c>
      <c r="AX122" s="323">
        <v>526</v>
      </c>
      <c r="AY122" s="323">
        <v>596</v>
      </c>
      <c r="AZ122" s="323">
        <v>8</v>
      </c>
      <c r="BA122" s="323">
        <v>176</v>
      </c>
      <c r="BB122" s="323">
        <v>132</v>
      </c>
      <c r="BC122" s="323">
        <v>732</v>
      </c>
      <c r="BD122" s="323">
        <v>282</v>
      </c>
      <c r="BE122" s="323">
        <v>239</v>
      </c>
      <c r="BF122" s="323">
        <v>398</v>
      </c>
      <c r="BG122" s="323">
        <v>9</v>
      </c>
      <c r="BH122" s="323">
        <v>3</v>
      </c>
      <c r="BI122" s="323">
        <v>152</v>
      </c>
      <c r="BJ122" s="323">
        <v>31</v>
      </c>
      <c r="BK122" s="323">
        <v>9</v>
      </c>
      <c r="BL122" s="323">
        <v>2</v>
      </c>
      <c r="BM122" s="323">
        <v>23</v>
      </c>
      <c r="BN122" s="323">
        <v>50</v>
      </c>
      <c r="BO122" s="323">
        <v>1</v>
      </c>
      <c r="BP122" s="323" t="s">
        <v>58</v>
      </c>
      <c r="BQ122" s="323">
        <v>15</v>
      </c>
      <c r="BR122" s="323">
        <v>16</v>
      </c>
      <c r="BS122" s="323">
        <v>7</v>
      </c>
      <c r="BT122" s="323">
        <v>48</v>
      </c>
      <c r="BU122" s="323">
        <v>21</v>
      </c>
      <c r="BV122" s="323">
        <v>98</v>
      </c>
      <c r="BW122" s="323">
        <v>21</v>
      </c>
      <c r="BX122" s="323">
        <v>48</v>
      </c>
      <c r="BY122" s="323">
        <v>81</v>
      </c>
      <c r="BZ122" s="323">
        <v>68</v>
      </c>
      <c r="CA122" s="323">
        <v>38</v>
      </c>
      <c r="CB122" s="323">
        <v>79</v>
      </c>
      <c r="CC122" s="323">
        <v>203</v>
      </c>
      <c r="CD122" s="323">
        <v>17</v>
      </c>
      <c r="CE122" s="323">
        <v>29</v>
      </c>
      <c r="CF122" s="323">
        <v>9</v>
      </c>
      <c r="CG122" s="323">
        <v>362</v>
      </c>
      <c r="CH122" s="323">
        <v>7</v>
      </c>
      <c r="CI122" s="323">
        <v>28</v>
      </c>
      <c r="CJ122" s="323">
        <v>493</v>
      </c>
      <c r="CK122" s="323">
        <v>124</v>
      </c>
      <c r="CL122" s="323">
        <v>6231</v>
      </c>
    </row>
    <row r="123" spans="1:90" s="69" customFormat="1" ht="11.25">
      <c r="B123" s="328"/>
      <c r="C123" s="322"/>
      <c r="D123" s="69" t="s">
        <v>1</v>
      </c>
      <c r="F123" s="323">
        <v>4170.09</v>
      </c>
      <c r="G123" s="323">
        <v>541.74</v>
      </c>
      <c r="H123" s="323">
        <v>587.17999999999995</v>
      </c>
      <c r="I123" s="323">
        <v>1151.67</v>
      </c>
      <c r="J123" s="323"/>
      <c r="K123" s="323">
        <v>359.48</v>
      </c>
      <c r="L123" s="323">
        <v>528.95000000000005</v>
      </c>
      <c r="M123" s="323">
        <v>290.68</v>
      </c>
      <c r="N123" s="323">
        <v>310.51</v>
      </c>
      <c r="O123" s="323">
        <v>119.56</v>
      </c>
      <c r="P123" s="323">
        <v>180.21</v>
      </c>
      <c r="Q123" s="323">
        <v>604.95000000000005</v>
      </c>
      <c r="R123" s="323">
        <v>582.64</v>
      </c>
      <c r="S123" s="323">
        <v>556.91</v>
      </c>
      <c r="T123" s="323">
        <v>74.989999999999995</v>
      </c>
      <c r="U123" s="323">
        <v>561.22</v>
      </c>
      <c r="V123" s="323">
        <v>79.45</v>
      </c>
      <c r="W123" s="323">
        <v>39.14</v>
      </c>
      <c r="X123" s="323">
        <v>280.74</v>
      </c>
      <c r="Y123" s="323">
        <v>77.97</v>
      </c>
      <c r="Z123" s="323">
        <v>54.51</v>
      </c>
      <c r="AA123" s="323">
        <v>9.93</v>
      </c>
      <c r="AB123" s="323" t="s">
        <v>58</v>
      </c>
      <c r="AC123" s="323">
        <v>65.58</v>
      </c>
      <c r="AD123" s="323">
        <v>29.81</v>
      </c>
      <c r="AE123" s="323">
        <v>68.790000000000006</v>
      </c>
      <c r="AF123" s="323">
        <v>36.619999999999997</v>
      </c>
      <c r="AG123" s="323">
        <v>45.79</v>
      </c>
      <c r="AH123" s="323">
        <v>151.69</v>
      </c>
      <c r="AI123" s="323">
        <v>42.2</v>
      </c>
      <c r="AJ123" s="323">
        <v>77.03</v>
      </c>
      <c r="AK123" s="323">
        <v>69.67</v>
      </c>
      <c r="AL123" s="323">
        <v>65.63</v>
      </c>
      <c r="AM123" s="323">
        <v>10.07</v>
      </c>
      <c r="AN123" s="323">
        <v>440.02</v>
      </c>
      <c r="AO123" s="323">
        <v>198.6</v>
      </c>
      <c r="AP123" s="323">
        <v>28.92</v>
      </c>
      <c r="AQ123" s="323">
        <v>42.68</v>
      </c>
      <c r="AR123" s="323">
        <v>40.46</v>
      </c>
      <c r="AS123" s="323">
        <v>325.3</v>
      </c>
      <c r="AT123" s="323"/>
      <c r="AU123" s="323">
        <v>604.95000000000005</v>
      </c>
      <c r="AV123" s="323">
        <v>556.91</v>
      </c>
      <c r="AW123" s="323">
        <v>310.51</v>
      </c>
      <c r="AX123" s="323">
        <v>578.1</v>
      </c>
      <c r="AY123" s="323">
        <v>528.95000000000005</v>
      </c>
      <c r="AZ123" s="323">
        <v>11.52</v>
      </c>
      <c r="BA123" s="323">
        <v>168.69</v>
      </c>
      <c r="BB123" s="323">
        <v>74.989999999999995</v>
      </c>
      <c r="BC123" s="323">
        <v>561.22</v>
      </c>
      <c r="BD123" s="323">
        <v>290.68</v>
      </c>
      <c r="BE123" s="323">
        <v>119.56</v>
      </c>
      <c r="BF123" s="323">
        <v>359.48</v>
      </c>
      <c r="BG123" s="323">
        <v>19.5</v>
      </c>
      <c r="BH123" s="323">
        <v>3.6</v>
      </c>
      <c r="BI123" s="323">
        <v>277.14</v>
      </c>
      <c r="BJ123" s="323">
        <v>59.95</v>
      </c>
      <c r="BK123" s="323">
        <v>16.16</v>
      </c>
      <c r="BL123" s="323">
        <v>1.1599999999999999</v>
      </c>
      <c r="BM123" s="323">
        <v>54.51</v>
      </c>
      <c r="BN123" s="323">
        <v>60.65</v>
      </c>
      <c r="BO123" s="323">
        <v>3.9</v>
      </c>
      <c r="BP123" s="323" t="s">
        <v>58</v>
      </c>
      <c r="BQ123" s="323">
        <v>6.03</v>
      </c>
      <c r="BR123" s="323">
        <v>39.14</v>
      </c>
      <c r="BS123" s="323">
        <v>6.83</v>
      </c>
      <c r="BT123" s="323">
        <v>61.96</v>
      </c>
      <c r="BU123" s="323">
        <v>29.81</v>
      </c>
      <c r="BV123" s="323">
        <v>45.79</v>
      </c>
      <c r="BW123" s="323">
        <v>42.2</v>
      </c>
      <c r="BX123" s="323">
        <v>65.58</v>
      </c>
      <c r="BY123" s="323">
        <v>77.03</v>
      </c>
      <c r="BZ123" s="323">
        <v>151.69</v>
      </c>
      <c r="CA123" s="323">
        <v>36.619999999999997</v>
      </c>
      <c r="CB123" s="323">
        <v>69.67</v>
      </c>
      <c r="CC123" s="323">
        <v>198.6</v>
      </c>
      <c r="CD123" s="323">
        <v>28.92</v>
      </c>
      <c r="CE123" s="323">
        <v>65.63</v>
      </c>
      <c r="CF123" s="323">
        <v>19.27</v>
      </c>
      <c r="CG123" s="323">
        <v>306.02999999999997</v>
      </c>
      <c r="CH123" s="323">
        <v>10.07</v>
      </c>
      <c r="CI123" s="323">
        <v>40.46</v>
      </c>
      <c r="CJ123" s="323">
        <v>440.02</v>
      </c>
      <c r="CK123" s="323">
        <v>42.68</v>
      </c>
      <c r="CL123" s="323">
        <v>6476.71</v>
      </c>
    </row>
    <row r="124" spans="1:90" s="69" customFormat="1" ht="11.25">
      <c r="B124" s="328" t="s">
        <v>235</v>
      </c>
      <c r="C124" s="322">
        <v>2010</v>
      </c>
      <c r="D124" s="69" t="s">
        <v>13</v>
      </c>
      <c r="E124" s="332">
        <v>40648</v>
      </c>
      <c r="F124" s="323">
        <v>3148</v>
      </c>
      <c r="G124" s="323">
        <v>681</v>
      </c>
      <c r="H124" s="323">
        <v>2722</v>
      </c>
      <c r="I124" s="323">
        <v>4220</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89</v>
      </c>
      <c r="AV124" s="323">
        <v>96</v>
      </c>
      <c r="AW124" s="323">
        <v>309</v>
      </c>
      <c r="AX124" s="323">
        <v>140</v>
      </c>
      <c r="AY124" s="323">
        <v>242</v>
      </c>
      <c r="AZ124" s="323">
        <v>4</v>
      </c>
      <c r="BA124" s="323">
        <v>125</v>
      </c>
      <c r="BB124" s="323">
        <v>226</v>
      </c>
      <c r="BC124" s="323">
        <v>693</v>
      </c>
      <c r="BD124" s="323">
        <v>254</v>
      </c>
      <c r="BE124" s="323">
        <v>210</v>
      </c>
      <c r="BF124" s="323">
        <v>746</v>
      </c>
      <c r="BG124" s="323" t="s">
        <v>58</v>
      </c>
      <c r="BH124" s="323" t="s">
        <v>233</v>
      </c>
      <c r="BI124" s="323">
        <v>31</v>
      </c>
      <c r="BJ124" s="323">
        <v>19</v>
      </c>
      <c r="BK124" s="323" t="s">
        <v>233</v>
      </c>
      <c r="BL124" s="323" t="s">
        <v>233</v>
      </c>
      <c r="BM124" s="323">
        <v>213</v>
      </c>
      <c r="BN124" s="323">
        <v>90</v>
      </c>
      <c r="BO124" s="323" t="s">
        <v>233</v>
      </c>
      <c r="BP124" s="323">
        <v>123</v>
      </c>
      <c r="BQ124" s="323">
        <v>65</v>
      </c>
      <c r="BR124" s="323">
        <v>130</v>
      </c>
      <c r="BS124" s="323">
        <v>5</v>
      </c>
      <c r="BT124" s="323">
        <v>443</v>
      </c>
      <c r="BU124" s="323">
        <v>183</v>
      </c>
      <c r="BV124" s="323">
        <v>479</v>
      </c>
      <c r="BW124" s="323">
        <v>221</v>
      </c>
      <c r="BX124" s="323">
        <v>466</v>
      </c>
      <c r="BY124" s="323">
        <v>139</v>
      </c>
      <c r="BZ124" s="323">
        <v>233</v>
      </c>
      <c r="CA124" s="323">
        <v>182</v>
      </c>
      <c r="CB124" s="323">
        <v>371</v>
      </c>
      <c r="CC124" s="323">
        <v>247</v>
      </c>
      <c r="CD124" s="323">
        <v>40</v>
      </c>
      <c r="CE124" s="323">
        <v>82</v>
      </c>
      <c r="CF124" s="323">
        <v>21</v>
      </c>
      <c r="CG124" s="323">
        <v>569</v>
      </c>
      <c r="CH124" s="323">
        <v>886</v>
      </c>
      <c r="CI124" s="323">
        <v>338</v>
      </c>
      <c r="CJ124" s="323">
        <v>1662</v>
      </c>
      <c r="CK124" s="323">
        <v>375</v>
      </c>
      <c r="CL124" s="323">
        <v>10771</v>
      </c>
    </row>
    <row r="125" spans="1:90" s="69" customFormat="1" ht="11.25">
      <c r="B125" s="328" t="s">
        <v>236</v>
      </c>
      <c r="C125" s="322">
        <v>2010</v>
      </c>
      <c r="D125" s="69" t="s">
        <v>13</v>
      </c>
      <c r="E125" s="332">
        <v>40652</v>
      </c>
      <c r="F125" s="323">
        <v>3007</v>
      </c>
      <c r="G125" s="323">
        <v>672</v>
      </c>
      <c r="H125" s="323">
        <v>1964</v>
      </c>
      <c r="I125" s="323">
        <v>2366</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85</v>
      </c>
      <c r="AV125" s="323">
        <v>62</v>
      </c>
      <c r="AW125" s="323">
        <v>122</v>
      </c>
      <c r="AX125" s="323">
        <v>133</v>
      </c>
      <c r="AY125" s="323">
        <v>134</v>
      </c>
      <c r="AZ125" s="323" t="s">
        <v>233</v>
      </c>
      <c r="BA125" s="323">
        <v>133</v>
      </c>
      <c r="BB125" s="323">
        <v>359</v>
      </c>
      <c r="BC125" s="323">
        <v>917</v>
      </c>
      <c r="BD125" s="323">
        <v>430</v>
      </c>
      <c r="BE125" s="323">
        <v>169</v>
      </c>
      <c r="BF125" s="323">
        <v>459</v>
      </c>
      <c r="BG125" s="323" t="s">
        <v>233</v>
      </c>
      <c r="BH125" s="323">
        <v>8</v>
      </c>
      <c r="BI125" s="323">
        <v>56</v>
      </c>
      <c r="BJ125" s="323">
        <v>43</v>
      </c>
      <c r="BK125" s="323">
        <v>9</v>
      </c>
      <c r="BL125" s="323" t="s">
        <v>233</v>
      </c>
      <c r="BM125" s="323">
        <v>182</v>
      </c>
      <c r="BN125" s="323">
        <v>110</v>
      </c>
      <c r="BO125" s="323">
        <v>3</v>
      </c>
      <c r="BP125" s="323">
        <v>91</v>
      </c>
      <c r="BQ125" s="323">
        <v>58</v>
      </c>
      <c r="BR125" s="323">
        <v>106</v>
      </c>
      <c r="BS125" s="323">
        <v>13</v>
      </c>
      <c r="BT125" s="323">
        <v>280</v>
      </c>
      <c r="BU125" s="323">
        <v>180</v>
      </c>
      <c r="BV125" s="323">
        <v>497</v>
      </c>
      <c r="BW125" s="323">
        <v>223</v>
      </c>
      <c r="BX125" s="323">
        <v>247</v>
      </c>
      <c r="BY125" s="323">
        <v>95</v>
      </c>
      <c r="BZ125" s="323">
        <v>119</v>
      </c>
      <c r="CA125" s="323">
        <v>96</v>
      </c>
      <c r="CB125" s="323">
        <v>214</v>
      </c>
      <c r="CC125" s="323">
        <v>220</v>
      </c>
      <c r="CD125" s="323">
        <v>65</v>
      </c>
      <c r="CE125" s="323">
        <v>83</v>
      </c>
      <c r="CF125" s="323">
        <v>30</v>
      </c>
      <c r="CG125" s="323">
        <v>731</v>
      </c>
      <c r="CH125" s="323">
        <v>500</v>
      </c>
      <c r="CI125" s="323">
        <v>119</v>
      </c>
      <c r="CJ125" s="323">
        <v>237</v>
      </c>
      <c r="CK125" s="323">
        <v>381</v>
      </c>
      <c r="CL125" s="323">
        <v>8009</v>
      </c>
    </row>
    <row r="126" spans="1:90" s="69" customFormat="1" ht="11.25">
      <c r="B126" s="328" t="s">
        <v>237</v>
      </c>
      <c r="C126" s="322">
        <v>2010</v>
      </c>
      <c r="D126" s="69" t="s">
        <v>13</v>
      </c>
      <c r="E126" s="332">
        <v>40652</v>
      </c>
      <c r="F126" s="323">
        <v>523578</v>
      </c>
      <c r="G126" s="323">
        <v>68098</v>
      </c>
      <c r="H126" s="323">
        <v>94291</v>
      </c>
      <c r="I126" s="323">
        <v>399368</v>
      </c>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v>12206</v>
      </c>
      <c r="AV126" s="323">
        <v>4039</v>
      </c>
      <c r="AW126" s="323">
        <v>15543</v>
      </c>
      <c r="AX126" s="323">
        <v>28660</v>
      </c>
      <c r="AY126" s="323">
        <v>9818</v>
      </c>
      <c r="AZ126" s="323" t="s">
        <v>233</v>
      </c>
      <c r="BA126" s="323">
        <v>23545</v>
      </c>
      <c r="BB126" s="323">
        <v>77858</v>
      </c>
      <c r="BC126" s="323">
        <v>208234</v>
      </c>
      <c r="BD126" s="323">
        <v>59852</v>
      </c>
      <c r="BE126" s="323">
        <v>31522</v>
      </c>
      <c r="BF126" s="323">
        <v>51804</v>
      </c>
      <c r="BG126" s="323" t="s">
        <v>233</v>
      </c>
      <c r="BH126" s="323">
        <v>793</v>
      </c>
      <c r="BI126" s="323">
        <v>5110</v>
      </c>
      <c r="BJ126" s="323">
        <v>3874</v>
      </c>
      <c r="BK126" s="323">
        <v>567</v>
      </c>
      <c r="BL126" s="323">
        <v>64</v>
      </c>
      <c r="BM126" s="323">
        <v>26778</v>
      </c>
      <c r="BN126" s="323">
        <v>14479</v>
      </c>
      <c r="BO126" s="323" t="s">
        <v>233</v>
      </c>
      <c r="BP126" s="323">
        <v>4065</v>
      </c>
      <c r="BQ126" s="323">
        <v>4983</v>
      </c>
      <c r="BR126" s="323">
        <v>7368</v>
      </c>
      <c r="BS126" s="323">
        <v>223</v>
      </c>
      <c r="BT126" s="323">
        <v>6205</v>
      </c>
      <c r="BU126" s="323">
        <v>4070</v>
      </c>
      <c r="BV126" s="323">
        <v>15514</v>
      </c>
      <c r="BW126" s="323">
        <v>26001</v>
      </c>
      <c r="BX126" s="323">
        <v>13716</v>
      </c>
      <c r="BY126" s="323">
        <v>6568</v>
      </c>
      <c r="BZ126" s="323">
        <v>12062</v>
      </c>
      <c r="CA126" s="323">
        <v>2689</v>
      </c>
      <c r="CB126" s="323">
        <v>7243</v>
      </c>
      <c r="CC126" s="323">
        <v>15086</v>
      </c>
      <c r="CD126" s="323">
        <v>10014</v>
      </c>
      <c r="CE126" s="323">
        <v>6150</v>
      </c>
      <c r="CF126" s="323">
        <v>12842</v>
      </c>
      <c r="CG126" s="323">
        <v>157728</v>
      </c>
      <c r="CH126" s="323">
        <v>98860</v>
      </c>
      <c r="CI126" s="323">
        <v>13491</v>
      </c>
      <c r="CJ126" s="323">
        <v>27942</v>
      </c>
      <c r="CK126" s="323">
        <v>57255</v>
      </c>
      <c r="CL126" s="323">
        <v>1085335</v>
      </c>
    </row>
    <row r="128" spans="1:90">
      <c r="B128" s="58" t="s">
        <v>234</v>
      </c>
      <c r="D128" t="s">
        <v>7</v>
      </c>
      <c r="E128" s="68">
        <v>40648</v>
      </c>
      <c r="F128" s="126">
        <v>15305</v>
      </c>
      <c r="G128" s="126">
        <v>7226</v>
      </c>
      <c r="H128" s="126">
        <v>23938</v>
      </c>
      <c r="I128" s="126">
        <v>12037</v>
      </c>
      <c r="K128" s="126">
        <v>3932</v>
      </c>
      <c r="L128" s="126">
        <v>1614</v>
      </c>
      <c r="M128" s="126">
        <v>730</v>
      </c>
      <c r="N128" s="126">
        <v>1728</v>
      </c>
      <c r="O128" s="126">
        <v>566</v>
      </c>
      <c r="P128" s="126">
        <v>744</v>
      </c>
      <c r="Q128" s="126">
        <v>659</v>
      </c>
      <c r="R128" s="126">
        <v>239</v>
      </c>
      <c r="S128" s="126">
        <v>804</v>
      </c>
      <c r="T128" s="126">
        <v>1123</v>
      </c>
      <c r="U128" s="126">
        <v>3166</v>
      </c>
      <c r="V128" s="126">
        <v>569</v>
      </c>
      <c r="W128" s="126">
        <v>1121</v>
      </c>
      <c r="X128" s="126">
        <v>866</v>
      </c>
      <c r="Y128" s="126">
        <v>1143</v>
      </c>
      <c r="Z128" s="126">
        <v>1398</v>
      </c>
      <c r="AA128" s="126">
        <v>902</v>
      </c>
      <c r="AB128" s="126">
        <v>1204</v>
      </c>
      <c r="AC128" s="126">
        <v>2323</v>
      </c>
      <c r="AD128" s="126">
        <v>2398</v>
      </c>
      <c r="AE128" s="126">
        <v>3484</v>
      </c>
      <c r="AF128" s="126">
        <v>2762</v>
      </c>
      <c r="AG128" s="126">
        <v>4418</v>
      </c>
      <c r="AH128" s="126">
        <v>1158</v>
      </c>
      <c r="AI128" s="126">
        <v>1784</v>
      </c>
      <c r="AJ128" s="126">
        <v>1334</v>
      </c>
      <c r="AK128" s="126">
        <v>4277</v>
      </c>
      <c r="AL128" s="126">
        <v>1853</v>
      </c>
      <c r="AM128" s="126">
        <v>1899</v>
      </c>
      <c r="AN128" s="126">
        <v>2042</v>
      </c>
      <c r="AO128" s="126">
        <v>1470</v>
      </c>
      <c r="AP128" s="126" t="s">
        <v>233</v>
      </c>
      <c r="AQ128" s="126">
        <v>2185</v>
      </c>
      <c r="AR128" s="126">
        <v>996</v>
      </c>
      <c r="AS128" s="126">
        <v>1592</v>
      </c>
      <c r="AT128" s="126" t="s">
        <v>233</v>
      </c>
      <c r="AU128" s="126">
        <v>659</v>
      </c>
      <c r="AV128" s="126">
        <v>804</v>
      </c>
      <c r="AW128" s="126">
        <v>1728</v>
      </c>
      <c r="AX128" s="126">
        <v>239</v>
      </c>
      <c r="AY128" s="126">
        <v>1614</v>
      </c>
      <c r="AZ128" s="126" t="s">
        <v>233</v>
      </c>
      <c r="BA128" s="126">
        <v>744</v>
      </c>
      <c r="BB128" s="126">
        <v>1123</v>
      </c>
      <c r="BC128" s="126">
        <v>3166</v>
      </c>
      <c r="BD128" s="126">
        <v>730</v>
      </c>
      <c r="BE128" s="126">
        <v>566</v>
      </c>
      <c r="BF128" s="126">
        <v>3932</v>
      </c>
      <c r="BG128" s="126">
        <v>82</v>
      </c>
      <c r="BH128" s="126">
        <v>23</v>
      </c>
      <c r="BI128" s="126">
        <v>866</v>
      </c>
      <c r="BJ128" s="126">
        <v>487</v>
      </c>
      <c r="BK128" s="126" t="s">
        <v>233</v>
      </c>
      <c r="BL128" s="126">
        <v>20</v>
      </c>
      <c r="BM128" s="126">
        <v>1398</v>
      </c>
      <c r="BN128" s="126">
        <v>1123</v>
      </c>
      <c r="BO128" s="126" t="s">
        <v>233</v>
      </c>
      <c r="BP128" s="126">
        <v>1204</v>
      </c>
      <c r="BQ128" s="126">
        <v>902</v>
      </c>
      <c r="BR128" s="126">
        <v>1121</v>
      </c>
      <c r="BS128" s="126">
        <v>81</v>
      </c>
      <c r="BT128" s="126">
        <v>3403</v>
      </c>
      <c r="BU128" s="126">
        <v>2398</v>
      </c>
      <c r="BV128" s="126">
        <v>4418</v>
      </c>
      <c r="BW128" s="126">
        <v>1784</v>
      </c>
      <c r="BX128" s="126">
        <v>2323</v>
      </c>
      <c r="BY128" s="126">
        <v>1334</v>
      </c>
      <c r="BZ128" s="126">
        <v>1158</v>
      </c>
      <c r="CA128" s="126">
        <v>2762</v>
      </c>
      <c r="CB128" s="126">
        <v>4277</v>
      </c>
      <c r="CC128" s="126">
        <v>1470</v>
      </c>
      <c r="CD128" s="126" t="s">
        <v>233</v>
      </c>
      <c r="CE128" s="126">
        <v>1853</v>
      </c>
      <c r="CF128" s="126" t="s">
        <v>233</v>
      </c>
      <c r="CG128" s="126">
        <v>1592</v>
      </c>
      <c r="CH128" s="126">
        <v>1899</v>
      </c>
      <c r="CI128" s="126">
        <v>996</v>
      </c>
      <c r="CJ128" s="126">
        <v>2042</v>
      </c>
      <c r="CK128" s="126">
        <v>2185</v>
      </c>
      <c r="CL128" s="126">
        <v>59249</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9" min="1" max="8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N129"/>
  <sheetViews>
    <sheetView showGridLines="0" zoomScaleNormal="100" workbookViewId="0">
      <selection activeCell="D15" sqref="D15"/>
    </sheetView>
  </sheetViews>
  <sheetFormatPr baseColWidth="10" defaultColWidth="11.42578125" defaultRowHeight="12.75"/>
  <cols>
    <col min="1" max="1" width="37.42578125" style="3" customWidth="1"/>
    <col min="2" max="2" width="6.7109375" style="4" customWidth="1"/>
    <col min="3" max="3" width="11.5703125" style="2" customWidth="1"/>
    <col min="4" max="4" width="14.7109375" style="3" customWidth="1"/>
    <col min="5" max="5" width="8.28515625" style="3" bestFit="1" customWidth="1"/>
    <col min="6" max="6" width="14.7109375" style="3" customWidth="1"/>
    <col min="7" max="7" width="7.85546875" style="3" customWidth="1"/>
    <col min="8" max="8" width="2.140625" style="3" customWidth="1"/>
    <col min="9" max="9" width="11.42578125" style="3" hidden="1" customWidth="1"/>
    <col min="10" max="10" width="36" style="3" hidden="1" customWidth="1"/>
    <col min="11" max="11" width="11.42578125" style="3" hidden="1" customWidth="1"/>
    <col min="12" max="12" width="4.5703125" style="3" hidden="1" customWidth="1"/>
    <col min="13" max="13" width="15.85546875" style="3" hidden="1" customWidth="1"/>
    <col min="14" max="14" width="15.85546875" style="3" customWidth="1"/>
    <col min="15" max="16384" width="11.42578125" style="3"/>
  </cols>
  <sheetData>
    <row r="1" spans="1:14" ht="21.75" customHeight="1" thickTop="1" thickBot="1">
      <c r="A1" s="88" t="s">
        <v>91</v>
      </c>
      <c r="B1" s="60"/>
      <c r="C1" s="61"/>
      <c r="D1" s="884" t="str">
        <f>IF(I2=85,"Land",IF(J2=0,"",IF(I2&gt;40,"Kreis",IF(I2&gt;5,"Dienstbezirk",IF(I2&gt;0,"Regierungsbezirk",0)))))</f>
        <v>Kreis</v>
      </c>
      <c r="E1" s="885"/>
      <c r="F1" s="880" t="s">
        <v>18</v>
      </c>
      <c r="G1" s="881"/>
      <c r="K1" s="862" t="s">
        <v>497</v>
      </c>
      <c r="N1" s="341" t="s">
        <v>230</v>
      </c>
    </row>
    <row r="2" spans="1:14" ht="36" customHeight="1" thickBot="1">
      <c r="A2" s="875" t="str">
        <f>K1</f>
        <v>2021/2022</v>
      </c>
      <c r="B2" s="876"/>
      <c r="C2" s="877"/>
      <c r="D2" s="878" t="str">
        <f>MID(J2,18,25)</f>
        <v>Bodenseekreis</v>
      </c>
      <c r="E2" s="879"/>
      <c r="F2" s="882" t="s">
        <v>17</v>
      </c>
      <c r="G2" s="883"/>
      <c r="H2" s="77"/>
      <c r="I2" s="474">
        <v>82</v>
      </c>
      <c r="J2" s="78" t="str">
        <f>VLOOKUP(I2,I3:J87,2)</f>
        <v>Kreis            Bodenseekreis</v>
      </c>
      <c r="K2" s="79"/>
    </row>
    <row r="3" spans="1:14" s="12" customFormat="1" ht="18.75" customHeight="1">
      <c r="A3" s="6" t="s">
        <v>97</v>
      </c>
      <c r="B3" s="7"/>
      <c r="C3" s="8"/>
      <c r="D3" s="747"/>
      <c r="E3" s="9" t="s">
        <v>16</v>
      </c>
      <c r="F3" s="10"/>
      <c r="G3" s="11" t="s">
        <v>16</v>
      </c>
      <c r="H3" s="3"/>
      <c r="I3" s="46">
        <f>ROWS($I$3:I3)</f>
        <v>1</v>
      </c>
      <c r="J3" s="50" t="str">
        <f>$M$3&amp;'2011'!F$4</f>
        <v>Regierungsbezirk Stuttgart (RP)</v>
      </c>
      <c r="L3" s="75">
        <f>ROWS($L$3:L3)</f>
        <v>1</v>
      </c>
      <c r="M3" s="76" t="s">
        <v>210</v>
      </c>
    </row>
    <row r="4" spans="1:14" ht="15" customHeight="1">
      <c r="A4" s="13" t="str">
        <f>'Stand der Daten'!B7</f>
        <v>Bodenfläche (Flächenerhebung) insg.</v>
      </c>
      <c r="B4" s="14">
        <f>'2022'!C7</f>
        <v>2021</v>
      </c>
      <c r="C4" s="15" t="str">
        <f>'Stand der Daten'!C7</f>
        <v>ha</v>
      </c>
      <c r="D4" s="501">
        <f>IF(ISERROR(HLOOKUP($I$2,Daten2022,'2022'!A7,FALSE)),"",HLOOKUP($I$2,Daten2022,'2022'!A7,FALSE))</f>
        <v>66477</v>
      </c>
      <c r="E4" s="16">
        <f t="shared" ref="E4:E9" si="0">IF(ISERROR(D4/$D$4),"",D4/$D$4)</f>
        <v>1</v>
      </c>
      <c r="F4" s="501">
        <f>'2022'!CL7</f>
        <v>3574785</v>
      </c>
      <c r="G4" s="17">
        <f t="shared" ref="G4:G9" si="1">F4/$F$4</f>
        <v>1</v>
      </c>
      <c r="H4" s="18"/>
      <c r="I4" s="46">
        <f>ROWS($I$3:I4)</f>
        <v>2</v>
      </c>
      <c r="J4" s="50" t="str">
        <f>$M$3&amp;'2011'!G$4</f>
        <v>Regierungsbezirk Karlsruhe (RP)</v>
      </c>
      <c r="L4" s="46">
        <f>ROWS($L$3:L4)</f>
        <v>2</v>
      </c>
      <c r="M4" s="50" t="s">
        <v>42</v>
      </c>
      <c r="N4" s="3" t="s">
        <v>382</v>
      </c>
    </row>
    <row r="5" spans="1:14" ht="15" customHeight="1">
      <c r="A5" s="724" t="str">
        <f>'Stand der Daten'!B8</f>
        <v xml:space="preserve">davon Siedlungs- und Verkehrsfläche 1) </v>
      </c>
      <c r="B5" s="14"/>
      <c r="C5" s="15" t="str">
        <f>'Stand der Daten'!C8</f>
        <v>ha</v>
      </c>
      <c r="D5" s="725">
        <f>IF(ISERROR(HLOOKUP($I$2,Daten2022,'2022'!A8,FALSE)),"",HLOOKUP($I$2,Daten2022,'2022'!A8,FALSE))</f>
        <v>10103</v>
      </c>
      <c r="E5" s="19">
        <f t="shared" si="0"/>
        <v>0.1519773756336778</v>
      </c>
      <c r="F5" s="725">
        <f>'2022'!CL8</f>
        <v>527954</v>
      </c>
      <c r="G5" s="20">
        <f t="shared" si="1"/>
        <v>0.14768832251450087</v>
      </c>
      <c r="H5" s="18"/>
      <c r="I5" s="46">
        <f>ROWS($I$3:I5)</f>
        <v>3</v>
      </c>
      <c r="J5" s="50" t="str">
        <f>$M$3&amp;'2011'!H$4</f>
        <v>Regierungsbezirk Freiburg (RP)</v>
      </c>
      <c r="L5" s="46">
        <f>ROWS($L$3:L5)</f>
        <v>3</v>
      </c>
      <c r="M5" s="50" t="s">
        <v>22</v>
      </c>
      <c r="N5" s="3" t="s">
        <v>382</v>
      </c>
    </row>
    <row r="6" spans="1:14" ht="15" customHeight="1">
      <c r="A6" s="726" t="str">
        <f>'Stand der Daten'!B9</f>
        <v>Landwirtschaftsfläche</v>
      </c>
      <c r="B6" s="14"/>
      <c r="C6" s="15" t="str">
        <f>'Stand der Daten'!C9</f>
        <v>ha</v>
      </c>
      <c r="D6" s="725">
        <f>IF(ISERROR(HLOOKUP($I$2,Daten2022,'2022'!A9,FALSE)),"",HLOOKUP($I$2,Daten2022,'2022'!A9,FALSE))</f>
        <v>36589</v>
      </c>
      <c r="E6" s="19">
        <f t="shared" si="0"/>
        <v>0.550400890533568</v>
      </c>
      <c r="F6" s="725">
        <f>'2022'!CL9</f>
        <v>1606052</v>
      </c>
      <c r="G6" s="20">
        <f t="shared" si="1"/>
        <v>0.44927233386063775</v>
      </c>
      <c r="H6" s="18"/>
      <c r="I6" s="46">
        <f>ROWS($I$3:I6)</f>
        <v>4</v>
      </c>
      <c r="J6" s="50" t="str">
        <f>$M$3&amp;'2011'!I$4</f>
        <v>Regierungsbezirk Tübingen (RP)</v>
      </c>
      <c r="L6" s="47">
        <f>ROWS($L$3:L6)</f>
        <v>4</v>
      </c>
      <c r="M6" s="51" t="s">
        <v>139</v>
      </c>
      <c r="N6" s="3" t="s">
        <v>382</v>
      </c>
    </row>
    <row r="7" spans="1:14" ht="15" customHeight="1">
      <c r="A7" s="726" t="str">
        <f>'Stand der Daten'!B10</f>
        <v>Waldfläche</v>
      </c>
      <c r="B7" s="14"/>
      <c r="C7" s="15" t="str">
        <f>'Stand der Daten'!C10</f>
        <v>ha</v>
      </c>
      <c r="D7" s="725">
        <f>IF(ISERROR(HLOOKUP($I$2,Daten2022,'2022'!A10,FALSE)),"",HLOOKUP($I$2,Daten2022,'2022'!A10,FALSE))</f>
        <v>18493</v>
      </c>
      <c r="E7" s="19">
        <f t="shared" si="0"/>
        <v>0.27818644042300344</v>
      </c>
      <c r="F7" s="725">
        <f>'2022'!CL10</f>
        <v>1353043</v>
      </c>
      <c r="G7" s="20">
        <f t="shared" si="1"/>
        <v>0.37849632914986497</v>
      </c>
      <c r="H7" s="18"/>
      <c r="I7" s="47">
        <f>ROWS($I$3:I7)</f>
        <v>5</v>
      </c>
      <c r="J7" s="51"/>
      <c r="N7" s="3" t="s">
        <v>382</v>
      </c>
    </row>
    <row r="8" spans="1:14" ht="15" customHeight="1">
      <c r="A8" s="726" t="str">
        <f>'Stand der Daten'!B11</f>
        <v>Wasserfläche</v>
      </c>
      <c r="B8" s="14"/>
      <c r="C8" s="15" t="str">
        <f>'Stand der Daten'!C11</f>
        <v>ha</v>
      </c>
      <c r="D8" s="725">
        <f>IF(ISERROR(HLOOKUP($I$2,Daten2022,'2022'!A11,FALSE)),"",HLOOKUP($I$2,Daten2022,'2022'!A11,FALSE))</f>
        <v>710</v>
      </c>
      <c r="E8" s="19">
        <f t="shared" si="0"/>
        <v>1.0680385697308843E-2</v>
      </c>
      <c r="F8" s="725">
        <f>'2022'!CL11</f>
        <v>39284</v>
      </c>
      <c r="G8" s="20">
        <f t="shared" si="1"/>
        <v>1.098919235702287E-2</v>
      </c>
      <c r="H8" s="18"/>
      <c r="I8" s="46">
        <f>ROWS($I$3:I8)</f>
        <v>6</v>
      </c>
      <c r="J8" s="50" t="str">
        <f>$M$4&amp;"     "&amp;'2011'!K$4</f>
        <v>Dienstbezirk     Ellwangen</v>
      </c>
      <c r="N8" s="3" t="s">
        <v>382</v>
      </c>
    </row>
    <row r="9" spans="1:14" ht="15" customHeight="1">
      <c r="A9" s="726" t="str">
        <f>'Stand der Daten'!B12</f>
        <v>Übrige Nutzungsarten</v>
      </c>
      <c r="B9" s="14"/>
      <c r="C9" s="15" t="str">
        <f>'Stand der Daten'!C12</f>
        <v>ha</v>
      </c>
      <c r="D9" s="725">
        <f>IF(ISERROR(HLOOKUP($I$2,Daten2022,'2022'!A12,FALSE)),"",HLOOKUP($I$2,Daten2022,'2022'!A12,FALSE))</f>
        <v>582</v>
      </c>
      <c r="E9" s="19">
        <f t="shared" si="0"/>
        <v>8.7549077124418964E-3</v>
      </c>
      <c r="F9" s="725">
        <f>'2022'!CL12</f>
        <v>48452</v>
      </c>
      <c r="G9" s="20">
        <f t="shared" si="1"/>
        <v>1.3553822117973529E-2</v>
      </c>
      <c r="H9" s="18"/>
      <c r="I9" s="46">
        <f>ROWS($I$3:I9)</f>
        <v>7</v>
      </c>
      <c r="J9" s="50" t="str">
        <f>$M$4&amp;"     "&amp;'2011'!L$4</f>
        <v>Dienstbezirk     Backnang</v>
      </c>
      <c r="N9" s="3" t="s">
        <v>382</v>
      </c>
    </row>
    <row r="10" spans="1:14" ht="15" customHeight="1">
      <c r="A10" s="13" t="str">
        <f>'Stand der Daten'!B13</f>
        <v>Wohnbevölkerung</v>
      </c>
      <c r="B10" s="14">
        <f>'2022'!C13</f>
        <v>2022</v>
      </c>
      <c r="C10" s="15" t="str">
        <f>'Stand der Daten'!C13</f>
        <v>Personen</v>
      </c>
      <c r="D10" s="501">
        <f>IF(ISERROR(HLOOKUP($I$2,Daten2022,'2022'!A13,FALSE)),"",HLOOKUP($I$2,Daten2022,'2022'!A13,FALSE))</f>
        <v>222067</v>
      </c>
      <c r="E10" s="21"/>
      <c r="F10" s="501">
        <f>'2022'!CL13</f>
        <v>11236075</v>
      </c>
      <c r="G10" s="22"/>
      <c r="I10" s="46">
        <f>ROWS($I$3:I10)</f>
        <v>8</v>
      </c>
      <c r="J10" s="50" t="str">
        <f>$M$4&amp;"     "&amp;'2011'!M$4</f>
        <v>Dienstbezirk     Bad Mergentheim</v>
      </c>
      <c r="N10" s="3" t="s">
        <v>382</v>
      </c>
    </row>
    <row r="11" spans="1:14" ht="15" customHeight="1" thickBot="1">
      <c r="A11" s="727" t="str">
        <f>'Stand der Daten'!B14</f>
        <v xml:space="preserve">Bevölkerungsdichte </v>
      </c>
      <c r="B11" s="14"/>
      <c r="C11" s="15" t="str">
        <f>'Stand der Daten'!C14</f>
        <v>Pers./km²</v>
      </c>
      <c r="D11" s="725">
        <f>IF(ISERROR(HLOOKUP($I$2,Daten2022,'2022'!A14,FALSE)),"",HLOOKUP($I$2,Daten2022,'2022'!A14,FALSE))</f>
        <v>334.05087473863142</v>
      </c>
      <c r="E11" s="23"/>
      <c r="F11" s="725">
        <f>'2022'!CL14</f>
        <v>314.31470703832537</v>
      </c>
      <c r="G11" s="22"/>
      <c r="I11" s="46">
        <f>ROWS($I$3:I11)</f>
        <v>9</v>
      </c>
      <c r="J11" s="50" t="str">
        <f>$M$4&amp;"     "&amp;'2011'!N$4</f>
        <v>Dienstbezirk     Göppingen</v>
      </c>
      <c r="N11" s="3" t="s">
        <v>382</v>
      </c>
    </row>
    <row r="12" spans="1:14" ht="18.75" customHeight="1">
      <c r="A12" s="6" t="str">
        <f>'Stand der Daten'!B15</f>
        <v>Arbeitsmarkt und Wirtschaftsrechnung</v>
      </c>
      <c r="B12" s="7"/>
      <c r="C12" s="8"/>
      <c r="D12" s="748"/>
      <c r="E12" s="9" t="s">
        <v>16</v>
      </c>
      <c r="F12" s="502"/>
      <c r="G12" s="11" t="s">
        <v>16</v>
      </c>
      <c r="I12" s="46">
        <f>ROWS($I$3:I12)</f>
        <v>10</v>
      </c>
      <c r="J12" s="50" t="str">
        <f>$M$4&amp;"     "&amp;'2011'!O$4</f>
        <v>Dienstbezirk     Heidenheim</v>
      </c>
    </row>
    <row r="13" spans="1:14" ht="15" customHeight="1">
      <c r="A13" s="13" t="str">
        <f>'Stand der Daten'!B16</f>
        <v>Erwerbstätige (am Arbeitsort) insg.</v>
      </c>
      <c r="B13" s="14">
        <f>'2022'!C16</f>
        <v>2021</v>
      </c>
      <c r="C13" s="15" t="str">
        <f>'Stand der Daten'!C16</f>
        <v>Personen</v>
      </c>
      <c r="D13" s="501">
        <f>IF(ISERROR(HLOOKUP($I$2,Daten2022,'2022'!A16,FALSE)),"",HLOOKUP($I$2,Daten2022,'2022'!A16,FALSE))</f>
        <v>126100</v>
      </c>
      <c r="E13" s="16">
        <f>IF(ISERROR(D13/$D$10),"",D13/$D$10)</f>
        <v>0.56784664087865377</v>
      </c>
      <c r="F13" s="501">
        <f>'2022'!CL16</f>
        <v>6308700</v>
      </c>
      <c r="G13" s="17">
        <f>F13/$F$10</f>
        <v>0.56146830632583</v>
      </c>
      <c r="I13" s="46">
        <f>ROWS($I$3:I13)</f>
        <v>11</v>
      </c>
      <c r="J13" s="50" t="str">
        <f>$M$4&amp;"     "&amp;'2011'!P$4</f>
        <v>Dienstbezirk     Heilbronn *)</v>
      </c>
      <c r="N13" s="3" t="s">
        <v>382</v>
      </c>
    </row>
    <row r="14" spans="1:14" ht="15" customHeight="1">
      <c r="A14" s="727" t="str">
        <f>'Stand der Daten'!B17</f>
        <v>Arbeitslosenquote (Jahresdurchschn.) 2)</v>
      </c>
      <c r="B14" s="14">
        <f>'2022'!C17</f>
        <v>2022</v>
      </c>
      <c r="C14" s="15" t="str">
        <f>'Stand der Daten'!C17</f>
        <v>%</v>
      </c>
      <c r="D14" s="728">
        <f>IF(ISERROR(HLOOKUP($I$2,Daten2022,'2022'!A17,FALSE)),"",HLOOKUP($I$2,Daten2022,'2022'!A17,FALSE))</f>
        <v>2.6</v>
      </c>
      <c r="E14" s="19"/>
      <c r="F14" s="728">
        <f>'2022'!CL17</f>
        <v>3.5</v>
      </c>
      <c r="G14" s="20"/>
      <c r="H14" s="18"/>
      <c r="I14" s="46">
        <f>ROWS($I$3:I14)</f>
        <v>12</v>
      </c>
      <c r="J14" s="50" t="str">
        <f>$M$4&amp;"     "&amp;'2011'!Q$4</f>
        <v>Dienstbezirk     Böblingen</v>
      </c>
      <c r="N14" s="3" t="s">
        <v>382</v>
      </c>
    </row>
    <row r="15" spans="1:14" ht="15" customHeight="1">
      <c r="A15" s="727" t="str">
        <f>'Stand der Daten'!B18</f>
        <v>Erwerbstätige in der Landwirtschaft</v>
      </c>
      <c r="B15" s="14">
        <f>'2022'!C18</f>
        <v>2021</v>
      </c>
      <c r="C15" s="15" t="str">
        <f>'Stand der Daten'!C18</f>
        <v>Personen</v>
      </c>
      <c r="D15" s="725">
        <f>IF(ISERROR(HLOOKUP($I$2,Daten2022,'2022'!A18,FALSE)),"",HLOOKUP($I$2,Daten2022,'2022'!A18,FALSE))</f>
        <v>3400</v>
      </c>
      <c r="E15" s="19">
        <f>IF(ISERROR(D15/$D$10),"",D15/$D$10)</f>
        <v>1.5310694520122306E-2</v>
      </c>
      <c r="F15" s="725">
        <f>'2022'!CL18</f>
        <v>67500</v>
      </c>
      <c r="G15" s="20">
        <f>F15/$F$10</f>
        <v>6.0074358706220807E-3</v>
      </c>
      <c r="H15" s="18"/>
      <c r="I15" s="46">
        <f>ROWS($I$3:I15)</f>
        <v>13</v>
      </c>
      <c r="J15" s="50" t="str">
        <f>$M$4&amp;"     "&amp;'2011'!R$4</f>
        <v>Dienstbezirk     Ludwigsburg *)</v>
      </c>
      <c r="N15" s="3" t="s">
        <v>382</v>
      </c>
    </row>
    <row r="16" spans="1:14" ht="15" customHeight="1">
      <c r="A16" s="727" t="str">
        <f>'Stand der Daten'!B19</f>
        <v>Sozialversicherungspflicht. Beschäftigte</v>
      </c>
      <c r="B16" s="14">
        <f>'2022'!C19</f>
        <v>2022</v>
      </c>
      <c r="C16" s="15" t="str">
        <f>'Stand der Daten'!C19</f>
        <v>Personen</v>
      </c>
      <c r="D16" s="725">
        <f>IF(ISERROR(HLOOKUP($I$2,Daten2022,'2022'!A19,FALSE)),"",HLOOKUP($I$2,Daten2022,'2022'!A19,FALSE))</f>
        <v>96820</v>
      </c>
      <c r="E16" s="19">
        <f>IF(ISERROR(D16/$D$10),"",D16/$D$10)</f>
        <v>0.4359945421877181</v>
      </c>
      <c r="F16" s="725">
        <f>'2022'!CL19</f>
        <v>4859072</v>
      </c>
      <c r="G16" s="20">
        <f>F16/$F$10</f>
        <v>0.43245279156645</v>
      </c>
      <c r="H16" s="18"/>
      <c r="I16" s="46">
        <f>ROWS($I$3:I16)</f>
        <v>14</v>
      </c>
      <c r="J16" s="50" t="str">
        <f>$M$4&amp;"     "&amp;'2011'!S$4</f>
        <v>Dienstbezirk     Nürtingen</v>
      </c>
      <c r="N16" s="3" t="s">
        <v>382</v>
      </c>
    </row>
    <row r="17" spans="1:14" ht="15" customHeight="1">
      <c r="A17" s="13" t="str">
        <f>'Stand der Daten'!B20</f>
        <v>Bruttowertschöpfung insgesamt</v>
      </c>
      <c r="B17" s="14">
        <f>'2022'!C20</f>
        <v>2020</v>
      </c>
      <c r="C17" s="15" t="str">
        <f>'Stand der Daten'!C20</f>
        <v>Mio. €</v>
      </c>
      <c r="D17" s="501">
        <f>IF(ISERROR(HLOOKUP($I$2,Daten2022,'2022'!A20,FALSE)),"",HLOOKUP($I$2,Daten2022,'2022'!A20,FALSE))</f>
        <v>9796</v>
      </c>
      <c r="E17" s="729">
        <f>IF(ISERROR(D17/$F$17),"",D17/$F$17)</f>
        <v>2.1210763011512621E-2</v>
      </c>
      <c r="F17" s="501">
        <f>'2022'!CL20</f>
        <v>461841</v>
      </c>
      <c r="G17" s="17">
        <v>1</v>
      </c>
      <c r="I17" s="46">
        <f>ROWS($I$3:I17)</f>
        <v>15</v>
      </c>
      <c r="J17" s="50" t="str">
        <f>$M$4&amp;"     "&amp;'2011'!T$4</f>
        <v>Dienstbezirk     Öhringen</v>
      </c>
      <c r="N17" s="3" t="s">
        <v>382</v>
      </c>
    </row>
    <row r="18" spans="1:14" ht="15" customHeight="1" thickBot="1">
      <c r="A18" s="727" t="str">
        <f>'Stand der Daten'!B21</f>
        <v>Anteil der Land- und Forstwirtschaft</v>
      </c>
      <c r="B18" s="14">
        <f>'2022'!C21</f>
        <v>2020</v>
      </c>
      <c r="C18" s="15" t="str">
        <f>'Stand der Daten'!C21</f>
        <v>%</v>
      </c>
      <c r="D18" s="728">
        <f>IF(ISERROR(HLOOKUP($I$2,Daten2022,'2022'!A21,FALSE)),"",HLOOKUP($I$2,Daten2022,'2022'!A21,FALSE))</f>
        <v>0.9187423438138016</v>
      </c>
      <c r="E18" s="23"/>
      <c r="F18" s="728">
        <f>'2022'!CL21</f>
        <v>0.52182461063439589</v>
      </c>
      <c r="G18" s="22"/>
      <c r="I18" s="46">
        <f>ROWS($I$3:I18)</f>
        <v>16</v>
      </c>
      <c r="J18" s="50" t="str">
        <f>$M$4&amp;"     "&amp;'2011'!U$4</f>
        <v>Dienstbezirk     Ilshofen</v>
      </c>
      <c r="N18" s="12" t="s">
        <v>382</v>
      </c>
    </row>
    <row r="19" spans="1:14" s="12" customFormat="1" ht="18.75" customHeight="1">
      <c r="A19" s="6" t="str">
        <f>'Stand der Daten'!B23</f>
        <v>Landwirtschaftliche Betriebsstruktur</v>
      </c>
      <c r="B19" s="7"/>
      <c r="C19" s="8"/>
      <c r="D19" s="748"/>
      <c r="E19" s="9" t="s">
        <v>16</v>
      </c>
      <c r="F19" s="502"/>
      <c r="G19" s="11" t="s">
        <v>16</v>
      </c>
      <c r="H19" s="3"/>
      <c r="I19" s="46">
        <f>ROWS($I$3:I19)</f>
        <v>17</v>
      </c>
      <c r="J19" s="50" t="str">
        <f>$M$4&amp;"     "&amp;'2011'!V$4</f>
        <v>Dienstbezirk     Rastatt *)</v>
      </c>
    </row>
    <row r="20" spans="1:14" ht="15" customHeight="1">
      <c r="A20" s="13" t="str">
        <f>'Stand der Daten'!B24</f>
        <v>Landwirtschaftl. Betriebe insgesamt</v>
      </c>
      <c r="B20" s="14">
        <f>'2022'!C22</f>
        <v>2020</v>
      </c>
      <c r="C20" s="15" t="str">
        <f>'Stand der Daten'!C24</f>
        <v>Anzahl</v>
      </c>
      <c r="D20" s="501">
        <f>IF(ISERROR(HLOOKUP($I$2,Daten2022,'2022'!A23,FALSE)),"",HLOOKUP($I$2,Daten2022,'2022'!A23,FALSE))</f>
        <v>1412</v>
      </c>
      <c r="E20" s="16">
        <f t="shared" ref="E20:E26" si="2">IF(ISERROR(D20/$D$20),"",D20/$D$20)</f>
        <v>1</v>
      </c>
      <c r="F20" s="503">
        <f>'2022'!CL23</f>
        <v>39085</v>
      </c>
      <c r="G20" s="17">
        <f t="shared" ref="G20:G26" si="3">F20/$F$20</f>
        <v>1</v>
      </c>
      <c r="I20" s="46">
        <f>ROWS($I$3:I20)</f>
        <v>18</v>
      </c>
      <c r="J20" s="50" t="str">
        <f>$M$4&amp;"     "&amp;'2011'!W$4</f>
        <v>Dienstbezirk     Horb</v>
      </c>
      <c r="N20" s="3" t="s">
        <v>382</v>
      </c>
    </row>
    <row r="21" spans="1:14" ht="15" customHeight="1">
      <c r="A21" s="724" t="str">
        <f>'Stand der Daten'!B25</f>
        <v>davon in Betrieben unter 5 ha</v>
      </c>
      <c r="B21" s="14"/>
      <c r="C21" s="15" t="str">
        <f>'Stand der Daten'!C25</f>
        <v>Anzahl</v>
      </c>
      <c r="D21" s="725">
        <f>IF(ISERROR(HLOOKUP($I$2,Daten2022,'2022'!A24,FALSE)),"",HLOOKUP($I$2,Daten2022,'2022'!A24,FALSE))</f>
        <v>351</v>
      </c>
      <c r="E21" s="19">
        <f>IF(ISERROR(D21/$D$20),"",D21/$D$20)</f>
        <v>0.24858356940509915</v>
      </c>
      <c r="F21" s="730">
        <f>'2022'!CL24</f>
        <v>6139</v>
      </c>
      <c r="G21" s="20">
        <f t="shared" si="3"/>
        <v>0.15706792887296916</v>
      </c>
      <c r="I21" s="46">
        <f>ROWS($I$3:I21)</f>
        <v>19</v>
      </c>
      <c r="J21" s="50" t="str">
        <f>$M$4&amp;"     "&amp;'2011'!X$4</f>
        <v>Dienstbezirk     Karlsruhe *)</v>
      </c>
      <c r="N21" s="3" t="s">
        <v>382</v>
      </c>
    </row>
    <row r="22" spans="1:14" ht="15" customHeight="1">
      <c r="A22" s="726" t="str">
        <f>'Stand der Daten'!B26</f>
        <v>5 bis unter 10 ha</v>
      </c>
      <c r="B22" s="14"/>
      <c r="C22" s="15" t="str">
        <f>'Stand der Daten'!C26</f>
        <v>Anzahl</v>
      </c>
      <c r="D22" s="725">
        <f>IF(ISERROR(HLOOKUP($I$2,Daten2022,'2022'!A25,FALSE)),"",HLOOKUP($I$2,Daten2022,'2022'!A25,FALSE))</f>
        <v>257</v>
      </c>
      <c r="E22" s="19">
        <f t="shared" si="2"/>
        <v>0.1820113314447592</v>
      </c>
      <c r="F22" s="730">
        <f>'2022'!CL25</f>
        <v>7002</v>
      </c>
      <c r="G22" s="20">
        <f t="shared" si="3"/>
        <v>0.17914801074581041</v>
      </c>
      <c r="I22" s="46">
        <f>ROWS($I$3:I22)</f>
        <v>20</v>
      </c>
      <c r="J22" s="50" t="str">
        <f>$M$4&amp;"     "&amp;'2011'!Y$4</f>
        <v>Dienstbezirk     Sinsheim *)</v>
      </c>
      <c r="N22" s="3" t="s">
        <v>382</v>
      </c>
    </row>
    <row r="23" spans="1:14" ht="15" customHeight="1">
      <c r="A23" s="726" t="str">
        <f>'Stand der Daten'!B27</f>
        <v>10 bis unter 20 ha</v>
      </c>
      <c r="B23" s="14"/>
      <c r="C23" s="15" t="str">
        <f>'Stand der Daten'!C27</f>
        <v>Anzahl</v>
      </c>
      <c r="D23" s="725">
        <f>IF(ISERROR(HLOOKUP($I$2,Daten2022,'2022'!A26,FALSE)),"",HLOOKUP($I$2,Daten2022,'2022'!A26,FALSE))</f>
        <v>330</v>
      </c>
      <c r="E23" s="19">
        <f t="shared" si="2"/>
        <v>0.23371104815864022</v>
      </c>
      <c r="F23" s="730">
        <f>'2022'!CL26</f>
        <v>8043</v>
      </c>
      <c r="G23" s="20">
        <f t="shared" si="3"/>
        <v>0.20578226941281821</v>
      </c>
      <c r="I23" s="46">
        <f>ROWS($I$3:I23)</f>
        <v>21</v>
      </c>
      <c r="J23" s="50" t="str">
        <f>$M$4&amp;"     "&amp;'2011'!Z$4</f>
        <v>Dienstbezirk     Buchen</v>
      </c>
      <c r="N23" s="3" t="s">
        <v>382</v>
      </c>
    </row>
    <row r="24" spans="1:14" ht="15" customHeight="1">
      <c r="A24" s="726" t="str">
        <f>'Stand der Daten'!B28</f>
        <v>20 bis unter 50 ha</v>
      </c>
      <c r="B24" s="14"/>
      <c r="C24" s="15" t="str">
        <f>'Stand der Daten'!C28</f>
        <v>Anzahl</v>
      </c>
      <c r="D24" s="725">
        <f>IF(ISERROR(HLOOKUP($I$2,Daten2022,'2022'!A27,FALSE)),"",HLOOKUP($I$2,Daten2022,'2022'!A27,FALSE))</f>
        <v>303</v>
      </c>
      <c r="E24" s="19">
        <f t="shared" si="2"/>
        <v>0.21458923512747877</v>
      </c>
      <c r="F24" s="730">
        <f>'2022'!CL27</f>
        <v>8686</v>
      </c>
      <c r="G24" s="20">
        <f t="shared" si="3"/>
        <v>0.22223359345017271</v>
      </c>
      <c r="I24" s="46">
        <f>ROWS($I$3:I24)</f>
        <v>22</v>
      </c>
      <c r="J24" s="50" t="str">
        <f>$M$4&amp;"     "&amp;'2011'!AA$4</f>
        <v>Dienstbezirk     Pforzheim *)</v>
      </c>
      <c r="N24" s="3" t="s">
        <v>382</v>
      </c>
    </row>
    <row r="25" spans="1:14" ht="15" customHeight="1">
      <c r="A25" s="726" t="str">
        <f>'Stand der Daten'!B29</f>
        <v>50 bis unter 100 ha</v>
      </c>
      <c r="B25" s="14"/>
      <c r="C25" s="15" t="str">
        <f>'Stand der Daten'!C29</f>
        <v>Anzahl</v>
      </c>
      <c r="D25" s="725">
        <f>IF(ISERROR(HLOOKUP($I$2,Daten2022,'2022'!A28,FALSE)),"",HLOOKUP($I$2,Daten2022,'2022'!A28,FALSE))</f>
        <v>130</v>
      </c>
      <c r="E25" s="19">
        <f t="shared" si="2"/>
        <v>9.2067988668555242E-2</v>
      </c>
      <c r="F25" s="730">
        <f>'2022'!CL28</f>
        <v>5870</v>
      </c>
      <c r="G25" s="20">
        <f t="shared" si="3"/>
        <v>0.15018549315594218</v>
      </c>
      <c r="I25" s="46">
        <f>ROWS($I$3:I25)</f>
        <v>23</v>
      </c>
      <c r="J25" s="50" t="str">
        <f>$M$4&amp;"     "&amp;'2011'!AB$4</f>
        <v>Dienstbezirk     Calw</v>
      </c>
      <c r="N25" s="3" t="s">
        <v>382</v>
      </c>
    </row>
    <row r="26" spans="1:14" ht="15" customHeight="1">
      <c r="A26" s="726" t="str">
        <f>'Stand der Daten'!B30</f>
        <v>100 und mehr ha LF</v>
      </c>
      <c r="B26" s="14"/>
      <c r="C26" s="15" t="str">
        <f>'Stand der Daten'!C30</f>
        <v>Anzahl</v>
      </c>
      <c r="D26" s="725">
        <f>IF(ISERROR(HLOOKUP($I$2,Daten2022,'2022'!A29,FALSE)),"",HLOOKUP($I$2,Daten2022,'2022'!A29,FALSE))</f>
        <v>41</v>
      </c>
      <c r="E26" s="19">
        <f t="shared" si="2"/>
        <v>2.9036827195467421E-2</v>
      </c>
      <c r="F26" s="730">
        <f>'2022'!CL29</f>
        <v>3345</v>
      </c>
      <c r="G26" s="20">
        <f t="shared" si="3"/>
        <v>8.5582704362287321E-2</v>
      </c>
      <c r="I26" s="46">
        <f>ROWS($I$3:I26)</f>
        <v>24</v>
      </c>
      <c r="J26" s="50" t="str">
        <f>$M$4&amp;"     "&amp;'2011'!AC$4</f>
        <v>Dienstbezirk     Donaueschingen</v>
      </c>
      <c r="N26" s="3" t="s">
        <v>382</v>
      </c>
    </row>
    <row r="27" spans="1:14" ht="15" customHeight="1">
      <c r="A27" s="13" t="str">
        <f>'Stand der Daten'!B31</f>
        <v>Ø Betriebsgröße (alle Betriebe)</v>
      </c>
      <c r="B27" s="14"/>
      <c r="C27" s="15" t="str">
        <f>'Stand der Daten'!C31</f>
        <v>ha</v>
      </c>
      <c r="D27" s="731">
        <f>IF(ISERROR(HLOOKUP($I$2,Daten2022,'2022'!A30,FALSE)),"",HLOOKUP($I$2,Daten2022,'2022'!A30,FALSE))</f>
        <v>23.413597733711047</v>
      </c>
      <c r="E27" s="21"/>
      <c r="F27" s="504">
        <f>'2022'!CL30</f>
        <v>36.025662018677245</v>
      </c>
      <c r="G27" s="22"/>
      <c r="I27" s="46">
        <f>ROWS($I$3:I27)</f>
        <v>25</v>
      </c>
      <c r="J27" s="50" t="str">
        <f>$M$4&amp;"     "&amp;'2011'!AD$4</f>
        <v>Dienstbezirk     Emmendingen</v>
      </c>
      <c r="N27" s="3" t="s">
        <v>382</v>
      </c>
    </row>
    <row r="28" spans="1:14" ht="15" customHeight="1">
      <c r="A28" s="732" t="str">
        <f>'Stand der Daten'!B32</f>
        <v>Entwicklung Betriebe ab 5 ha LF von 2001 / 2020</v>
      </c>
      <c r="B28" s="26"/>
      <c r="C28" s="27" t="str">
        <f>'Stand der Daten'!C32</f>
        <v>%</v>
      </c>
      <c r="D28" s="733">
        <f>IF(ISERROR(HLOOKUP($I$2,Daten2022,'2022'!A31,FALSE)),"",HLOOKUP($I$2,Daten2022,'2022'!A31,FALSE))</f>
        <v>-28.648285137861464</v>
      </c>
      <c r="E28" s="21"/>
      <c r="F28" s="733">
        <f>'2022'!CL31</f>
        <v>-28.251921862409901</v>
      </c>
      <c r="G28" s="22"/>
      <c r="I28" s="46">
        <f>ROWS($I$3:I28)</f>
        <v>26</v>
      </c>
      <c r="J28" s="50" t="str">
        <f>$M$4&amp;"     "&amp;'2011'!AE$4</f>
        <v>Dienstbezirk     Breisach *)</v>
      </c>
      <c r="N28" s="3" t="s">
        <v>382</v>
      </c>
    </row>
    <row r="29" spans="1:14" ht="15" customHeight="1">
      <c r="A29" s="28" t="str">
        <f>'Stand der Daten'!B33</f>
        <v>Betriebsinhaber im Haupterwerb</v>
      </c>
      <c r="B29" s="29"/>
      <c r="C29" s="27" t="str">
        <f>'Stand der Daten'!C33</f>
        <v>%</v>
      </c>
      <c r="D29" s="734">
        <f>IF(ISERROR(HLOOKUP($I$2,Daten2022,'2022'!A32,FALSE)),"",HLOOKUP($I$2,Daten2022,'2022'!A32,FALSE))</f>
        <v>44.8</v>
      </c>
      <c r="E29" s="21"/>
      <c r="F29" s="501">
        <f>'2022'!CL32</f>
        <v>35.4</v>
      </c>
      <c r="G29" s="22"/>
      <c r="I29" s="46">
        <f>ROWS($I$3:I29)</f>
        <v>27</v>
      </c>
      <c r="J29" s="50" t="str">
        <f>$M$4&amp;"     "&amp;'2011'!AF$4</f>
        <v>Dienstbezirk     Lörrach</v>
      </c>
      <c r="N29" s="3" t="s">
        <v>382</v>
      </c>
    </row>
    <row r="30" spans="1:14" ht="15" customHeight="1" thickBot="1">
      <c r="A30" s="735" t="str">
        <f>'Stand der Daten'!B34</f>
        <v>im Nebenerwerb</v>
      </c>
      <c r="B30" s="5"/>
      <c r="C30" s="30" t="str">
        <f>'Stand der Daten'!C34</f>
        <v>%</v>
      </c>
      <c r="D30" s="736">
        <f>IF(ISERROR(HLOOKUP($I$2,Daten2022,'2022'!A33,FALSE)),"",HLOOKUP($I$2,Daten2022,'2022'!A33,FALSE))</f>
        <v>55.2</v>
      </c>
      <c r="E30" s="343"/>
      <c r="F30" s="737">
        <f>'2022'!CL33</f>
        <v>64.599999999999994</v>
      </c>
      <c r="G30" s="344"/>
      <c r="I30" s="46">
        <f>ROWS($I$3:I30)</f>
        <v>28</v>
      </c>
      <c r="J30" s="50" t="str">
        <f>$M$4&amp;"     "&amp;'2011'!AG$4</f>
        <v>Dienstbezirk     Offenburg</v>
      </c>
      <c r="N30" s="3" t="s">
        <v>382</v>
      </c>
    </row>
    <row r="31" spans="1:14" ht="18.75" customHeight="1">
      <c r="A31" s="6" t="str">
        <f>'Stand der Daten'!B35</f>
        <v>Bodennutzung</v>
      </c>
      <c r="B31" s="7"/>
      <c r="C31" s="32"/>
      <c r="D31" s="748"/>
      <c r="E31" s="9" t="s">
        <v>16</v>
      </c>
      <c r="F31" s="502"/>
      <c r="G31" s="11" t="s">
        <v>16</v>
      </c>
      <c r="I31" s="46">
        <f>ROWS($I$3:I31)</f>
        <v>29</v>
      </c>
      <c r="J31" s="50" t="str">
        <f>$M$4&amp;"     "&amp;'2011'!AH$4</f>
        <v>Dienstbezirk     Stockach</v>
      </c>
    </row>
    <row r="32" spans="1:14" ht="15" customHeight="1">
      <c r="A32" s="106" t="str">
        <f>'Stand der Daten'!B36</f>
        <v xml:space="preserve">Landwirtschaftlich gen. Fläche (LF)   </v>
      </c>
      <c r="B32" s="26">
        <f>'2022'!C34</f>
        <v>2020</v>
      </c>
      <c r="C32" s="31" t="str">
        <f>'Stand der Daten'!C36</f>
        <v>ha</v>
      </c>
      <c r="D32" s="501">
        <f>IF(ISERROR(HLOOKUP($I$2,Daten2022,'2022'!A35,FALSE)),"",HLOOKUP($I$2,Daten2022,'2022'!A35,FALSE))</f>
        <v>33060</v>
      </c>
      <c r="E32" s="16">
        <f>IF(ISERROR(D32/$D$32),"",D32/$D$32)</f>
        <v>1</v>
      </c>
      <c r="F32" s="501">
        <f>'2022'!CL35</f>
        <v>1408063</v>
      </c>
      <c r="G32" s="17">
        <f>F32/$F$32</f>
        <v>1</v>
      </c>
      <c r="I32" s="46">
        <f>ROWS($I$3:I32)</f>
        <v>30</v>
      </c>
      <c r="J32" s="50" t="str">
        <f>$M$4&amp;"     "&amp;'2011'!AI$4</f>
        <v>Dienstbezirk     Rottweil</v>
      </c>
      <c r="N32" s="699" t="s">
        <v>382</v>
      </c>
    </row>
    <row r="33" spans="1:14" ht="15" customHeight="1">
      <c r="A33" s="732" t="str">
        <f>'Stand der Daten'!B37</f>
        <v>davon Ackerland</v>
      </c>
      <c r="B33" s="26"/>
      <c r="C33" s="31" t="str">
        <f>'Stand der Daten'!C37</f>
        <v>ha</v>
      </c>
      <c r="D33" s="725">
        <f>IF(ISERROR(HLOOKUP($I$2,Daten2022,'2022'!A36,FALSE)),"",HLOOKUP($I$2,Daten2022,'2022'!A36,FALSE))</f>
        <v>13412</v>
      </c>
      <c r="E33" s="19">
        <f>IF(ISERROR(D33/$D$32),"",D33/$D$32)</f>
        <v>0.40568663036902602</v>
      </c>
      <c r="F33" s="725">
        <f>'2022'!CL36</f>
        <v>810280</v>
      </c>
      <c r="G33" s="20">
        <f>F33/$F$32</f>
        <v>0.57545720610512452</v>
      </c>
      <c r="I33" s="46">
        <f>ROWS($I$3:I33)</f>
        <v>31</v>
      </c>
      <c r="J33" s="50" t="str">
        <f>$M$4&amp;"     "&amp;'2011'!AJ$4</f>
        <v>Dienstbezirk     Tuttlingen</v>
      </c>
      <c r="N33" s="699" t="s">
        <v>382</v>
      </c>
    </row>
    <row r="34" spans="1:14" ht="15" customHeight="1">
      <c r="A34" s="749" t="str">
        <f>'Stand der Daten'!B38</f>
        <v>Dauergrünland</v>
      </c>
      <c r="B34" s="26"/>
      <c r="C34" s="31" t="str">
        <f>'Stand der Daten'!C38</f>
        <v>ha</v>
      </c>
      <c r="D34" s="725">
        <f>IF(ISERROR(HLOOKUP($I$2,Daten2022,'2022'!A37,FALSE)),"",HLOOKUP($I$2,Daten2022,'2022'!A37,FALSE))</f>
        <v>11681</v>
      </c>
      <c r="E34" s="19">
        <f>IF(ISERROR(D34/$D$32),"",D34/$D$32)</f>
        <v>0.35332728372655775</v>
      </c>
      <c r="F34" s="725">
        <f>'2022'!CL37</f>
        <v>546729</v>
      </c>
      <c r="G34" s="20">
        <f>F34/$F$32</f>
        <v>0.38828447306690111</v>
      </c>
      <c r="I34" s="46">
        <f>ROWS($I$3:I34)</f>
        <v>32</v>
      </c>
      <c r="J34" s="50" t="str">
        <f>$M$4&amp;"     "&amp;'2011'!AK$4</f>
        <v>Dienstbezirk     Waldshut</v>
      </c>
      <c r="N34" s="699" t="s">
        <v>382</v>
      </c>
    </row>
    <row r="35" spans="1:14" ht="15" customHeight="1">
      <c r="A35" s="749" t="str">
        <f>'Stand der Daten'!B39</f>
        <v>Baum- und Beerenobst</v>
      </c>
      <c r="B35" s="26"/>
      <c r="C35" s="31" t="str">
        <f>'Stand der Daten'!C39</f>
        <v>ha</v>
      </c>
      <c r="D35" s="725">
        <f>IF(ISERROR(HLOOKUP($I$2,Daten2022,'2022'!A38,FALSE)),"",HLOOKUP($I$2,Daten2022,'2022'!A38,FALSE))</f>
        <v>7320</v>
      </c>
      <c r="E35" s="19">
        <f>IF(ISERROR(D35/D32),"",D35/D32)</f>
        <v>0.22141560798548093</v>
      </c>
      <c r="F35" s="725">
        <f>'2022'!CL38</f>
        <v>21073</v>
      </c>
      <c r="G35" s="20">
        <f>F35/$F$32</f>
        <v>1.4965949676967578E-2</v>
      </c>
      <c r="I35" s="46">
        <f>ROWS($I$3:I35)</f>
        <v>33</v>
      </c>
      <c r="J35" s="50" t="str">
        <f>$M$4&amp;"     "&amp;'2011'!AL$4</f>
        <v>Dienstbezirk     Balingen</v>
      </c>
      <c r="N35" s="699" t="s">
        <v>382</v>
      </c>
    </row>
    <row r="36" spans="1:14" ht="15" customHeight="1" thickBot="1">
      <c r="A36" s="749" t="str">
        <f>'Stand der Daten'!B40</f>
        <v>Rebflächen</v>
      </c>
      <c r="B36" s="26"/>
      <c r="C36" s="31" t="str">
        <f>'Stand der Daten'!C40</f>
        <v>ha</v>
      </c>
      <c r="D36" s="725">
        <f>IF(ISERROR(HLOOKUP($I$2,Daten2022,'2022'!A39,FALSE)),"",HLOOKUP($I$2,Daten2022,'2022'!A39,FALSE))</f>
        <v>571</v>
      </c>
      <c r="E36" s="19">
        <f>IF(ISERROR(D36/$D$32),"",D36/$D$32)</f>
        <v>1.7271627344222624E-2</v>
      </c>
      <c r="F36" s="725">
        <f>'2022'!CL39</f>
        <v>25465</v>
      </c>
      <c r="G36" s="20">
        <f>F36/$F$32</f>
        <v>1.8085128293265286E-2</v>
      </c>
      <c r="I36" s="46">
        <f>ROWS($I$3:I36)</f>
        <v>34</v>
      </c>
      <c r="J36" s="50" t="str">
        <f>$M$4&amp;"     "&amp;'2011'!AM$4</f>
        <v>Dienstbezirk     Biberach</v>
      </c>
      <c r="N36" s="699" t="s">
        <v>382</v>
      </c>
    </row>
    <row r="37" spans="1:14" ht="18.75" customHeight="1">
      <c r="A37" s="6" t="str">
        <f>'Stand der Daten'!B41</f>
        <v>Viehhaltung</v>
      </c>
      <c r="B37" s="7"/>
      <c r="C37" s="32"/>
      <c r="D37" s="748"/>
      <c r="E37" s="9" t="s">
        <v>16</v>
      </c>
      <c r="F37" s="502"/>
      <c r="G37" s="11" t="s">
        <v>16</v>
      </c>
      <c r="I37" s="46">
        <f>ROWS($I$3:I37)</f>
        <v>35</v>
      </c>
      <c r="J37" s="50" t="str">
        <f>$M$4&amp;"     "&amp;'2011'!AN$4</f>
        <v>Dienstbezirk     Ravensburg</v>
      </c>
    </row>
    <row r="38" spans="1:14" ht="15" customHeight="1">
      <c r="A38" s="28" t="str">
        <f>'Stand der Daten'!B42</f>
        <v xml:space="preserve">Rinder    </v>
      </c>
      <c r="B38" s="29">
        <f>'2022'!C41</f>
        <v>2022</v>
      </c>
      <c r="C38" s="27" t="str">
        <f>'Stand der Daten'!C42</f>
        <v>Tiere</v>
      </c>
      <c r="D38" s="501">
        <f>IF(ISERROR(HLOOKUP($I$2,Daten2022,'2022'!A41,FALSE)),"",HLOOKUP($I$2,Daten2022,'2022'!A41,FALSE))</f>
        <v>20623</v>
      </c>
      <c r="E38" s="16">
        <f>IF(ISERROR(D38/$D$38),"",D38/$D$38)</f>
        <v>1</v>
      </c>
      <c r="F38" s="503">
        <f>'2022'!CL41</f>
        <v>912467</v>
      </c>
      <c r="G38" s="17">
        <f>F38/$F$38</f>
        <v>1</v>
      </c>
      <c r="I38" s="46">
        <f>ROWS($I$3:I38)</f>
        <v>36</v>
      </c>
      <c r="J38" s="50" t="str">
        <f>$M$4&amp;"     "&amp;'2011'!AO$4</f>
        <v>Dienstbezirk     Münsingen</v>
      </c>
      <c r="N38" s="699" t="s">
        <v>384</v>
      </c>
    </row>
    <row r="39" spans="1:14" ht="15" customHeight="1">
      <c r="A39" s="738" t="str">
        <f>'Stand der Daten'!B43</f>
        <v>Kühe (Milchkühe und sonstige Kühe)</v>
      </c>
      <c r="B39" s="29"/>
      <c r="C39" s="27" t="str">
        <f>'Stand der Daten'!C43</f>
        <v>Tiere</v>
      </c>
      <c r="D39" s="725">
        <f>IF(ISERROR(HLOOKUP($I$2,Daten2022,'2022'!A42,FALSE)),"",HLOOKUP($I$2,Daten2022,'2022'!A42,FALSE))</f>
        <v>8952</v>
      </c>
      <c r="E39" s="19">
        <f>IF(ISERROR(D39/$D$38),"",D39/$D$38)</f>
        <v>0.43407845609271201</v>
      </c>
      <c r="F39" s="730">
        <f>'2022'!CL42</f>
        <v>369193</v>
      </c>
      <c r="G39" s="20">
        <f>F39/$F$38</f>
        <v>0.40460970095356874</v>
      </c>
      <c r="I39" s="46">
        <f>ROWS($I$3:I39)</f>
        <v>37</v>
      </c>
      <c r="J39" s="50" t="str">
        <f>$M$4&amp;"     "&amp;'2011'!AP$4</f>
        <v>Dienstbezirk     Tübingen</v>
      </c>
      <c r="N39" s="699" t="s">
        <v>384</v>
      </c>
    </row>
    <row r="40" spans="1:14" ht="15" customHeight="1">
      <c r="A40" s="738" t="str">
        <f>'Stand der Daten'!B44</f>
        <v>darunter Milchkühe</v>
      </c>
      <c r="B40" s="29">
        <f>'2022'!C43</f>
        <v>2022</v>
      </c>
      <c r="C40" s="27" t="str">
        <f>'Stand der Daten'!C44</f>
        <v>Tiere</v>
      </c>
      <c r="D40" s="725">
        <f>IF(ISERROR(HLOOKUP($I$2,Daten2022,'2022'!A43,FALSE)),"",HLOOKUP($I$2,Daten2022,'2022'!A43,FALSE))</f>
        <v>7943</v>
      </c>
      <c r="E40" s="19">
        <f>IF(ISERROR(D40/$D$38),"",D40/$D$38)</f>
        <v>0.38515249963632836</v>
      </c>
      <c r="F40" s="730">
        <f>'2022'!CL43</f>
        <v>314796</v>
      </c>
      <c r="G40" s="20">
        <f>F40/$F$38</f>
        <v>0.34499439431782192</v>
      </c>
      <c r="I40" s="46">
        <f>ROWS($I$3:I40)</f>
        <v>38</v>
      </c>
      <c r="J40" s="50" t="str">
        <f>$M$4&amp;"     "&amp;'2011'!AQ$4</f>
        <v>Dienstbezirk     Sigmaringen</v>
      </c>
      <c r="N40" s="699" t="s">
        <v>384</v>
      </c>
    </row>
    <row r="41" spans="1:14" ht="15" customHeight="1">
      <c r="A41" s="738" t="str">
        <f>'Stand der Daten'!B45</f>
        <v>Durchschnittsbestand Milchkühe</v>
      </c>
      <c r="B41" s="29"/>
      <c r="C41" s="27" t="str">
        <f>'Stand der Daten'!C45</f>
        <v>Tiere/Halter</v>
      </c>
      <c r="D41" s="733">
        <f>IF(ISERROR(HLOOKUP($I$2,Daten2022,'2022'!A44,FALSE)),"",HLOOKUP($I$2,Daten2022,'2022'!A44,FALSE))</f>
        <v>50.916666666666664</v>
      </c>
      <c r="E41" s="23"/>
      <c r="F41" s="739">
        <f>'2022'!CL44</f>
        <v>57.465498357064625</v>
      </c>
      <c r="G41" s="22"/>
      <c r="I41" s="46">
        <f>ROWS($I$3:I41)</f>
        <v>39</v>
      </c>
      <c r="J41" s="50" t="str">
        <f>$M$4&amp;"     "&amp;'2011'!AR$4</f>
        <v>Dienstbezirk     Friedrichshafen</v>
      </c>
      <c r="N41" s="699" t="s">
        <v>384</v>
      </c>
    </row>
    <row r="42" spans="1:14" ht="15" customHeight="1">
      <c r="A42" s="28" t="str">
        <f>'Stand der Daten'!B46</f>
        <v>Schweine</v>
      </c>
      <c r="B42" s="29">
        <f>'2022'!C45</f>
        <v>2020</v>
      </c>
      <c r="C42" s="27" t="str">
        <f>'Stand der Daten'!C46</f>
        <v>Tiere</v>
      </c>
      <c r="D42" s="501">
        <f>IF(ISERROR(HLOOKUP($I$2,Daten2022,'2022'!A45,FALSE)),"",HLOOKUP($I$2,Daten2022,'2022'!A45,FALSE))</f>
        <v>11792</v>
      </c>
      <c r="E42" s="307">
        <f>IF(ISERROR(D42/$D$42),"",D42/$D$42)</f>
        <v>1</v>
      </c>
      <c r="F42" s="503">
        <f>'2022'!CL45</f>
        <v>1670409</v>
      </c>
      <c r="G42" s="17">
        <f>F42/$F$42</f>
        <v>1</v>
      </c>
      <c r="I42" s="47">
        <f>ROWS($I$3:I42)</f>
        <v>40</v>
      </c>
      <c r="J42" s="51" t="str">
        <f>$M$4&amp;"     "&amp;'2011'!AS$4</f>
        <v>Dienstbezirk     Ulm *)</v>
      </c>
      <c r="N42" s="699" t="s">
        <v>382</v>
      </c>
    </row>
    <row r="43" spans="1:14" ht="15" customHeight="1">
      <c r="A43" s="738" t="str">
        <f>'Stand der Daten'!B47</f>
        <v>darunter Zuchtsauen</v>
      </c>
      <c r="B43" s="29"/>
      <c r="C43" s="27" t="str">
        <f>'Stand der Daten'!C47</f>
        <v>Tiere</v>
      </c>
      <c r="D43" s="725">
        <f>IF(ISERROR(HLOOKUP($I$2,Daten2022,'2022'!A46,FALSE)),"",HLOOKUP($I$2,Daten2022,'2022'!A46,FALSE))</f>
        <v>698</v>
      </c>
      <c r="E43" s="308">
        <f>IF(ISERROR(D43/$D$42),"",D43/$D$42)</f>
        <v>5.9192672998643149E-2</v>
      </c>
      <c r="F43" s="730">
        <f>'2022'!CL46</f>
        <v>136465</v>
      </c>
      <c r="G43" s="20">
        <f>F43/$F$42</f>
        <v>8.1695560787807056E-2</v>
      </c>
      <c r="I43" s="75">
        <f>ROWS($I$3:I43)</f>
        <v>41</v>
      </c>
      <c r="J43" s="50" t="str">
        <f>$M$5&amp;"            "&amp;'2011'!AT$4</f>
        <v>Kreis            Stuttgart (S)</v>
      </c>
      <c r="N43" s="699" t="s">
        <v>382</v>
      </c>
    </row>
    <row r="44" spans="1:14" ht="15" customHeight="1">
      <c r="A44" s="738" t="str">
        <f>'Stand der Daten'!B48</f>
        <v>Durchschnittsbestand Mastschweine</v>
      </c>
      <c r="B44" s="29"/>
      <c r="C44" s="27" t="str">
        <f>'Stand der Daten'!C48</f>
        <v>Tiere/Halter</v>
      </c>
      <c r="D44" s="739">
        <f>IF(ISERROR(HLOOKUP($I$2,Daten2022,'2022'!A47,FALSE)),"",HLOOKUP($I$2,Daten2022,'2022'!A47,FALSE))</f>
        <v>139</v>
      </c>
      <c r="E44" s="23"/>
      <c r="F44" s="730">
        <f>'2022'!CL47</f>
        <v>230.27723297111052</v>
      </c>
      <c r="G44" s="22"/>
      <c r="I44" s="46">
        <f>ROWS($I$3:I44)</f>
        <v>42</v>
      </c>
      <c r="J44" s="50" t="str">
        <f>$M$5&amp;"            "&amp;'2011'!AU$4</f>
        <v>Kreis            Böblingen (L)</v>
      </c>
      <c r="N44" s="699" t="s">
        <v>382</v>
      </c>
    </row>
    <row r="45" spans="1:14" ht="15" customHeight="1">
      <c r="A45" s="28" t="str">
        <f>'Stand der Daten'!B49</f>
        <v>Einhufer (Pferde)</v>
      </c>
      <c r="B45" s="29">
        <f>'2022'!C48</f>
        <v>2020</v>
      </c>
      <c r="C45" s="27" t="str">
        <f>'Stand der Daten'!C49</f>
        <v>Tiere</v>
      </c>
      <c r="D45" s="501">
        <f>IF(ISERROR(HLOOKUP($I$2,Daten2022,'2022'!A48,FALSE)),"",HLOOKUP($I$2,Daten2022,'2022'!A48,FALSE))</f>
        <v>1627</v>
      </c>
      <c r="E45" s="21"/>
      <c r="F45" s="503">
        <f>'2022'!CL48</f>
        <v>64759</v>
      </c>
      <c r="G45" s="22"/>
      <c r="I45" s="46">
        <f>ROWS($I$3:I45)</f>
        <v>43</v>
      </c>
      <c r="J45" s="50" t="str">
        <f>$M$5&amp;"            "&amp;'2011'!AV$4</f>
        <v>Kreis            Esslingen (L)</v>
      </c>
      <c r="N45" s="699" t="s">
        <v>382</v>
      </c>
    </row>
    <row r="46" spans="1:14" ht="15" customHeight="1">
      <c r="A46" s="28" t="str">
        <f>'Stand der Daten'!B50</f>
        <v>Schafe</v>
      </c>
      <c r="B46" s="29">
        <f>'2022'!C49</f>
        <v>2020</v>
      </c>
      <c r="C46" s="27" t="str">
        <f>'Stand der Daten'!C50</f>
        <v>Tiere</v>
      </c>
      <c r="D46" s="501">
        <f>IF(ISERROR(HLOOKUP($I$2,Daten2022,'2022'!A49,FALSE)),"",HLOOKUP($I$2,Daten2022,'2022'!A49,FALSE))</f>
        <v>5155</v>
      </c>
      <c r="E46" s="21"/>
      <c r="F46" s="503">
        <f>'2022'!CL49</f>
        <v>240971</v>
      </c>
      <c r="G46" s="22"/>
      <c r="I46" s="46">
        <f>ROWS($I$3:I46)</f>
        <v>44</v>
      </c>
      <c r="J46" s="50" t="str">
        <f>$M$5&amp;"            "&amp;'2011'!AW$4</f>
        <v>Kreis            Göppingen (L)</v>
      </c>
      <c r="N46" s="699" t="s">
        <v>382</v>
      </c>
    </row>
    <row r="47" spans="1:14" ht="15" customHeight="1">
      <c r="A47" s="28" t="str">
        <f>'Stand der Daten'!B51</f>
        <v>Großvieheinheiten</v>
      </c>
      <c r="B47" s="29">
        <f>'2022'!C50</f>
        <v>2020</v>
      </c>
      <c r="C47" s="27" t="str">
        <f>'Stand der Daten'!C51</f>
        <v>GV/100 ha LF</v>
      </c>
      <c r="D47" s="504">
        <f>IF(ISERROR(HLOOKUP($I$2,Daten2022,'2022'!A50,FALSE)),"",HLOOKUP($I$2,Daten2022,'2022'!A50,FALSE))</f>
        <v>57.1</v>
      </c>
      <c r="E47" s="21"/>
      <c r="F47" s="504">
        <f>'2022'!CL50</f>
        <v>66.900000000000006</v>
      </c>
      <c r="G47" s="22"/>
      <c r="I47" s="46">
        <f>ROWS($I$3:I47)</f>
        <v>45</v>
      </c>
      <c r="J47" s="50" t="str">
        <f>$M$5&amp;"            "&amp;'2011'!AX$4</f>
        <v>Kreis            Ludwigsburg (L)</v>
      </c>
      <c r="N47" s="699" t="s">
        <v>382</v>
      </c>
    </row>
    <row r="48" spans="1:14" ht="15" customHeight="1">
      <c r="A48" s="738" t="str">
        <f>'Stand der Daten'!B52</f>
        <v>Milchleistung</v>
      </c>
      <c r="B48" s="29">
        <f>'2022'!C51</f>
        <v>2021</v>
      </c>
      <c r="C48" s="27" t="str">
        <f>'Stand der Daten'!C52</f>
        <v>kg/Jahr</v>
      </c>
      <c r="D48" s="725">
        <f>IF(ISERROR(HLOOKUP($I$2,Daten2022,'2022'!A51,FALSE)),"",HLOOKUP($I$2,Daten2022,'2022'!A51,FALSE))</f>
        <v>7250.6921721620938</v>
      </c>
      <c r="E48" s="23"/>
      <c r="F48" s="740">
        <f>'2022'!CL51</f>
        <v>7503.6453064499246</v>
      </c>
      <c r="G48" s="22"/>
      <c r="H48" s="18"/>
      <c r="I48" s="46">
        <f>ROWS($I$3:I48)</f>
        <v>46</v>
      </c>
      <c r="J48" s="50" t="str">
        <f>$M$5&amp;"            "&amp;'2011'!AY$4</f>
        <v>Kreis            Rems-Murr-Kreis</v>
      </c>
      <c r="N48" s="699" t="s">
        <v>479</v>
      </c>
    </row>
    <row r="49" spans="1:14" ht="15" customHeight="1" thickBot="1">
      <c r="A49" s="754" t="str">
        <f>'Stand der Daten'!B53</f>
        <v>Milcherzeugung</v>
      </c>
      <c r="B49" s="5">
        <f>'2022'!C52</f>
        <v>2021</v>
      </c>
      <c r="C49" s="30" t="str">
        <f>'Stand der Daten'!C53</f>
        <v>1.000 t</v>
      </c>
      <c r="D49" s="769">
        <f>IF(ISERROR(HLOOKUP($I$2,Daten2022,'2022'!A52,FALSE)),"",HLOOKUP($I$2,Daten2022,'2022'!A52,FALSE))</f>
        <v>57.613999999999997</v>
      </c>
      <c r="E49" s="343"/>
      <c r="F49" s="863">
        <f>'2022'!CL52</f>
        <v>2366.1770000000001</v>
      </c>
      <c r="G49" s="344"/>
      <c r="H49" s="18"/>
      <c r="I49" s="46">
        <f>ROWS($I$3:I49)</f>
        <v>47</v>
      </c>
      <c r="J49" s="50" t="str">
        <f>$M$5&amp;"            "&amp;'2011'!AZ$4</f>
        <v>Kreis            Heilbronn (S)</v>
      </c>
      <c r="N49" s="699" t="s">
        <v>479</v>
      </c>
    </row>
    <row r="50" spans="1:14" ht="15" customHeight="1">
      <c r="A50" s="738" t="str">
        <f>'2022'!B53</f>
        <v>Änderung der Milcherzeugung 2021/2010</v>
      </c>
      <c r="B50" s="29">
        <f>'2022'!C53</f>
        <v>2021</v>
      </c>
      <c r="C50" s="27" t="str">
        <f>'Stand der Daten'!C54</f>
        <v>%</v>
      </c>
      <c r="D50" s="742">
        <f>IF(ISERROR(HLOOKUP($I$2,Daten2022,'2022'!A53,FALSE)),"",HLOOKUP($I$2,Daten2022,'2022'!A53,FALSE))</f>
        <v>-11.226502311248083</v>
      </c>
      <c r="E50" s="23"/>
      <c r="F50" s="743">
        <f>'2022'!CL53</f>
        <v>6.0352677571140418</v>
      </c>
      <c r="G50" s="22"/>
      <c r="H50" s="18"/>
      <c r="I50" s="46">
        <f>ROWS($I$3:I50)</f>
        <v>48</v>
      </c>
      <c r="J50" s="50" t="str">
        <f>$M$5&amp;"            "&amp;'2011'!BA$4</f>
        <v>Kreis            Heilbronn (L)</v>
      </c>
      <c r="N50" s="699" t="s">
        <v>479</v>
      </c>
    </row>
    <row r="51" spans="1:14" ht="15" customHeight="1" thickBot="1">
      <c r="A51" s="744" t="str">
        <f>'2022'!B54</f>
        <v>Änderung der Milchkühe 2022/2001</v>
      </c>
      <c r="B51" s="345">
        <f>'2022'!C54</f>
        <v>2022</v>
      </c>
      <c r="C51" s="98" t="str">
        <f>'Stand der Daten'!C55</f>
        <v>%</v>
      </c>
      <c r="D51" s="745">
        <f>IF(ISERROR(HLOOKUP($I$2,Daten2022,'2022'!A54,FALSE)),"",HLOOKUP($I$2,Daten2022,'2022'!A54,FALSE))</f>
        <v>-32.375999999999998</v>
      </c>
      <c r="E51" s="346"/>
      <c r="F51" s="746">
        <f>'2022'!CL54</f>
        <v>-12.492000000000001</v>
      </c>
      <c r="G51" s="347"/>
      <c r="H51" s="18"/>
      <c r="I51" s="46">
        <f>ROWS($I$3:I51)</f>
        <v>49</v>
      </c>
      <c r="J51" s="50" t="str">
        <f>$M$5&amp;"            "&amp;'2011'!BB$4</f>
        <v>Kreis            Hohenlohekreis</v>
      </c>
      <c r="N51" s="699" t="s">
        <v>479</v>
      </c>
    </row>
    <row r="52" spans="1:14" ht="18.75" customHeight="1" thickTop="1">
      <c r="A52" s="35" t="str">
        <f>'Stand der Daten'!B56</f>
        <v xml:space="preserve"> Schutzgebiete 3)</v>
      </c>
      <c r="B52" s="36"/>
      <c r="C52" s="37"/>
      <c r="D52" s="750"/>
      <c r="E52" s="38" t="s">
        <v>16</v>
      </c>
      <c r="F52" s="750"/>
      <c r="G52" s="39" t="s">
        <v>16</v>
      </c>
      <c r="I52" s="46">
        <f>ROWS($I$3:I52)</f>
        <v>50</v>
      </c>
      <c r="J52" s="50" t="str">
        <f>$M$5&amp;"            "&amp;'2011'!BC$4</f>
        <v>Kreis            Schwäbisch Hall</v>
      </c>
    </row>
    <row r="53" spans="1:14" ht="15" customHeight="1">
      <c r="A53" s="738" t="str">
        <f>'Stand der Daten'!B57</f>
        <v>Naturschutzgebiete</v>
      </c>
      <c r="B53" s="26">
        <f>'2022'!C56</f>
        <v>2021</v>
      </c>
      <c r="C53" s="27" t="str">
        <f>'Stand der Daten'!C57</f>
        <v>Anzahl</v>
      </c>
      <c r="D53" s="751">
        <f>IF(ISERROR(HLOOKUP($I$2,Daten2022,'2022'!A56,FALSE)),"",HLOOKUP($I$2,Daten2022,'2022'!A56,FALSE))</f>
        <v>33</v>
      </c>
      <c r="E53" s="40"/>
      <c r="F53" s="751">
        <f>'2022'!CL56</f>
        <v>1140</v>
      </c>
      <c r="G53" s="41"/>
      <c r="I53" s="46">
        <f>ROWS($I$3:I53)</f>
        <v>51</v>
      </c>
      <c r="J53" s="50" t="str">
        <f>$M$5&amp;"            "&amp;'2011'!BD$4</f>
        <v>Kreis            Main-Tauber-Kreis</v>
      </c>
      <c r="N53" s="699" t="s">
        <v>380</v>
      </c>
    </row>
    <row r="54" spans="1:14" ht="15" customHeight="1">
      <c r="A54" s="738"/>
      <c r="B54" s="29"/>
      <c r="C54" s="27" t="str">
        <f>'Stand der Daten'!C58</f>
        <v>ha</v>
      </c>
      <c r="D54" s="751">
        <f>IF(ISERROR(HLOOKUP($I$2,Daten2022,'2022'!A57,FALSE)),"",HLOOKUP($I$2,Daten2022,'2022'!A57,FALSE))</f>
        <v>1204.5</v>
      </c>
      <c r="E54" s="40">
        <f>IF(ISERROR(D54/$D$4),"",D54/$D$4)</f>
        <v>1.8119048693533101E-2</v>
      </c>
      <c r="F54" s="751">
        <f>'2022'!CL57</f>
        <v>86789.979999999981</v>
      </c>
      <c r="G54" s="41">
        <f>F54/F4</f>
        <v>2.4278377580749605E-2</v>
      </c>
      <c r="I54" s="46">
        <f>ROWS($I$3:I54)</f>
        <v>52</v>
      </c>
      <c r="J54" s="50" t="str">
        <f>$M$5&amp;"            "&amp;'2011'!BE$4</f>
        <v>Kreis            Heidenheim (L)</v>
      </c>
      <c r="N54" s="699" t="s">
        <v>380</v>
      </c>
    </row>
    <row r="55" spans="1:14" ht="15" customHeight="1">
      <c r="A55" s="738" t="str">
        <f>'Stand der Daten'!B59</f>
        <v>FFH-Gebiete</v>
      </c>
      <c r="B55" s="29">
        <f>'2022'!C58</f>
        <v>2021</v>
      </c>
      <c r="C55" s="27" t="str">
        <f>'Stand der Daten'!C59</f>
        <v>Anzahl</v>
      </c>
      <c r="D55" s="751">
        <f>IF(ISERROR(HLOOKUP($I$2,Daten2022,'2022'!A58,FALSE)),"",HLOOKUP($I$2,Daten2022,'2022'!A58,FALSE))</f>
        <v>9</v>
      </c>
      <c r="E55" s="40"/>
      <c r="F55" s="751">
        <f>'2022'!CL58</f>
        <v>384</v>
      </c>
      <c r="G55" s="41"/>
      <c r="I55" s="46">
        <f>ROWS($I$3:I55)</f>
        <v>53</v>
      </c>
      <c r="J55" s="50" t="str">
        <f>$M$5&amp;"            "&amp;'2011'!BF$4</f>
        <v>Kreis            Ostalbkreis</v>
      </c>
      <c r="N55" s="699" t="s">
        <v>381</v>
      </c>
    </row>
    <row r="56" spans="1:14" ht="15" customHeight="1">
      <c r="A56" s="738"/>
      <c r="B56" s="29"/>
      <c r="C56" s="27" t="str">
        <f>'Stand der Daten'!C60</f>
        <v>ha</v>
      </c>
      <c r="D56" s="751">
        <f>IF(ISERROR(HLOOKUP($I$2,Daten2022,'2022'!A59,FALSE)),"",HLOOKUP($I$2,Daten2022,'2022'!A59,FALSE))</f>
        <v>4021.54</v>
      </c>
      <c r="E56" s="40">
        <f>IF(ISERROR(D56/$D$4),"",D56/$D$4)</f>
        <v>6.0495208869232965E-2</v>
      </c>
      <c r="F56" s="751">
        <f>'2022'!CL59</f>
        <v>417953.87</v>
      </c>
      <c r="G56" s="41">
        <f>F56/F4</f>
        <v>0.1169172048109187</v>
      </c>
      <c r="I56" s="46">
        <f>ROWS($I$3:I56)</f>
        <v>54</v>
      </c>
      <c r="J56" s="50" t="str">
        <f>$M$5&amp;"            "&amp;'2011'!BG$4</f>
        <v>Kreis            Baden-Baden (S)</v>
      </c>
      <c r="N56" s="699" t="s">
        <v>381</v>
      </c>
    </row>
    <row r="57" spans="1:14" ht="15" customHeight="1">
      <c r="A57" s="738" t="str">
        <f>'Stand der Daten'!B61</f>
        <v>Vogelschutzgebiete (SPA-Gebiete)</v>
      </c>
      <c r="B57" s="29">
        <f>'2022'!C60</f>
        <v>2021</v>
      </c>
      <c r="C57" s="27" t="str">
        <f>'Stand der Daten'!C61</f>
        <v>Anzahl</v>
      </c>
      <c r="D57" s="751">
        <f>IF(ISERROR(HLOOKUP($I$2,Daten2022,'2022'!A60,FALSE)),"",HLOOKUP($I$2,Daten2022,'2022'!A60,FALSE))</f>
        <v>3</v>
      </c>
      <c r="E57" s="40"/>
      <c r="F57" s="751">
        <f>'2022'!CL60</f>
        <v>153</v>
      </c>
      <c r="G57" s="41"/>
      <c r="I57" s="46">
        <f>ROWS($I$3:I57)</f>
        <v>55</v>
      </c>
      <c r="J57" s="50" t="str">
        <f>$M$5&amp;"            "&amp;'2011'!BH$4</f>
        <v>Kreis            Karlsruhe (S)</v>
      </c>
      <c r="N57" s="699" t="s">
        <v>381</v>
      </c>
    </row>
    <row r="58" spans="1:14" ht="15" customHeight="1">
      <c r="A58" s="738"/>
      <c r="B58" s="29"/>
      <c r="C58" s="27" t="str">
        <f>'Stand der Daten'!C62</f>
        <v>ha</v>
      </c>
      <c r="D58" s="751">
        <f>IF(ISERROR(HLOOKUP($I$2,Daten2022,'2022'!A61,FALSE)),"",HLOOKUP($I$2,Daten2022,'2022'!A61,FALSE))</f>
        <v>877</v>
      </c>
      <c r="E58" s="40">
        <f>IF(ISERROR(D58/$D$4),"",D58/$D$4)</f>
        <v>1.3192532755689938E-2</v>
      </c>
      <c r="F58" s="751">
        <f>'2022'!CL61</f>
        <v>391766.28000000009</v>
      </c>
      <c r="G58" s="41">
        <f>F58/F4</f>
        <v>0.10959156424791983</v>
      </c>
      <c r="I58" s="46">
        <f>ROWS($I$3:I58)</f>
        <v>56</v>
      </c>
      <c r="J58" s="50" t="str">
        <f>$M$5&amp;"            "&amp;'2011'!BI$4</f>
        <v>Kreis            Karlsruhe (L)</v>
      </c>
      <c r="N58" s="699" t="s">
        <v>381</v>
      </c>
    </row>
    <row r="59" spans="1:14" ht="15" customHeight="1">
      <c r="A59" s="738" t="str">
        <f>'Stand der Daten'!B63</f>
        <v>Wasserschutzgebiete</v>
      </c>
      <c r="B59" s="29">
        <f>'2022'!C62</f>
        <v>2022</v>
      </c>
      <c r="C59" s="27" t="str">
        <f>'Stand der Daten'!C63</f>
        <v>Anzahl</v>
      </c>
      <c r="D59" s="751">
        <f>IF(ISERROR(HLOOKUP($I$2,Daten2022,'2022'!A62,FALSE)),"",HLOOKUP($I$2,Daten2022,'2022'!A62,FALSE))</f>
        <v>42</v>
      </c>
      <c r="E59" s="40"/>
      <c r="F59" s="751">
        <f>'2022'!CL62</f>
        <v>2514</v>
      </c>
      <c r="G59" s="41"/>
      <c r="I59" s="46">
        <f>ROWS($I$3:I59)</f>
        <v>57</v>
      </c>
      <c r="J59" s="50" t="str">
        <f>$M$5&amp;"            "&amp;'2011'!BJ$4</f>
        <v>Kreis            Rastatt (L)</v>
      </c>
      <c r="N59" s="699" t="s">
        <v>380</v>
      </c>
    </row>
    <row r="60" spans="1:14" ht="15" customHeight="1" thickBot="1">
      <c r="A60" s="752"/>
      <c r="B60" s="29"/>
      <c r="C60" s="27" t="str">
        <f>'Stand der Daten'!C64</f>
        <v>ha</v>
      </c>
      <c r="D60" s="751">
        <f>IF(ISERROR(HLOOKUP($I$2,Daten2022,'2022'!A63,FALSE)),"",HLOOKUP($I$2,Daten2022,'2022'!A63,FALSE))</f>
        <v>8773</v>
      </c>
      <c r="E60" s="40">
        <f>IF(ISERROR(D60/$D$4),"",D60/$D$4)</f>
        <v>0.13197045594716969</v>
      </c>
      <c r="F60" s="751">
        <f>'2022'!CL63</f>
        <v>962076</v>
      </c>
      <c r="G60" s="41">
        <f>F60/F4</f>
        <v>0.26912835317368738</v>
      </c>
      <c r="I60" s="46">
        <f>ROWS($I$3:I60)</f>
        <v>58</v>
      </c>
      <c r="J60" s="50" t="str">
        <f>$M$5&amp;"            "&amp;'2011'!BK$4</f>
        <v>Kreis            Heidelberg (S)</v>
      </c>
      <c r="N60" s="699" t="s">
        <v>380</v>
      </c>
    </row>
    <row r="61" spans="1:14" ht="18.75" customHeight="1">
      <c r="A61" s="6" t="str">
        <f>'Stand der Daten'!B65</f>
        <v xml:space="preserve">Benachteiligte Gebiete </v>
      </c>
      <c r="B61" s="7"/>
      <c r="C61" s="42"/>
      <c r="D61" s="753"/>
      <c r="E61" s="43" t="s">
        <v>16</v>
      </c>
      <c r="F61" s="753"/>
      <c r="G61" s="44" t="s">
        <v>16</v>
      </c>
      <c r="I61" s="46">
        <f>ROWS($I$3:I61)</f>
        <v>59</v>
      </c>
      <c r="J61" s="50" t="str">
        <f>$M$5&amp;"            "&amp;'2011'!BL$4</f>
        <v>Kreis            Mannheim (S)</v>
      </c>
    </row>
    <row r="62" spans="1:14" ht="15" customHeight="1">
      <c r="A62" s="738" t="s">
        <v>309</v>
      </c>
      <c r="B62" s="29">
        <f>'2022'!C65</f>
        <v>2019</v>
      </c>
      <c r="C62" s="14" t="str">
        <f>'Stand der Daten'!C66</f>
        <v>ha LF</v>
      </c>
      <c r="D62" s="730">
        <f>IF(ISERROR(HLOOKUP($I$2,Daten2022,'2022'!A65,FALSE)),"",HLOOKUP($I$2,Daten2022,'2022'!A65,FALSE))</f>
        <v>7894</v>
      </c>
      <c r="E62" s="348" t="str">
        <f>IF(ISERROR(HLOOKUP($I$2,Daten,'2010'!A93,FALSE)),"",HLOOKUP($I$2,Daten,'2010'!A93,FALSE))</f>
        <v/>
      </c>
      <c r="F62" s="730">
        <f>'2022'!CL65</f>
        <v>793887</v>
      </c>
      <c r="G62" s="349">
        <v>0.56999999999999995</v>
      </c>
      <c r="I62" s="46">
        <f>ROWS($I$3:I62)</f>
        <v>60</v>
      </c>
      <c r="J62" s="50" t="str">
        <f>$M$5&amp;"            "&amp;'2011'!BM$4</f>
        <v>Kreis            Neckar-Odenwald-Kreis</v>
      </c>
      <c r="N62" s="3" t="s">
        <v>383</v>
      </c>
    </row>
    <row r="63" spans="1:14" ht="15" customHeight="1">
      <c r="A63" s="738" t="s">
        <v>364</v>
      </c>
      <c r="B63" s="29">
        <f>'2022'!C66</f>
        <v>2019</v>
      </c>
      <c r="C63" s="14" t="str">
        <f>'Stand der Daten'!C69</f>
        <v>ha LF</v>
      </c>
      <c r="D63" s="730">
        <f>IF(ISERROR(HLOOKUP($I$2,Daten2022,'2022'!A66,FALSE)),"",HLOOKUP($I$2,Daten2022,'2022'!A66,FALSE))</f>
        <v>401</v>
      </c>
      <c r="E63" s="40">
        <f>IF(ISERROR(D63/$D$32),"",D63/$D$32)</f>
        <v>1.2129461584996976E-2</v>
      </c>
      <c r="F63" s="725">
        <f>'2022'!CL66</f>
        <v>111858</v>
      </c>
      <c r="G63" s="41">
        <f>F63/F32</f>
        <v>7.9441047737210627E-2</v>
      </c>
      <c r="I63" s="46">
        <f>ROWS($I$3:I63)</f>
        <v>61</v>
      </c>
      <c r="J63" s="50" t="str">
        <f>$M$5&amp;"            "&amp;'2011'!BN$4</f>
        <v>Kreis            Rhein-Neckar-Kreis</v>
      </c>
      <c r="N63" s="3" t="s">
        <v>383</v>
      </c>
    </row>
    <row r="64" spans="1:14" ht="15" customHeight="1" thickBot="1">
      <c r="A64" s="754" t="s">
        <v>363</v>
      </c>
      <c r="B64" s="29">
        <f>'2022'!C136</f>
        <v>2019</v>
      </c>
      <c r="C64" s="45" t="str">
        <f>'Stand der Daten'!C70</f>
        <v>%</v>
      </c>
      <c r="D64" s="755">
        <f>IF(ISERROR(HLOOKUP($I$2,Daten2022,'2022'!A67,FALSE)),"",HLOOKUP($I$2,Daten2022,'2022'!A67,FALSE))</f>
        <v>23.877797943133693</v>
      </c>
      <c r="E64" s="309">
        <f>IF(ISERROR(D64/$D$32),"",D64/$D$32)</f>
        <v>7.2225644111112203E-4</v>
      </c>
      <c r="F64" s="737">
        <f>'2022'!CL67</f>
        <v>56.381497134716277</v>
      </c>
      <c r="G64" s="310">
        <f>F64/F32</f>
        <v>4.0041885295413826E-5</v>
      </c>
      <c r="I64" s="46">
        <f>ROWS($I$3:I64)</f>
        <v>62</v>
      </c>
      <c r="J64" s="50" t="str">
        <f>$M$5&amp;"            "&amp;'2011'!BO$4</f>
        <v>Kreis            Pforzheim (S)</v>
      </c>
      <c r="N64" s="3" t="s">
        <v>383</v>
      </c>
    </row>
    <row r="65" spans="1:14" ht="18.75" customHeight="1">
      <c r="A65" s="6" t="str">
        <f>'Stand der Daten'!B71</f>
        <v>Ökobetriebe</v>
      </c>
      <c r="B65" s="7"/>
      <c r="C65" s="42"/>
      <c r="D65" s="753"/>
      <c r="E65" s="43" t="s">
        <v>16</v>
      </c>
      <c r="F65" s="753"/>
      <c r="G65" s="44" t="s">
        <v>16</v>
      </c>
      <c r="I65" s="46">
        <f>ROWS($I$3:I65)</f>
        <v>63</v>
      </c>
      <c r="J65" s="50" t="str">
        <f>$M$5&amp;"            "&amp;'2011'!BP$4</f>
        <v>Kreis            Calw (L)</v>
      </c>
    </row>
    <row r="66" spans="1:14" ht="15" customHeight="1">
      <c r="A66" s="727" t="str">
        <f>'2022'!B69</f>
        <v>Landwirtschaftl. Betriebe (ab 5 ha LF)</v>
      </c>
      <c r="B66" s="14">
        <f>'2022'!C69</f>
        <v>2022</v>
      </c>
      <c r="C66" s="15" t="str">
        <f>'Stand der Daten'!C72</f>
        <v>Anzahl</v>
      </c>
      <c r="D66" s="725">
        <f>IF(ISERROR(HLOOKUP($I$2,Daten2022,'2022'!A69,FALSE)),"",HLOOKUP($I$2,Daten2022,'2022'!A69,FALSE))</f>
        <v>152</v>
      </c>
      <c r="E66" s="24">
        <f>IF(ISERROR(D66/$D$20),"",D66/$D$20)</f>
        <v>0.10764872521246459</v>
      </c>
      <c r="F66" s="730">
        <f>'2022'!CL69</f>
        <v>4071</v>
      </c>
      <c r="G66" s="25">
        <f>F66/$F$20</f>
        <v>0.10415760521939363</v>
      </c>
      <c r="I66" s="46">
        <f>ROWS($I$3:I66)</f>
        <v>64</v>
      </c>
      <c r="J66" s="50" t="str">
        <f>$M$5&amp;"            "&amp;'2011'!BQ$4</f>
        <v>Kreis            Enzkreis</v>
      </c>
      <c r="N66" s="3" t="s">
        <v>383</v>
      </c>
    </row>
    <row r="67" spans="1:14" ht="15" customHeight="1">
      <c r="A67" s="727" t="str">
        <f>'2022'!B70</f>
        <v xml:space="preserve">Landwirtschaftlich genutzte Fläche (LF)   </v>
      </c>
      <c r="B67" s="14"/>
      <c r="C67" s="31" t="str">
        <f>'Stand der Daten'!C73</f>
        <v>ha</v>
      </c>
      <c r="D67" s="730">
        <f>IF(ISERROR(HLOOKUP($I$2,Daten2022,'2022'!A70,FALSE)),"",HLOOKUP($I$2,Daten2022,'2022'!A70,FALSE))</f>
        <v>5598.2027000000016</v>
      </c>
      <c r="E67" s="24">
        <f>IF(ISERROR(D67/$D$32),"",D67/$D$32)</f>
        <v>0.16933462492437998</v>
      </c>
      <c r="F67" s="725">
        <f>'2022'!CL70</f>
        <v>186961.41229999956</v>
      </c>
      <c r="G67" s="25">
        <f>F67/$F$32</f>
        <v>0.13277915285040481</v>
      </c>
      <c r="I67" s="46">
        <f>ROWS($I$3:I67)</f>
        <v>65</v>
      </c>
      <c r="J67" s="50" t="str">
        <f>$M$5&amp;"            "&amp;'2011'!BR$4</f>
        <v>Kreis            Freudenstadt</v>
      </c>
      <c r="N67" s="3" t="s">
        <v>383</v>
      </c>
    </row>
    <row r="68" spans="1:14" ht="15" customHeight="1" thickBot="1">
      <c r="A68" s="727" t="str">
        <f>'Stand der Daten'!B74</f>
        <v>Ø Betriebsgröße</v>
      </c>
      <c r="B68" s="14"/>
      <c r="C68" s="15" t="str">
        <f>'Stand der Daten'!C74</f>
        <v>ha</v>
      </c>
      <c r="D68" s="757">
        <f>IF(ISERROR(HLOOKUP($I$2,Daten2022,'2022'!A71,FALSE)),"",HLOOKUP($I$2,Daten2022,'2022'!A71,FALSE))</f>
        <v>36.830280921052641</v>
      </c>
      <c r="E68" s="23"/>
      <c r="F68" s="758">
        <f>'2022'!CL71</f>
        <v>45.925181110292201</v>
      </c>
      <c r="G68" s="22"/>
      <c r="I68" s="46">
        <f>ROWS($I$3:I68)</f>
        <v>66</v>
      </c>
      <c r="J68" s="50" t="str">
        <f>$M$5&amp;"            "&amp;'2011'!BS$4</f>
        <v>Kreis            Freiburg (S)</v>
      </c>
      <c r="N68" s="3" t="s">
        <v>383</v>
      </c>
    </row>
    <row r="69" spans="1:14" ht="18.75" customHeight="1">
      <c r="A69" s="6" t="str">
        <f>'Stand der Daten'!B75</f>
        <v>Betriebswirtschaftliche Ausrichtung</v>
      </c>
      <c r="B69" s="7"/>
      <c r="C69" s="42"/>
      <c r="D69" s="753"/>
      <c r="E69" s="43" t="s">
        <v>16</v>
      </c>
      <c r="F69" s="753"/>
      <c r="G69" s="44" t="s">
        <v>16</v>
      </c>
      <c r="I69" s="46">
        <f>ROWS($I$3:I69)</f>
        <v>67</v>
      </c>
      <c r="J69" s="50" t="str">
        <f>$M$5&amp;"            "&amp;'2011'!BT$4</f>
        <v>Kreis            Breisgau-Hoch-schwarzwald</v>
      </c>
    </row>
    <row r="70" spans="1:14" ht="15" customHeight="1">
      <c r="A70" s="727" t="str">
        <f>'Stand der Daten'!B76</f>
        <v>Ackerbaubetriebe</v>
      </c>
      <c r="B70" s="14">
        <f>'2022'!C73</f>
        <v>2020</v>
      </c>
      <c r="C70" s="15" t="str">
        <f>'Stand der Daten'!C76</f>
        <v>Anzahl</v>
      </c>
      <c r="D70" s="725">
        <f>IF(ISERROR(HLOOKUP($I$2,Daten2022,'2022'!A73,FALSE)),"",HLOOKUP($I$2,Daten2022,'2022'!A73,FALSE))</f>
        <v>230</v>
      </c>
      <c r="E70" s="24">
        <f t="shared" ref="E70:E75" si="4">IF(ISERROR(D70/SUM($D$70:$D$75)),"",D70/SUM($D$70:$D$75))</f>
        <v>0.16288951841359772</v>
      </c>
      <c r="F70" s="730">
        <f>'2022'!CL73</f>
        <v>10772</v>
      </c>
      <c r="G70" s="350">
        <f t="shared" ref="G70:G75" si="5">F70/SUM($F$70:$F$75)</f>
        <v>0.27560445183574261</v>
      </c>
      <c r="I70" s="46">
        <f>ROWS($I$3:I70)</f>
        <v>68</v>
      </c>
      <c r="J70" s="50" t="str">
        <f>$M$5&amp;"            "&amp;'2011'!BU$4</f>
        <v>Kreis            Emmendingen (L)</v>
      </c>
      <c r="N70" s="699" t="s">
        <v>382</v>
      </c>
    </row>
    <row r="71" spans="1:14" ht="15" customHeight="1">
      <c r="A71" s="756" t="str">
        <f>'Stand der Daten'!B77</f>
        <v>Gartenbaubetriebe</v>
      </c>
      <c r="B71" s="26"/>
      <c r="C71" s="15" t="str">
        <f>'Stand der Daten'!C77</f>
        <v>Anzahl</v>
      </c>
      <c r="D71" s="725">
        <f>IF(ISERROR(HLOOKUP($I$2,Daten2022,'2022'!A74,FALSE)),"",HLOOKUP($I$2,Daten2022,'2022'!A74,FALSE))</f>
        <v>18</v>
      </c>
      <c r="E71" s="24">
        <f t="shared" si="4"/>
        <v>1.2747875354107648E-2</v>
      </c>
      <c r="F71" s="725">
        <f>'2022'!CL74</f>
        <v>864</v>
      </c>
      <c r="G71" s="350">
        <f t="shared" si="5"/>
        <v>2.2105667135729819E-2</v>
      </c>
      <c r="I71" s="46">
        <f>ROWS($I$3:I71)</f>
        <v>69</v>
      </c>
      <c r="J71" s="50" t="str">
        <f>$M$5&amp;"            "&amp;'2011'!BV$4</f>
        <v>Kreis            Ortenaukreis</v>
      </c>
      <c r="N71" s="699" t="s">
        <v>382</v>
      </c>
    </row>
    <row r="72" spans="1:14" ht="15" customHeight="1">
      <c r="A72" s="756" t="str">
        <f>'Stand der Daten'!B78</f>
        <v>Dauerkulturbetriebe</v>
      </c>
      <c r="B72" s="26"/>
      <c r="C72" s="15" t="str">
        <f>'Stand der Daten'!C78</f>
        <v>Anzahl</v>
      </c>
      <c r="D72" s="725">
        <f>IF(ISERROR(HLOOKUP($I$2,Daten2022,'2022'!A75,FALSE)),"",HLOOKUP($I$2,Daten2022,'2022'!A75,FALSE))</f>
        <v>708</v>
      </c>
      <c r="E72" s="24">
        <f t="shared" si="4"/>
        <v>0.50141643059490082</v>
      </c>
      <c r="F72" s="725">
        <f>'2022'!CL75</f>
        <v>7523</v>
      </c>
      <c r="G72" s="350">
        <f t="shared" si="5"/>
        <v>0.19247793271075861</v>
      </c>
      <c r="I72" s="46">
        <f>ROWS($I$3:I72)</f>
        <v>70</v>
      </c>
      <c r="J72" s="50" t="str">
        <f>$M$5&amp;"            "&amp;'2011'!BW$4</f>
        <v>Kreis            Rottweil (L)</v>
      </c>
      <c r="N72" s="699" t="s">
        <v>382</v>
      </c>
    </row>
    <row r="73" spans="1:14" ht="15" customHeight="1">
      <c r="A73" s="756" t="str">
        <f>'Stand der Daten'!B79</f>
        <v xml:space="preserve"> Futterbaubetriebe </v>
      </c>
      <c r="B73" s="26"/>
      <c r="C73" s="15" t="str">
        <f>'Stand der Daten'!C79</f>
        <v>Anzahl</v>
      </c>
      <c r="D73" s="725">
        <f>IF(ISERROR(HLOOKUP($I$2,Daten2022,'2022'!A76,FALSE)),"",HLOOKUP($I$2,Daten2022,'2022'!A76,FALSE))</f>
        <v>266</v>
      </c>
      <c r="E73" s="24">
        <f t="shared" si="4"/>
        <v>0.18838526912181303</v>
      </c>
      <c r="F73" s="725">
        <f>'2022'!CL76</f>
        <v>13739</v>
      </c>
      <c r="G73" s="350">
        <f t="shared" si="5"/>
        <v>0.35151592682614813</v>
      </c>
      <c r="I73" s="46">
        <f>ROWS($I$3:I73)</f>
        <v>71</v>
      </c>
      <c r="J73" s="50" t="str">
        <f>$M$5&amp;"            "&amp;'2011'!BX$4</f>
        <v>Kreis            Schwarzwald-Baar-Kreis</v>
      </c>
      <c r="N73" s="699" t="s">
        <v>382</v>
      </c>
    </row>
    <row r="74" spans="1:14" ht="15" customHeight="1">
      <c r="A74" s="756" t="str">
        <f>'Stand der Daten'!B80</f>
        <v>Veredlungsbetriebe</v>
      </c>
      <c r="B74" s="26"/>
      <c r="C74" s="15" t="str">
        <f>'Stand der Daten'!C80</f>
        <v>Anzahl</v>
      </c>
      <c r="D74" s="725">
        <f>IF(ISERROR(HLOOKUP($I$2,Daten2022,'2022'!A77,FALSE)),"",HLOOKUP($I$2,Daten2022,'2022'!A77,FALSE))</f>
        <v>12</v>
      </c>
      <c r="E74" s="24">
        <f t="shared" si="4"/>
        <v>8.4985835694051E-3</v>
      </c>
      <c r="F74" s="725">
        <f>'2022'!CL77</f>
        <v>1446</v>
      </c>
      <c r="G74" s="350">
        <f t="shared" si="5"/>
        <v>3.6996290136881153E-2</v>
      </c>
      <c r="I74" s="46">
        <f>ROWS($I$3:I74)</f>
        <v>72</v>
      </c>
      <c r="J74" s="50" t="str">
        <f>$M$5&amp;"            "&amp;'2011'!BY$4</f>
        <v>Kreis            Tuttlingen (L)</v>
      </c>
      <c r="N74" s="699" t="s">
        <v>382</v>
      </c>
    </row>
    <row r="75" spans="1:14" ht="15" customHeight="1" thickBot="1">
      <c r="A75" s="756" t="str">
        <f>'Stand der Daten'!B81</f>
        <v>Verbundbetriebe</v>
      </c>
      <c r="B75" s="26"/>
      <c r="C75" s="15" t="str">
        <f>'Stand der Daten'!C81</f>
        <v>Anzahl</v>
      </c>
      <c r="D75" s="725">
        <f>IF(ISERROR(HLOOKUP($I$2,Daten2022,'2022'!A78,FALSE)),"",HLOOKUP($I$2,Daten2022,'2022'!A78,FALSE))</f>
        <v>178</v>
      </c>
      <c r="E75" s="24">
        <f t="shared" si="4"/>
        <v>0.12606232294617564</v>
      </c>
      <c r="F75" s="725">
        <f>'2022'!CL78</f>
        <v>4741</v>
      </c>
      <c r="G75" s="350">
        <f t="shared" si="5"/>
        <v>0.12129973135473968</v>
      </c>
      <c r="I75" s="46">
        <f>ROWS($I$3:I75)</f>
        <v>73</v>
      </c>
      <c r="J75" s="50" t="str">
        <f>$M$5&amp;"            "&amp;'2011'!BZ$4</f>
        <v>Kreis            Konstanz</v>
      </c>
      <c r="N75" s="699" t="s">
        <v>382</v>
      </c>
    </row>
    <row r="76" spans="1:14" ht="18.75" customHeight="1">
      <c r="A76" s="6" t="str">
        <f>'Stand der Daten'!B82</f>
        <v xml:space="preserve"> Daten aus dem Gemeinsamen Antrag</v>
      </c>
      <c r="B76" s="7"/>
      <c r="C76" s="42"/>
      <c r="D76" s="753"/>
      <c r="E76" s="43"/>
      <c r="F76" s="505"/>
      <c r="G76" s="44"/>
      <c r="I76" s="46">
        <f>ROWS($I$3:I76)</f>
        <v>74</v>
      </c>
      <c r="J76" s="50" t="str">
        <f>$M$5&amp;"            "&amp;'2011'!CA$4</f>
        <v>Kreis            Lörrach (L)</v>
      </c>
    </row>
    <row r="77" spans="1:14" ht="15" customHeight="1">
      <c r="A77" s="727" t="str">
        <f>'Stand der Daten'!B83</f>
        <v>Antragsteller</v>
      </c>
      <c r="B77" s="14">
        <f>'2022'!C80</f>
        <v>2022</v>
      </c>
      <c r="C77" s="15" t="str">
        <f>'Stand der Daten'!C83</f>
        <v>Anzahl</v>
      </c>
      <c r="D77" s="725">
        <f>IF(ISERROR(HLOOKUP($I$2,Daten2022,'2022'!A80,FALSE)),"",HLOOKUP($I$2,Daten2022,'2022'!A80,FALSE))</f>
        <v>1428</v>
      </c>
      <c r="E77" s="24"/>
      <c r="F77" s="730">
        <f>'2022'!CL80</f>
        <v>42987</v>
      </c>
      <c r="G77" s="25"/>
      <c r="I77" s="46">
        <f>ROWS($I$3:I77)</f>
        <v>75</v>
      </c>
      <c r="J77" s="50" t="str">
        <f>$M$5&amp;"            "&amp;'2011'!CB$4</f>
        <v>Kreis            Waldshut (L)</v>
      </c>
      <c r="N77" s="699" t="s">
        <v>383</v>
      </c>
    </row>
    <row r="78" spans="1:14" ht="15" hidden="1" customHeight="1">
      <c r="A78" s="756" t="str">
        <f>'Stand der Daten'!B84</f>
        <v>Flurstücke</v>
      </c>
      <c r="B78" s="26">
        <f>'2022'!C81</f>
        <v>2018</v>
      </c>
      <c r="C78" s="15" t="str">
        <f>'Stand der Daten'!C84</f>
        <v>Anzahl</v>
      </c>
      <c r="D78" s="725">
        <f>IF(ISERROR(HLOOKUP($I$2,Daten2022,'2022'!A81,FALSE)),"",HLOOKUP($I$2,Daten2022,'2022'!A81,FALSE))</f>
        <v>34652</v>
      </c>
      <c r="E78" s="24"/>
      <c r="F78" s="725">
        <f>'2022'!CL81</f>
        <v>3027418</v>
      </c>
      <c r="G78" s="25"/>
      <c r="I78" s="46">
        <f>ROWS($I$3:I78)</f>
        <v>76</v>
      </c>
      <c r="J78" s="50" t="str">
        <f>$M$5&amp;"            "&amp;'2011'!CC$4</f>
        <v>Kreis            Reutlingen</v>
      </c>
      <c r="N78" s="699" t="s">
        <v>383</v>
      </c>
    </row>
    <row r="79" spans="1:14" ht="15" hidden="1" customHeight="1">
      <c r="A79" s="756" t="str">
        <f>'Stand der Daten'!B85</f>
        <v>Flurstücke / Antrag</v>
      </c>
      <c r="B79" s="26">
        <f>'2022'!C82</f>
        <v>2018</v>
      </c>
      <c r="C79" s="15" t="str">
        <f>'Stand der Daten'!C85</f>
        <v>Anzahl</v>
      </c>
      <c r="D79" s="725">
        <f>IF(ISERROR(HLOOKUP($I$2,Daten2022,'2022'!A82,FALSE)),"",HLOOKUP($I$2,Daten2022,'2022'!A82,FALSE))</f>
        <v>24.26610644257703</v>
      </c>
      <c r="E79" s="24"/>
      <c r="F79" s="725">
        <f>'2022'!CL82</f>
        <v>70.426361458115238</v>
      </c>
      <c r="G79" s="25"/>
      <c r="I79" s="46">
        <f>ROWS($I$3:I79)</f>
        <v>77</v>
      </c>
      <c r="J79" s="50" t="str">
        <f>$M$5&amp;"            "&amp;'2011'!CD$4</f>
        <v>Kreis            Tübingen (L)</v>
      </c>
      <c r="N79" s="699" t="s">
        <v>383</v>
      </c>
    </row>
    <row r="80" spans="1:14" ht="15" hidden="1" customHeight="1">
      <c r="A80" s="756" t="str">
        <f>'Stand der Daten'!B86</f>
        <v>Nutzungen</v>
      </c>
      <c r="B80" s="26">
        <f>'2022'!C83</f>
        <v>2020</v>
      </c>
      <c r="C80" s="15" t="str">
        <f>'Stand der Daten'!C86</f>
        <v>Anzahl</v>
      </c>
      <c r="D80" s="725">
        <f>IF(ISERROR(HLOOKUP($I$2,Daten2022,'2022'!A83,FALSE)),"",HLOOKUP($I$2,Daten2022,'2022'!A83,FALSE))</f>
        <v>55223</v>
      </c>
      <c r="E80" s="24"/>
      <c r="F80" s="725">
        <f>'2022'!CL83</f>
        <v>3832947</v>
      </c>
      <c r="G80" s="25"/>
      <c r="I80" s="46">
        <f>ROWS($I$3:I80)</f>
        <v>78</v>
      </c>
      <c r="J80" s="50" t="str">
        <f>$M$5&amp;"            "&amp;'2011'!CE$4</f>
        <v>Kreis            Zollernalbkreis</v>
      </c>
      <c r="N80" s="699" t="s">
        <v>383</v>
      </c>
    </row>
    <row r="81" spans="1:14" ht="15" hidden="1" customHeight="1">
      <c r="A81" s="756" t="str">
        <f>'Stand der Daten'!B87</f>
        <v>Nutzungen / Antrag</v>
      </c>
      <c r="B81" s="26">
        <f>'2022'!C84</f>
        <v>2020</v>
      </c>
      <c r="C81" s="15" t="str">
        <f>'Stand der Daten'!C87</f>
        <v>Anzahl</v>
      </c>
      <c r="D81" s="725">
        <f>IF(ISERROR(HLOOKUP($I$2,Daten2022,'2022'!A84,FALSE)),"",HLOOKUP($I$2,Daten2022,'2022'!A84,FALSE))</f>
        <v>38.671568627450981</v>
      </c>
      <c r="E81" s="24"/>
      <c r="F81" s="725">
        <f>'2022'!CL84</f>
        <v>89.165259264428784</v>
      </c>
      <c r="G81" s="25"/>
      <c r="I81" s="46">
        <f>ROWS($I$3:I81)</f>
        <v>79</v>
      </c>
      <c r="J81" s="50" t="str">
        <f>$M$5&amp;"            "&amp;'2011'!CF$4</f>
        <v>Kreis            Ulm (S)</v>
      </c>
      <c r="N81" s="699" t="s">
        <v>383</v>
      </c>
    </row>
    <row r="82" spans="1:14" ht="15" customHeight="1" thickBot="1">
      <c r="A82" s="759"/>
      <c r="B82" s="311"/>
      <c r="C82" s="110"/>
      <c r="D82" s="760"/>
      <c r="E82" s="312"/>
      <c r="F82" s="760"/>
      <c r="G82" s="313"/>
      <c r="I82" s="46">
        <f>ROWS($I$3:I82)</f>
        <v>80</v>
      </c>
      <c r="J82" s="50" t="str">
        <f>$M$5&amp;"            "&amp;'2011'!CG$4</f>
        <v>Kreis            Alb-Donau-Kreis</v>
      </c>
    </row>
    <row r="83" spans="1:14" ht="18.75" customHeight="1" thickTop="1">
      <c r="A83" s="6" t="str">
        <f>'Stand der Daten'!B89</f>
        <v>Landwirtschaftlicher Grundstücksmarkt</v>
      </c>
      <c r="B83" s="7"/>
      <c r="C83" s="42"/>
      <c r="D83" s="753"/>
      <c r="E83" s="65" t="s">
        <v>196</v>
      </c>
      <c r="F83" s="505" t="s">
        <v>198</v>
      </c>
      <c r="G83" s="44"/>
      <c r="I83" s="46">
        <f>ROWS($I$3:I83)</f>
        <v>81</v>
      </c>
      <c r="J83" s="50" t="str">
        <f>$M$5&amp;"            "&amp;'2011'!CH$4</f>
        <v>Kreis            Biberach (L)</v>
      </c>
    </row>
    <row r="84" spans="1:14" ht="15" customHeight="1" thickBot="1">
      <c r="A84" s="761" t="str">
        <f>'Stand der Daten'!B90</f>
        <v>Ø Kaufwert</v>
      </c>
      <c r="B84" s="351">
        <f>'2022'!C86</f>
        <v>2020</v>
      </c>
      <c r="C84" s="111" t="str">
        <f>'Stand der Daten'!C90</f>
        <v>EUR/ha</v>
      </c>
      <c r="D84" s="762">
        <f>IF(ISERROR(HLOOKUP($I$2,Daten2022,'2022'!A87,FALSE)),"",HLOOKUP($I$2,Daten2022,'2022'!A87,FALSE))</f>
        <v>0</v>
      </c>
      <c r="E84" s="352">
        <f>IF(ISERROR(D84/F84),"",D84/F84)</f>
        <v>0</v>
      </c>
      <c r="F84" s="763">
        <f>'2022'!CL87</f>
        <v>27457</v>
      </c>
      <c r="G84" s="353"/>
      <c r="I84" s="46">
        <f>ROWS($I$3:I84)</f>
        <v>82</v>
      </c>
      <c r="J84" s="50" t="str">
        <f>$M$5&amp;"            "&amp;'2011'!CI$4</f>
        <v>Kreis            Bodenseekreis</v>
      </c>
      <c r="N84" s="699" t="s">
        <v>382</v>
      </c>
    </row>
    <row r="85" spans="1:14" ht="18.75" customHeight="1">
      <c r="A85" s="64" t="str">
        <f>'Stand der Daten'!B91</f>
        <v>Hektarerträge</v>
      </c>
      <c r="B85" s="7"/>
      <c r="C85" s="42"/>
      <c r="D85" s="753"/>
      <c r="E85" s="65" t="s">
        <v>196</v>
      </c>
      <c r="F85" s="505" t="s">
        <v>198</v>
      </c>
      <c r="G85" s="43"/>
      <c r="I85" s="46">
        <f>ROWS($I$3:I85)</f>
        <v>83</v>
      </c>
      <c r="J85" s="50" t="str">
        <f>$M$5&amp;"            "&amp;'2011'!CJ$4</f>
        <v>Kreis            Ravensburg (L)</v>
      </c>
    </row>
    <row r="86" spans="1:14" ht="15" customHeight="1">
      <c r="A86" s="764" t="str">
        <f>'Stand der Daten'!B92</f>
        <v>Getreide insg. (ohne Körnermais)</v>
      </c>
      <c r="B86" s="14">
        <f>'2022'!C88</f>
        <v>2022</v>
      </c>
      <c r="C86" s="15" t="str">
        <f>'Stand der Daten'!C92</f>
        <v>dt/ha</v>
      </c>
      <c r="D86" s="765" t="str">
        <f>IF(ISERROR(HLOOKUP($I$2,Daten2022,'2022'!A89,FALSE)),"",HLOOKUP($I$2,Daten2022,'2022'!A89,FALSE))</f>
        <v>/</v>
      </c>
      <c r="E86" s="314" t="str">
        <f>IF(ISERROR(D86/F86),"",D86/F86)</f>
        <v/>
      </c>
      <c r="F86" s="741">
        <f>'2022'!CL89</f>
        <v>75.099999999999994</v>
      </c>
      <c r="G86" s="24"/>
      <c r="I86" s="46">
        <f>ROWS($I$3:I86)</f>
        <v>84</v>
      </c>
      <c r="J86" s="50" t="str">
        <f>$M$5&amp;"            "&amp;'2011'!CK$4</f>
        <v>Kreis            Sigmaringen (L)</v>
      </c>
      <c r="N86" s="3" t="s">
        <v>382</v>
      </c>
    </row>
    <row r="87" spans="1:14" ht="15" customHeight="1">
      <c r="A87" s="766" t="str">
        <f>'Stand der Daten'!B93</f>
        <v>Zuckerrüben</v>
      </c>
      <c r="B87" s="26"/>
      <c r="C87" s="15" t="str">
        <f>'Stand der Daten'!C93</f>
        <v>dt/ha</v>
      </c>
      <c r="D87" s="765" t="str">
        <f>IF(ISERROR(HLOOKUP($I$2,Daten2022,'2022'!A90,FALSE)),"",HLOOKUP($I$2,Daten2022,'2022'!A90,FALSE))</f>
        <v>/</v>
      </c>
      <c r="E87" s="314" t="str">
        <f>IF(ISERROR(D87/F87),"",D87/F87)</f>
        <v/>
      </c>
      <c r="F87" s="728">
        <f>'2022'!CL90</f>
        <v>692.6</v>
      </c>
      <c r="G87" s="24"/>
      <c r="I87" s="47">
        <f>ROWS($I$3:I87)</f>
        <v>85</v>
      </c>
      <c r="J87" s="51" t="str">
        <f>$M$6&amp;"             "&amp;'2011'!CL$4</f>
        <v>Land             Baden-Württemberg</v>
      </c>
      <c r="N87" s="3" t="s">
        <v>382</v>
      </c>
    </row>
    <row r="88" spans="1:14" ht="15" customHeight="1">
      <c r="A88" s="766" t="str">
        <f>'Stand der Daten'!B94</f>
        <v>Winterraps</v>
      </c>
      <c r="B88" s="26"/>
      <c r="C88" s="15" t="str">
        <f>'Stand der Daten'!C94</f>
        <v>dt/ha</v>
      </c>
      <c r="D88" s="765" t="str">
        <f>IF(ISERROR(HLOOKUP($I$2,Daten2022,'2022'!A91,FALSE)),"",HLOOKUP($I$2,Daten2022,'2022'!A91,FALSE))</f>
        <v>/</v>
      </c>
      <c r="E88" s="314" t="str">
        <f>IF(ISERROR(D88/F88),"",D88/F88)</f>
        <v/>
      </c>
      <c r="F88" s="728">
        <f>'2022'!CL91</f>
        <v>41.8</v>
      </c>
      <c r="G88" s="24"/>
      <c r="N88" s="3" t="s">
        <v>382</v>
      </c>
    </row>
    <row r="89" spans="1:14" ht="15" customHeight="1" thickBot="1">
      <c r="A89" s="767" t="str">
        <f>'Stand der Daten'!B95</f>
        <v>Silomais</v>
      </c>
      <c r="B89" s="315"/>
      <c r="C89" s="316" t="str">
        <f>'Stand der Daten'!C95</f>
        <v>dt/ha</v>
      </c>
      <c r="D89" s="768" t="str">
        <f>IF(ISERROR(HLOOKUP($I$2,Daten2022,'2022'!A92,FALSE)),"",HLOOKUP($I$2,Daten2022,'2022'!A92,FALSE))</f>
        <v>/</v>
      </c>
      <c r="E89" s="317" t="str">
        <f>IF(ISERROR(D89/F89),"",D89/F89)</f>
        <v/>
      </c>
      <c r="F89" s="769">
        <f>'2022'!CL92</f>
        <v>413.8</v>
      </c>
      <c r="G89" s="318"/>
      <c r="N89" s="3" t="s">
        <v>382</v>
      </c>
    </row>
    <row r="90" spans="1:14" ht="18" customHeight="1">
      <c r="A90" s="89" t="str">
        <f>IF(ISERROR(HLOOKUP($I$2,Daten,'2010'!A99,FALSE)),"",HLOOKUP($I$2,Daten,'2010'!A99,FALSE))</f>
        <v/>
      </c>
      <c r="D90" s="354"/>
      <c r="E90" s="355"/>
      <c r="F90" s="355"/>
      <c r="G90" s="355"/>
    </row>
    <row r="91" spans="1:14">
      <c r="A91" s="294" t="s">
        <v>494</v>
      </c>
      <c r="B91" s="33"/>
      <c r="D91" s="94" t="s">
        <v>240</v>
      </c>
      <c r="E91" s="355"/>
      <c r="F91" s="355"/>
      <c r="G91" s="355"/>
    </row>
    <row r="92" spans="1:14">
      <c r="A92" s="295" t="s">
        <v>492</v>
      </c>
      <c r="B92" s="34"/>
      <c r="D92" s="355"/>
      <c r="E92" s="355"/>
      <c r="F92" s="355"/>
      <c r="G92" s="355"/>
    </row>
    <row r="93" spans="1:14">
      <c r="A93" s="295" t="s">
        <v>478</v>
      </c>
      <c r="B93" s="34"/>
      <c r="D93" s="355"/>
      <c r="E93" s="355"/>
      <c r="F93" s="355"/>
      <c r="G93" s="355"/>
    </row>
    <row r="94" spans="1:14">
      <c r="A94" s="295" t="s">
        <v>293</v>
      </c>
      <c r="B94" s="34"/>
      <c r="D94" s="355"/>
      <c r="E94" s="355"/>
      <c r="F94" s="355"/>
      <c r="G94" s="355"/>
    </row>
    <row r="95" spans="1:14">
      <c r="A95" s="295" t="s">
        <v>490</v>
      </c>
      <c r="D95" s="355"/>
      <c r="E95" s="355"/>
      <c r="F95" s="355"/>
      <c r="G95" s="355"/>
    </row>
    <row r="96" spans="1:14">
      <c r="A96" s="295" t="s">
        <v>491</v>
      </c>
      <c r="D96" s="355"/>
      <c r="E96" s="355"/>
      <c r="F96" s="355"/>
      <c r="G96" s="355"/>
    </row>
    <row r="97" spans="1:7">
      <c r="A97" s="294" t="s">
        <v>78</v>
      </c>
      <c r="D97" s="355"/>
      <c r="E97" s="355"/>
      <c r="F97" s="355"/>
      <c r="G97" s="355"/>
    </row>
    <row r="98" spans="1:7" ht="12.75" customHeight="1">
      <c r="A98" s="294" t="s">
        <v>207</v>
      </c>
      <c r="D98" s="355"/>
      <c r="E98" s="355"/>
      <c r="F98" s="355"/>
      <c r="G98" s="355"/>
    </row>
    <row r="99" spans="1:7" ht="12.75" customHeight="1">
      <c r="A99" s="294" t="s">
        <v>261</v>
      </c>
      <c r="B99" s="293"/>
      <c r="C99" s="293"/>
      <c r="D99" s="293"/>
      <c r="E99" s="293"/>
      <c r="F99" s="293"/>
      <c r="G99" s="293"/>
    </row>
    <row r="100" spans="1:7">
      <c r="A100" s="296" t="s">
        <v>262</v>
      </c>
      <c r="D100" s="355"/>
      <c r="E100" s="355"/>
      <c r="F100" s="355"/>
      <c r="G100" s="355"/>
    </row>
    <row r="101" spans="1:7">
      <c r="A101" s="355"/>
      <c r="D101" s="355"/>
      <c r="E101" s="355"/>
      <c r="F101" s="355"/>
      <c r="G101" s="355"/>
    </row>
    <row r="102" spans="1:7">
      <c r="A102" s="355"/>
      <c r="D102" s="355"/>
      <c r="E102" s="355"/>
      <c r="F102" s="355"/>
      <c r="G102" s="355"/>
    </row>
    <row r="103" spans="1:7">
      <c r="A103" s="355"/>
      <c r="D103" s="355"/>
      <c r="E103" s="355"/>
      <c r="F103" s="355"/>
      <c r="G103" s="355"/>
    </row>
    <row r="104" spans="1:7">
      <c r="A104" s="355"/>
      <c r="D104" s="355"/>
      <c r="E104" s="355"/>
      <c r="F104" s="355"/>
      <c r="G104" s="355"/>
    </row>
    <row r="105" spans="1:7">
      <c r="A105" s="355"/>
      <c r="D105" s="355"/>
      <c r="E105" s="355"/>
      <c r="F105" s="355"/>
      <c r="G105" s="355"/>
    </row>
    <row r="106" spans="1:7">
      <c r="A106" s="355"/>
      <c r="D106" s="355"/>
      <c r="E106" s="355"/>
      <c r="F106" s="355"/>
      <c r="G106" s="355"/>
    </row>
    <row r="107" spans="1:7">
      <c r="A107" s="355"/>
      <c r="D107" s="355"/>
      <c r="E107" s="355"/>
      <c r="F107" s="355"/>
      <c r="G107" s="355"/>
    </row>
    <row r="108" spans="1:7">
      <c r="A108" s="355"/>
      <c r="D108" s="355"/>
      <c r="E108" s="355"/>
      <c r="F108" s="355"/>
      <c r="G108" s="355"/>
    </row>
    <row r="109" spans="1:7">
      <c r="A109" s="355"/>
      <c r="D109" s="355"/>
      <c r="E109" s="355"/>
      <c r="F109" s="355"/>
      <c r="G109" s="355"/>
    </row>
    <row r="110" spans="1:7">
      <c r="A110" s="355"/>
      <c r="D110" s="355"/>
      <c r="E110" s="355"/>
      <c r="F110" s="355"/>
      <c r="G110" s="355"/>
    </row>
    <row r="111" spans="1:7">
      <c r="A111" s="355"/>
      <c r="D111" s="355"/>
      <c r="E111" s="355"/>
      <c r="F111" s="355"/>
      <c r="G111" s="355"/>
    </row>
    <row r="112" spans="1:7">
      <c r="A112" s="355"/>
      <c r="D112" s="355"/>
      <c r="E112" s="355"/>
      <c r="F112" s="355"/>
      <c r="G112" s="355"/>
    </row>
    <row r="113" spans="1:7">
      <c r="A113" s="355"/>
      <c r="D113" s="355"/>
      <c r="E113" s="355"/>
      <c r="F113" s="355"/>
      <c r="G113" s="355"/>
    </row>
    <row r="114" spans="1:7">
      <c r="A114" s="355"/>
      <c r="D114" s="355"/>
      <c r="E114" s="355"/>
      <c r="F114" s="355"/>
      <c r="G114" s="355"/>
    </row>
    <row r="115" spans="1:7">
      <c r="A115" s="355"/>
      <c r="D115" s="355"/>
      <c r="E115" s="355"/>
      <c r="F115" s="355"/>
      <c r="G115" s="355"/>
    </row>
    <row r="116" spans="1:7">
      <c r="A116" s="355"/>
      <c r="D116" s="355"/>
      <c r="E116" s="355"/>
      <c r="F116" s="355"/>
      <c r="G116" s="355"/>
    </row>
    <row r="117" spans="1:7">
      <c r="A117" s="355"/>
      <c r="D117" s="355"/>
      <c r="E117" s="355"/>
      <c r="F117" s="355"/>
      <c r="G117" s="355"/>
    </row>
    <row r="118" spans="1:7">
      <c r="A118" s="355"/>
      <c r="D118" s="355"/>
      <c r="E118" s="355"/>
      <c r="F118" s="355"/>
      <c r="G118" s="355"/>
    </row>
    <row r="119" spans="1:7">
      <c r="A119" s="355"/>
      <c r="D119" s="355"/>
      <c r="E119" s="355"/>
      <c r="F119" s="355"/>
      <c r="G119" s="355"/>
    </row>
    <row r="120" spans="1:7">
      <c r="A120" s="355"/>
      <c r="D120" s="355"/>
      <c r="E120" s="355"/>
      <c r="F120" s="355"/>
      <c r="G120" s="355"/>
    </row>
    <row r="121" spans="1:7">
      <c r="A121" s="355"/>
      <c r="D121" s="355"/>
      <c r="E121" s="355"/>
      <c r="F121" s="355"/>
      <c r="G121" s="355"/>
    </row>
    <row r="122" spans="1:7">
      <c r="A122" s="355"/>
      <c r="D122" s="355"/>
      <c r="E122" s="355"/>
      <c r="F122" s="355"/>
      <c r="G122" s="355"/>
    </row>
    <row r="123" spans="1:7">
      <c r="A123" s="355"/>
      <c r="D123" s="355"/>
      <c r="E123" s="355"/>
      <c r="F123" s="355"/>
      <c r="G123" s="355"/>
    </row>
    <row r="124" spans="1:7">
      <c r="A124" s="355"/>
      <c r="D124" s="355"/>
      <c r="E124" s="355"/>
      <c r="F124" s="355"/>
      <c r="G124" s="355"/>
    </row>
    <row r="125" spans="1:7">
      <c r="A125" s="355"/>
      <c r="D125" s="355"/>
      <c r="E125" s="355"/>
      <c r="F125" s="355"/>
      <c r="G125" s="355"/>
    </row>
    <row r="126" spans="1:7">
      <c r="A126" s="355"/>
      <c r="D126" s="355"/>
      <c r="E126" s="355"/>
      <c r="F126" s="355"/>
      <c r="G126" s="355"/>
    </row>
    <row r="127" spans="1:7">
      <c r="A127" s="355"/>
      <c r="D127" s="355"/>
      <c r="E127" s="355"/>
      <c r="F127" s="355"/>
      <c r="G127" s="355"/>
    </row>
    <row r="128" spans="1:7">
      <c r="A128" s="355"/>
      <c r="D128" s="355"/>
      <c r="E128" s="355"/>
      <c r="F128" s="355"/>
      <c r="G128" s="355"/>
    </row>
    <row r="129" spans="1:7">
      <c r="A129" s="355"/>
      <c r="D129" s="355"/>
      <c r="E129" s="355"/>
      <c r="F129" s="355"/>
      <c r="G129" s="355"/>
    </row>
  </sheetData>
  <sheetProtection algorithmName="SHA-512" hashValue="BU7RknMdLwV3DBmYnSKNm7CtAnon07O+mWMjXF3fQjfqSNVit87EckhH754cncwD96K/S2YcoI7460paAXS8gg==" saltValue="zb6yIfrN2nZuau6qpvQj1Q==" spinCount="100000" sheet="1" autoFilter="0"/>
  <mergeCells count="5">
    <mergeCell ref="A2:C2"/>
    <mergeCell ref="D2:E2"/>
    <mergeCell ref="F1:G1"/>
    <mergeCell ref="F2:G2"/>
    <mergeCell ref="D1:E1"/>
  </mergeCells>
  <phoneticPr fontId="0" type="noConversion"/>
  <hyperlinks>
    <hyperlink ref="N1" location="Deckblatt!A1" display="Hinweise"/>
  </hyperlinks>
  <pageMargins left="0.59055118110236227" right="0.59055118110236227" top="0.59055118110236227" bottom="0.59055118110236227" header="0.51181102362204722" footer="0.39370078740157483"/>
  <pageSetup paperSize="9" scale="89" fitToHeight="0" orientation="portrait" r:id="rId1"/>
  <headerFooter alignWithMargins="0">
    <oddFooter>&amp;L&amp;"Arial,Fett Kursiv"&amp;12LEL&amp;"Arial,Standard"&amp;10 Schwäbisch Gmünd, Ref. 31&amp;C03.07.2023&amp;R&amp;"Arial,Fett"&amp;P</oddFooter>
  </headerFooter>
  <rowBreaks count="1" manualBreakCount="1">
    <brk id="49"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18828" r:id="rId4" name="Drop Down 44">
              <controlPr defaultSize="0" print="0" autoLine="0" autoPict="0">
                <anchor moveWithCells="1">
                  <from>
                    <xdr:col>2</xdr:col>
                    <xdr:colOff>276225</xdr:colOff>
                    <xdr:row>1</xdr:row>
                    <xdr:rowOff>19050</xdr:rowOff>
                  </from>
                  <to>
                    <xdr:col>5</xdr:col>
                    <xdr:colOff>9525</xdr:colOff>
                    <xdr:row>2</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CM129"/>
  <sheetViews>
    <sheetView zoomScaleNormal="100" workbookViewId="0">
      <pane xSplit="5" ySplit="4" topLeftCell="S17"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bestFit="1" customWidth="1"/>
    <col min="2" max="2" width="39" style="58" customWidth="1"/>
    <col min="3" max="3" width="6.85546875" style="198" customWidth="1"/>
    <col min="4" max="4" width="12.5703125" bestFit="1" customWidth="1"/>
    <col min="5" max="5" width="8.7109375" style="68" customWidth="1"/>
    <col min="6" max="89" width="11.42578125" style="126" customWidth="1"/>
    <col min="90" max="90" width="17.85546875" style="126" bestFit="1" customWidth="1"/>
  </cols>
  <sheetData>
    <row r="1" spans="1:91" ht="13.5" thickBot="1">
      <c r="B1" s="70" t="s">
        <v>187</v>
      </c>
      <c r="E1" s="69"/>
    </row>
    <row r="2" spans="1:91">
      <c r="B2" s="81"/>
      <c r="C2" s="199"/>
      <c r="D2" s="83"/>
      <c r="E2" s="283"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7"/>
      <c r="E3" s="86"/>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7"/>
      <c r="E4" s="86"/>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7"/>
      <c r="E5" s="267"/>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8"/>
      <c r="E6" s="269"/>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2001</v>
      </c>
      <c r="D7" s="254" t="s">
        <v>1</v>
      </c>
      <c r="E7" s="269"/>
      <c r="F7" s="116">
        <v>1055761</v>
      </c>
      <c r="G7" s="137">
        <v>691916</v>
      </c>
      <c r="H7" s="137">
        <v>934679</v>
      </c>
      <c r="I7" s="138">
        <v>891777</v>
      </c>
      <c r="J7" s="141"/>
      <c r="K7" s="116">
        <f t="shared" ref="K7:K20" si="0">BF7</f>
        <v>151157</v>
      </c>
      <c r="L7" s="137">
        <f t="shared" ref="L7:L20" si="1">AY7</f>
        <v>85814</v>
      </c>
      <c r="M7" s="137">
        <f t="shared" ref="M7:M20" si="2">BD7</f>
        <v>130443</v>
      </c>
      <c r="N7" s="137">
        <f t="shared" ref="N7:N20" si="3">AW7</f>
        <v>64233</v>
      </c>
      <c r="O7" s="137">
        <f t="shared" ref="O7:O20" si="4">BE7</f>
        <v>62713</v>
      </c>
      <c r="P7" s="137">
        <f>AZ7+BA7</f>
        <v>119979</v>
      </c>
      <c r="Q7" s="137">
        <f>'2001'!AU7</f>
        <v>61783</v>
      </c>
      <c r="R7" s="137">
        <f t="shared" ref="R7:R13" si="5">AT7+AX7</f>
        <v>89417</v>
      </c>
      <c r="S7" s="137">
        <f t="shared" ref="S7:S20" si="6">AV7</f>
        <v>64144</v>
      </c>
      <c r="T7" s="137">
        <f t="shared" ref="T7:T20" si="7">BB7</f>
        <v>77676</v>
      </c>
      <c r="U7" s="139">
        <f t="shared" ref="U7:U20" si="8">BC7</f>
        <v>148403</v>
      </c>
      <c r="V7" s="137">
        <f t="shared" ref="V7:V13" si="9">BG7+BJ7</f>
        <v>87901</v>
      </c>
      <c r="W7" s="137">
        <f t="shared" ref="W7:W20" si="10">BR7</f>
        <v>87065</v>
      </c>
      <c r="X7" s="137">
        <f t="shared" ref="X7:X13" si="11">BH7+BI7</f>
        <v>125842</v>
      </c>
      <c r="Y7" s="137">
        <f t="shared" ref="Y7:Y13" si="12">BK7+BL7+BN7</f>
        <v>131550</v>
      </c>
      <c r="Z7" s="137">
        <f t="shared" ref="Z7:Z20" si="13">BM7</f>
        <v>112632</v>
      </c>
      <c r="AA7" s="137">
        <f t="shared" ref="AA7:AA13" si="14">BO7+BQ7</f>
        <v>67172</v>
      </c>
      <c r="AB7" s="139">
        <f t="shared" ref="AB7:AB20" si="15">BP7</f>
        <v>79753</v>
      </c>
      <c r="AC7" s="137">
        <f t="shared" ref="AC7:AC20" si="16">BX7</f>
        <v>102524</v>
      </c>
      <c r="AD7" s="137">
        <f t="shared" ref="AD7:AD20" si="17">BU7</f>
        <v>67990</v>
      </c>
      <c r="AE7" s="137">
        <f t="shared" ref="AE7:AE13" si="18">BS7+BT7</f>
        <v>153140</v>
      </c>
      <c r="AF7" s="137">
        <f t="shared" ref="AF7:AF20" si="19">CA7</f>
        <v>80681</v>
      </c>
      <c r="AG7" s="137">
        <f t="shared" ref="AG7:AG20" si="20">BV7</f>
        <v>186071</v>
      </c>
      <c r="AH7" s="137">
        <f t="shared" ref="AH7:AH20" si="21">BZ7</f>
        <v>81776</v>
      </c>
      <c r="AI7" s="137">
        <f t="shared" ref="AI7:AI20" si="22">BW7</f>
        <v>76943</v>
      </c>
      <c r="AJ7" s="137">
        <f t="shared" ref="AJ7:AJ20" si="23">BY7</f>
        <v>73435</v>
      </c>
      <c r="AK7" s="139">
        <f t="shared" ref="AK7:AK20" si="24">CB7</f>
        <v>113117</v>
      </c>
      <c r="AL7" s="137">
        <f t="shared" ref="AL7:AL20" si="25">CE7</f>
        <v>91773</v>
      </c>
      <c r="AM7" s="137">
        <f t="shared" ref="AM7:AM20" si="26">CH7</f>
        <v>140984</v>
      </c>
      <c r="AN7" s="137">
        <f t="shared" ref="AN7:AN20" si="27">CJ7</f>
        <v>163181</v>
      </c>
      <c r="AO7" s="137">
        <f t="shared" ref="AO7:AO20" si="28">CC7</f>
        <v>109410</v>
      </c>
      <c r="AP7" s="137">
        <f t="shared" ref="AP7:AP20" si="29">CD7</f>
        <v>51916</v>
      </c>
      <c r="AQ7" s="137">
        <f t="shared" ref="AQ7:AQ20" si="30">CK7</f>
        <v>120435</v>
      </c>
      <c r="AR7" s="137">
        <f t="shared" ref="AR7:AR20" si="31">CI7</f>
        <v>66478</v>
      </c>
      <c r="AS7" s="138">
        <f t="shared" ref="AS7:AS13" si="32">CF7+CG7</f>
        <v>147601</v>
      </c>
      <c r="AT7" s="137">
        <v>20736</v>
      </c>
      <c r="AU7" s="137">
        <v>61783</v>
      </c>
      <c r="AV7" s="137">
        <v>64144</v>
      </c>
      <c r="AW7" s="141">
        <f>27816+36417</f>
        <v>64233</v>
      </c>
      <c r="AX7" s="137">
        <v>68681</v>
      </c>
      <c r="AY7" s="137">
        <f>34478+30982+20354</f>
        <v>85814</v>
      </c>
      <c r="AZ7" s="126">
        <v>9988</v>
      </c>
      <c r="BA7" s="137">
        <f>82825+37154-AZ7</f>
        <v>109991</v>
      </c>
      <c r="BB7" s="137">
        <v>77676</v>
      </c>
      <c r="BC7" s="137">
        <f>74662+73741</f>
        <v>148403</v>
      </c>
      <c r="BD7" s="137">
        <f>64794+48308+17341</f>
        <v>130443</v>
      </c>
      <c r="BE7" s="137">
        <v>62713</v>
      </c>
      <c r="BF7" s="139">
        <f>63287+45635+42235</f>
        <v>151157</v>
      </c>
      <c r="BG7" s="137">
        <v>14018</v>
      </c>
      <c r="BH7" s="137">
        <v>17346</v>
      </c>
      <c r="BI7" s="137">
        <v>108496</v>
      </c>
      <c r="BJ7" s="137">
        <v>73883</v>
      </c>
      <c r="BK7" s="137">
        <v>10883</v>
      </c>
      <c r="BL7" s="137">
        <v>14496</v>
      </c>
      <c r="BM7" s="137">
        <f>68589+37124+6919</f>
        <v>112632</v>
      </c>
      <c r="BN7" s="137">
        <v>106171</v>
      </c>
      <c r="BO7" s="137">
        <v>9784</v>
      </c>
      <c r="BP7" s="137">
        <f>22323+28971+28459</f>
        <v>79753</v>
      </c>
      <c r="BQ7" s="137">
        <f>16704+50468-BO7</f>
        <v>57388</v>
      </c>
      <c r="BR7" s="139">
        <f>69974+17091</f>
        <v>87065</v>
      </c>
      <c r="BS7" s="137">
        <v>15306</v>
      </c>
      <c r="BT7" s="137">
        <f>21053+12938+53676+19561+45912-BS7</f>
        <v>137834</v>
      </c>
      <c r="BU7" s="137">
        <v>67990</v>
      </c>
      <c r="BV7" s="137">
        <v>186071</v>
      </c>
      <c r="BW7" s="137">
        <f>49665+27278</f>
        <v>76943</v>
      </c>
      <c r="BX7" s="137">
        <f>32395+70129</f>
        <v>102524</v>
      </c>
      <c r="BY7" s="137">
        <v>73435</v>
      </c>
      <c r="BZ7" s="137">
        <v>81776</v>
      </c>
      <c r="CA7" s="137">
        <f>27032+10024+38187+5438</f>
        <v>80681</v>
      </c>
      <c r="CB7" s="139">
        <f>22805+90312</f>
        <v>113117</v>
      </c>
      <c r="CC7" s="137">
        <v>109410</v>
      </c>
      <c r="CD7" s="137">
        <f>19876+32040</f>
        <v>51916</v>
      </c>
      <c r="CE7" s="137">
        <f>33136+24015+34622</f>
        <v>91773</v>
      </c>
      <c r="CF7" s="137">
        <v>11869</v>
      </c>
      <c r="CG7" s="137">
        <f>35219+38044+74338-CF7</f>
        <v>135732</v>
      </c>
      <c r="CH7" s="137">
        <f>79647+20275+41062</f>
        <v>140984</v>
      </c>
      <c r="CI7" s="137">
        <f>39775+26703</f>
        <v>66478</v>
      </c>
      <c r="CJ7" s="137">
        <v>163181</v>
      </c>
      <c r="CK7" s="138">
        <v>120435</v>
      </c>
      <c r="CL7" s="140">
        <v>3575130</v>
      </c>
      <c r="CM7" s="49"/>
    </row>
    <row r="8" spans="1:91" ht="14.25">
      <c r="A8" s="80">
        <f>ROWS($A$3:A6)</f>
        <v>4</v>
      </c>
      <c r="B8" s="92" t="s">
        <v>242</v>
      </c>
      <c r="C8" s="203"/>
      <c r="D8" s="254" t="s">
        <v>1</v>
      </c>
      <c r="E8" s="269"/>
      <c r="F8" s="116">
        <v>160537</v>
      </c>
      <c r="G8" s="137">
        <v>105362</v>
      </c>
      <c r="H8" s="137">
        <v>105193</v>
      </c>
      <c r="I8" s="138">
        <v>100733</v>
      </c>
      <c r="J8" s="141"/>
      <c r="K8" s="116">
        <f t="shared" si="0"/>
        <v>17238</v>
      </c>
      <c r="L8" s="137">
        <f t="shared" si="1"/>
        <v>13993</v>
      </c>
      <c r="M8" s="137">
        <f t="shared" si="2"/>
        <v>13298</v>
      </c>
      <c r="N8" s="137">
        <f t="shared" si="3"/>
        <v>10047</v>
      </c>
      <c r="O8" s="137">
        <f t="shared" si="4"/>
        <v>7235</v>
      </c>
      <c r="P8" s="137">
        <f t="shared" ref="P8:P20" si="33">AZ8+BA8</f>
        <v>20383</v>
      </c>
      <c r="Q8" s="137">
        <f>'2001'!AU8</f>
        <v>12830</v>
      </c>
      <c r="R8" s="137">
        <f t="shared" si="5"/>
        <v>25751</v>
      </c>
      <c r="S8" s="137">
        <f t="shared" si="6"/>
        <v>14827</v>
      </c>
      <c r="T8" s="137">
        <f t="shared" si="7"/>
        <v>9362</v>
      </c>
      <c r="U8" s="139">
        <f t="shared" si="8"/>
        <v>15573</v>
      </c>
      <c r="V8" s="137">
        <f t="shared" si="9"/>
        <v>11848</v>
      </c>
      <c r="W8" s="137">
        <f t="shared" si="10"/>
        <v>7996</v>
      </c>
      <c r="X8" s="137">
        <f t="shared" si="11"/>
        <v>25124</v>
      </c>
      <c r="Y8" s="137">
        <f t="shared" si="12"/>
        <v>30163</v>
      </c>
      <c r="Z8" s="137">
        <f t="shared" si="13"/>
        <v>11144</v>
      </c>
      <c r="AA8" s="137">
        <f t="shared" si="14"/>
        <v>10988</v>
      </c>
      <c r="AB8" s="139">
        <f t="shared" si="15"/>
        <v>8099</v>
      </c>
      <c r="AC8" s="137">
        <f t="shared" si="16"/>
        <v>11021</v>
      </c>
      <c r="AD8" s="137">
        <f t="shared" si="17"/>
        <v>6816</v>
      </c>
      <c r="AE8" s="137">
        <f t="shared" si="18"/>
        <v>18245</v>
      </c>
      <c r="AF8" s="137">
        <f t="shared" si="19"/>
        <v>9450</v>
      </c>
      <c r="AG8" s="137">
        <f t="shared" si="20"/>
        <v>20098</v>
      </c>
      <c r="AH8" s="137">
        <f t="shared" si="21"/>
        <v>11666</v>
      </c>
      <c r="AI8" s="137">
        <f t="shared" si="22"/>
        <v>9140</v>
      </c>
      <c r="AJ8" s="137">
        <f t="shared" si="23"/>
        <v>7937</v>
      </c>
      <c r="AK8" s="139">
        <f t="shared" si="24"/>
        <v>10827</v>
      </c>
      <c r="AL8" s="137">
        <f t="shared" si="25"/>
        <v>11569</v>
      </c>
      <c r="AM8" s="137">
        <f t="shared" si="26"/>
        <v>14713</v>
      </c>
      <c r="AN8" s="137">
        <f t="shared" si="27"/>
        <v>15433</v>
      </c>
      <c r="AO8" s="137">
        <f t="shared" si="28"/>
        <v>12776</v>
      </c>
      <c r="AP8" s="137">
        <f t="shared" si="29"/>
        <v>8684</v>
      </c>
      <c r="AQ8" s="137">
        <f t="shared" si="30"/>
        <v>11056</v>
      </c>
      <c r="AR8" s="137">
        <f t="shared" si="31"/>
        <v>8926</v>
      </c>
      <c r="AS8" s="138">
        <f t="shared" si="32"/>
        <v>17576</v>
      </c>
      <c r="AT8" s="137">
        <v>10340</v>
      </c>
      <c r="AU8" s="137">
        <v>12830</v>
      </c>
      <c r="AV8" s="137">
        <v>14827</v>
      </c>
      <c r="AW8" s="141">
        <v>10047</v>
      </c>
      <c r="AX8" s="137">
        <v>15411</v>
      </c>
      <c r="AY8" s="137">
        <v>13993</v>
      </c>
      <c r="AZ8" s="126">
        <v>3440</v>
      </c>
      <c r="BA8" s="137">
        <f>14993+5390-AZ8</f>
        <v>16943</v>
      </c>
      <c r="BB8" s="137">
        <f>5449+3913</f>
        <v>9362</v>
      </c>
      <c r="BC8" s="137">
        <f>7969+7604</f>
        <v>15573</v>
      </c>
      <c r="BD8" s="137">
        <f>6282+4904+2112</f>
        <v>13298</v>
      </c>
      <c r="BE8" s="137">
        <v>7235</v>
      </c>
      <c r="BF8" s="139">
        <v>17238</v>
      </c>
      <c r="BG8" s="137">
        <v>1999</v>
      </c>
      <c r="BH8" s="137">
        <v>7632</v>
      </c>
      <c r="BI8" s="137">
        <v>17492</v>
      </c>
      <c r="BJ8" s="137">
        <f>2703+3241+2112+3792-BG8</f>
        <v>9849</v>
      </c>
      <c r="BK8" s="137">
        <v>3164</v>
      </c>
      <c r="BL8" s="137">
        <v>7967</v>
      </c>
      <c r="BM8" s="137">
        <v>11144</v>
      </c>
      <c r="BN8" s="137">
        <v>19032</v>
      </c>
      <c r="BO8" s="137">
        <v>2713</v>
      </c>
      <c r="BP8" s="137">
        <f>1353+3317+3429</f>
        <v>8099</v>
      </c>
      <c r="BQ8" s="137">
        <v>8275</v>
      </c>
      <c r="BR8" s="139">
        <v>7996</v>
      </c>
      <c r="BS8" s="137">
        <v>4695</v>
      </c>
      <c r="BT8" s="137">
        <f>2179+1953+8088+3180+2845-BS8</f>
        <v>13550</v>
      </c>
      <c r="BU8" s="137">
        <v>6816</v>
      </c>
      <c r="BV8" s="137">
        <v>20098</v>
      </c>
      <c r="BW8" s="137">
        <f>6625+2515</f>
        <v>9140</v>
      </c>
      <c r="BX8" s="137">
        <v>11021</v>
      </c>
      <c r="BY8" s="137">
        <v>7937</v>
      </c>
      <c r="BZ8" s="137">
        <f>2305+2210+1737+5414</f>
        <v>11666</v>
      </c>
      <c r="CA8" s="137">
        <v>9450</v>
      </c>
      <c r="CB8" s="139">
        <v>10827</v>
      </c>
      <c r="CC8" s="137">
        <v>12776</v>
      </c>
      <c r="CD8" s="137">
        <f>2742+5942</f>
        <v>8684</v>
      </c>
      <c r="CE8" s="137">
        <f>4046+3532+3991</f>
        <v>11569</v>
      </c>
      <c r="CF8" s="137">
        <v>3531</v>
      </c>
      <c r="CG8" s="137">
        <f>3522+3853+10201-CF8</f>
        <v>14045</v>
      </c>
      <c r="CH8" s="137">
        <f>8492+2800+3421</f>
        <v>14713</v>
      </c>
      <c r="CI8" s="137">
        <f>3096+5830</f>
        <v>8926</v>
      </c>
      <c r="CJ8" s="137">
        <v>15433</v>
      </c>
      <c r="CK8" s="138">
        <v>11056</v>
      </c>
      <c r="CL8" s="140">
        <v>471832</v>
      </c>
      <c r="CM8" s="49"/>
    </row>
    <row r="9" spans="1:91">
      <c r="A9" s="80">
        <f>ROWS($A$3:A7)</f>
        <v>5</v>
      </c>
      <c r="B9" s="92" t="s">
        <v>0</v>
      </c>
      <c r="C9" s="203"/>
      <c r="D9" s="254" t="s">
        <v>1</v>
      </c>
      <c r="E9" s="269"/>
      <c r="F9" s="116">
        <v>545782</v>
      </c>
      <c r="G9" s="137">
        <v>261054</v>
      </c>
      <c r="H9" s="137">
        <v>381529</v>
      </c>
      <c r="I9" s="138">
        <v>486340</v>
      </c>
      <c r="J9" s="141"/>
      <c r="K9" s="116">
        <f t="shared" si="0"/>
        <v>73456</v>
      </c>
      <c r="L9" s="137">
        <f t="shared" si="1"/>
        <v>37405</v>
      </c>
      <c r="M9" s="137">
        <f t="shared" si="2"/>
        <v>75960</v>
      </c>
      <c r="N9" s="137">
        <f t="shared" si="3"/>
        <v>32904</v>
      </c>
      <c r="O9" s="137">
        <f t="shared" si="4"/>
        <v>27807</v>
      </c>
      <c r="P9" s="137">
        <f t="shared" si="33"/>
        <v>68054</v>
      </c>
      <c r="Q9" s="137">
        <f>'2001'!AU9</f>
        <v>26697</v>
      </c>
      <c r="R9" s="137">
        <f t="shared" si="5"/>
        <v>44193</v>
      </c>
      <c r="S9" s="137">
        <f t="shared" si="6"/>
        <v>29641</v>
      </c>
      <c r="T9" s="137">
        <f t="shared" si="7"/>
        <v>45263</v>
      </c>
      <c r="U9" s="139">
        <f t="shared" si="8"/>
        <v>84402</v>
      </c>
      <c r="V9" s="137">
        <f t="shared" si="9"/>
        <v>26854</v>
      </c>
      <c r="W9" s="137">
        <f t="shared" si="10"/>
        <v>23509</v>
      </c>
      <c r="X9" s="137">
        <f t="shared" si="11"/>
        <v>55440</v>
      </c>
      <c r="Y9" s="137">
        <f t="shared" si="12"/>
        <v>53219</v>
      </c>
      <c r="Z9" s="137">
        <f t="shared" si="13"/>
        <v>52584</v>
      </c>
      <c r="AA9" s="137">
        <f t="shared" si="14"/>
        <v>28109</v>
      </c>
      <c r="AB9" s="139">
        <f t="shared" si="15"/>
        <v>21338</v>
      </c>
      <c r="AC9" s="137">
        <f t="shared" si="16"/>
        <v>43556</v>
      </c>
      <c r="AD9" s="137">
        <f t="shared" si="17"/>
        <v>28295</v>
      </c>
      <c r="AE9" s="137">
        <f t="shared" si="18"/>
        <v>59718</v>
      </c>
      <c r="AF9" s="137">
        <f t="shared" si="19"/>
        <v>28633</v>
      </c>
      <c r="AG9" s="137">
        <f t="shared" si="20"/>
        <v>73177</v>
      </c>
      <c r="AH9" s="137">
        <f t="shared" si="21"/>
        <v>41374</v>
      </c>
      <c r="AI9" s="137">
        <f t="shared" si="22"/>
        <v>34049</v>
      </c>
      <c r="AJ9" s="137">
        <f t="shared" si="23"/>
        <v>27886</v>
      </c>
      <c r="AK9" s="139">
        <f t="shared" si="24"/>
        <v>45055</v>
      </c>
      <c r="AL9" s="137">
        <f t="shared" si="25"/>
        <v>41384</v>
      </c>
      <c r="AM9" s="137">
        <f t="shared" si="26"/>
        <v>84182</v>
      </c>
      <c r="AN9" s="137">
        <f t="shared" si="27"/>
        <v>98273</v>
      </c>
      <c r="AO9" s="137">
        <f t="shared" si="28"/>
        <v>55543</v>
      </c>
      <c r="AP9" s="137">
        <f t="shared" si="29"/>
        <v>24499</v>
      </c>
      <c r="AQ9" s="137">
        <f t="shared" si="30"/>
        <v>59625</v>
      </c>
      <c r="AR9" s="137">
        <f t="shared" si="31"/>
        <v>37837</v>
      </c>
      <c r="AS9" s="138">
        <f t="shared" si="32"/>
        <v>84999</v>
      </c>
      <c r="AT9" s="137">
        <v>5039</v>
      </c>
      <c r="AU9" s="137">
        <f>10161+8886+7650</f>
        <v>26697</v>
      </c>
      <c r="AV9" s="137">
        <v>29641</v>
      </c>
      <c r="AW9" s="141">
        <v>32904</v>
      </c>
      <c r="AX9" s="137">
        <v>39154</v>
      </c>
      <c r="AY9" s="137">
        <v>37405</v>
      </c>
      <c r="AZ9" s="126">
        <v>4887</v>
      </c>
      <c r="BA9" s="137">
        <f>46856+21198-AZ9</f>
        <v>63167</v>
      </c>
      <c r="BB9" s="137">
        <f>29382+15881</f>
        <v>45263</v>
      </c>
      <c r="BC9" s="137">
        <f>47415+36987</f>
        <v>84402</v>
      </c>
      <c r="BD9" s="137">
        <f>39743+28442+7775</f>
        <v>75960</v>
      </c>
      <c r="BE9" s="137">
        <v>27807</v>
      </c>
      <c r="BF9" s="139">
        <f>29753+23157+20546</f>
        <v>73456</v>
      </c>
      <c r="BG9" s="137">
        <v>3182</v>
      </c>
      <c r="BH9" s="137">
        <v>4288</v>
      </c>
      <c r="BI9" s="137">
        <f>9453+22157+6329+17501-BH9</f>
        <v>51152</v>
      </c>
      <c r="BJ9" s="137">
        <f>5305+9037+3747+8765-BG9</f>
        <v>23672</v>
      </c>
      <c r="BK9" s="137">
        <v>3002</v>
      </c>
      <c r="BL9" s="137">
        <v>3676</v>
      </c>
      <c r="BM9" s="137">
        <v>52584</v>
      </c>
      <c r="BN9" s="137">
        <v>46541</v>
      </c>
      <c r="BO9" s="137">
        <v>1824</v>
      </c>
      <c r="BP9" s="137">
        <f>1989+8720+10629</f>
        <v>21338</v>
      </c>
      <c r="BQ9" s="137">
        <f>7626+20483-BO9</f>
        <v>26285</v>
      </c>
      <c r="BR9" s="139">
        <f>14137+9372</f>
        <v>23509</v>
      </c>
      <c r="BS9" s="137">
        <v>3795</v>
      </c>
      <c r="BT9" s="137">
        <v>55923</v>
      </c>
      <c r="BU9" s="137">
        <f>20975+7320</f>
        <v>28295</v>
      </c>
      <c r="BV9" s="137">
        <v>73177</v>
      </c>
      <c r="BW9" s="137">
        <v>34049</v>
      </c>
      <c r="BX9" s="137">
        <f>16391+27165</f>
        <v>43556</v>
      </c>
      <c r="BY9" s="137">
        <v>27886</v>
      </c>
      <c r="BZ9" s="137">
        <f>3366+5381+19593+13034</f>
        <v>41374</v>
      </c>
      <c r="CA9" s="137">
        <f>10637+3572+11554+2870</f>
        <v>28633</v>
      </c>
      <c r="CB9" s="139">
        <f>7691+37364</f>
        <v>45055</v>
      </c>
      <c r="CC9" s="137">
        <v>55543</v>
      </c>
      <c r="CD9" s="137">
        <v>24499</v>
      </c>
      <c r="CE9" s="137">
        <v>41384</v>
      </c>
      <c r="CF9" s="137">
        <v>5537</v>
      </c>
      <c r="CG9" s="137">
        <f>19442+22773+42784-CF9</f>
        <v>79462</v>
      </c>
      <c r="CH9" s="137">
        <f>47507+11836+24839</f>
        <v>84182</v>
      </c>
      <c r="CI9" s="137">
        <f>23125+14712</f>
        <v>37837</v>
      </c>
      <c r="CJ9" s="137">
        <v>98273</v>
      </c>
      <c r="CK9" s="138">
        <v>59625</v>
      </c>
      <c r="CL9" s="140">
        <v>1674917</v>
      </c>
      <c r="CM9" s="49"/>
    </row>
    <row r="10" spans="1:91">
      <c r="A10" s="80">
        <f>ROWS($A$3:A8)</f>
        <v>6</v>
      </c>
      <c r="B10" s="92" t="s">
        <v>202</v>
      </c>
      <c r="C10" s="203"/>
      <c r="D10" s="254" t="s">
        <v>1</v>
      </c>
      <c r="E10" s="269"/>
      <c r="F10" s="116">
        <v>332296</v>
      </c>
      <c r="G10" s="137">
        <v>309281</v>
      </c>
      <c r="H10" s="137">
        <v>428909</v>
      </c>
      <c r="I10" s="138">
        <v>287430</v>
      </c>
      <c r="J10" s="141"/>
      <c r="K10" s="116">
        <f t="shared" si="0"/>
        <v>58551</v>
      </c>
      <c r="L10" s="137">
        <f t="shared" si="1"/>
        <v>33517</v>
      </c>
      <c r="M10" s="137">
        <f t="shared" si="2"/>
        <v>38236</v>
      </c>
      <c r="N10" s="137">
        <f t="shared" si="3"/>
        <v>20508</v>
      </c>
      <c r="O10" s="137">
        <f t="shared" si="4"/>
        <v>27019</v>
      </c>
      <c r="P10" s="137">
        <f t="shared" si="33"/>
        <v>29293</v>
      </c>
      <c r="Q10" s="137">
        <f>'2001'!AU10</f>
        <v>21335</v>
      </c>
      <c r="R10" s="137">
        <f t="shared" si="5"/>
        <v>17336</v>
      </c>
      <c r="S10" s="137">
        <f t="shared" si="6"/>
        <v>18598</v>
      </c>
      <c r="T10" s="137">
        <f t="shared" si="7"/>
        <v>21630</v>
      </c>
      <c r="U10" s="139">
        <f t="shared" si="8"/>
        <v>46271</v>
      </c>
      <c r="V10" s="137">
        <f t="shared" si="9"/>
        <v>45907</v>
      </c>
      <c r="W10" s="137">
        <f t="shared" si="10"/>
        <v>54438</v>
      </c>
      <c r="X10" s="137">
        <f t="shared" si="11"/>
        <v>41125</v>
      </c>
      <c r="Y10" s="137">
        <f t="shared" si="12"/>
        <v>44204</v>
      </c>
      <c r="Z10" s="137">
        <f t="shared" si="13"/>
        <v>47249</v>
      </c>
      <c r="AA10" s="137">
        <f t="shared" si="14"/>
        <v>27083</v>
      </c>
      <c r="AB10" s="139">
        <f t="shared" si="15"/>
        <v>49274</v>
      </c>
      <c r="AC10" s="137">
        <f t="shared" si="16"/>
        <v>46796</v>
      </c>
      <c r="AD10" s="137">
        <f t="shared" si="17"/>
        <v>30993</v>
      </c>
      <c r="AE10" s="137">
        <f t="shared" si="18"/>
        <v>71545</v>
      </c>
      <c r="AF10" s="137">
        <f t="shared" si="19"/>
        <v>41299</v>
      </c>
      <c r="AG10" s="137">
        <f t="shared" si="20"/>
        <v>87300</v>
      </c>
      <c r="AH10" s="137">
        <f t="shared" si="21"/>
        <v>27024</v>
      </c>
      <c r="AI10" s="137">
        <f t="shared" si="22"/>
        <v>32618</v>
      </c>
      <c r="AJ10" s="137">
        <f t="shared" si="23"/>
        <v>36455</v>
      </c>
      <c r="AK10" s="139">
        <f t="shared" si="24"/>
        <v>55396</v>
      </c>
      <c r="AL10" s="137">
        <f t="shared" si="25"/>
        <v>37074</v>
      </c>
      <c r="AM10" s="137">
        <f t="shared" si="26"/>
        <v>39635</v>
      </c>
      <c r="AN10" s="137">
        <f t="shared" si="27"/>
        <v>46528</v>
      </c>
      <c r="AO10" s="137">
        <f t="shared" si="28"/>
        <v>39793</v>
      </c>
      <c r="AP10" s="137">
        <f t="shared" si="29"/>
        <v>17878</v>
      </c>
      <c r="AQ10" s="137">
        <f t="shared" si="30"/>
        <v>45715</v>
      </c>
      <c r="AR10" s="137">
        <f t="shared" si="31"/>
        <v>18604</v>
      </c>
      <c r="AS10" s="138">
        <f t="shared" si="32"/>
        <v>42203</v>
      </c>
      <c r="AT10" s="141">
        <v>4949</v>
      </c>
      <c r="AU10" s="141">
        <f>13008+3525+4802</f>
        <v>21335</v>
      </c>
      <c r="AV10" s="141">
        <v>18598</v>
      </c>
      <c r="AW10" s="141">
        <f>9540+10968</f>
        <v>20508</v>
      </c>
      <c r="AX10" s="141">
        <v>12387</v>
      </c>
      <c r="AY10" s="137">
        <f>15053+14742+3722</f>
        <v>33517</v>
      </c>
      <c r="AZ10" s="126">
        <v>1390</v>
      </c>
      <c r="BA10" s="137">
        <f>19616+9677-AZ10</f>
        <v>27903</v>
      </c>
      <c r="BB10" s="137">
        <f>13283+8347</f>
        <v>21630</v>
      </c>
      <c r="BC10" s="137">
        <f>18218+28053</f>
        <v>46271</v>
      </c>
      <c r="BD10" s="137">
        <f>17520+13764+6952</f>
        <v>38236</v>
      </c>
      <c r="BE10" s="137">
        <v>27019</v>
      </c>
      <c r="BF10" s="139">
        <v>58551</v>
      </c>
      <c r="BG10" s="137">
        <v>8617</v>
      </c>
      <c r="BH10" s="137">
        <v>4517</v>
      </c>
      <c r="BI10" s="137">
        <v>36608</v>
      </c>
      <c r="BJ10" s="137">
        <f>9887+5756+24312+5952-BG10</f>
        <v>37290</v>
      </c>
      <c r="BK10" s="137">
        <v>4414</v>
      </c>
      <c r="BL10" s="137">
        <v>1846</v>
      </c>
      <c r="BM10" s="137">
        <f>28905+14713+3631</f>
        <v>47249</v>
      </c>
      <c r="BN10" s="137">
        <v>37944</v>
      </c>
      <c r="BO10" s="137">
        <v>5085</v>
      </c>
      <c r="BP10" s="137">
        <f>18850+16449+13975</f>
        <v>49274</v>
      </c>
      <c r="BQ10" s="137">
        <f>6196+20887-BO10</f>
        <v>21998</v>
      </c>
      <c r="BR10" s="139">
        <v>54438</v>
      </c>
      <c r="BS10" s="137">
        <v>6505</v>
      </c>
      <c r="BT10" s="137">
        <v>65040</v>
      </c>
      <c r="BU10" s="137">
        <f>12486+18507</f>
        <v>30993</v>
      </c>
      <c r="BV10" s="137">
        <v>87300</v>
      </c>
      <c r="BW10" s="137">
        <f>18515+14103</f>
        <v>32618</v>
      </c>
      <c r="BX10" s="137">
        <v>46796</v>
      </c>
      <c r="BY10" s="137">
        <v>36455</v>
      </c>
      <c r="BZ10" s="137">
        <f>8620+3350+3929+11125</f>
        <v>27024</v>
      </c>
      <c r="CA10" s="137">
        <v>41299</v>
      </c>
      <c r="CB10" s="139">
        <f>43746+11650</f>
        <v>55396</v>
      </c>
      <c r="CC10" s="137">
        <v>39793</v>
      </c>
      <c r="CD10" s="137">
        <f>5803+12075</f>
        <v>17878</v>
      </c>
      <c r="CE10" s="137">
        <f>14438+8579+14057</f>
        <v>37074</v>
      </c>
      <c r="CF10" s="137">
        <v>2247</v>
      </c>
      <c r="CG10" s="137">
        <v>39956</v>
      </c>
      <c r="CH10" s="137">
        <f>22460+5189+11986</f>
        <v>39635</v>
      </c>
      <c r="CI10" s="137">
        <f>8520+10084</f>
        <v>18604</v>
      </c>
      <c r="CJ10" s="137">
        <v>46528</v>
      </c>
      <c r="CK10" s="138">
        <v>45715</v>
      </c>
      <c r="CL10" s="140">
        <v>1358434</v>
      </c>
      <c r="CM10" s="49"/>
    </row>
    <row r="11" spans="1:91">
      <c r="A11" s="80">
        <f>ROWS($A$3:A9)</f>
        <v>7</v>
      </c>
      <c r="B11" s="92" t="s">
        <v>2</v>
      </c>
      <c r="C11" s="203"/>
      <c r="D11" s="254" t="s">
        <v>1</v>
      </c>
      <c r="E11" s="269"/>
      <c r="F11" s="116">
        <v>8411</v>
      </c>
      <c r="G11" s="137">
        <v>8863</v>
      </c>
      <c r="H11" s="137">
        <v>10770</v>
      </c>
      <c r="I11" s="138">
        <v>7491</v>
      </c>
      <c r="J11" s="141"/>
      <c r="K11" s="116">
        <f t="shared" si="0"/>
        <v>1055</v>
      </c>
      <c r="L11" s="137">
        <f t="shared" si="1"/>
        <v>497</v>
      </c>
      <c r="M11" s="137">
        <f t="shared" si="2"/>
        <v>1010</v>
      </c>
      <c r="N11" s="137">
        <f t="shared" si="3"/>
        <v>284</v>
      </c>
      <c r="O11" s="137">
        <f t="shared" si="4"/>
        <v>245</v>
      </c>
      <c r="P11" s="137">
        <f t="shared" si="33"/>
        <v>1366</v>
      </c>
      <c r="Q11" s="137">
        <f>'2001'!AU11</f>
        <v>240</v>
      </c>
      <c r="R11" s="137">
        <f t="shared" si="5"/>
        <v>1135</v>
      </c>
      <c r="S11" s="137">
        <f t="shared" si="6"/>
        <v>589</v>
      </c>
      <c r="T11" s="137">
        <f t="shared" si="7"/>
        <v>766</v>
      </c>
      <c r="U11" s="139">
        <f t="shared" si="8"/>
        <v>1185</v>
      </c>
      <c r="V11" s="137">
        <f t="shared" si="9"/>
        <v>1982</v>
      </c>
      <c r="W11" s="137">
        <f t="shared" si="10"/>
        <v>499</v>
      </c>
      <c r="X11" s="137">
        <f t="shared" si="11"/>
        <v>2416</v>
      </c>
      <c r="Y11" s="137">
        <f t="shared" si="12"/>
        <v>3547</v>
      </c>
      <c r="Z11" s="137">
        <f t="shared" si="13"/>
        <v>703</v>
      </c>
      <c r="AA11" s="137">
        <f t="shared" si="14"/>
        <v>381</v>
      </c>
      <c r="AB11" s="139">
        <f t="shared" si="15"/>
        <v>315</v>
      </c>
      <c r="AC11" s="137">
        <f t="shared" si="16"/>
        <v>630</v>
      </c>
      <c r="AD11" s="137">
        <f t="shared" si="17"/>
        <v>906</v>
      </c>
      <c r="AE11" s="137">
        <f t="shared" si="18"/>
        <v>2067</v>
      </c>
      <c r="AF11" s="137">
        <f t="shared" si="19"/>
        <v>904</v>
      </c>
      <c r="AG11" s="137">
        <f t="shared" si="20"/>
        <v>3200</v>
      </c>
      <c r="AH11" s="137">
        <f t="shared" si="21"/>
        <v>889</v>
      </c>
      <c r="AI11" s="137">
        <f t="shared" si="22"/>
        <v>423</v>
      </c>
      <c r="AJ11" s="137">
        <f t="shared" si="23"/>
        <v>339</v>
      </c>
      <c r="AK11" s="139">
        <f t="shared" si="24"/>
        <v>1413</v>
      </c>
      <c r="AL11" s="137">
        <f t="shared" si="25"/>
        <v>352</v>
      </c>
      <c r="AM11" s="137">
        <f t="shared" si="26"/>
        <v>1469</v>
      </c>
      <c r="AN11" s="137">
        <f t="shared" si="27"/>
        <v>1973</v>
      </c>
      <c r="AO11" s="137">
        <f t="shared" si="28"/>
        <v>188</v>
      </c>
      <c r="AP11" s="137">
        <f t="shared" si="29"/>
        <v>459</v>
      </c>
      <c r="AQ11" s="137">
        <f t="shared" si="30"/>
        <v>885</v>
      </c>
      <c r="AR11" s="137">
        <f t="shared" si="31"/>
        <v>688</v>
      </c>
      <c r="AS11" s="138">
        <f t="shared" si="32"/>
        <v>1174</v>
      </c>
      <c r="AT11" s="244">
        <v>270</v>
      </c>
      <c r="AU11" s="244">
        <f>139+35+66</f>
        <v>240</v>
      </c>
      <c r="AV11" s="244">
        <f>259+127+203</f>
        <v>589</v>
      </c>
      <c r="AW11" s="244">
        <f>62+222</f>
        <v>284</v>
      </c>
      <c r="AX11" s="244">
        <f>353+400+112</f>
        <v>865</v>
      </c>
      <c r="AY11" s="244">
        <f>180+197+120</f>
        <v>497</v>
      </c>
      <c r="AZ11" s="247">
        <v>218</v>
      </c>
      <c r="BA11" s="244">
        <f>851+515-AZ11</f>
        <v>1148</v>
      </c>
      <c r="BB11" s="244">
        <f>528+238</f>
        <v>766</v>
      </c>
      <c r="BC11" s="244">
        <f>595+590</f>
        <v>1185</v>
      </c>
      <c r="BD11" s="244">
        <f>313+316+381</f>
        <v>1010</v>
      </c>
      <c r="BE11" s="244">
        <v>245</v>
      </c>
      <c r="BF11" s="245">
        <f>322+494+239</f>
        <v>1055</v>
      </c>
      <c r="BG11" s="244">
        <v>81</v>
      </c>
      <c r="BH11" s="244">
        <v>662</v>
      </c>
      <c r="BI11" s="244">
        <f>63+908+74+1371-BH11</f>
        <v>1754</v>
      </c>
      <c r="BJ11" s="244">
        <f>266+591+254+871-BG11</f>
        <v>1901</v>
      </c>
      <c r="BK11" s="244">
        <v>252</v>
      </c>
      <c r="BL11" s="244">
        <v>727</v>
      </c>
      <c r="BM11" s="244">
        <f>241+335+127</f>
        <v>703</v>
      </c>
      <c r="BN11" s="244">
        <f>174+465+910+555+211+147+106</f>
        <v>2568</v>
      </c>
      <c r="BO11" s="244">
        <v>74</v>
      </c>
      <c r="BP11" s="244">
        <f>81+104+130</f>
        <v>315</v>
      </c>
      <c r="BQ11" s="244">
        <f>156+225-BO11</f>
        <v>307</v>
      </c>
      <c r="BR11" s="245">
        <f>419+80</f>
        <v>499</v>
      </c>
      <c r="BS11" s="244">
        <v>205</v>
      </c>
      <c r="BT11" s="244">
        <f>187+382+412+294+792-BS11</f>
        <v>1862</v>
      </c>
      <c r="BU11" s="244">
        <f>756+150</f>
        <v>906</v>
      </c>
      <c r="BV11" s="244">
        <f>281+209+1055+707+948</f>
        <v>3200</v>
      </c>
      <c r="BW11" s="244">
        <f>316+107</f>
        <v>423</v>
      </c>
      <c r="BX11" s="244">
        <f>339+291</f>
        <v>630</v>
      </c>
      <c r="BY11" s="244">
        <v>339</v>
      </c>
      <c r="BZ11" s="244">
        <f>280+244+295+70</f>
        <v>889</v>
      </c>
      <c r="CA11" s="244">
        <f>317+331+185+71</f>
        <v>904</v>
      </c>
      <c r="CB11" s="245">
        <f>405+1008</f>
        <v>1413</v>
      </c>
      <c r="CC11" s="244">
        <f>57+131</f>
        <v>188</v>
      </c>
      <c r="CD11" s="244">
        <f>167+292</f>
        <v>459</v>
      </c>
      <c r="CE11" s="244">
        <f>61+126+165</f>
        <v>352</v>
      </c>
      <c r="CF11" s="244">
        <v>155</v>
      </c>
      <c r="CG11" s="244">
        <f>93+462+619-CF11</f>
        <v>1019</v>
      </c>
      <c r="CH11" s="244">
        <f>739+241+489</f>
        <v>1469</v>
      </c>
      <c r="CI11" s="244">
        <f>457+231</f>
        <v>688</v>
      </c>
      <c r="CJ11" s="244">
        <f>159+660+526+628</f>
        <v>1973</v>
      </c>
      <c r="CK11" s="246">
        <f>278+607</f>
        <v>885</v>
      </c>
      <c r="CL11" s="248">
        <v>35535</v>
      </c>
      <c r="CM11" s="49"/>
    </row>
    <row r="12" spans="1:91">
      <c r="A12" s="80">
        <f>ROWS($A$3:A10)</f>
        <v>8</v>
      </c>
      <c r="B12" s="92" t="s">
        <v>203</v>
      </c>
      <c r="C12" s="203"/>
      <c r="D12" s="254" t="s">
        <v>1</v>
      </c>
      <c r="E12" s="269"/>
      <c r="F12" s="116">
        <v>8862</v>
      </c>
      <c r="G12" s="137">
        <v>6142</v>
      </c>
      <c r="H12" s="137">
        <v>7259</v>
      </c>
      <c r="I12" s="138">
        <v>8212</v>
      </c>
      <c r="J12" s="141"/>
      <c r="K12" s="116">
        <f t="shared" si="0"/>
        <v>864</v>
      </c>
      <c r="L12" s="137">
        <f t="shared" si="1"/>
        <v>442</v>
      </c>
      <c r="M12" s="137">
        <f t="shared" si="2"/>
        <v>1916</v>
      </c>
      <c r="N12" s="137">
        <f t="shared" si="3"/>
        <v>512</v>
      </c>
      <c r="O12" s="137">
        <f t="shared" si="4"/>
        <v>331</v>
      </c>
      <c r="P12" s="137">
        <f t="shared" si="33"/>
        <v>884</v>
      </c>
      <c r="Q12" s="137">
        <f>'2001'!AU12</f>
        <v>688</v>
      </c>
      <c r="R12" s="137">
        <f t="shared" si="5"/>
        <v>991</v>
      </c>
      <c r="S12" s="137">
        <f t="shared" si="6"/>
        <v>545</v>
      </c>
      <c r="T12" s="137">
        <f t="shared" si="7"/>
        <v>586</v>
      </c>
      <c r="U12" s="139">
        <f t="shared" si="8"/>
        <v>817</v>
      </c>
      <c r="V12" s="137">
        <f t="shared" si="9"/>
        <v>655</v>
      </c>
      <c r="W12" s="137">
        <f t="shared" si="10"/>
        <v>614</v>
      </c>
      <c r="X12" s="137">
        <f t="shared" si="11"/>
        <v>1313</v>
      </c>
      <c r="Y12" s="137">
        <f t="shared" si="12"/>
        <v>1579</v>
      </c>
      <c r="Z12" s="137">
        <f t="shared" si="13"/>
        <v>909</v>
      </c>
      <c r="AA12" s="137">
        <f t="shared" si="14"/>
        <v>648</v>
      </c>
      <c r="AB12" s="139">
        <f t="shared" si="15"/>
        <v>754</v>
      </c>
      <c r="AC12" s="137">
        <f t="shared" si="16"/>
        <v>546</v>
      </c>
      <c r="AD12" s="137">
        <f t="shared" si="17"/>
        <v>946</v>
      </c>
      <c r="AE12" s="137">
        <f t="shared" si="18"/>
        <v>1425</v>
      </c>
      <c r="AF12" s="137">
        <f t="shared" si="19"/>
        <v>339</v>
      </c>
      <c r="AG12" s="137">
        <f t="shared" si="20"/>
        <v>1571</v>
      </c>
      <c r="AH12" s="137">
        <f t="shared" si="21"/>
        <v>670</v>
      </c>
      <c r="AI12" s="137">
        <f t="shared" si="22"/>
        <v>572</v>
      </c>
      <c r="AJ12" s="137">
        <f t="shared" si="23"/>
        <v>830</v>
      </c>
      <c r="AK12" s="139">
        <f t="shared" si="24"/>
        <v>360</v>
      </c>
      <c r="AL12" s="137">
        <f t="shared" si="25"/>
        <v>1342</v>
      </c>
      <c r="AM12" s="137">
        <f t="shared" si="26"/>
        <v>525</v>
      </c>
      <c r="AN12" s="137">
        <f t="shared" si="27"/>
        <v>539</v>
      </c>
      <c r="AO12" s="137">
        <f t="shared" si="28"/>
        <v>931</v>
      </c>
      <c r="AP12" s="137">
        <f t="shared" si="29"/>
        <v>397</v>
      </c>
      <c r="AQ12" s="137">
        <f t="shared" si="30"/>
        <v>2389</v>
      </c>
      <c r="AR12" s="137">
        <f t="shared" si="31"/>
        <v>402</v>
      </c>
      <c r="AS12" s="138">
        <f t="shared" si="32"/>
        <v>1310</v>
      </c>
      <c r="AT12" s="244">
        <v>137</v>
      </c>
      <c r="AU12" s="244">
        <f>335+101+252</f>
        <v>688</v>
      </c>
      <c r="AV12" s="244">
        <f>166+170+209</f>
        <v>545</v>
      </c>
      <c r="AW12" s="244">
        <f>299+213</f>
        <v>512</v>
      </c>
      <c r="AX12" s="244">
        <f>341+378+135</f>
        <v>854</v>
      </c>
      <c r="AY12" s="244">
        <f>147+140+155</f>
        <v>442</v>
      </c>
      <c r="AZ12" s="247">
        <v>53</v>
      </c>
      <c r="BA12" s="244">
        <f>514+370-AZ12</f>
        <v>831</v>
      </c>
      <c r="BB12" s="244">
        <f>464+122</f>
        <v>586</v>
      </c>
      <c r="BC12" s="244">
        <f>364+453</f>
        <v>817</v>
      </c>
      <c r="BD12" s="244">
        <f>957+849+110</f>
        <v>1916</v>
      </c>
      <c r="BE12" s="244">
        <v>331</v>
      </c>
      <c r="BF12" s="245">
        <f>279+256+329</f>
        <v>864</v>
      </c>
      <c r="BG12" s="244">
        <v>139</v>
      </c>
      <c r="BH12" s="244">
        <v>247</v>
      </c>
      <c r="BI12" s="244">
        <f>104+571+60+578-BH12</f>
        <v>1066</v>
      </c>
      <c r="BJ12" s="244">
        <f>114+166+99+276-BG12</f>
        <v>516</v>
      </c>
      <c r="BK12" s="244">
        <v>51</v>
      </c>
      <c r="BL12" s="244">
        <v>280</v>
      </c>
      <c r="BM12" s="244">
        <f>643+241+25</f>
        <v>909</v>
      </c>
      <c r="BN12" s="244">
        <f>38+216+348+165+261+77+143</f>
        <v>1248</v>
      </c>
      <c r="BO12" s="244">
        <v>89</v>
      </c>
      <c r="BP12" s="244">
        <f>64+394+296</f>
        <v>754</v>
      </c>
      <c r="BQ12" s="244">
        <f>166+482-BO12</f>
        <v>559</v>
      </c>
      <c r="BR12" s="245">
        <f>361+253</f>
        <v>614</v>
      </c>
      <c r="BS12" s="244">
        <v>105</v>
      </c>
      <c r="BT12" s="244">
        <f>101+415+408+277+224-BS12</f>
        <v>1320</v>
      </c>
      <c r="BU12" s="244">
        <f>871+75</f>
        <v>946</v>
      </c>
      <c r="BV12" s="244">
        <f>197+127+382+441+424</f>
        <v>1571</v>
      </c>
      <c r="BW12" s="244">
        <f>407+165</f>
        <v>572</v>
      </c>
      <c r="BX12" s="244">
        <f>225+321</f>
        <v>546</v>
      </c>
      <c r="BY12" s="244">
        <v>830</v>
      </c>
      <c r="BZ12" s="244">
        <f>147+148+85+290</f>
        <v>670</v>
      </c>
      <c r="CA12" s="244">
        <f>49+166+61+63</f>
        <v>339</v>
      </c>
      <c r="CB12" s="245">
        <f>306+54</f>
        <v>360</v>
      </c>
      <c r="CC12" s="244">
        <f>596+335</f>
        <v>931</v>
      </c>
      <c r="CD12" s="244">
        <f>138+259</f>
        <v>397</v>
      </c>
      <c r="CE12" s="244">
        <f>819+198+325</f>
        <v>1342</v>
      </c>
      <c r="CF12" s="244">
        <v>399</v>
      </c>
      <c r="CG12" s="244">
        <f>296+264+750-CF12</f>
        <v>911</v>
      </c>
      <c r="CH12" s="244">
        <f>236+67+222</f>
        <v>525</v>
      </c>
      <c r="CI12" s="244">
        <f>141+261</f>
        <v>402</v>
      </c>
      <c r="CJ12" s="244">
        <f>97+55+148+239</f>
        <v>539</v>
      </c>
      <c r="CK12" s="246">
        <f>145+2244</f>
        <v>2389</v>
      </c>
      <c r="CL12" s="248">
        <v>30475</v>
      </c>
      <c r="CM12" s="49"/>
    </row>
    <row r="13" spans="1:91">
      <c r="A13" s="80">
        <f>ROWS($A$3:A11)</f>
        <v>9</v>
      </c>
      <c r="B13" s="92" t="s">
        <v>65</v>
      </c>
      <c r="C13" s="202">
        <v>2001</v>
      </c>
      <c r="D13" s="254" t="s">
        <v>11</v>
      </c>
      <c r="E13" s="256"/>
      <c r="F13" s="116">
        <v>3964162</v>
      </c>
      <c r="G13" s="137">
        <v>2701376</v>
      </c>
      <c r="H13" s="137">
        <v>2156851</v>
      </c>
      <c r="I13" s="138">
        <v>1778517</v>
      </c>
      <c r="J13" s="141"/>
      <c r="K13" s="116">
        <f t="shared" si="0"/>
        <v>315345</v>
      </c>
      <c r="L13" s="137">
        <f t="shared" si="1"/>
        <v>412959</v>
      </c>
      <c r="M13" s="137">
        <f t="shared" si="2"/>
        <v>137508</v>
      </c>
      <c r="N13" s="137">
        <f t="shared" si="3"/>
        <v>257651</v>
      </c>
      <c r="O13" s="137">
        <f t="shared" si="4"/>
        <v>137055</v>
      </c>
      <c r="P13" s="137">
        <f t="shared" si="33"/>
        <v>444206</v>
      </c>
      <c r="Q13" s="137">
        <f>'2001'!AU13</f>
        <v>367830</v>
      </c>
      <c r="R13" s="137">
        <f t="shared" si="5"/>
        <v>1090381</v>
      </c>
      <c r="S13" s="137">
        <f t="shared" si="6"/>
        <v>505340</v>
      </c>
      <c r="T13" s="137">
        <f t="shared" si="7"/>
        <v>108920</v>
      </c>
      <c r="U13" s="139">
        <f t="shared" si="8"/>
        <v>186967</v>
      </c>
      <c r="V13" s="137">
        <f t="shared" si="9"/>
        <v>277393</v>
      </c>
      <c r="W13" s="137">
        <f t="shared" si="10"/>
        <v>121682</v>
      </c>
      <c r="X13" s="137">
        <f t="shared" si="11"/>
        <v>702530</v>
      </c>
      <c r="Y13" s="137">
        <f t="shared" si="12"/>
        <v>977690</v>
      </c>
      <c r="Z13" s="137">
        <f t="shared" si="13"/>
        <v>150091</v>
      </c>
      <c r="AA13" s="137">
        <f t="shared" si="14"/>
        <v>311875</v>
      </c>
      <c r="AB13" s="139">
        <f t="shared" si="15"/>
        <v>160115</v>
      </c>
      <c r="AC13" s="137">
        <f t="shared" si="16"/>
        <v>211321</v>
      </c>
      <c r="AD13" s="137">
        <f t="shared" si="17"/>
        <v>152953</v>
      </c>
      <c r="AE13" s="137">
        <f t="shared" si="18"/>
        <v>451337</v>
      </c>
      <c r="AF13" s="137">
        <f t="shared" si="19"/>
        <v>219149</v>
      </c>
      <c r="AG13" s="137">
        <f t="shared" si="20"/>
        <v>411491</v>
      </c>
      <c r="AH13" s="137">
        <f t="shared" si="21"/>
        <v>268859</v>
      </c>
      <c r="AI13" s="137">
        <f t="shared" si="22"/>
        <v>141761</v>
      </c>
      <c r="AJ13" s="137">
        <f t="shared" si="23"/>
        <v>133866</v>
      </c>
      <c r="AK13" s="139">
        <f t="shared" si="24"/>
        <v>166114</v>
      </c>
      <c r="AL13" s="137">
        <f t="shared" si="25"/>
        <v>193196</v>
      </c>
      <c r="AM13" s="137">
        <f t="shared" si="26"/>
        <v>184548</v>
      </c>
      <c r="AN13" s="137">
        <f t="shared" si="27"/>
        <v>270572</v>
      </c>
      <c r="AO13" s="137">
        <f t="shared" si="28"/>
        <v>279177</v>
      </c>
      <c r="AP13" s="137">
        <f t="shared" si="29"/>
        <v>211058</v>
      </c>
      <c r="AQ13" s="137">
        <f t="shared" si="30"/>
        <v>133671</v>
      </c>
      <c r="AR13" s="137">
        <f t="shared" si="31"/>
        <v>200948</v>
      </c>
      <c r="AS13" s="138">
        <f t="shared" si="32"/>
        <v>305347</v>
      </c>
      <c r="AT13" s="141">
        <v>587152</v>
      </c>
      <c r="AU13" s="141">
        <v>367830</v>
      </c>
      <c r="AV13" s="141">
        <v>505340</v>
      </c>
      <c r="AW13" s="141">
        <v>257651</v>
      </c>
      <c r="AX13" s="141">
        <v>503229</v>
      </c>
      <c r="AY13" s="137">
        <v>412959</v>
      </c>
      <c r="AZ13" s="137">
        <v>120163</v>
      </c>
      <c r="BA13" s="137">
        <v>324043</v>
      </c>
      <c r="BB13" s="137">
        <v>108920</v>
      </c>
      <c r="BC13" s="137">
        <v>186967</v>
      </c>
      <c r="BD13" s="137">
        <v>137508</v>
      </c>
      <c r="BE13" s="137">
        <v>137055</v>
      </c>
      <c r="BF13" s="139">
        <v>315345</v>
      </c>
      <c r="BG13" s="137">
        <v>53084</v>
      </c>
      <c r="BH13" s="137">
        <v>279578</v>
      </c>
      <c r="BI13" s="137">
        <v>422952</v>
      </c>
      <c r="BJ13" s="137">
        <v>224309</v>
      </c>
      <c r="BK13" s="137">
        <v>141509</v>
      </c>
      <c r="BL13" s="137">
        <v>308385</v>
      </c>
      <c r="BM13" s="137">
        <v>150091</v>
      </c>
      <c r="BN13" s="137">
        <v>527796</v>
      </c>
      <c r="BO13" s="137">
        <v>118002</v>
      </c>
      <c r="BP13" s="137">
        <v>160115</v>
      </c>
      <c r="BQ13" s="137">
        <v>193873</v>
      </c>
      <c r="BR13" s="139">
        <v>121682</v>
      </c>
      <c r="BS13" s="137">
        <v>208294</v>
      </c>
      <c r="BT13" s="137">
        <v>243043</v>
      </c>
      <c r="BU13" s="137">
        <v>152953</v>
      </c>
      <c r="BV13" s="137">
        <v>411491</v>
      </c>
      <c r="BW13" s="137">
        <v>141761</v>
      </c>
      <c r="BX13" s="137">
        <v>211321</v>
      </c>
      <c r="BY13" s="137">
        <v>133866</v>
      </c>
      <c r="BZ13" s="137">
        <v>268859</v>
      </c>
      <c r="CA13" s="137">
        <v>219149</v>
      </c>
      <c r="CB13" s="139">
        <v>166114</v>
      </c>
      <c r="CC13" s="137">
        <v>279177</v>
      </c>
      <c r="CD13" s="137">
        <v>211058</v>
      </c>
      <c r="CE13" s="137">
        <v>193196</v>
      </c>
      <c r="CF13" s="137">
        <v>118347</v>
      </c>
      <c r="CG13" s="137">
        <v>187000</v>
      </c>
      <c r="CH13" s="137">
        <v>184548</v>
      </c>
      <c r="CI13" s="137">
        <v>200948</v>
      </c>
      <c r="CJ13" s="137">
        <v>270572</v>
      </c>
      <c r="CK13" s="138">
        <v>133671</v>
      </c>
      <c r="CL13" s="140">
        <v>10600906</v>
      </c>
      <c r="CM13" s="49"/>
    </row>
    <row r="14" spans="1:91">
      <c r="A14" s="80">
        <f>ROWS($A$3:A12)</f>
        <v>10</v>
      </c>
      <c r="B14" s="54" t="s">
        <v>61</v>
      </c>
      <c r="C14" s="252"/>
      <c r="D14" s="254" t="s">
        <v>12</v>
      </c>
      <c r="E14" s="269"/>
      <c r="F14" s="142">
        <f>F13/F7*100</f>
        <v>375.47910938176352</v>
      </c>
      <c r="G14" s="143">
        <f>G13/G7*100</f>
        <v>390.41964631544869</v>
      </c>
      <c r="H14" s="143">
        <f>H13/H7*100</f>
        <v>230.75847429973285</v>
      </c>
      <c r="I14" s="144">
        <f>I13/I7*100</f>
        <v>199.43517269451891</v>
      </c>
      <c r="J14" s="141"/>
      <c r="K14" s="145">
        <f t="shared" si="0"/>
        <v>208.62083793671479</v>
      </c>
      <c r="L14" s="146">
        <f t="shared" si="1"/>
        <v>481.22567413242592</v>
      </c>
      <c r="M14" s="146">
        <f t="shared" si="2"/>
        <v>105.41615878199673</v>
      </c>
      <c r="N14" s="146">
        <f t="shared" si="3"/>
        <v>401.11936232154812</v>
      </c>
      <c r="O14" s="146">
        <f t="shared" si="4"/>
        <v>218.54320475818412</v>
      </c>
      <c r="P14" s="143">
        <f>P13/P7*100</f>
        <v>370.23645804682485</v>
      </c>
      <c r="Q14" s="146">
        <f>'2001'!AU14</f>
        <v>595.35794636064941</v>
      </c>
      <c r="R14" s="143">
        <f>R13/R7*100</f>
        <v>1219.4336647393673</v>
      </c>
      <c r="S14" s="146">
        <f t="shared" si="6"/>
        <v>787.82115240708401</v>
      </c>
      <c r="T14" s="146">
        <f t="shared" si="7"/>
        <v>140.22349245584223</v>
      </c>
      <c r="U14" s="147">
        <f t="shared" si="8"/>
        <v>125.98599758764986</v>
      </c>
      <c r="V14" s="143">
        <f>V13/V7*100</f>
        <v>315.57433931354592</v>
      </c>
      <c r="W14" s="146">
        <f t="shared" si="10"/>
        <v>139.75994946304485</v>
      </c>
      <c r="X14" s="143">
        <f>X13/X7*100</f>
        <v>558.26353681600733</v>
      </c>
      <c r="Y14" s="143">
        <f>Y13/Y7*100</f>
        <v>743.20790573926263</v>
      </c>
      <c r="Z14" s="146">
        <f t="shared" si="13"/>
        <v>133.25786632573335</v>
      </c>
      <c r="AA14" s="143">
        <f>AA13/AA7*100</f>
        <v>464.29315786339549</v>
      </c>
      <c r="AB14" s="147">
        <f t="shared" si="15"/>
        <v>200.76360763858415</v>
      </c>
      <c r="AC14" s="146">
        <f t="shared" si="16"/>
        <v>206.1185673598377</v>
      </c>
      <c r="AD14" s="146">
        <f t="shared" si="17"/>
        <v>224.96396528901309</v>
      </c>
      <c r="AE14" s="143">
        <f>AE13/AE7*100</f>
        <v>294.72182316834272</v>
      </c>
      <c r="AF14" s="146">
        <f t="shared" si="19"/>
        <v>271.62405027205909</v>
      </c>
      <c r="AG14" s="146">
        <f t="shared" si="20"/>
        <v>221.14730398611283</v>
      </c>
      <c r="AH14" s="146">
        <f t="shared" si="21"/>
        <v>328.77494619448248</v>
      </c>
      <c r="AI14" s="146">
        <f t="shared" si="22"/>
        <v>184.24158143040952</v>
      </c>
      <c r="AJ14" s="146">
        <f t="shared" si="23"/>
        <v>182.29182270034724</v>
      </c>
      <c r="AK14" s="147">
        <f t="shared" si="24"/>
        <v>146.85149005012511</v>
      </c>
      <c r="AL14" s="146">
        <f t="shared" si="25"/>
        <v>210.51507523999433</v>
      </c>
      <c r="AM14" s="146">
        <f t="shared" si="26"/>
        <v>130.89996027918062</v>
      </c>
      <c r="AN14" s="146">
        <f t="shared" si="27"/>
        <v>165.81097063996421</v>
      </c>
      <c r="AO14" s="146">
        <f t="shared" si="28"/>
        <v>255.16588977241571</v>
      </c>
      <c r="AP14" s="146">
        <f t="shared" si="29"/>
        <v>406.5374836273981</v>
      </c>
      <c r="AQ14" s="146">
        <f t="shared" si="30"/>
        <v>110.99016066758003</v>
      </c>
      <c r="AR14" s="146">
        <f t="shared" si="31"/>
        <v>302.27744516983063</v>
      </c>
      <c r="AS14" s="144">
        <f t="shared" ref="AS14:CL14" si="34">AS13/AS7*100</f>
        <v>206.87325966626244</v>
      </c>
      <c r="AT14" s="143">
        <f t="shared" si="34"/>
        <v>2831.5586419753085</v>
      </c>
      <c r="AU14" s="143">
        <f t="shared" si="34"/>
        <v>595.35794636064941</v>
      </c>
      <c r="AV14" s="143">
        <f t="shared" si="34"/>
        <v>787.82115240708401</v>
      </c>
      <c r="AW14" s="143">
        <f t="shared" si="34"/>
        <v>401.11936232154812</v>
      </c>
      <c r="AX14" s="143">
        <f t="shared" si="34"/>
        <v>732.70482375038227</v>
      </c>
      <c r="AY14" s="143">
        <f t="shared" si="34"/>
        <v>481.22567413242592</v>
      </c>
      <c r="AZ14" s="143">
        <f>AZ13/BA7*100</f>
        <v>109.24802938422235</v>
      </c>
      <c r="BA14" s="143">
        <f>BA13/BB7*100</f>
        <v>417.17261444976572</v>
      </c>
      <c r="BB14" s="143">
        <f t="shared" si="34"/>
        <v>140.22349245584223</v>
      </c>
      <c r="BC14" s="143">
        <f t="shared" si="34"/>
        <v>125.98599758764986</v>
      </c>
      <c r="BD14" s="143">
        <f t="shared" si="34"/>
        <v>105.41615878199673</v>
      </c>
      <c r="BE14" s="143">
        <f t="shared" si="34"/>
        <v>218.54320475818412</v>
      </c>
      <c r="BF14" s="148">
        <f t="shared" si="34"/>
        <v>208.62083793671479</v>
      </c>
      <c r="BG14" s="143">
        <f t="shared" si="34"/>
        <v>378.68454843772292</v>
      </c>
      <c r="BH14" s="143">
        <f t="shared" si="34"/>
        <v>1611.772166493716</v>
      </c>
      <c r="BI14" s="143">
        <f t="shared" si="34"/>
        <v>389.83188320306738</v>
      </c>
      <c r="BJ14" s="143">
        <f t="shared" si="34"/>
        <v>303.60028694016216</v>
      </c>
      <c r="BK14" s="143">
        <f t="shared" si="34"/>
        <v>1300.2756592851235</v>
      </c>
      <c r="BL14" s="143">
        <f t="shared" si="34"/>
        <v>2127.3799668874171</v>
      </c>
      <c r="BM14" s="143">
        <f t="shared" si="34"/>
        <v>133.25786632573335</v>
      </c>
      <c r="BN14" s="143">
        <f t="shared" si="34"/>
        <v>497.11879891872542</v>
      </c>
      <c r="BO14" s="143">
        <f t="shared" si="34"/>
        <v>1206.0711365494685</v>
      </c>
      <c r="BP14" s="143">
        <f t="shared" si="34"/>
        <v>200.76360763858415</v>
      </c>
      <c r="BQ14" s="143">
        <f t="shared" si="34"/>
        <v>337.82846588136891</v>
      </c>
      <c r="BR14" s="148">
        <f t="shared" si="34"/>
        <v>139.75994946304485</v>
      </c>
      <c r="BS14" s="143">
        <f t="shared" si="34"/>
        <v>1360.8650202534952</v>
      </c>
      <c r="BT14" s="143">
        <f t="shared" si="34"/>
        <v>176.33022331210006</v>
      </c>
      <c r="BU14" s="143">
        <f t="shared" si="34"/>
        <v>224.96396528901309</v>
      </c>
      <c r="BV14" s="143">
        <f t="shared" si="34"/>
        <v>221.14730398611283</v>
      </c>
      <c r="BW14" s="143">
        <f t="shared" si="34"/>
        <v>184.24158143040952</v>
      </c>
      <c r="BX14" s="143">
        <f t="shared" si="34"/>
        <v>206.1185673598377</v>
      </c>
      <c r="BY14" s="143">
        <f t="shared" si="34"/>
        <v>182.29182270034724</v>
      </c>
      <c r="BZ14" s="143">
        <f t="shared" si="34"/>
        <v>328.77494619448248</v>
      </c>
      <c r="CA14" s="143">
        <f t="shared" si="34"/>
        <v>271.62405027205909</v>
      </c>
      <c r="CB14" s="148">
        <f t="shared" si="34"/>
        <v>146.85149005012511</v>
      </c>
      <c r="CC14" s="143">
        <f t="shared" si="34"/>
        <v>255.16588977241571</v>
      </c>
      <c r="CD14" s="143">
        <f t="shared" si="34"/>
        <v>406.5374836273981</v>
      </c>
      <c r="CE14" s="143">
        <f t="shared" si="34"/>
        <v>210.51507523999433</v>
      </c>
      <c r="CF14" s="143">
        <f t="shared" si="34"/>
        <v>997.11011879686589</v>
      </c>
      <c r="CG14" s="143">
        <f t="shared" si="34"/>
        <v>137.77149087908523</v>
      </c>
      <c r="CH14" s="143">
        <f t="shared" si="34"/>
        <v>130.89996027918062</v>
      </c>
      <c r="CI14" s="143">
        <f t="shared" si="34"/>
        <v>302.27744516983063</v>
      </c>
      <c r="CJ14" s="143">
        <f t="shared" si="34"/>
        <v>165.81097063996421</v>
      </c>
      <c r="CK14" s="144">
        <f t="shared" si="34"/>
        <v>110.99016066758003</v>
      </c>
      <c r="CL14" s="149">
        <f t="shared" si="34"/>
        <v>296.51805668605056</v>
      </c>
    </row>
    <row r="15" spans="1:91">
      <c r="A15" s="80">
        <f>ROWS($A$3:A13)</f>
        <v>11</v>
      </c>
      <c r="B15" s="59" t="s">
        <v>269</v>
      </c>
      <c r="C15" s="252"/>
      <c r="D15" s="254"/>
      <c r="E15" s="269"/>
      <c r="F15" s="302"/>
      <c r="G15" s="141"/>
      <c r="H15" s="141"/>
      <c r="I15" s="298"/>
      <c r="J15" s="141"/>
      <c r="K15" s="302"/>
      <c r="L15" s="141"/>
      <c r="M15" s="141"/>
      <c r="N15" s="141"/>
      <c r="O15" s="141"/>
      <c r="P15" s="141"/>
      <c r="Q15" s="141"/>
      <c r="R15" s="141"/>
      <c r="S15" s="141"/>
      <c r="T15" s="141"/>
      <c r="U15" s="297"/>
      <c r="V15" s="141"/>
      <c r="W15" s="141"/>
      <c r="X15" s="141"/>
      <c r="Y15" s="141"/>
      <c r="Z15" s="141"/>
      <c r="AA15" s="141"/>
      <c r="AB15" s="297"/>
      <c r="AC15" s="141"/>
      <c r="AD15" s="141"/>
      <c r="AE15" s="141"/>
      <c r="AF15" s="141"/>
      <c r="AG15" s="141"/>
      <c r="AH15" s="141"/>
      <c r="AI15" s="141"/>
      <c r="AJ15" s="141"/>
      <c r="AK15" s="297"/>
      <c r="AL15" s="141"/>
      <c r="AM15" s="141"/>
      <c r="AN15" s="141"/>
      <c r="AO15" s="141"/>
      <c r="AP15" s="141"/>
      <c r="AQ15" s="141"/>
      <c r="AR15" s="141"/>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1">
      <c r="A16" s="80">
        <f>ROWS($A$3:A14)</f>
        <v>12</v>
      </c>
      <c r="B16" s="92" t="s">
        <v>200</v>
      </c>
      <c r="C16" s="202">
        <v>2001</v>
      </c>
      <c r="D16" s="254" t="s">
        <v>11</v>
      </c>
      <c r="E16" s="256"/>
      <c r="F16" s="116">
        <v>2112959</v>
      </c>
      <c r="G16" s="137">
        <v>1389828</v>
      </c>
      <c r="H16" s="137">
        <v>1051913</v>
      </c>
      <c r="I16" s="138">
        <v>873551</v>
      </c>
      <c r="J16" s="141"/>
      <c r="K16" s="116">
        <f t="shared" si="0"/>
        <v>145679</v>
      </c>
      <c r="L16" s="137">
        <f t="shared" si="1"/>
        <v>181183</v>
      </c>
      <c r="M16" s="137">
        <f t="shared" si="2"/>
        <v>69419</v>
      </c>
      <c r="N16" s="137">
        <f t="shared" si="3"/>
        <v>113125</v>
      </c>
      <c r="O16" s="137">
        <f t="shared" si="4"/>
        <v>65294</v>
      </c>
      <c r="P16" s="137">
        <f t="shared" si="33"/>
        <v>232109</v>
      </c>
      <c r="Q16" s="137">
        <f>'2001'!AU16</f>
        <v>208908</v>
      </c>
      <c r="R16" s="137">
        <f>AT16+AX16</f>
        <v>697020</v>
      </c>
      <c r="S16" s="137">
        <f t="shared" si="6"/>
        <v>249989</v>
      </c>
      <c r="T16" s="137">
        <f t="shared" si="7"/>
        <v>58528</v>
      </c>
      <c r="U16" s="139">
        <f t="shared" si="8"/>
        <v>91707</v>
      </c>
      <c r="V16" s="137">
        <f>BG16+BJ16</f>
        <v>146630</v>
      </c>
      <c r="W16" s="137">
        <f t="shared" si="10"/>
        <v>59159</v>
      </c>
      <c r="X16" s="137">
        <f>BH16+BI16</f>
        <v>390374</v>
      </c>
      <c r="Y16" s="137">
        <f>BK16+BL16+BN16</f>
        <v>527517</v>
      </c>
      <c r="Z16" s="137">
        <f t="shared" si="13"/>
        <v>61561</v>
      </c>
      <c r="AA16" s="137">
        <f>BO16+BQ16</f>
        <v>143969</v>
      </c>
      <c r="AB16" s="139">
        <f t="shared" si="15"/>
        <v>60620</v>
      </c>
      <c r="AC16" s="137">
        <f t="shared" si="16"/>
        <v>109018</v>
      </c>
      <c r="AD16" s="137">
        <f t="shared" si="17"/>
        <v>63243</v>
      </c>
      <c r="AE16" s="137">
        <f>BS16+BT16</f>
        <v>236662</v>
      </c>
      <c r="AF16" s="137">
        <f t="shared" si="19"/>
        <v>97984</v>
      </c>
      <c r="AG16" s="137">
        <f t="shared" si="20"/>
        <v>215968</v>
      </c>
      <c r="AH16" s="137">
        <f t="shared" si="21"/>
        <v>122522</v>
      </c>
      <c r="AI16" s="137">
        <f t="shared" si="22"/>
        <v>71596</v>
      </c>
      <c r="AJ16" s="137">
        <f t="shared" si="23"/>
        <v>64850</v>
      </c>
      <c r="AK16" s="139">
        <f t="shared" si="24"/>
        <v>70070</v>
      </c>
      <c r="AL16" s="137">
        <f t="shared" si="25"/>
        <v>91049</v>
      </c>
      <c r="AM16" s="137">
        <f t="shared" si="26"/>
        <v>86285</v>
      </c>
      <c r="AN16" s="137">
        <f t="shared" si="27"/>
        <v>136344</v>
      </c>
      <c r="AO16" s="137">
        <f t="shared" si="28"/>
        <v>135000</v>
      </c>
      <c r="AP16" s="137">
        <f t="shared" si="29"/>
        <v>92396</v>
      </c>
      <c r="AQ16" s="137">
        <f t="shared" si="30"/>
        <v>62029</v>
      </c>
      <c r="AR16" s="137">
        <f t="shared" si="31"/>
        <v>98388</v>
      </c>
      <c r="AS16" s="138">
        <f>CF16+CG16</f>
        <v>172061</v>
      </c>
      <c r="AT16" s="141">
        <v>466765</v>
      </c>
      <c r="AU16" s="141">
        <v>208908</v>
      </c>
      <c r="AV16" s="141">
        <v>249989</v>
      </c>
      <c r="AW16" s="141">
        <v>113125</v>
      </c>
      <c r="AX16" s="141">
        <v>230255</v>
      </c>
      <c r="AY16" s="137">
        <v>181183</v>
      </c>
      <c r="AZ16" s="137">
        <v>92870</v>
      </c>
      <c r="BA16" s="137">
        <v>139239</v>
      </c>
      <c r="BB16" s="137">
        <v>58528</v>
      </c>
      <c r="BC16" s="137">
        <v>91707</v>
      </c>
      <c r="BD16" s="137">
        <v>69419</v>
      </c>
      <c r="BE16" s="137">
        <v>65294</v>
      </c>
      <c r="BF16" s="139">
        <v>145679</v>
      </c>
      <c r="BG16" s="137">
        <v>38877</v>
      </c>
      <c r="BH16" s="137">
        <v>212171</v>
      </c>
      <c r="BI16" s="137">
        <v>178203</v>
      </c>
      <c r="BJ16" s="137">
        <v>107753</v>
      </c>
      <c r="BK16" s="137">
        <v>106876</v>
      </c>
      <c r="BL16" s="137">
        <v>217868</v>
      </c>
      <c r="BM16" s="137">
        <v>61561</v>
      </c>
      <c r="BN16" s="137">
        <v>202773</v>
      </c>
      <c r="BO16" s="137">
        <v>69816</v>
      </c>
      <c r="BP16" s="137">
        <v>60620</v>
      </c>
      <c r="BQ16" s="137">
        <v>74153</v>
      </c>
      <c r="BR16" s="139">
        <v>59159</v>
      </c>
      <c r="BS16" s="137">
        <v>136807</v>
      </c>
      <c r="BT16" s="137">
        <v>99855</v>
      </c>
      <c r="BU16" s="137">
        <v>63243</v>
      </c>
      <c r="BV16" s="137">
        <v>215968</v>
      </c>
      <c r="BW16" s="137">
        <v>71596</v>
      </c>
      <c r="BX16" s="137">
        <v>109018</v>
      </c>
      <c r="BY16" s="137">
        <v>64850</v>
      </c>
      <c r="BZ16" s="137">
        <v>122522</v>
      </c>
      <c r="CA16" s="137">
        <v>97984</v>
      </c>
      <c r="CB16" s="139">
        <v>70070</v>
      </c>
      <c r="CC16" s="137">
        <v>135000</v>
      </c>
      <c r="CD16" s="137">
        <v>92396</v>
      </c>
      <c r="CE16" s="137">
        <v>91049</v>
      </c>
      <c r="CF16" s="137">
        <v>101949</v>
      </c>
      <c r="CG16" s="137">
        <v>70112</v>
      </c>
      <c r="CH16" s="137">
        <v>86285</v>
      </c>
      <c r="CI16" s="137">
        <v>98388</v>
      </c>
      <c r="CJ16" s="137">
        <v>136344</v>
      </c>
      <c r="CK16" s="138">
        <v>62029</v>
      </c>
      <c r="CL16" s="140">
        <v>5428251</v>
      </c>
    </row>
    <row r="17" spans="1:90" ht="14.25">
      <c r="A17" s="80">
        <f>ROWS($A$3:A15)</f>
        <v>13</v>
      </c>
      <c r="B17" s="54" t="s">
        <v>243</v>
      </c>
      <c r="C17" s="252">
        <v>2001</v>
      </c>
      <c r="D17" s="254" t="s">
        <v>3</v>
      </c>
      <c r="E17" s="256"/>
      <c r="F17" s="167">
        <f>(AT16*AT17+AU16*AU17+AV16*AV17+AW16*AW17+AX16*AX17+AY16*AY17+AZ16*AZ17+BA16*BA17+BB16*BB17+BC16*BC17+BD16*BD17+BE16*BE17+BF16*BF17)/F16</f>
        <v>4.7362075175145373</v>
      </c>
      <c r="G17" s="168">
        <f>(BG16*BG17+BH16*BH17+BI16*BI17+BJ16*BJ17+BK16*BK17+BL16*BL17+BM16*BM17+BN16*BN17+BO16*BO17+BP16*BP17+BQ16*BQ17+BR16*BR17)/G16</f>
        <v>5.9960714563240929</v>
      </c>
      <c r="H17" s="168">
        <f>(BS16*BS17+BT16*BT17+BU16*BU17+BV16*BV17+BW16*BW17+BX16*BX17+BY16*BY17+BZ16*BZ17+CA16*CA17+CB16*CB17)/H16</f>
        <v>5.1096030755395168</v>
      </c>
      <c r="I17" s="169">
        <f>(CC16*CC17+CD16*CD17+CE16*CE17+CF16*CF17+CG16*CG17+CH16*CH17+CI16*CI17+CJ16*CJ17+CK16*CK17)/I16</f>
        <v>4.6485078718929973</v>
      </c>
      <c r="J17" s="173"/>
      <c r="K17" s="170">
        <f t="shared" si="0"/>
        <v>5.5</v>
      </c>
      <c r="L17" s="171">
        <f t="shared" si="1"/>
        <v>4.0999999999999996</v>
      </c>
      <c r="M17" s="171">
        <f t="shared" si="2"/>
        <v>4.5999999999999996</v>
      </c>
      <c r="N17" s="171">
        <f t="shared" si="3"/>
        <v>4.0999999999999996</v>
      </c>
      <c r="O17" s="171">
        <f t="shared" si="4"/>
        <v>5.8</v>
      </c>
      <c r="P17" s="168">
        <f>ROUND((AZ16*AZ17/100+BA16*BA17/100)/P16%,1)</f>
        <v>5.4</v>
      </c>
      <c r="Q17" s="171">
        <f>'2001'!AU17</f>
        <v>4.5</v>
      </c>
      <c r="R17" s="168">
        <f>ROUND((AT16*AT17/100+AX16*AX17/100)/R16%,1)</f>
        <v>5</v>
      </c>
      <c r="S17" s="171">
        <f t="shared" si="6"/>
        <v>3.7</v>
      </c>
      <c r="T17" s="171">
        <f t="shared" si="7"/>
        <v>4.0999999999999996</v>
      </c>
      <c r="U17" s="172">
        <f t="shared" si="8"/>
        <v>4.5999999999999996</v>
      </c>
      <c r="V17" s="168">
        <f>ROUND((BG16*BG17/100+BJ16*BJ17/100)/V16%,1)</f>
        <v>4.7</v>
      </c>
      <c r="W17" s="171">
        <f t="shared" si="10"/>
        <v>4</v>
      </c>
      <c r="X17" s="168">
        <f>ROUND((BH16*BH17/100+BI16*BI17/100)/X16%,1)</f>
        <v>5.6</v>
      </c>
      <c r="Y17" s="168">
        <f>ROUND((BK16*BK17/100+BL16*BL17/100+BN16*BN17/100)/Y16%,1)</f>
        <v>7.3</v>
      </c>
      <c r="Z17" s="171">
        <f t="shared" si="13"/>
        <v>5.0999999999999996</v>
      </c>
      <c r="AA17" s="168">
        <f>ROUND((BO16*BO17/100+BQ16*BQ17/100)/AA16%,1)</f>
        <v>5.7</v>
      </c>
      <c r="AB17" s="172">
        <f t="shared" si="15"/>
        <v>3.8</v>
      </c>
      <c r="AC17" s="171">
        <f t="shared" si="16"/>
        <v>4.3</v>
      </c>
      <c r="AD17" s="171">
        <f t="shared" si="17"/>
        <v>4.5999999999999996</v>
      </c>
      <c r="AE17" s="168">
        <f>ROUND((BS16*BS17/100+BT16*BT17/100)/AE16%,1)</f>
        <v>6.2</v>
      </c>
      <c r="AF17" s="171">
        <f t="shared" si="19"/>
        <v>5.5</v>
      </c>
      <c r="AG17" s="171">
        <f t="shared" si="20"/>
        <v>4.4000000000000004</v>
      </c>
      <c r="AH17" s="171">
        <f t="shared" si="21"/>
        <v>5.8</v>
      </c>
      <c r="AI17" s="171">
        <f t="shared" si="22"/>
        <v>3.9</v>
      </c>
      <c r="AJ17" s="171">
        <f t="shared" si="23"/>
        <v>4.4000000000000004</v>
      </c>
      <c r="AK17" s="172">
        <f t="shared" si="24"/>
        <v>5.5</v>
      </c>
      <c r="AL17" s="171">
        <f t="shared" si="25"/>
        <v>5.2</v>
      </c>
      <c r="AM17" s="171">
        <f t="shared" si="26"/>
        <v>3.7</v>
      </c>
      <c r="AN17" s="171">
        <f t="shared" si="27"/>
        <v>4</v>
      </c>
      <c r="AO17" s="171">
        <f t="shared" si="28"/>
        <v>4.4000000000000004</v>
      </c>
      <c r="AP17" s="171">
        <f t="shared" si="29"/>
        <v>4.9000000000000004</v>
      </c>
      <c r="AQ17" s="171">
        <f t="shared" si="30"/>
        <v>5.6</v>
      </c>
      <c r="AR17" s="171">
        <f t="shared" si="31"/>
        <v>4.5</v>
      </c>
      <c r="AS17" s="169">
        <f>ROUND((CF16*CF17/100+CG16*CG17/100)/AS16%,1)</f>
        <v>5.0999999999999996</v>
      </c>
      <c r="AT17" s="173">
        <v>5.6</v>
      </c>
      <c r="AU17" s="173">
        <v>4.5</v>
      </c>
      <c r="AV17" s="173">
        <v>3.7</v>
      </c>
      <c r="AW17" s="173">
        <v>4.0999999999999996</v>
      </c>
      <c r="AX17" s="173">
        <v>3.9</v>
      </c>
      <c r="AY17" s="171">
        <v>4.0999999999999996</v>
      </c>
      <c r="AZ17" s="171">
        <v>7</v>
      </c>
      <c r="BA17" s="171">
        <v>4.4000000000000004</v>
      </c>
      <c r="BB17" s="171">
        <v>4.0999999999999996</v>
      </c>
      <c r="BC17" s="171">
        <v>4.5999999999999996</v>
      </c>
      <c r="BD17" s="171">
        <v>4.5999999999999996</v>
      </c>
      <c r="BE17" s="171">
        <v>5.8</v>
      </c>
      <c r="BF17" s="172">
        <v>5.5</v>
      </c>
      <c r="BG17" s="171">
        <v>5.2</v>
      </c>
      <c r="BH17" s="171">
        <v>6.6</v>
      </c>
      <c r="BI17" s="171">
        <v>4.4000000000000004</v>
      </c>
      <c r="BJ17" s="171">
        <v>4.5</v>
      </c>
      <c r="BK17" s="171">
        <v>5.7</v>
      </c>
      <c r="BL17" s="171">
        <v>9.8000000000000007</v>
      </c>
      <c r="BM17" s="171">
        <v>5.0999999999999996</v>
      </c>
      <c r="BN17" s="171">
        <v>5.5</v>
      </c>
      <c r="BO17" s="171">
        <v>7.2</v>
      </c>
      <c r="BP17" s="171">
        <v>3.8</v>
      </c>
      <c r="BQ17" s="171">
        <v>4.3</v>
      </c>
      <c r="BR17" s="172">
        <v>4</v>
      </c>
      <c r="BS17" s="171">
        <v>7.5</v>
      </c>
      <c r="BT17" s="171">
        <v>4.4000000000000004</v>
      </c>
      <c r="BU17" s="171">
        <v>4.5999999999999996</v>
      </c>
      <c r="BV17" s="171">
        <v>4.4000000000000004</v>
      </c>
      <c r="BW17" s="171">
        <v>3.9</v>
      </c>
      <c r="BX17" s="171">
        <v>4.3</v>
      </c>
      <c r="BY17" s="171">
        <v>4.4000000000000004</v>
      </c>
      <c r="BZ17" s="171">
        <v>5.8</v>
      </c>
      <c r="CA17" s="171">
        <v>5.5</v>
      </c>
      <c r="CB17" s="172">
        <v>5.5</v>
      </c>
      <c r="CC17" s="171">
        <v>4.4000000000000004</v>
      </c>
      <c r="CD17" s="171">
        <v>4.9000000000000004</v>
      </c>
      <c r="CE17" s="171">
        <v>5.2</v>
      </c>
      <c r="CF17" s="171">
        <v>5.8</v>
      </c>
      <c r="CG17" s="171">
        <v>4.2</v>
      </c>
      <c r="CH17" s="171">
        <v>3.7</v>
      </c>
      <c r="CI17" s="171">
        <v>4.5</v>
      </c>
      <c r="CJ17" s="171">
        <v>4</v>
      </c>
      <c r="CK17" s="174">
        <v>5.6</v>
      </c>
      <c r="CL17" s="175">
        <v>4.9000000000000004</v>
      </c>
    </row>
    <row r="18" spans="1:90">
      <c r="A18" s="80">
        <f>ROWS($A$3:A16)</f>
        <v>14</v>
      </c>
      <c r="B18" s="238" t="s">
        <v>270</v>
      </c>
      <c r="C18" s="321">
        <v>2003</v>
      </c>
      <c r="D18" s="254" t="s">
        <v>11</v>
      </c>
      <c r="E18" s="256"/>
      <c r="F18" s="302">
        <v>82877</v>
      </c>
      <c r="G18" s="141">
        <v>28846</v>
      </c>
      <c r="H18" s="141">
        <v>70496</v>
      </c>
      <c r="I18" s="298">
        <v>47577</v>
      </c>
      <c r="J18" s="173"/>
      <c r="K18" s="116">
        <f>BF18</f>
        <v>6949</v>
      </c>
      <c r="L18" s="137">
        <f>AY18</f>
        <v>7151</v>
      </c>
      <c r="M18" s="137">
        <f>BD18</f>
        <v>6782</v>
      </c>
      <c r="N18" s="137">
        <f>AW18</f>
        <v>2797</v>
      </c>
      <c r="O18" s="137">
        <f>BE18</f>
        <v>1931</v>
      </c>
      <c r="P18" s="143">
        <f>AZ18+BA18</f>
        <v>21342</v>
      </c>
      <c r="Q18" s="137">
        <f>'2001'!AU18</f>
        <v>2830</v>
      </c>
      <c r="R18" s="143">
        <f>AT18+AX18</f>
        <v>13691</v>
      </c>
      <c r="S18" s="137">
        <f>AV18</f>
        <v>3814</v>
      </c>
      <c r="T18" s="137">
        <f>BB18</f>
        <v>7844</v>
      </c>
      <c r="U18" s="139">
        <f>BC18</f>
        <v>7746</v>
      </c>
      <c r="V18" s="143">
        <f>BG18+BJ18</f>
        <v>4953</v>
      </c>
      <c r="W18" s="137">
        <f>BR18</f>
        <v>2445</v>
      </c>
      <c r="X18" s="143">
        <f>BH18+BI18</f>
        <v>6055</v>
      </c>
      <c r="Y18" s="143">
        <f>BK18+BL18+BN18</f>
        <v>8188</v>
      </c>
      <c r="Z18" s="137">
        <f>BM18</f>
        <v>3209</v>
      </c>
      <c r="AA18" s="143">
        <f>BO18+BQ18</f>
        <v>1895</v>
      </c>
      <c r="AB18" s="139">
        <f>BP18</f>
        <v>2101</v>
      </c>
      <c r="AC18" s="137">
        <f>BX18</f>
        <v>3879</v>
      </c>
      <c r="AD18" s="137">
        <f>BU18</f>
        <v>8191</v>
      </c>
      <c r="AE18" s="143">
        <f>BS18+BT18</f>
        <v>20428</v>
      </c>
      <c r="AF18" s="137">
        <f>CA18</f>
        <v>5885</v>
      </c>
      <c r="AG18" s="137">
        <f>BV18</f>
        <v>18075</v>
      </c>
      <c r="AH18" s="137">
        <f>BZ18</f>
        <v>4358</v>
      </c>
      <c r="AI18" s="137">
        <f>BW18</f>
        <v>3211</v>
      </c>
      <c r="AJ18" s="137">
        <f>BY18</f>
        <v>1618</v>
      </c>
      <c r="AK18" s="139">
        <f>CB18</f>
        <v>4851</v>
      </c>
      <c r="AL18" s="137">
        <f>CE18</f>
        <v>2522</v>
      </c>
      <c r="AM18" s="137">
        <f>CH18</f>
        <v>6680</v>
      </c>
      <c r="AN18" s="137">
        <f>CJ18</f>
        <v>10084</v>
      </c>
      <c r="AO18" s="137">
        <f>CC18</f>
        <v>4221</v>
      </c>
      <c r="AP18" s="137">
        <f>CD18</f>
        <v>1837</v>
      </c>
      <c r="AQ18" s="137">
        <f>CK18</f>
        <v>4460</v>
      </c>
      <c r="AR18" s="137">
        <f>CI18</f>
        <v>11049</v>
      </c>
      <c r="AS18" s="144">
        <f>CF18+CG18</f>
        <v>6724</v>
      </c>
      <c r="AT18" s="141">
        <v>2742</v>
      </c>
      <c r="AU18" s="141">
        <v>2830</v>
      </c>
      <c r="AV18" s="141">
        <v>3814</v>
      </c>
      <c r="AW18" s="141">
        <v>2797</v>
      </c>
      <c r="AX18" s="141">
        <v>10949</v>
      </c>
      <c r="AY18" s="137">
        <v>7151</v>
      </c>
      <c r="AZ18" s="137">
        <v>1797</v>
      </c>
      <c r="BA18" s="137">
        <v>19545</v>
      </c>
      <c r="BB18" s="137">
        <v>7844</v>
      </c>
      <c r="BC18" s="137">
        <v>7746</v>
      </c>
      <c r="BD18" s="137">
        <v>6782</v>
      </c>
      <c r="BE18" s="137">
        <v>1931</v>
      </c>
      <c r="BF18" s="139">
        <v>6949</v>
      </c>
      <c r="BG18" s="137">
        <v>838</v>
      </c>
      <c r="BH18" s="137">
        <v>673</v>
      </c>
      <c r="BI18" s="137">
        <v>5382</v>
      </c>
      <c r="BJ18" s="137">
        <v>4115</v>
      </c>
      <c r="BK18" s="137">
        <v>770</v>
      </c>
      <c r="BL18" s="137">
        <v>617</v>
      </c>
      <c r="BM18" s="137">
        <v>3209</v>
      </c>
      <c r="BN18" s="137">
        <v>6801</v>
      </c>
      <c r="BO18" s="137">
        <v>167</v>
      </c>
      <c r="BP18" s="137">
        <v>2101</v>
      </c>
      <c r="BQ18" s="137">
        <v>1728</v>
      </c>
      <c r="BR18" s="139">
        <v>2445</v>
      </c>
      <c r="BS18" s="137">
        <v>1691</v>
      </c>
      <c r="BT18" s="137">
        <v>18737</v>
      </c>
      <c r="BU18" s="137">
        <v>8191</v>
      </c>
      <c r="BV18" s="137">
        <v>18075</v>
      </c>
      <c r="BW18" s="137">
        <v>3211</v>
      </c>
      <c r="BX18" s="137">
        <v>3879</v>
      </c>
      <c r="BY18" s="137">
        <v>1618</v>
      </c>
      <c r="BZ18" s="137">
        <v>4358</v>
      </c>
      <c r="CA18" s="137">
        <v>5885</v>
      </c>
      <c r="CB18" s="139">
        <v>4851</v>
      </c>
      <c r="CC18" s="137">
        <v>4221</v>
      </c>
      <c r="CD18" s="137">
        <v>1837</v>
      </c>
      <c r="CE18" s="137">
        <v>2522</v>
      </c>
      <c r="CF18" s="137">
        <v>578</v>
      </c>
      <c r="CG18" s="137">
        <v>6146</v>
      </c>
      <c r="CH18" s="137">
        <v>6680</v>
      </c>
      <c r="CI18" s="137">
        <v>11049</v>
      </c>
      <c r="CJ18" s="137">
        <v>10084</v>
      </c>
      <c r="CK18" s="138">
        <v>4460</v>
      </c>
      <c r="CL18" s="140">
        <v>229796</v>
      </c>
    </row>
    <row r="19" spans="1:90">
      <c r="A19" s="80">
        <f>ROWS($A$3:A17)</f>
        <v>15</v>
      </c>
      <c r="B19" s="238" t="s">
        <v>268</v>
      </c>
      <c r="C19" s="202">
        <v>2000</v>
      </c>
      <c r="D19" s="254" t="s">
        <v>11</v>
      </c>
      <c r="E19" s="278">
        <v>41491</v>
      </c>
      <c r="F19" s="302">
        <v>1511367</v>
      </c>
      <c r="G19" s="141">
        <v>979088</v>
      </c>
      <c r="H19" s="141">
        <v>714555</v>
      </c>
      <c r="I19" s="298">
        <v>597484</v>
      </c>
      <c r="J19" s="141"/>
      <c r="K19" s="116">
        <f>BF19</f>
        <v>100938</v>
      </c>
      <c r="L19" s="137">
        <f>AY19</f>
        <v>128205</v>
      </c>
      <c r="M19" s="137">
        <f>BD19</f>
        <v>44390</v>
      </c>
      <c r="N19" s="137">
        <f>AW19</f>
        <v>80294</v>
      </c>
      <c r="O19" s="137">
        <f>BE19</f>
        <v>48930</v>
      </c>
      <c r="P19" s="143">
        <f>AZ19+BA19</f>
        <v>157010</v>
      </c>
      <c r="Q19" s="137">
        <f>'2001'!AU19</f>
        <v>154083</v>
      </c>
      <c r="R19" s="143">
        <f>AT19+AX19</f>
        <v>514164</v>
      </c>
      <c r="S19" s="137">
        <f>AV19</f>
        <v>179617</v>
      </c>
      <c r="T19" s="137">
        <f>BB19</f>
        <v>41687</v>
      </c>
      <c r="U19" s="139">
        <f>BC19</f>
        <v>62049</v>
      </c>
      <c r="V19" s="143">
        <f>BG19+BJ19</f>
        <v>104369</v>
      </c>
      <c r="W19" s="137">
        <f>BR19</f>
        <v>40405</v>
      </c>
      <c r="X19" s="143">
        <f>BH19+BI19</f>
        <v>269474</v>
      </c>
      <c r="Y19" s="143">
        <f>BK19+BL19+BN19</f>
        <v>379728</v>
      </c>
      <c r="Z19" s="137">
        <f>BM19</f>
        <v>40964</v>
      </c>
      <c r="AA19" s="143">
        <f>BO19+BQ19</f>
        <v>103803</v>
      </c>
      <c r="AB19" s="139">
        <f>BP19</f>
        <v>40345</v>
      </c>
      <c r="AC19" s="137">
        <f>BX19</f>
        <v>77095</v>
      </c>
      <c r="AD19" s="137">
        <f>BU19</f>
        <v>41963</v>
      </c>
      <c r="AE19" s="143">
        <f>BS19+BT19</f>
        <v>158299</v>
      </c>
      <c r="AF19" s="137">
        <f>CA19</f>
        <v>66629</v>
      </c>
      <c r="AG19" s="137">
        <f>BV19</f>
        <v>146702</v>
      </c>
      <c r="AH19" s="137">
        <f>BZ19</f>
        <v>82809</v>
      </c>
      <c r="AI19" s="137">
        <f>BW19</f>
        <v>47468</v>
      </c>
      <c r="AJ19" s="137">
        <f>BY19</f>
        <v>48062</v>
      </c>
      <c r="AK19" s="139">
        <f>CB19</f>
        <v>45528</v>
      </c>
      <c r="AL19" s="137">
        <f>CE19</f>
        <v>63995</v>
      </c>
      <c r="AM19" s="137">
        <f>CH19</f>
        <v>58788</v>
      </c>
      <c r="AN19" s="137">
        <f>CJ19</f>
        <v>90590</v>
      </c>
      <c r="AO19" s="137">
        <f>CC19</f>
        <v>95453</v>
      </c>
      <c r="AP19" s="137">
        <f>CD19</f>
        <v>61278</v>
      </c>
      <c r="AQ19" s="137">
        <f>CK19</f>
        <v>39361</v>
      </c>
      <c r="AR19" s="137">
        <f>CI19</f>
        <v>67437</v>
      </c>
      <c r="AS19" s="144">
        <f>CF19+CG19</f>
        <v>120267</v>
      </c>
      <c r="AT19" s="141">
        <v>349867</v>
      </c>
      <c r="AU19" s="141">
        <v>154083</v>
      </c>
      <c r="AV19" s="141">
        <v>179617</v>
      </c>
      <c r="AW19" s="141">
        <v>80294</v>
      </c>
      <c r="AX19" s="141">
        <v>164297</v>
      </c>
      <c r="AY19" s="137">
        <v>128205</v>
      </c>
      <c r="AZ19" s="137">
        <v>61133</v>
      </c>
      <c r="BA19" s="137">
        <v>95877</v>
      </c>
      <c r="BB19" s="137">
        <v>41687</v>
      </c>
      <c r="BC19" s="137">
        <v>62049</v>
      </c>
      <c r="BD19" s="137">
        <v>44390</v>
      </c>
      <c r="BE19" s="137">
        <v>48930</v>
      </c>
      <c r="BF19" s="139">
        <v>100938</v>
      </c>
      <c r="BG19" s="137">
        <v>27028</v>
      </c>
      <c r="BH19" s="137">
        <v>148521</v>
      </c>
      <c r="BI19" s="137">
        <v>120953</v>
      </c>
      <c r="BJ19" s="137">
        <v>77341</v>
      </c>
      <c r="BK19" s="137">
        <v>75958</v>
      </c>
      <c r="BL19" s="137">
        <v>167526</v>
      </c>
      <c r="BM19" s="137">
        <v>40964</v>
      </c>
      <c r="BN19" s="137">
        <v>136244</v>
      </c>
      <c r="BO19" s="137">
        <v>51384</v>
      </c>
      <c r="BP19" s="137">
        <v>40345</v>
      </c>
      <c r="BQ19" s="137">
        <v>52419</v>
      </c>
      <c r="BR19" s="139">
        <v>40405</v>
      </c>
      <c r="BS19" s="137">
        <v>94360</v>
      </c>
      <c r="BT19" s="137">
        <v>63939</v>
      </c>
      <c r="BU19" s="137">
        <v>41963</v>
      </c>
      <c r="BV19" s="137">
        <v>146702</v>
      </c>
      <c r="BW19" s="137">
        <v>47468</v>
      </c>
      <c r="BX19" s="137">
        <v>77095</v>
      </c>
      <c r="BY19" s="137">
        <v>48062</v>
      </c>
      <c r="BZ19" s="137">
        <v>82809</v>
      </c>
      <c r="CA19" s="137">
        <v>66629</v>
      </c>
      <c r="CB19" s="139">
        <v>45528</v>
      </c>
      <c r="CC19" s="137">
        <v>95453</v>
      </c>
      <c r="CD19" s="137">
        <v>61278</v>
      </c>
      <c r="CE19" s="137">
        <v>63995</v>
      </c>
      <c r="CF19" s="137">
        <v>74280</v>
      </c>
      <c r="CG19" s="137">
        <v>45987</v>
      </c>
      <c r="CH19" s="137">
        <v>58788</v>
      </c>
      <c r="CI19" s="137">
        <v>67437</v>
      </c>
      <c r="CJ19" s="137">
        <v>90590</v>
      </c>
      <c r="CK19" s="138">
        <v>39361</v>
      </c>
      <c r="CL19" s="140">
        <v>3683796</v>
      </c>
    </row>
    <row r="20" spans="1:90">
      <c r="A20" s="80">
        <f>ROWS($A$3:A18)</f>
        <v>16</v>
      </c>
      <c r="B20" s="92" t="s">
        <v>64</v>
      </c>
      <c r="C20" s="202">
        <v>2001</v>
      </c>
      <c r="D20" s="254" t="s">
        <v>285</v>
      </c>
      <c r="E20" s="256"/>
      <c r="F20" s="116">
        <v>113426</v>
      </c>
      <c r="G20" s="137">
        <v>72007</v>
      </c>
      <c r="H20" s="137">
        <v>50109</v>
      </c>
      <c r="I20" s="138">
        <v>43416</v>
      </c>
      <c r="J20" s="141"/>
      <c r="K20" s="116">
        <f t="shared" si="0"/>
        <v>7101</v>
      </c>
      <c r="L20" s="137">
        <f t="shared" si="1"/>
        <v>9115</v>
      </c>
      <c r="M20" s="137">
        <f t="shared" si="2"/>
        <v>3147</v>
      </c>
      <c r="N20" s="137">
        <f t="shared" si="3"/>
        <v>5332</v>
      </c>
      <c r="O20" s="137">
        <f t="shared" si="4"/>
        <v>3293</v>
      </c>
      <c r="P20" s="137">
        <f t="shared" si="33"/>
        <v>12413</v>
      </c>
      <c r="Q20" s="137">
        <f>'2001'!AU20</f>
        <v>12305</v>
      </c>
      <c r="R20" s="137">
        <f>AT20+AX20</f>
        <v>40176</v>
      </c>
      <c r="S20" s="137">
        <f t="shared" si="6"/>
        <v>13410</v>
      </c>
      <c r="T20" s="137">
        <f t="shared" si="7"/>
        <v>2675</v>
      </c>
      <c r="U20" s="139">
        <f t="shared" si="8"/>
        <v>4461</v>
      </c>
      <c r="V20" s="137">
        <f>BG20+BJ20</f>
        <v>7502</v>
      </c>
      <c r="W20" s="137">
        <f t="shared" si="10"/>
        <v>2802</v>
      </c>
      <c r="X20" s="137">
        <f>BH20+BI20</f>
        <v>20657</v>
      </c>
      <c r="Y20" s="137">
        <f>BK20+BL20+BN20</f>
        <v>28381</v>
      </c>
      <c r="Z20" s="137">
        <f t="shared" si="13"/>
        <v>2987</v>
      </c>
      <c r="AA20" s="137">
        <f>BO20+BQ20</f>
        <v>6944</v>
      </c>
      <c r="AB20" s="139">
        <f t="shared" si="15"/>
        <v>2735</v>
      </c>
      <c r="AC20" s="137">
        <f t="shared" si="16"/>
        <v>5184</v>
      </c>
      <c r="AD20" s="137">
        <f t="shared" si="17"/>
        <v>2807</v>
      </c>
      <c r="AE20" s="137">
        <f>BS20+BT20</f>
        <v>10755</v>
      </c>
      <c r="AF20" s="137">
        <f t="shared" si="19"/>
        <v>4760</v>
      </c>
      <c r="AG20" s="137">
        <f t="shared" si="20"/>
        <v>10247</v>
      </c>
      <c r="AH20" s="137">
        <f t="shared" si="21"/>
        <v>6205</v>
      </c>
      <c r="AI20" s="137">
        <f t="shared" si="22"/>
        <v>3538</v>
      </c>
      <c r="AJ20" s="137">
        <f t="shared" si="23"/>
        <v>3311</v>
      </c>
      <c r="AK20" s="139">
        <f t="shared" si="24"/>
        <v>3301</v>
      </c>
      <c r="AL20" s="137">
        <f t="shared" si="25"/>
        <v>4382</v>
      </c>
      <c r="AM20" s="137">
        <f t="shared" si="26"/>
        <v>4489</v>
      </c>
      <c r="AN20" s="137">
        <f t="shared" si="27"/>
        <v>6621</v>
      </c>
      <c r="AO20" s="137">
        <f t="shared" si="28"/>
        <v>6719</v>
      </c>
      <c r="AP20" s="137">
        <f t="shared" si="29"/>
        <v>4231</v>
      </c>
      <c r="AQ20" s="137">
        <f t="shared" si="30"/>
        <v>2840</v>
      </c>
      <c r="AR20" s="137">
        <f t="shared" si="31"/>
        <v>5381</v>
      </c>
      <c r="AS20" s="138">
        <f>CF20+CG20</f>
        <v>8753</v>
      </c>
      <c r="AT20" s="141">
        <v>27854</v>
      </c>
      <c r="AU20" s="141">
        <v>12305</v>
      </c>
      <c r="AV20" s="141">
        <v>13410</v>
      </c>
      <c r="AW20" s="141">
        <v>5332</v>
      </c>
      <c r="AX20" s="141">
        <v>12322</v>
      </c>
      <c r="AY20" s="137">
        <v>9115</v>
      </c>
      <c r="AZ20" s="137">
        <v>5215</v>
      </c>
      <c r="BA20" s="137">
        <v>7198</v>
      </c>
      <c r="BB20" s="137">
        <v>2675</v>
      </c>
      <c r="BC20" s="137">
        <v>4461</v>
      </c>
      <c r="BD20" s="137">
        <v>3147</v>
      </c>
      <c r="BE20" s="137">
        <v>3293</v>
      </c>
      <c r="BF20" s="139">
        <v>7101</v>
      </c>
      <c r="BG20" s="137">
        <v>1760</v>
      </c>
      <c r="BH20" s="137">
        <v>11206</v>
      </c>
      <c r="BI20" s="137">
        <v>9451</v>
      </c>
      <c r="BJ20" s="137">
        <v>5742</v>
      </c>
      <c r="BK20" s="137">
        <v>5280</v>
      </c>
      <c r="BL20" s="137">
        <v>12087</v>
      </c>
      <c r="BM20" s="137">
        <v>2987</v>
      </c>
      <c r="BN20" s="137">
        <v>11014</v>
      </c>
      <c r="BO20" s="137">
        <v>3409</v>
      </c>
      <c r="BP20" s="137">
        <v>2735</v>
      </c>
      <c r="BQ20" s="137">
        <v>3535</v>
      </c>
      <c r="BR20" s="139">
        <v>2802</v>
      </c>
      <c r="BS20" s="137">
        <v>6383</v>
      </c>
      <c r="BT20" s="137">
        <v>4372</v>
      </c>
      <c r="BU20" s="137">
        <v>2807</v>
      </c>
      <c r="BV20" s="137">
        <v>10247</v>
      </c>
      <c r="BW20" s="137">
        <v>3538</v>
      </c>
      <c r="BX20" s="137">
        <v>5184</v>
      </c>
      <c r="BY20" s="137">
        <v>3311</v>
      </c>
      <c r="BZ20" s="137">
        <v>6205</v>
      </c>
      <c r="CA20" s="137">
        <v>4760</v>
      </c>
      <c r="CB20" s="139">
        <v>3301</v>
      </c>
      <c r="CC20" s="137">
        <v>6719</v>
      </c>
      <c r="CD20" s="137">
        <v>4231</v>
      </c>
      <c r="CE20" s="137">
        <v>4382</v>
      </c>
      <c r="CF20" s="137">
        <v>5136</v>
      </c>
      <c r="CG20" s="137">
        <v>3617</v>
      </c>
      <c r="CH20" s="137">
        <v>4489</v>
      </c>
      <c r="CI20" s="137">
        <v>5381</v>
      </c>
      <c r="CJ20" s="137">
        <v>6621</v>
      </c>
      <c r="CK20" s="138">
        <v>2840</v>
      </c>
      <c r="CL20" s="140">
        <v>278958</v>
      </c>
    </row>
    <row r="21" spans="1:90">
      <c r="A21" s="80">
        <f>ROWS($A$3:A19)</f>
        <v>17</v>
      </c>
      <c r="B21" s="53" t="s">
        <v>62</v>
      </c>
      <c r="C21" s="261"/>
      <c r="D21" s="268" t="s">
        <v>3</v>
      </c>
      <c r="E21" s="269"/>
      <c r="F21" s="167">
        <f>F119/F20%</f>
        <v>0.92835857739848004</v>
      </c>
      <c r="G21" s="168">
        <f>G119/G20%</f>
        <v>0.65132556557001398</v>
      </c>
      <c r="H21" s="168">
        <f>H119/H20%</f>
        <v>1.3131373605539924</v>
      </c>
      <c r="I21" s="169">
        <f>I119/I20%</f>
        <v>1.5432098765432098</v>
      </c>
      <c r="J21" s="173"/>
      <c r="K21" s="167">
        <f t="shared" ref="K21:AP21" si="35">K119/K20%</f>
        <v>1.7039853541754681</v>
      </c>
      <c r="L21" s="168">
        <f t="shared" si="35"/>
        <v>1.02029621503017</v>
      </c>
      <c r="M21" s="168">
        <f t="shared" si="35"/>
        <v>2.9234191293295204</v>
      </c>
      <c r="N21" s="168">
        <f t="shared" si="35"/>
        <v>0.86271567891972989</v>
      </c>
      <c r="O21" s="168">
        <f t="shared" si="35"/>
        <v>1.3361676283024597</v>
      </c>
      <c r="P21" s="168">
        <f t="shared" si="35"/>
        <v>1.256746958833481</v>
      </c>
      <c r="Q21" s="168">
        <f t="shared" si="35"/>
        <v>0.39008533116619259</v>
      </c>
      <c r="R21" s="168">
        <f t="shared" si="35"/>
        <v>0.41816009557945044</v>
      </c>
      <c r="S21" s="168">
        <f t="shared" si="35"/>
        <v>0.4921700223713647</v>
      </c>
      <c r="T21" s="168">
        <f t="shared" si="35"/>
        <v>3.2149532710280373</v>
      </c>
      <c r="U21" s="176">
        <f t="shared" si="35"/>
        <v>3.0038108047522978</v>
      </c>
      <c r="V21" s="168">
        <f t="shared" si="35"/>
        <v>0.73313782991202348</v>
      </c>
      <c r="W21" s="168">
        <f t="shared" si="35"/>
        <v>1.4275517487508922</v>
      </c>
      <c r="X21" s="168">
        <f t="shared" si="35"/>
        <v>0.44052863436123352</v>
      </c>
      <c r="Y21" s="168">
        <f t="shared" si="35"/>
        <v>0.45452943870899543</v>
      </c>
      <c r="Z21" s="168">
        <f t="shared" si="35"/>
        <v>2.0756611985269502</v>
      </c>
      <c r="AA21" s="168">
        <f t="shared" si="35"/>
        <v>0.63364055299539168</v>
      </c>
      <c r="AB21" s="176">
        <f t="shared" si="35"/>
        <v>1.7915904936014624</v>
      </c>
      <c r="AC21" s="168">
        <f t="shared" si="35"/>
        <v>1.0223765432098764</v>
      </c>
      <c r="AD21" s="168">
        <f t="shared" si="35"/>
        <v>1.9950124688279303</v>
      </c>
      <c r="AE21" s="168">
        <f t="shared" si="35"/>
        <v>1.3296141329614133</v>
      </c>
      <c r="AF21" s="168">
        <f t="shared" si="35"/>
        <v>0.90336134453781514</v>
      </c>
      <c r="AG21" s="168">
        <f t="shared" si="35"/>
        <v>1.4150483068215087</v>
      </c>
      <c r="AH21" s="168">
        <f t="shared" si="35"/>
        <v>1.4987912973408541</v>
      </c>
      <c r="AI21" s="168">
        <f t="shared" si="35"/>
        <v>1.187111362351611</v>
      </c>
      <c r="AJ21" s="168">
        <f t="shared" si="35"/>
        <v>0.96647538508003628</v>
      </c>
      <c r="AK21" s="176">
        <f t="shared" si="35"/>
        <v>1.514692517418964</v>
      </c>
      <c r="AL21" s="168">
        <f t="shared" si="35"/>
        <v>0.95846645367412142</v>
      </c>
      <c r="AM21" s="168">
        <f t="shared" si="35"/>
        <v>2.5840944531075962</v>
      </c>
      <c r="AN21" s="168">
        <f t="shared" si="35"/>
        <v>2.2957257211901529</v>
      </c>
      <c r="AO21" s="168">
        <f t="shared" si="35"/>
        <v>0.93763952969191844</v>
      </c>
      <c r="AP21" s="168">
        <f t="shared" si="35"/>
        <v>0.73268730796502002</v>
      </c>
      <c r="AQ21" s="168">
        <f t="shared" ref="AQ21:BV21" si="36">AQ119/AQ20%</f>
        <v>2.4295774647887325</v>
      </c>
      <c r="AR21" s="168">
        <f t="shared" si="36"/>
        <v>1.6353837576658612</v>
      </c>
      <c r="AS21" s="169">
        <f t="shared" si="36"/>
        <v>1.2452873300582656</v>
      </c>
      <c r="AT21" s="168">
        <f t="shared" si="36"/>
        <v>0.18668772887197529</v>
      </c>
      <c r="AU21" s="168">
        <f t="shared" si="36"/>
        <v>0.39008533116619259</v>
      </c>
      <c r="AV21" s="168">
        <f t="shared" si="36"/>
        <v>0.4921700223713647</v>
      </c>
      <c r="AW21" s="168">
        <f t="shared" si="36"/>
        <v>0.86271567891972989</v>
      </c>
      <c r="AX21" s="168">
        <f t="shared" si="36"/>
        <v>0.94140561597143324</v>
      </c>
      <c r="AY21" s="168">
        <f t="shared" si="36"/>
        <v>1.02029621503017</v>
      </c>
      <c r="AZ21" s="168">
        <f t="shared" si="36"/>
        <v>0.4218600191754554</v>
      </c>
      <c r="BA21" s="168">
        <f t="shared" si="36"/>
        <v>1.8616282300639064</v>
      </c>
      <c r="BB21" s="168">
        <f t="shared" si="36"/>
        <v>3.2149532710280373</v>
      </c>
      <c r="BC21" s="168">
        <f t="shared" si="36"/>
        <v>3.0038108047522978</v>
      </c>
      <c r="BD21" s="168">
        <f t="shared" si="36"/>
        <v>2.9234191293295204</v>
      </c>
      <c r="BE21" s="168">
        <f t="shared" si="36"/>
        <v>1.3361676283024597</v>
      </c>
      <c r="BF21" s="176">
        <f t="shared" si="36"/>
        <v>1.7039853541754681</v>
      </c>
      <c r="BG21" s="168">
        <f t="shared" si="36"/>
        <v>0.68181818181818177</v>
      </c>
      <c r="BH21" s="168">
        <f t="shared" si="36"/>
        <v>0.16062823487417455</v>
      </c>
      <c r="BI21" s="168">
        <f t="shared" si="36"/>
        <v>0.77240503650407355</v>
      </c>
      <c r="BJ21" s="168">
        <f t="shared" si="36"/>
        <v>0.74886799024730055</v>
      </c>
      <c r="BK21" s="168">
        <f t="shared" si="36"/>
        <v>0.30303030303030304</v>
      </c>
      <c r="BL21" s="168">
        <f t="shared" si="36"/>
        <v>0.19856043683296101</v>
      </c>
      <c r="BM21" s="168">
        <f t="shared" si="36"/>
        <v>2.0756611985269502</v>
      </c>
      <c r="BN21" s="168">
        <f t="shared" si="36"/>
        <v>0.80806246595242415</v>
      </c>
      <c r="BO21" s="168">
        <f t="shared" si="36"/>
        <v>0.2933411557641537</v>
      </c>
      <c r="BP21" s="168">
        <f t="shared" si="36"/>
        <v>1.7915904936014624</v>
      </c>
      <c r="BQ21" s="168">
        <f t="shared" si="36"/>
        <v>0.96181046676096182</v>
      </c>
      <c r="BR21" s="176">
        <f t="shared" si="36"/>
        <v>1.4275517487508922</v>
      </c>
      <c r="BS21" s="168">
        <f t="shared" si="36"/>
        <v>0.34466551778160742</v>
      </c>
      <c r="BT21" s="168">
        <f t="shared" si="36"/>
        <v>2.7676120768526991</v>
      </c>
      <c r="BU21" s="168">
        <f t="shared" si="36"/>
        <v>1.9950124688279303</v>
      </c>
      <c r="BV21" s="168">
        <f t="shared" si="36"/>
        <v>1.4150483068215087</v>
      </c>
      <c r="BW21" s="168">
        <f t="shared" ref="BW21:CL21" si="37">BW119/BW20%</f>
        <v>1.187111362351611</v>
      </c>
      <c r="BX21" s="168">
        <f t="shared" si="37"/>
        <v>1.0223765432098764</v>
      </c>
      <c r="BY21" s="168">
        <f t="shared" si="37"/>
        <v>0.96647538508003628</v>
      </c>
      <c r="BZ21" s="168">
        <f t="shared" si="37"/>
        <v>1.4987912973408541</v>
      </c>
      <c r="CA21" s="168">
        <f t="shared" si="37"/>
        <v>0.90336134453781514</v>
      </c>
      <c r="CB21" s="176">
        <f t="shared" si="37"/>
        <v>1.514692517418964</v>
      </c>
      <c r="CC21" s="168">
        <f t="shared" si="37"/>
        <v>0.93763952969191844</v>
      </c>
      <c r="CD21" s="168">
        <f t="shared" si="37"/>
        <v>0.73268730796502002</v>
      </c>
      <c r="CE21" s="168">
        <f t="shared" si="37"/>
        <v>0.95846645367412142</v>
      </c>
      <c r="CF21" s="168">
        <f t="shared" si="37"/>
        <v>0.29205607476635514</v>
      </c>
      <c r="CG21" s="168">
        <f t="shared" si="37"/>
        <v>2.5988388166989216</v>
      </c>
      <c r="CH21" s="168">
        <f t="shared" si="37"/>
        <v>2.5840944531075962</v>
      </c>
      <c r="CI21" s="168">
        <f t="shared" si="37"/>
        <v>1.6353837576658612</v>
      </c>
      <c r="CJ21" s="168">
        <f t="shared" si="37"/>
        <v>2.2957257211901529</v>
      </c>
      <c r="CK21" s="169">
        <f t="shared" si="37"/>
        <v>2.4295774647887325</v>
      </c>
      <c r="CL21" s="177">
        <f t="shared" si="37"/>
        <v>1.021659174499387</v>
      </c>
    </row>
    <row r="22" spans="1:90">
      <c r="A22" s="80">
        <f>ROWS($A$3:A20)</f>
        <v>18</v>
      </c>
      <c r="B22" s="59" t="s">
        <v>66</v>
      </c>
      <c r="C22" s="201"/>
      <c r="D22" s="268"/>
      <c r="E22" s="269"/>
      <c r="F22" s="116"/>
      <c r="G22" s="137"/>
      <c r="H22" s="137"/>
      <c r="I22" s="138"/>
      <c r="J22" s="141"/>
      <c r="K22" s="116"/>
      <c r="L22" s="137"/>
      <c r="M22" s="137"/>
      <c r="N22" s="137"/>
      <c r="O22" s="137"/>
      <c r="P22" s="137"/>
      <c r="Q22" s="137">
        <f>'2001'!AU22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c r="A23" s="80">
        <f>ROWS($A$3:A21)</f>
        <v>19</v>
      </c>
      <c r="B23" s="52" t="s">
        <v>253</v>
      </c>
      <c r="C23" s="204">
        <v>2001</v>
      </c>
      <c r="D23" s="268" t="s">
        <v>13</v>
      </c>
      <c r="E23" s="256">
        <v>40683</v>
      </c>
      <c r="F23" s="116">
        <v>23131</v>
      </c>
      <c r="G23" s="137">
        <v>8567</v>
      </c>
      <c r="H23" s="137">
        <v>22678</v>
      </c>
      <c r="I23" s="138">
        <v>17405</v>
      </c>
      <c r="J23" s="141"/>
      <c r="K23" s="116">
        <f>BF23</f>
        <v>2844</v>
      </c>
      <c r="L23" s="137">
        <f>AY23</f>
        <v>2243</v>
      </c>
      <c r="M23" s="137">
        <f>BD23</f>
        <v>2455</v>
      </c>
      <c r="N23" s="137">
        <f>AW23</f>
        <v>1138</v>
      </c>
      <c r="O23" s="137">
        <f>BE23</f>
        <v>795</v>
      </c>
      <c r="P23" s="137">
        <f>'2001'!AZ23+'2001'!BA23</f>
        <v>3834</v>
      </c>
      <c r="Q23" s="137">
        <f>'2001'!AU23</f>
        <v>1034</v>
      </c>
      <c r="R23" s="137">
        <f t="shared" ref="R23:R29" si="38">AT23+AX23</f>
        <v>2648</v>
      </c>
      <c r="S23" s="137">
        <f>AV23</f>
        <v>1157</v>
      </c>
      <c r="T23" s="137">
        <f t="shared" ref="T23:U26" si="39">BB23</f>
        <v>1957</v>
      </c>
      <c r="U23" s="139">
        <f t="shared" si="39"/>
        <v>3026</v>
      </c>
      <c r="V23" s="137">
        <f t="shared" ref="V23:V29" si="40">BG23+BJ23</f>
        <v>1341</v>
      </c>
      <c r="W23" s="137">
        <f>BR23</f>
        <v>1023</v>
      </c>
      <c r="X23" s="137">
        <f t="shared" ref="X23:X29" si="41">BH23+BI23</f>
        <v>1442</v>
      </c>
      <c r="Y23" s="137">
        <f t="shared" ref="Y23:Y29" si="42">BK23+BL23+BN23</f>
        <v>1728</v>
      </c>
      <c r="Z23" s="137">
        <f>BM23</f>
        <v>1418</v>
      </c>
      <c r="AA23" s="137">
        <f t="shared" ref="AA23:AA29" si="43">BO23+BQ23</f>
        <v>717</v>
      </c>
      <c r="AB23" s="139">
        <f>BP23</f>
        <v>898</v>
      </c>
      <c r="AC23" s="137">
        <f>BX23</f>
        <v>1601</v>
      </c>
      <c r="AD23" s="137">
        <f>BU23</f>
        <v>2643</v>
      </c>
      <c r="AE23" s="137">
        <f t="shared" ref="AE23:AE29" si="44">BS23+BT23</f>
        <v>5106</v>
      </c>
      <c r="AF23" s="137">
        <f>CA23</f>
        <v>1727</v>
      </c>
      <c r="AG23" s="137">
        <f>BV23</f>
        <v>5970</v>
      </c>
      <c r="AH23" s="137">
        <f>BZ23</f>
        <v>1379</v>
      </c>
      <c r="AI23" s="137">
        <f>BW23</f>
        <v>1395</v>
      </c>
      <c r="AJ23" s="137">
        <f>BY23</f>
        <v>753</v>
      </c>
      <c r="AK23" s="139">
        <f>CB23</f>
        <v>2104</v>
      </c>
      <c r="AL23" s="137">
        <f>CE23</f>
        <v>1287</v>
      </c>
      <c r="AM23" s="137">
        <f>CH23</f>
        <v>2727</v>
      </c>
      <c r="AN23" s="137">
        <f>CJ23</f>
        <v>3675</v>
      </c>
      <c r="AO23" s="137">
        <f t="shared" ref="AO23:AP26" si="45">CC23</f>
        <v>1714</v>
      </c>
      <c r="AP23" s="137">
        <f t="shared" si="45"/>
        <v>740</v>
      </c>
      <c r="AQ23" s="137">
        <f>CK23</f>
        <v>1997</v>
      </c>
      <c r="AR23" s="137">
        <f>CI23</f>
        <v>2311</v>
      </c>
      <c r="AS23" s="138">
        <f t="shared" ref="AS23:AS29" si="46">CF23+CG23</f>
        <v>2954</v>
      </c>
      <c r="AT23" s="137">
        <v>316</v>
      </c>
      <c r="AU23" s="137">
        <v>1034</v>
      </c>
      <c r="AV23" s="137">
        <v>1157</v>
      </c>
      <c r="AW23" s="141">
        <v>1138</v>
      </c>
      <c r="AX23" s="137">
        <v>2332</v>
      </c>
      <c r="AY23" s="137">
        <v>2243</v>
      </c>
      <c r="AZ23" s="137">
        <v>258</v>
      </c>
      <c r="BA23" s="137">
        <v>3576</v>
      </c>
      <c r="BB23" s="137">
        <v>1957</v>
      </c>
      <c r="BC23" s="137">
        <v>3026</v>
      </c>
      <c r="BD23" s="137">
        <v>2455</v>
      </c>
      <c r="BE23" s="137">
        <v>795</v>
      </c>
      <c r="BF23" s="139">
        <v>2844</v>
      </c>
      <c r="BG23" s="137">
        <v>254</v>
      </c>
      <c r="BH23" s="137">
        <v>112</v>
      </c>
      <c r="BI23" s="137">
        <v>1330</v>
      </c>
      <c r="BJ23" s="137">
        <v>1087</v>
      </c>
      <c r="BK23" s="137">
        <v>122</v>
      </c>
      <c r="BL23" s="137">
        <v>105</v>
      </c>
      <c r="BM23" s="137">
        <v>1418</v>
      </c>
      <c r="BN23" s="137">
        <v>1501</v>
      </c>
      <c r="BO23" s="137">
        <v>47</v>
      </c>
      <c r="BP23" s="137">
        <v>898</v>
      </c>
      <c r="BQ23" s="137">
        <v>670</v>
      </c>
      <c r="BR23" s="139">
        <v>1023</v>
      </c>
      <c r="BS23" s="137">
        <v>352</v>
      </c>
      <c r="BT23" s="137">
        <v>4754</v>
      </c>
      <c r="BU23" s="137">
        <v>2643</v>
      </c>
      <c r="BV23" s="137">
        <v>5970</v>
      </c>
      <c r="BW23" s="137">
        <v>1395</v>
      </c>
      <c r="BX23" s="137">
        <v>1601</v>
      </c>
      <c r="BY23" s="137">
        <v>753</v>
      </c>
      <c r="BZ23" s="137">
        <v>1379</v>
      </c>
      <c r="CA23" s="137">
        <v>1727</v>
      </c>
      <c r="CB23" s="139">
        <v>2104</v>
      </c>
      <c r="CC23" s="137">
        <v>1714</v>
      </c>
      <c r="CD23" s="137">
        <v>740</v>
      </c>
      <c r="CE23" s="137">
        <v>1287</v>
      </c>
      <c r="CF23" s="137">
        <v>179</v>
      </c>
      <c r="CG23" s="137">
        <v>2775</v>
      </c>
      <c r="CH23" s="137">
        <v>2727</v>
      </c>
      <c r="CI23" s="137">
        <v>2311</v>
      </c>
      <c r="CJ23" s="137">
        <v>3675</v>
      </c>
      <c r="CK23" s="138">
        <v>1997</v>
      </c>
      <c r="CL23" s="140">
        <v>71781</v>
      </c>
    </row>
    <row r="24" spans="1:90">
      <c r="A24" s="80">
        <f>ROWS($A$3:A22)</f>
        <v>20</v>
      </c>
      <c r="B24" s="52" t="s">
        <v>249</v>
      </c>
      <c r="C24" s="201"/>
      <c r="D24" s="268" t="s">
        <v>13</v>
      </c>
      <c r="E24" s="269"/>
      <c r="F24" s="116">
        <f>4763+3632</f>
        <v>8395</v>
      </c>
      <c r="G24" s="137">
        <f>1651+1830</f>
        <v>3481</v>
      </c>
      <c r="H24" s="137">
        <f>5474+4823</f>
        <v>10297</v>
      </c>
      <c r="I24" s="138">
        <f>872+2817</f>
        <v>3689</v>
      </c>
      <c r="J24" s="141"/>
      <c r="K24" s="116">
        <f>BF24</f>
        <v>566</v>
      </c>
      <c r="L24" s="137">
        <f>AY24</f>
        <v>1206</v>
      </c>
      <c r="M24" s="137">
        <f>BD24</f>
        <v>604</v>
      </c>
      <c r="N24" s="137">
        <f>AW24</f>
        <v>284</v>
      </c>
      <c r="O24" s="137">
        <f>BE24</f>
        <v>126</v>
      </c>
      <c r="P24" s="137">
        <f>'2001'!AZ24+'2001'!BA24</f>
        <v>2081</v>
      </c>
      <c r="Q24" s="137">
        <f>'2001'!AU24</f>
        <v>312</v>
      </c>
      <c r="R24" s="137">
        <f t="shared" si="38"/>
        <v>1545</v>
      </c>
      <c r="S24" s="137">
        <f>AV24</f>
        <v>498</v>
      </c>
      <c r="T24" s="137">
        <f t="shared" si="39"/>
        <v>663</v>
      </c>
      <c r="U24" s="139">
        <f t="shared" si="39"/>
        <v>510</v>
      </c>
      <c r="V24" s="137">
        <f t="shared" si="40"/>
        <v>942</v>
      </c>
      <c r="W24" s="137">
        <f>BR24</f>
        <v>391</v>
      </c>
      <c r="X24" s="137">
        <f t="shared" si="41"/>
        <v>642</v>
      </c>
      <c r="Y24" s="137">
        <f t="shared" si="42"/>
        <v>605</v>
      </c>
      <c r="Z24" s="137">
        <f>BM24</f>
        <v>318</v>
      </c>
      <c r="AA24" s="137">
        <f t="shared" si="43"/>
        <v>259</v>
      </c>
      <c r="AB24" s="139">
        <f>BP24</f>
        <v>324</v>
      </c>
      <c r="AC24" s="137">
        <f>BX24</f>
        <v>325</v>
      </c>
      <c r="AD24" s="137">
        <f>BU24</f>
        <v>1587</v>
      </c>
      <c r="AE24" s="137">
        <f t="shared" si="44"/>
        <v>2926</v>
      </c>
      <c r="AF24" s="137">
        <f>CA24</f>
        <v>654</v>
      </c>
      <c r="AG24" s="137">
        <f>BV24</f>
        <v>3242</v>
      </c>
      <c r="AH24" s="137">
        <f>BZ24</f>
        <v>460</v>
      </c>
      <c r="AI24" s="137">
        <f>BW24</f>
        <v>406</v>
      </c>
      <c r="AJ24" s="137">
        <f>BY24</f>
        <v>153</v>
      </c>
      <c r="AK24" s="139">
        <f>CB24</f>
        <v>544</v>
      </c>
      <c r="AL24" s="137">
        <f>CE24</f>
        <v>361</v>
      </c>
      <c r="AM24" s="137">
        <f>CH24</f>
        <v>419</v>
      </c>
      <c r="AN24" s="137">
        <f>CJ24</f>
        <v>635</v>
      </c>
      <c r="AO24" s="137">
        <f t="shared" si="45"/>
        <v>418</v>
      </c>
      <c r="AP24" s="137">
        <f t="shared" si="45"/>
        <v>243</v>
      </c>
      <c r="AQ24" s="137">
        <f>CK24</f>
        <v>374</v>
      </c>
      <c r="AR24" s="137">
        <f>CI24</f>
        <v>824</v>
      </c>
      <c r="AS24" s="138">
        <f t="shared" si="46"/>
        <v>415</v>
      </c>
      <c r="AT24" s="137">
        <f>150+68</f>
        <v>218</v>
      </c>
      <c r="AU24" s="137">
        <f>124+188</f>
        <v>312</v>
      </c>
      <c r="AV24" s="137">
        <f>205+293</f>
        <v>498</v>
      </c>
      <c r="AW24" s="141">
        <f>105+179</f>
        <v>284</v>
      </c>
      <c r="AX24" s="137">
        <f>1055+272</f>
        <v>1327</v>
      </c>
      <c r="AY24" s="137">
        <f>630+576</f>
        <v>1206</v>
      </c>
      <c r="AZ24" s="137">
        <f>59+37</f>
        <v>96</v>
      </c>
      <c r="BA24" s="137">
        <f>1543+442</f>
        <v>1985</v>
      </c>
      <c r="BB24" s="137">
        <f>326+337</f>
        <v>663</v>
      </c>
      <c r="BC24" s="137">
        <f>77+433</f>
        <v>510</v>
      </c>
      <c r="BD24" s="137">
        <f>338+266</f>
        <v>604</v>
      </c>
      <c r="BE24" s="137">
        <v>126</v>
      </c>
      <c r="BF24" s="139">
        <f>106+460</f>
        <v>566</v>
      </c>
      <c r="BG24" s="137">
        <v>209</v>
      </c>
      <c r="BH24" s="137">
        <v>49</v>
      </c>
      <c r="BI24" s="137">
        <f>337+256</f>
        <v>593</v>
      </c>
      <c r="BJ24" s="137">
        <f>512+221</f>
        <v>733</v>
      </c>
      <c r="BK24" s="137">
        <v>54</v>
      </c>
      <c r="BL24" s="137">
        <v>31</v>
      </c>
      <c r="BM24" s="137">
        <f>45+273</f>
        <v>318</v>
      </c>
      <c r="BN24" s="137">
        <f>312+208</f>
        <v>520</v>
      </c>
      <c r="BO24" s="137">
        <v>26</v>
      </c>
      <c r="BP24" s="137">
        <f>37+287</f>
        <v>324</v>
      </c>
      <c r="BQ24" s="137">
        <f>233</f>
        <v>233</v>
      </c>
      <c r="BR24" s="139">
        <f>30+361</f>
        <v>391</v>
      </c>
      <c r="BS24" s="137">
        <f>181+53</f>
        <v>234</v>
      </c>
      <c r="BT24" s="137">
        <f>1941+751</f>
        <v>2692</v>
      </c>
      <c r="BU24" s="137">
        <f>1086+501</f>
        <v>1587</v>
      </c>
      <c r="BV24" s="137">
        <f>1568+1674</f>
        <v>3242</v>
      </c>
      <c r="BW24" s="137">
        <f>34+372</f>
        <v>406</v>
      </c>
      <c r="BX24" s="137">
        <f>29+296</f>
        <v>325</v>
      </c>
      <c r="BY24" s="137">
        <f>14+139</f>
        <v>153</v>
      </c>
      <c r="BZ24" s="137">
        <f>237+223</f>
        <v>460</v>
      </c>
      <c r="CA24" s="137">
        <f>317+337</f>
        <v>654</v>
      </c>
      <c r="CB24" s="139">
        <f>67+477</f>
        <v>544</v>
      </c>
      <c r="CC24" s="137">
        <f>91+327</f>
        <v>418</v>
      </c>
      <c r="CD24" s="137">
        <f>58+185</f>
        <v>243</v>
      </c>
      <c r="CE24" s="137">
        <f>37+324</f>
        <v>361</v>
      </c>
      <c r="CF24" s="137">
        <v>41</v>
      </c>
      <c r="CG24" s="137">
        <f>91+283</f>
        <v>374</v>
      </c>
      <c r="CH24" s="137">
        <f>80+339</f>
        <v>419</v>
      </c>
      <c r="CI24" s="137">
        <f>327+497</f>
        <v>824</v>
      </c>
      <c r="CJ24" s="137">
        <f>120+515</f>
        <v>635</v>
      </c>
      <c r="CK24" s="138">
        <f>52+322</f>
        <v>374</v>
      </c>
      <c r="CL24" s="140">
        <f>12760+13102</f>
        <v>25862</v>
      </c>
    </row>
    <row r="25" spans="1:90">
      <c r="A25" s="80">
        <f>ROWS($A$3:A23)</f>
        <v>21</v>
      </c>
      <c r="B25" s="52" t="s">
        <v>250</v>
      </c>
      <c r="C25" s="201"/>
      <c r="D25" s="268" t="s">
        <v>13</v>
      </c>
      <c r="E25" s="269"/>
      <c r="F25" s="116">
        <v>3205</v>
      </c>
      <c r="G25" s="137">
        <v>1293</v>
      </c>
      <c r="H25" s="137">
        <v>4117</v>
      </c>
      <c r="I25" s="138">
        <v>2788</v>
      </c>
      <c r="J25" s="141"/>
      <c r="K25" s="116">
        <f>BF25</f>
        <v>517</v>
      </c>
      <c r="L25" s="137">
        <f>AY25</f>
        <v>333</v>
      </c>
      <c r="M25" s="137">
        <f>BD25</f>
        <v>330</v>
      </c>
      <c r="N25" s="137">
        <f>AW25</f>
        <v>175</v>
      </c>
      <c r="O25" s="137">
        <f>BE25</f>
        <v>96</v>
      </c>
      <c r="P25" s="137">
        <f>'2001'!AZ25+'2001'!BA25</f>
        <v>427</v>
      </c>
      <c r="Q25" s="137">
        <f>'2001'!AU25</f>
        <v>182</v>
      </c>
      <c r="R25" s="137">
        <f t="shared" si="38"/>
        <v>214</v>
      </c>
      <c r="S25" s="137">
        <f>AV25</f>
        <v>188</v>
      </c>
      <c r="T25" s="137">
        <f t="shared" si="39"/>
        <v>284</v>
      </c>
      <c r="U25" s="139">
        <f t="shared" si="39"/>
        <v>459</v>
      </c>
      <c r="V25" s="137">
        <f t="shared" si="40"/>
        <v>145</v>
      </c>
      <c r="W25" s="137">
        <f>BR25</f>
        <v>218</v>
      </c>
      <c r="X25" s="137">
        <f t="shared" si="41"/>
        <v>180</v>
      </c>
      <c r="Y25" s="137">
        <f t="shared" si="42"/>
        <v>210</v>
      </c>
      <c r="Z25" s="137">
        <f>BM25</f>
        <v>228</v>
      </c>
      <c r="AA25" s="137">
        <f t="shared" si="43"/>
        <v>96</v>
      </c>
      <c r="AB25" s="139">
        <f>BP25</f>
        <v>216</v>
      </c>
      <c r="AC25" s="137">
        <f>BX25</f>
        <v>325</v>
      </c>
      <c r="AD25" s="137">
        <f>BU25</f>
        <v>369</v>
      </c>
      <c r="AE25" s="137">
        <f t="shared" si="44"/>
        <v>695</v>
      </c>
      <c r="AF25" s="137">
        <f>CA25</f>
        <v>336</v>
      </c>
      <c r="AG25" s="137">
        <f>BV25</f>
        <v>1215</v>
      </c>
      <c r="AH25" s="137">
        <f>BZ25</f>
        <v>193</v>
      </c>
      <c r="AI25" s="137">
        <f>BW25</f>
        <v>314</v>
      </c>
      <c r="AJ25" s="137">
        <f>BY25</f>
        <v>158</v>
      </c>
      <c r="AK25" s="139">
        <f>CB25</f>
        <v>512</v>
      </c>
      <c r="AL25" s="137">
        <f>CE25</f>
        <v>277</v>
      </c>
      <c r="AM25" s="137">
        <f>CH25</f>
        <v>366</v>
      </c>
      <c r="AN25" s="137">
        <f>CJ25</f>
        <v>446</v>
      </c>
      <c r="AO25" s="137">
        <f t="shared" si="45"/>
        <v>330</v>
      </c>
      <c r="AP25" s="137">
        <f t="shared" si="45"/>
        <v>140</v>
      </c>
      <c r="AQ25" s="137">
        <f>CK25</f>
        <v>359</v>
      </c>
      <c r="AR25" s="137">
        <f>CI25</f>
        <v>416</v>
      </c>
      <c r="AS25" s="138">
        <f t="shared" si="46"/>
        <v>454</v>
      </c>
      <c r="AT25" s="137">
        <v>44</v>
      </c>
      <c r="AU25" s="137">
        <v>182</v>
      </c>
      <c r="AV25" s="137">
        <v>188</v>
      </c>
      <c r="AW25" s="141">
        <v>175</v>
      </c>
      <c r="AX25" s="137">
        <v>170</v>
      </c>
      <c r="AY25" s="137">
        <v>333</v>
      </c>
      <c r="AZ25" s="137">
        <v>60</v>
      </c>
      <c r="BA25" s="137">
        <f>367</f>
        <v>367</v>
      </c>
      <c r="BB25" s="137">
        <v>284</v>
      </c>
      <c r="BC25" s="137">
        <v>459</v>
      </c>
      <c r="BD25" s="137">
        <v>330</v>
      </c>
      <c r="BE25" s="137">
        <v>96</v>
      </c>
      <c r="BF25" s="139">
        <v>517</v>
      </c>
      <c r="BG25" s="137">
        <v>22</v>
      </c>
      <c r="BH25" s="137">
        <v>20</v>
      </c>
      <c r="BI25" s="137">
        <v>160</v>
      </c>
      <c r="BJ25" s="137">
        <f>123</f>
        <v>123</v>
      </c>
      <c r="BK25" s="137">
        <v>18</v>
      </c>
      <c r="BL25" s="137">
        <v>10</v>
      </c>
      <c r="BM25" s="137">
        <v>228</v>
      </c>
      <c r="BN25" s="137">
        <v>182</v>
      </c>
      <c r="BO25" s="137">
        <v>4</v>
      </c>
      <c r="BP25" s="137">
        <v>216</v>
      </c>
      <c r="BQ25" s="137">
        <v>92</v>
      </c>
      <c r="BR25" s="139">
        <v>218</v>
      </c>
      <c r="BS25" s="137">
        <v>29</v>
      </c>
      <c r="BT25" s="137">
        <f>666</f>
        <v>666</v>
      </c>
      <c r="BU25" s="137">
        <v>369</v>
      </c>
      <c r="BV25" s="137">
        <v>1215</v>
      </c>
      <c r="BW25" s="137">
        <v>314</v>
      </c>
      <c r="BX25" s="137">
        <v>325</v>
      </c>
      <c r="BY25" s="137">
        <f>158</f>
        <v>158</v>
      </c>
      <c r="BZ25" s="137">
        <v>193</v>
      </c>
      <c r="CA25" s="137">
        <v>336</v>
      </c>
      <c r="CB25" s="139">
        <v>512</v>
      </c>
      <c r="CC25" s="137">
        <v>330</v>
      </c>
      <c r="CD25" s="137">
        <v>140</v>
      </c>
      <c r="CE25" s="137">
        <v>277</v>
      </c>
      <c r="CF25" s="137">
        <v>15</v>
      </c>
      <c r="CG25" s="137">
        <v>439</v>
      </c>
      <c r="CH25" s="137">
        <v>366</v>
      </c>
      <c r="CI25" s="137">
        <v>416</v>
      </c>
      <c r="CJ25" s="137">
        <v>446</v>
      </c>
      <c r="CK25" s="138">
        <v>359</v>
      </c>
      <c r="CL25" s="140">
        <v>11403</v>
      </c>
    </row>
    <row r="26" spans="1:90">
      <c r="A26" s="80">
        <f>ROWS($A$3:A24)</f>
        <v>22</v>
      </c>
      <c r="B26" s="52" t="s">
        <v>251</v>
      </c>
      <c r="C26" s="201"/>
      <c r="D26" s="268" t="s">
        <v>13</v>
      </c>
      <c r="E26" s="269"/>
      <c r="F26" s="116">
        <f>2108+1775</f>
        <v>3883</v>
      </c>
      <c r="G26" s="137">
        <f>670+488</f>
        <v>1158</v>
      </c>
      <c r="H26" s="137">
        <f>2146+1571</f>
        <v>3717</v>
      </c>
      <c r="I26" s="138">
        <f>2020+1902</f>
        <v>3922</v>
      </c>
      <c r="J26" s="141"/>
      <c r="K26" s="116">
        <f>BF26</f>
        <v>713</v>
      </c>
      <c r="L26" s="137">
        <f>AY26</f>
        <v>297</v>
      </c>
      <c r="M26" s="137">
        <f>BD26</f>
        <v>488</v>
      </c>
      <c r="N26" s="137">
        <f>AW26</f>
        <v>200</v>
      </c>
      <c r="O26" s="137">
        <f>BE26</f>
        <v>155</v>
      </c>
      <c r="P26" s="137">
        <f>'2001'!AZ26+'2001'!BA26</f>
        <v>416</v>
      </c>
      <c r="Q26" s="137">
        <f>'2001'!AU26</f>
        <v>207</v>
      </c>
      <c r="R26" s="137">
        <f t="shared" si="38"/>
        <v>243</v>
      </c>
      <c r="S26" s="137">
        <f>AV26</f>
        <v>169</v>
      </c>
      <c r="T26" s="137">
        <f t="shared" si="39"/>
        <v>347</v>
      </c>
      <c r="U26" s="139">
        <f t="shared" si="39"/>
        <v>648</v>
      </c>
      <c r="V26" s="137">
        <f t="shared" si="40"/>
        <v>102</v>
      </c>
      <c r="W26" s="137">
        <f>BR26</f>
        <v>156</v>
      </c>
      <c r="X26" s="137">
        <f t="shared" si="41"/>
        <v>162</v>
      </c>
      <c r="Y26" s="137">
        <f t="shared" si="42"/>
        <v>234</v>
      </c>
      <c r="Z26" s="137">
        <f>BM26</f>
        <v>266</v>
      </c>
      <c r="AA26" s="137">
        <f t="shared" si="43"/>
        <v>100</v>
      </c>
      <c r="AB26" s="139">
        <f>BP26</f>
        <v>138</v>
      </c>
      <c r="AC26" s="137">
        <f>BX26</f>
        <v>304</v>
      </c>
      <c r="AD26" s="137">
        <f>BU26</f>
        <v>377</v>
      </c>
      <c r="AE26" s="137">
        <f t="shared" si="44"/>
        <v>625</v>
      </c>
      <c r="AF26" s="137">
        <f>CA26</f>
        <v>347</v>
      </c>
      <c r="AG26" s="137">
        <f>BV26</f>
        <v>874</v>
      </c>
      <c r="AH26" s="137">
        <f>BZ26</f>
        <v>252</v>
      </c>
      <c r="AI26" s="137">
        <f>BW26</f>
        <v>283</v>
      </c>
      <c r="AJ26" s="137">
        <f>BY26</f>
        <v>170</v>
      </c>
      <c r="AK26" s="139">
        <f>CB26</f>
        <v>485</v>
      </c>
      <c r="AL26" s="137">
        <f>CE26</f>
        <v>266</v>
      </c>
      <c r="AM26" s="137">
        <f>CH26</f>
        <v>575</v>
      </c>
      <c r="AN26" s="137">
        <f>CJ26</f>
        <v>838</v>
      </c>
      <c r="AO26" s="137">
        <f t="shared" si="45"/>
        <v>390</v>
      </c>
      <c r="AP26" s="137">
        <f t="shared" si="45"/>
        <v>130</v>
      </c>
      <c r="AQ26" s="137">
        <f>CK26</f>
        <v>482</v>
      </c>
      <c r="AR26" s="137">
        <f>CI26</f>
        <v>518</v>
      </c>
      <c r="AS26" s="138">
        <f t="shared" si="46"/>
        <v>723</v>
      </c>
      <c r="AT26" s="141">
        <v>19</v>
      </c>
      <c r="AU26" s="141">
        <f>117+90</f>
        <v>207</v>
      </c>
      <c r="AV26" s="141">
        <f>93+76</f>
        <v>169</v>
      </c>
      <c r="AW26" s="141">
        <f>105+95</f>
        <v>200</v>
      </c>
      <c r="AX26" s="141">
        <f>111+113</f>
        <v>224</v>
      </c>
      <c r="AY26" s="137">
        <f>183+114</f>
        <v>297</v>
      </c>
      <c r="AZ26" s="137">
        <v>37</v>
      </c>
      <c r="BA26" s="137">
        <f>214+165</f>
        <v>379</v>
      </c>
      <c r="BB26" s="137">
        <f>203+144</f>
        <v>347</v>
      </c>
      <c r="BC26" s="137">
        <f>337+311</f>
        <v>648</v>
      </c>
      <c r="BD26" s="137">
        <f>272+216</f>
        <v>488</v>
      </c>
      <c r="BE26" s="137">
        <v>155</v>
      </c>
      <c r="BF26" s="139">
        <f>371+342</f>
        <v>713</v>
      </c>
      <c r="BG26" s="137">
        <v>8</v>
      </c>
      <c r="BH26" s="137">
        <v>13</v>
      </c>
      <c r="BI26" s="137">
        <f>81+68</f>
        <v>149</v>
      </c>
      <c r="BJ26" s="137">
        <f>56+38</f>
        <v>94</v>
      </c>
      <c r="BK26" s="137">
        <v>17</v>
      </c>
      <c r="BL26" s="137">
        <v>9</v>
      </c>
      <c r="BM26" s="137">
        <f>152+114</f>
        <v>266</v>
      </c>
      <c r="BN26" s="137">
        <f>109+99</f>
        <v>208</v>
      </c>
      <c r="BO26" s="137">
        <v>1</v>
      </c>
      <c r="BP26" s="137">
        <f>88+50</f>
        <v>138</v>
      </c>
      <c r="BQ26" s="137">
        <v>99</v>
      </c>
      <c r="BR26" s="139">
        <f>99+57</f>
        <v>156</v>
      </c>
      <c r="BS26" s="137">
        <f>24+19</f>
        <v>43</v>
      </c>
      <c r="BT26" s="137">
        <f>325+257</f>
        <v>582</v>
      </c>
      <c r="BU26" s="137">
        <f>230+147</f>
        <v>377</v>
      </c>
      <c r="BV26" s="137">
        <f>594+280</f>
        <v>874</v>
      </c>
      <c r="BW26" s="137">
        <f>156+127</f>
        <v>283</v>
      </c>
      <c r="BX26" s="137">
        <f>148+156</f>
        <v>304</v>
      </c>
      <c r="BY26" s="137">
        <f>80+90</f>
        <v>170</v>
      </c>
      <c r="BZ26" s="137">
        <f>141+111</f>
        <v>252</v>
      </c>
      <c r="CA26" s="137">
        <f>181+166</f>
        <v>347</v>
      </c>
      <c r="CB26" s="139">
        <f>267+218</f>
        <v>485</v>
      </c>
      <c r="CC26" s="137">
        <f>196+194</f>
        <v>390</v>
      </c>
      <c r="CD26" s="137">
        <f>82+48</f>
        <v>130</v>
      </c>
      <c r="CE26" s="137">
        <f>164+102</f>
        <v>266</v>
      </c>
      <c r="CF26" s="137">
        <v>39</v>
      </c>
      <c r="CG26" s="137">
        <f>356+328</f>
        <v>684</v>
      </c>
      <c r="CH26" s="137">
        <f>291+284</f>
        <v>575</v>
      </c>
      <c r="CI26" s="137">
        <f>287+231</f>
        <v>518</v>
      </c>
      <c r="CJ26" s="137">
        <f>381+457</f>
        <v>838</v>
      </c>
      <c r="CK26" s="138">
        <f>244+238</f>
        <v>482</v>
      </c>
      <c r="CL26" s="140">
        <f>6944+5736</f>
        <v>12680</v>
      </c>
    </row>
    <row r="27" spans="1:90">
      <c r="A27" s="80">
        <f>ROWS($A$3:A25)</f>
        <v>23</v>
      </c>
      <c r="B27" s="52" t="s">
        <v>252</v>
      </c>
      <c r="C27" s="201"/>
      <c r="D27" s="268" t="s">
        <v>13</v>
      </c>
      <c r="E27" s="269"/>
      <c r="F27" s="116">
        <f>1125+1025+1596+1169</f>
        <v>4915</v>
      </c>
      <c r="G27" s="137">
        <f>299+266+419+332</f>
        <v>1316</v>
      </c>
      <c r="H27" s="137">
        <f>753+653+914+550</f>
        <v>2870</v>
      </c>
      <c r="I27" s="138">
        <f>1088+980+1473+1074</f>
        <v>4615</v>
      </c>
      <c r="J27" s="141"/>
      <c r="K27" s="116">
        <f>BF27</f>
        <v>675</v>
      </c>
      <c r="L27" s="137">
        <f>AY27</f>
        <v>291</v>
      </c>
      <c r="M27" s="137">
        <f>BD27</f>
        <v>640</v>
      </c>
      <c r="N27" s="137">
        <f>AW27</f>
        <v>305</v>
      </c>
      <c r="O27" s="137">
        <f>BE27</f>
        <v>225</v>
      </c>
      <c r="P27" s="137">
        <f>'2001'!AZ27+'2001'!BA27</f>
        <v>566</v>
      </c>
      <c r="Q27" s="137">
        <f>'2001'!AU27</f>
        <v>192</v>
      </c>
      <c r="R27" s="137">
        <f t="shared" si="38"/>
        <v>459</v>
      </c>
      <c r="S27" s="137">
        <f>AV27</f>
        <v>187</v>
      </c>
      <c r="T27" s="137">
        <f>BB27</f>
        <v>411</v>
      </c>
      <c r="U27" s="139">
        <f>BC27</f>
        <v>964</v>
      </c>
      <c r="V27" s="137">
        <f>BG27+BJ27</f>
        <v>65</v>
      </c>
      <c r="W27" s="137">
        <f>BR27</f>
        <v>145</v>
      </c>
      <c r="X27" s="137">
        <f>BH27+BI27</f>
        <v>178</v>
      </c>
      <c r="Y27" s="137">
        <f>BK27+BL27+BN27</f>
        <v>390</v>
      </c>
      <c r="Z27" s="137">
        <f>BM27</f>
        <v>293</v>
      </c>
      <c r="AA27" s="137">
        <f>BO27+BQ27</f>
        <v>125</v>
      </c>
      <c r="AB27" s="139">
        <f>BP27</f>
        <v>120</v>
      </c>
      <c r="AC27" s="137">
        <f>BX27</f>
        <v>406</v>
      </c>
      <c r="AD27" s="137">
        <f>BU27</f>
        <v>240</v>
      </c>
      <c r="AE27" s="137">
        <f t="shared" si="44"/>
        <v>653</v>
      </c>
      <c r="AF27" s="137">
        <f>CA27</f>
        <v>294</v>
      </c>
      <c r="AG27" s="137">
        <f>BV27</f>
        <v>393</v>
      </c>
      <c r="AH27" s="137">
        <f>BZ27</f>
        <v>230</v>
      </c>
      <c r="AI27" s="137">
        <f>BW27</f>
        <v>196</v>
      </c>
      <c r="AJ27" s="137">
        <f>BY27</f>
        <v>103</v>
      </c>
      <c r="AK27" s="139">
        <f>CB27</f>
        <v>355</v>
      </c>
      <c r="AL27" s="137">
        <f>CE27</f>
        <v>174</v>
      </c>
      <c r="AM27" s="137">
        <f>CH27</f>
        <v>900</v>
      </c>
      <c r="AN27" s="137">
        <f>CJ27</f>
        <v>1354</v>
      </c>
      <c r="AO27" s="137">
        <f>CC27</f>
        <v>351</v>
      </c>
      <c r="AP27" s="137">
        <f>CD27</f>
        <v>113</v>
      </c>
      <c r="AQ27" s="137">
        <f>CK27</f>
        <v>432</v>
      </c>
      <c r="AR27" s="137">
        <f>CI27</f>
        <v>433</v>
      </c>
      <c r="AS27" s="138">
        <f>CF27+CG27</f>
        <v>858</v>
      </c>
      <c r="AT27" s="141">
        <v>24</v>
      </c>
      <c r="AU27" s="141">
        <f>38+38+72+44</f>
        <v>192</v>
      </c>
      <c r="AV27" s="141">
        <f>44+44+55+44</f>
        <v>187</v>
      </c>
      <c r="AW27" s="141">
        <f>64+59+90+92</f>
        <v>305</v>
      </c>
      <c r="AX27" s="141">
        <f>95+87+159+94</f>
        <v>435</v>
      </c>
      <c r="AY27" s="137">
        <f>81+63+91+56</f>
        <v>291</v>
      </c>
      <c r="AZ27" s="137">
        <v>48</v>
      </c>
      <c r="BA27" s="137">
        <f>115+109+175+119</f>
        <v>518</v>
      </c>
      <c r="BB27" s="137">
        <f>95+94+130+92</f>
        <v>411</v>
      </c>
      <c r="BC27" s="137">
        <f>204+187+312+261</f>
        <v>964</v>
      </c>
      <c r="BD27" s="137">
        <f>159+137+214+130</f>
        <v>640</v>
      </c>
      <c r="BE27" s="137">
        <f>47+40+75+63</f>
        <v>225</v>
      </c>
      <c r="BF27" s="139">
        <f>172+149+195+159</f>
        <v>675</v>
      </c>
      <c r="BG27" s="137">
        <v>8</v>
      </c>
      <c r="BH27" s="137">
        <v>15</v>
      </c>
      <c r="BI27" s="137">
        <f>37+35+48+43</f>
        <v>163</v>
      </c>
      <c r="BJ27" s="137">
        <f>23+11+14+9</f>
        <v>57</v>
      </c>
      <c r="BK27" s="137">
        <v>24</v>
      </c>
      <c r="BL27" s="137">
        <v>39</v>
      </c>
      <c r="BM27" s="137">
        <f>63+60+98+72</f>
        <v>293</v>
      </c>
      <c r="BN27" s="137">
        <f>66+63+105+93</f>
        <v>327</v>
      </c>
      <c r="BO27" s="137">
        <v>7</v>
      </c>
      <c r="BP27" s="137">
        <f>60+60</f>
        <v>120</v>
      </c>
      <c r="BQ27" s="137">
        <f>28+10+44+36</f>
        <v>118</v>
      </c>
      <c r="BR27" s="139">
        <f>34+32+41+38</f>
        <v>145</v>
      </c>
      <c r="BS27" s="137">
        <f>7+9+12+5</f>
        <v>33</v>
      </c>
      <c r="BT27" s="137">
        <f>161+165+198+96</f>
        <v>620</v>
      </c>
      <c r="BU27" s="137">
        <f>83+49+73+35</f>
        <v>240</v>
      </c>
      <c r="BV27" s="137">
        <f>136+81+107+69</f>
        <v>393</v>
      </c>
      <c r="BW27" s="137">
        <f>42+44+56+54</f>
        <v>196</v>
      </c>
      <c r="BX27" s="137">
        <f>90+98+140+78</f>
        <v>406</v>
      </c>
      <c r="BY27" s="137">
        <f>23+20+32+28</f>
        <v>103</v>
      </c>
      <c r="BZ27" s="137">
        <f>56+43+78+53</f>
        <v>230</v>
      </c>
      <c r="CA27" s="137">
        <f>88+72+95+39</f>
        <v>294</v>
      </c>
      <c r="CB27" s="139">
        <f>67+72+123+93</f>
        <v>355</v>
      </c>
      <c r="CC27" s="137">
        <f>72+76+122+81</f>
        <v>351</v>
      </c>
      <c r="CD27" s="137">
        <f>32+27+28+26</f>
        <v>113</v>
      </c>
      <c r="CE27" s="137">
        <f>50+28+53+43</f>
        <v>174</v>
      </c>
      <c r="CF27" s="137">
        <v>48</v>
      </c>
      <c r="CG27" s="137">
        <f>183+180+265+182</f>
        <v>810</v>
      </c>
      <c r="CH27" s="137">
        <f>189+176+301+234</f>
        <v>900</v>
      </c>
      <c r="CI27" s="137">
        <f>139+102+118+74</f>
        <v>433</v>
      </c>
      <c r="CJ27" s="137">
        <f>308+297+421+328</f>
        <v>1354</v>
      </c>
      <c r="CK27" s="138">
        <f>103+85+149+95</f>
        <v>432</v>
      </c>
      <c r="CL27" s="140">
        <f>3265+2924+4402+3125</f>
        <v>13716</v>
      </c>
    </row>
    <row r="28" spans="1:90">
      <c r="A28" s="80">
        <f>ROWS($A$3:A26)</f>
        <v>24</v>
      </c>
      <c r="B28" s="52" t="s">
        <v>4</v>
      </c>
      <c r="C28" s="201"/>
      <c r="D28" s="268" t="s">
        <v>13</v>
      </c>
      <c r="E28" s="269"/>
      <c r="F28" s="116">
        <f>1595+640</f>
        <v>2235</v>
      </c>
      <c r="G28" s="137">
        <f>541+317</f>
        <v>858</v>
      </c>
      <c r="H28" s="137">
        <f>822+434</f>
        <v>1256</v>
      </c>
      <c r="I28" s="138">
        <f>1393+514</f>
        <v>1907</v>
      </c>
      <c r="J28" s="141"/>
      <c r="K28" s="116">
        <f t="shared" ref="K28:K33" si="47">BF28</f>
        <v>302</v>
      </c>
      <c r="L28" s="137">
        <f t="shared" ref="L28:L33" si="48">AY28</f>
        <v>98</v>
      </c>
      <c r="M28" s="137">
        <f t="shared" ref="M28:M33" si="49">BD28</f>
        <v>279</v>
      </c>
      <c r="N28" s="137">
        <f t="shared" ref="N28:N33" si="50">AW28</f>
        <v>153</v>
      </c>
      <c r="O28" s="137">
        <f t="shared" ref="O28:O33" si="51">BE28</f>
        <v>153</v>
      </c>
      <c r="P28" s="137">
        <f>'2001'!AZ28+'2001'!BA28</f>
        <v>278</v>
      </c>
      <c r="Q28" s="137">
        <f>'2001'!AU28</f>
        <v>113</v>
      </c>
      <c r="R28" s="137">
        <f t="shared" si="38"/>
        <v>166</v>
      </c>
      <c r="S28" s="137">
        <f t="shared" ref="S28:S33" si="52">AV28</f>
        <v>90</v>
      </c>
      <c r="T28" s="137">
        <f t="shared" ref="T28:U33" si="53">BB28</f>
        <v>202</v>
      </c>
      <c r="U28" s="139">
        <f t="shared" si="53"/>
        <v>401</v>
      </c>
      <c r="V28" s="137">
        <f t="shared" si="40"/>
        <v>40</v>
      </c>
      <c r="W28" s="137">
        <f t="shared" ref="W28:W33" si="54">BR28</f>
        <v>75</v>
      </c>
      <c r="X28" s="137">
        <f t="shared" si="41"/>
        <v>159</v>
      </c>
      <c r="Y28" s="137">
        <f t="shared" si="42"/>
        <v>233</v>
      </c>
      <c r="Z28" s="137">
        <f t="shared" ref="Z28:Z33" si="55">BM28</f>
        <v>191</v>
      </c>
      <c r="AA28" s="137">
        <f t="shared" si="43"/>
        <v>91</v>
      </c>
      <c r="AB28" s="139">
        <f t="shared" ref="AB28:AB33" si="56">BP28</f>
        <v>69</v>
      </c>
      <c r="AC28" s="137">
        <f t="shared" ref="AC28:AC33" si="57">BX28</f>
        <v>195</v>
      </c>
      <c r="AD28" s="137">
        <f t="shared" ref="AD28:AD33" si="58">BU28</f>
        <v>51</v>
      </c>
      <c r="AE28" s="137">
        <f t="shared" si="44"/>
        <v>174</v>
      </c>
      <c r="AF28" s="137">
        <f t="shared" ref="AF28:AF33" si="59">CA28</f>
        <v>87</v>
      </c>
      <c r="AG28" s="137">
        <f t="shared" ref="AG28:AG33" si="60">BV28</f>
        <v>173</v>
      </c>
      <c r="AH28" s="137">
        <f t="shared" ref="AH28:AH33" si="61">BZ28</f>
        <v>172</v>
      </c>
      <c r="AI28" s="137">
        <f t="shared" ref="AI28:AI33" si="62">BW28</f>
        <v>143</v>
      </c>
      <c r="AJ28" s="137">
        <f t="shared" ref="AJ28:AJ33" si="63">BY28</f>
        <v>90</v>
      </c>
      <c r="AK28" s="139">
        <f t="shared" ref="AK28:AK33" si="64">CB28</f>
        <v>171</v>
      </c>
      <c r="AL28" s="137">
        <f t="shared" ref="AL28:AL33" si="65">CE28</f>
        <v>122</v>
      </c>
      <c r="AM28" s="137">
        <f t="shared" ref="AM28:AM33" si="66">CH28</f>
        <v>399</v>
      </c>
      <c r="AN28" s="137">
        <f t="shared" ref="AN28:AN33" si="67">CJ28</f>
        <v>363</v>
      </c>
      <c r="AO28" s="137">
        <f t="shared" ref="AO28:AP33" si="68">CC28</f>
        <v>153</v>
      </c>
      <c r="AP28" s="137">
        <f t="shared" si="68"/>
        <v>63</v>
      </c>
      <c r="AQ28" s="137">
        <f t="shared" ref="AQ28:AQ33" si="69">CK28</f>
        <v>256</v>
      </c>
      <c r="AR28" s="137">
        <f t="shared" ref="AR28:AR33" si="70">CI28</f>
        <v>107</v>
      </c>
      <c r="AS28" s="138">
        <f t="shared" si="46"/>
        <v>444</v>
      </c>
      <c r="AT28" s="141">
        <v>10</v>
      </c>
      <c r="AU28" s="141">
        <v>113</v>
      </c>
      <c r="AV28" s="141">
        <v>90</v>
      </c>
      <c r="AW28" s="141">
        <v>153</v>
      </c>
      <c r="AX28" s="141">
        <v>156</v>
      </c>
      <c r="AY28" s="137">
        <v>98</v>
      </c>
      <c r="AZ28" s="137">
        <v>13</v>
      </c>
      <c r="BA28" s="137">
        <v>265</v>
      </c>
      <c r="BB28" s="137">
        <v>202</v>
      </c>
      <c r="BC28" s="137">
        <v>401</v>
      </c>
      <c r="BD28" s="137">
        <v>279</v>
      </c>
      <c r="BE28" s="137">
        <v>153</v>
      </c>
      <c r="BF28" s="139">
        <v>302</v>
      </c>
      <c r="BG28" s="137">
        <v>3</v>
      </c>
      <c r="BH28" s="137">
        <v>6</v>
      </c>
      <c r="BI28" s="137">
        <v>153</v>
      </c>
      <c r="BJ28" s="137">
        <v>37</v>
      </c>
      <c r="BK28" s="137">
        <v>8</v>
      </c>
      <c r="BL28" s="137">
        <v>11</v>
      </c>
      <c r="BM28" s="137">
        <v>191</v>
      </c>
      <c r="BN28" s="137">
        <v>214</v>
      </c>
      <c r="BO28" s="137">
        <v>5</v>
      </c>
      <c r="BP28" s="137">
        <v>69</v>
      </c>
      <c r="BQ28" s="137">
        <v>86</v>
      </c>
      <c r="BR28" s="139">
        <v>75</v>
      </c>
      <c r="BS28" s="137">
        <v>9</v>
      </c>
      <c r="BT28" s="137">
        <v>165</v>
      </c>
      <c r="BU28" s="137">
        <v>51</v>
      </c>
      <c r="BV28" s="137">
        <v>173</v>
      </c>
      <c r="BW28" s="137">
        <v>143</v>
      </c>
      <c r="BX28" s="137">
        <v>195</v>
      </c>
      <c r="BY28" s="137">
        <v>90</v>
      </c>
      <c r="BZ28" s="137">
        <v>172</v>
      </c>
      <c r="CA28" s="137">
        <v>87</v>
      </c>
      <c r="CB28" s="139">
        <v>171</v>
      </c>
      <c r="CC28" s="137">
        <v>153</v>
      </c>
      <c r="CD28" s="137">
        <v>63</v>
      </c>
      <c r="CE28" s="137">
        <v>122</v>
      </c>
      <c r="CF28" s="137">
        <v>35</v>
      </c>
      <c r="CG28" s="137">
        <v>409</v>
      </c>
      <c r="CH28" s="137">
        <v>399</v>
      </c>
      <c r="CI28" s="137">
        <v>107</v>
      </c>
      <c r="CJ28" s="137">
        <v>363</v>
      </c>
      <c r="CK28" s="138">
        <v>256</v>
      </c>
      <c r="CL28" s="140">
        <v>6256</v>
      </c>
    </row>
    <row r="29" spans="1:90">
      <c r="A29" s="80">
        <f>ROWS($A$3:A27)</f>
        <v>25</v>
      </c>
      <c r="B29" s="52" t="s">
        <v>5</v>
      </c>
      <c r="C29" s="201"/>
      <c r="D29" s="268" t="s">
        <v>13</v>
      </c>
      <c r="E29" s="269"/>
      <c r="F29" s="116">
        <v>498</v>
      </c>
      <c r="G29" s="137">
        <v>461</v>
      </c>
      <c r="H29" s="137">
        <v>421</v>
      </c>
      <c r="I29" s="138">
        <v>484</v>
      </c>
      <c r="J29" s="141"/>
      <c r="K29" s="116">
        <f t="shared" si="47"/>
        <v>71</v>
      </c>
      <c r="L29" s="137">
        <f t="shared" si="48"/>
        <v>18</v>
      </c>
      <c r="M29" s="137">
        <f t="shared" si="49"/>
        <v>114</v>
      </c>
      <c r="N29" s="137">
        <f t="shared" si="50"/>
        <v>21</v>
      </c>
      <c r="O29" s="137">
        <f t="shared" si="51"/>
        <v>40</v>
      </c>
      <c r="P29" s="137">
        <f>'2001'!AZ29+'2001'!BA29</f>
        <v>66</v>
      </c>
      <c r="Q29" s="137">
        <f>'2001'!AU29</f>
        <v>28</v>
      </c>
      <c r="R29" s="137">
        <f t="shared" si="38"/>
        <v>21</v>
      </c>
      <c r="S29" s="137">
        <f t="shared" si="52"/>
        <v>25</v>
      </c>
      <c r="T29" s="137">
        <f t="shared" si="53"/>
        <v>50</v>
      </c>
      <c r="U29" s="139">
        <f t="shared" si="53"/>
        <v>44</v>
      </c>
      <c r="V29" s="137">
        <f t="shared" si="40"/>
        <v>47</v>
      </c>
      <c r="W29" s="137">
        <f t="shared" si="54"/>
        <v>38</v>
      </c>
      <c r="X29" s="137">
        <f t="shared" si="41"/>
        <v>121</v>
      </c>
      <c r="Y29" s="137">
        <f t="shared" si="42"/>
        <v>56</v>
      </c>
      <c r="Z29" s="137">
        <f t="shared" si="55"/>
        <v>122</v>
      </c>
      <c r="AA29" s="137">
        <f t="shared" si="43"/>
        <v>46</v>
      </c>
      <c r="AB29" s="139">
        <f t="shared" si="56"/>
        <v>31</v>
      </c>
      <c r="AC29" s="137">
        <f t="shared" si="57"/>
        <v>46</v>
      </c>
      <c r="AD29" s="137">
        <f t="shared" si="58"/>
        <v>19</v>
      </c>
      <c r="AE29" s="137">
        <f t="shared" si="44"/>
        <v>33</v>
      </c>
      <c r="AF29" s="137">
        <f t="shared" si="59"/>
        <v>9</v>
      </c>
      <c r="AG29" s="137">
        <f t="shared" si="60"/>
        <v>73</v>
      </c>
      <c r="AH29" s="137">
        <f t="shared" si="61"/>
        <v>72</v>
      </c>
      <c r="AI29" s="137">
        <f t="shared" si="62"/>
        <v>53</v>
      </c>
      <c r="AJ29" s="137">
        <f t="shared" si="63"/>
        <v>79</v>
      </c>
      <c r="AK29" s="139">
        <f t="shared" si="64"/>
        <v>37</v>
      </c>
      <c r="AL29" s="137">
        <f t="shared" si="65"/>
        <v>87</v>
      </c>
      <c r="AM29" s="137">
        <f t="shared" si="66"/>
        <v>68</v>
      </c>
      <c r="AN29" s="137">
        <f t="shared" si="67"/>
        <v>39</v>
      </c>
      <c r="AO29" s="137">
        <f t="shared" si="68"/>
        <v>72</v>
      </c>
      <c r="AP29" s="137">
        <f t="shared" si="68"/>
        <v>51</v>
      </c>
      <c r="AQ29" s="137">
        <f t="shared" si="69"/>
        <v>94</v>
      </c>
      <c r="AR29" s="137">
        <f t="shared" si="70"/>
        <v>13</v>
      </c>
      <c r="AS29" s="138">
        <f t="shared" si="46"/>
        <v>60</v>
      </c>
      <c r="AT29" s="141">
        <v>1</v>
      </c>
      <c r="AU29" s="141">
        <v>28</v>
      </c>
      <c r="AV29" s="141">
        <v>25</v>
      </c>
      <c r="AW29" s="141">
        <v>21</v>
      </c>
      <c r="AX29" s="141">
        <v>20</v>
      </c>
      <c r="AY29" s="137">
        <v>18</v>
      </c>
      <c r="AZ29" s="137">
        <v>4</v>
      </c>
      <c r="BA29" s="137">
        <v>62</v>
      </c>
      <c r="BB29" s="137">
        <v>50</v>
      </c>
      <c r="BC29" s="137">
        <v>44</v>
      </c>
      <c r="BD29" s="137">
        <v>114</v>
      </c>
      <c r="BE29" s="137">
        <v>40</v>
      </c>
      <c r="BF29" s="139">
        <v>71</v>
      </c>
      <c r="BG29" s="137">
        <v>4</v>
      </c>
      <c r="BH29" s="137">
        <v>9</v>
      </c>
      <c r="BI29" s="137">
        <v>112</v>
      </c>
      <c r="BJ29" s="137">
        <v>43</v>
      </c>
      <c r="BK29" s="137">
        <v>1</v>
      </c>
      <c r="BL29" s="137">
        <v>5</v>
      </c>
      <c r="BM29" s="137">
        <v>122</v>
      </c>
      <c r="BN29" s="137">
        <v>50</v>
      </c>
      <c r="BO29" s="137">
        <v>4</v>
      </c>
      <c r="BP29" s="137">
        <v>31</v>
      </c>
      <c r="BQ29" s="137">
        <v>42</v>
      </c>
      <c r="BR29" s="139">
        <v>38</v>
      </c>
      <c r="BS29" s="137">
        <v>4</v>
      </c>
      <c r="BT29" s="137">
        <v>29</v>
      </c>
      <c r="BU29" s="137">
        <v>19</v>
      </c>
      <c r="BV29" s="137">
        <v>73</v>
      </c>
      <c r="BW29" s="137">
        <v>53</v>
      </c>
      <c r="BX29" s="137">
        <v>46</v>
      </c>
      <c r="BY29" s="137">
        <v>79</v>
      </c>
      <c r="BZ29" s="137">
        <v>72</v>
      </c>
      <c r="CA29" s="137">
        <v>9</v>
      </c>
      <c r="CB29" s="139">
        <v>37</v>
      </c>
      <c r="CC29" s="137">
        <v>72</v>
      </c>
      <c r="CD29" s="137">
        <v>51</v>
      </c>
      <c r="CE29" s="137">
        <v>87</v>
      </c>
      <c r="CF29" s="137">
        <v>1</v>
      </c>
      <c r="CG29" s="137">
        <v>59</v>
      </c>
      <c r="CH29" s="137">
        <v>68</v>
      </c>
      <c r="CI29" s="137">
        <v>13</v>
      </c>
      <c r="CJ29" s="137">
        <v>39</v>
      </c>
      <c r="CK29" s="138">
        <v>94</v>
      </c>
      <c r="CL29" s="140">
        <v>1864</v>
      </c>
    </row>
    <row r="30" spans="1:90">
      <c r="A30" s="80">
        <f>ROWS($A$3:A28)</f>
        <v>26</v>
      </c>
      <c r="B30" s="53" t="s">
        <v>256</v>
      </c>
      <c r="C30" s="261"/>
      <c r="D30" s="268" t="s">
        <v>1</v>
      </c>
      <c r="E30" s="269"/>
      <c r="F30" s="167">
        <f>F35/F23</f>
        <v>20.753447754096236</v>
      </c>
      <c r="G30" s="168">
        <f>G35/G23</f>
        <v>24.043539161900316</v>
      </c>
      <c r="H30" s="168">
        <f>H35/H23</f>
        <v>14.989152482582238</v>
      </c>
      <c r="I30" s="169">
        <f>I35/I23</f>
        <v>25.241769606434932</v>
      </c>
      <c r="J30" s="173"/>
      <c r="K30" s="178">
        <f t="shared" si="47"/>
        <v>23.78902953586498</v>
      </c>
      <c r="L30" s="179">
        <f t="shared" si="48"/>
        <v>12.133303611234954</v>
      </c>
      <c r="M30" s="179">
        <f t="shared" si="49"/>
        <v>28.204073319755601</v>
      </c>
      <c r="N30" s="179">
        <f t="shared" si="50"/>
        <v>25.495606326889281</v>
      </c>
      <c r="O30" s="179">
        <f t="shared" si="51"/>
        <v>33.813836477987422</v>
      </c>
      <c r="P30" s="168">
        <f>P35/P23</f>
        <v>15.58737610850287</v>
      </c>
      <c r="Q30" s="179">
        <f>'2001'!AU30</f>
        <v>21.988394584139265</v>
      </c>
      <c r="R30" s="168">
        <f>R35/R23</f>
        <v>13.586102719033233</v>
      </c>
      <c r="S30" s="179">
        <f t="shared" si="52"/>
        <v>17.862575626620572</v>
      </c>
      <c r="T30" s="179">
        <f t="shared" si="53"/>
        <v>21.641287685232498</v>
      </c>
      <c r="U30" s="180">
        <f t="shared" si="53"/>
        <v>25.957699933906145</v>
      </c>
      <c r="V30" s="168">
        <f>V35/V23</f>
        <v>12.253542132736763</v>
      </c>
      <c r="W30" s="179">
        <f t="shared" si="54"/>
        <v>19.803519061583579</v>
      </c>
      <c r="X30" s="168">
        <f>X35/X23</f>
        <v>28.055478502080444</v>
      </c>
      <c r="Y30" s="168">
        <f>Y35/Y23</f>
        <v>25.268518518518519</v>
      </c>
      <c r="Z30" s="179">
        <f t="shared" si="55"/>
        <v>33.336389280677011</v>
      </c>
      <c r="AA30" s="168">
        <f>AA35/AA23</f>
        <v>28.495118549511854</v>
      </c>
      <c r="AB30" s="180">
        <f t="shared" si="56"/>
        <v>19.452115812917594</v>
      </c>
      <c r="AC30" s="179">
        <f t="shared" si="57"/>
        <v>25.337289194253593</v>
      </c>
      <c r="AD30" s="179">
        <f t="shared" si="58"/>
        <v>9.052213393870602</v>
      </c>
      <c r="AE30" s="168">
        <f>AE35/AE23</f>
        <v>10.919310614962789</v>
      </c>
      <c r="AF30" s="179">
        <f t="shared" si="59"/>
        <v>14.467863346844238</v>
      </c>
      <c r="AG30" s="179">
        <f t="shared" si="60"/>
        <v>10.232663316582915</v>
      </c>
      <c r="AH30" s="179">
        <f t="shared" si="61"/>
        <v>25.832487309644669</v>
      </c>
      <c r="AI30" s="179">
        <f t="shared" si="62"/>
        <v>22.825806451612902</v>
      </c>
      <c r="AJ30" s="179">
        <f t="shared" si="63"/>
        <v>33.605577689243027</v>
      </c>
      <c r="AK30" s="180">
        <f t="shared" si="64"/>
        <v>19.407794676806084</v>
      </c>
      <c r="AL30" s="179">
        <f t="shared" si="65"/>
        <v>26.854700854700855</v>
      </c>
      <c r="AM30" s="179">
        <f t="shared" si="66"/>
        <v>28.74037403740374</v>
      </c>
      <c r="AN30" s="179">
        <f t="shared" si="67"/>
        <v>24.65904761904762</v>
      </c>
      <c r="AO30" s="179">
        <f t="shared" si="68"/>
        <v>25.337806301050176</v>
      </c>
      <c r="AP30" s="179">
        <f t="shared" si="68"/>
        <v>27.039189189189191</v>
      </c>
      <c r="AQ30" s="179">
        <f t="shared" si="69"/>
        <v>28.083124687030544</v>
      </c>
      <c r="AR30" s="179">
        <f t="shared" si="70"/>
        <v>15.16010385114669</v>
      </c>
      <c r="AS30" s="169">
        <f t="shared" ref="AS30:CL30" si="71">AS35/AS23</f>
        <v>27.494245091401488</v>
      </c>
      <c r="AT30" s="168">
        <f t="shared" si="71"/>
        <v>7.8892405063291138</v>
      </c>
      <c r="AU30" s="168">
        <f t="shared" si="71"/>
        <v>21.988394584139265</v>
      </c>
      <c r="AV30" s="168">
        <f t="shared" si="71"/>
        <v>17.862575626620572</v>
      </c>
      <c r="AW30" s="168">
        <f t="shared" si="71"/>
        <v>25.495606326889281</v>
      </c>
      <c r="AX30" s="168">
        <f t="shared" si="71"/>
        <v>14.358061749571183</v>
      </c>
      <c r="AY30" s="168">
        <f t="shared" si="71"/>
        <v>12.133303611234954</v>
      </c>
      <c r="AZ30" s="168">
        <f t="shared" si="71"/>
        <v>17.647286821705425</v>
      </c>
      <c r="BA30" s="168">
        <f t="shared" si="71"/>
        <v>15.438758389261745</v>
      </c>
      <c r="BB30" s="168">
        <f t="shared" si="71"/>
        <v>21.641287685232498</v>
      </c>
      <c r="BC30" s="168">
        <f t="shared" si="71"/>
        <v>25.957699933906145</v>
      </c>
      <c r="BD30" s="168">
        <f t="shared" si="71"/>
        <v>28.204073319755601</v>
      </c>
      <c r="BE30" s="168">
        <f t="shared" si="71"/>
        <v>33.813836477987422</v>
      </c>
      <c r="BF30" s="176">
        <f t="shared" si="71"/>
        <v>23.78902953586498</v>
      </c>
      <c r="BG30" s="168">
        <f t="shared" si="71"/>
        <v>6.228346456692913</v>
      </c>
      <c r="BH30" s="168">
        <f t="shared" si="71"/>
        <v>23.321428571428573</v>
      </c>
      <c r="BI30" s="168">
        <f t="shared" si="71"/>
        <v>28.454135338345864</v>
      </c>
      <c r="BJ30" s="168">
        <f t="shared" si="71"/>
        <v>13.661453541858325</v>
      </c>
      <c r="BK30" s="168">
        <f t="shared" si="71"/>
        <v>15.491803278688524</v>
      </c>
      <c r="BL30" s="168">
        <f t="shared" si="71"/>
        <v>29.571428571428573</v>
      </c>
      <c r="BM30" s="168">
        <f t="shared" si="71"/>
        <v>33.336389280677011</v>
      </c>
      <c r="BN30" s="168">
        <f t="shared" si="71"/>
        <v>25.76215856095936</v>
      </c>
      <c r="BO30" s="168">
        <f t="shared" si="71"/>
        <v>26.382978723404257</v>
      </c>
      <c r="BP30" s="168">
        <f t="shared" si="71"/>
        <v>19.452115812917594</v>
      </c>
      <c r="BQ30" s="168">
        <f t="shared" si="71"/>
        <v>28.643283582089552</v>
      </c>
      <c r="BR30" s="176">
        <f t="shared" si="71"/>
        <v>19.803519061583579</v>
      </c>
      <c r="BS30" s="168">
        <f t="shared" si="71"/>
        <v>10.292613636363637</v>
      </c>
      <c r="BT30" s="168">
        <f t="shared" si="71"/>
        <v>10.965713083718974</v>
      </c>
      <c r="BU30" s="168">
        <f t="shared" si="71"/>
        <v>9.052213393870602</v>
      </c>
      <c r="BV30" s="168">
        <f t="shared" si="71"/>
        <v>10.232663316582915</v>
      </c>
      <c r="BW30" s="168">
        <f t="shared" si="71"/>
        <v>22.825806451612902</v>
      </c>
      <c r="BX30" s="168">
        <f t="shared" si="71"/>
        <v>25.337289194253593</v>
      </c>
      <c r="BY30" s="168">
        <f t="shared" si="71"/>
        <v>33.605577689243027</v>
      </c>
      <c r="BZ30" s="168">
        <f t="shared" si="71"/>
        <v>25.832487309644669</v>
      </c>
      <c r="CA30" s="168">
        <f t="shared" si="71"/>
        <v>14.467863346844238</v>
      </c>
      <c r="CB30" s="176">
        <f t="shared" si="71"/>
        <v>19.407794676806084</v>
      </c>
      <c r="CC30" s="168">
        <f t="shared" si="71"/>
        <v>25.337806301050176</v>
      </c>
      <c r="CD30" s="168">
        <f t="shared" si="71"/>
        <v>27.039189189189191</v>
      </c>
      <c r="CE30" s="168">
        <f t="shared" si="71"/>
        <v>26.854700854700855</v>
      </c>
      <c r="CF30" s="168">
        <f t="shared" si="71"/>
        <v>27.016759776536311</v>
      </c>
      <c r="CG30" s="168">
        <f t="shared" si="71"/>
        <v>27.525045045045044</v>
      </c>
      <c r="CH30" s="168">
        <f t="shared" si="71"/>
        <v>28.74037403740374</v>
      </c>
      <c r="CI30" s="168">
        <f t="shared" si="71"/>
        <v>15.16010385114669</v>
      </c>
      <c r="CJ30" s="168">
        <f t="shared" si="71"/>
        <v>24.65904761904762</v>
      </c>
      <c r="CK30" s="169">
        <f t="shared" si="71"/>
        <v>28.083124687030544</v>
      </c>
      <c r="CL30" s="177">
        <f t="shared" si="71"/>
        <v>20.413284852537579</v>
      </c>
    </row>
    <row r="31" spans="1:90">
      <c r="A31" s="80">
        <f>ROWS($A$3:A29)</f>
        <v>27</v>
      </c>
      <c r="B31" s="53" t="str">
        <f>"Entwicklung Betriebe ab 5 ha LF von 1991 / "&amp;C23</f>
        <v>Entwicklung Betriebe ab 5 ha LF von 1991 / 2001</v>
      </c>
      <c r="C31" s="261"/>
      <c r="D31" s="268" t="s">
        <v>3</v>
      </c>
      <c r="E31" s="269"/>
      <c r="F31" s="142">
        <f>(F23-F24)/F127%-100</f>
        <v>-29.221902017291058</v>
      </c>
      <c r="G31" s="143">
        <f>(G23-G24)/G127%-100</f>
        <v>-25.436153056736543</v>
      </c>
      <c r="H31" s="143">
        <f>(H23-H24)/H127%-100</f>
        <v>-21.886435331230288</v>
      </c>
      <c r="I31" s="144">
        <f>(I23-I24)/I127%-100</f>
        <v>-28.173439463762051</v>
      </c>
      <c r="J31" s="141"/>
      <c r="K31" s="116">
        <f t="shared" ref="K31:AP31" si="72">(K23-K24)/K127%-100</f>
        <v>-31.053268765133168</v>
      </c>
      <c r="L31" s="137">
        <f t="shared" si="72"/>
        <v>-29.503738953093134</v>
      </c>
      <c r="M31" s="137">
        <f t="shared" si="72"/>
        <v>-32.617400800873682</v>
      </c>
      <c r="N31" s="137">
        <f t="shared" si="72"/>
        <v>-28.174936921783015</v>
      </c>
      <c r="O31" s="137">
        <f t="shared" si="72"/>
        <v>-27.124183006535944</v>
      </c>
      <c r="P31" s="143">
        <f t="shared" si="72"/>
        <v>-29.114435907804292</v>
      </c>
      <c r="Q31" s="146">
        <f t="shared" si="72"/>
        <v>-17.861205915813414</v>
      </c>
      <c r="R31" s="143">
        <f t="shared" si="72"/>
        <v>-26.270053475935839</v>
      </c>
      <c r="S31" s="146">
        <f t="shared" si="72"/>
        <v>-21.172248803827742</v>
      </c>
      <c r="T31" s="146">
        <f t="shared" si="72"/>
        <v>-33.504624871531348</v>
      </c>
      <c r="U31" s="147">
        <f t="shared" si="72"/>
        <v>-29.345689413086205</v>
      </c>
      <c r="V31" s="143">
        <f t="shared" si="72"/>
        <v>-3.1553398058252498</v>
      </c>
      <c r="W31" s="146">
        <f t="shared" si="72"/>
        <v>-27.522935779816521</v>
      </c>
      <c r="X31" s="143">
        <f t="shared" si="72"/>
        <v>-20.318725099601593</v>
      </c>
      <c r="Y31" s="143">
        <f t="shared" si="72"/>
        <v>-21.24824684431978</v>
      </c>
      <c r="Z31" s="146">
        <f t="shared" si="72"/>
        <v>-36.046511627906973</v>
      </c>
      <c r="AA31" s="143">
        <f t="shared" si="72"/>
        <v>-22.10884353741497</v>
      </c>
      <c r="AB31" s="147">
        <f t="shared" si="72"/>
        <v>-28.160200250312897</v>
      </c>
      <c r="AC31" s="146">
        <f t="shared" si="72"/>
        <v>-25.380116959064338</v>
      </c>
      <c r="AD31" s="146">
        <f t="shared" si="72"/>
        <v>-17.692907248636004</v>
      </c>
      <c r="AE31" s="143">
        <f t="shared" si="72"/>
        <v>-17.455509276789101</v>
      </c>
      <c r="AF31" s="146">
        <f t="shared" si="72"/>
        <v>-16.106333072713056</v>
      </c>
      <c r="AG31" s="146">
        <f t="shared" si="72"/>
        <v>-14.509558132246951</v>
      </c>
      <c r="AH31" s="146">
        <f t="shared" si="72"/>
        <v>-32.42647058823529</v>
      </c>
      <c r="AI31" s="146">
        <f t="shared" si="72"/>
        <v>-30.352112676056336</v>
      </c>
      <c r="AJ31" s="146">
        <f t="shared" si="72"/>
        <v>-33.628318584070797</v>
      </c>
      <c r="AK31" s="147">
        <f t="shared" si="72"/>
        <v>-24.345295829291956</v>
      </c>
      <c r="AL31" s="146">
        <f t="shared" si="72"/>
        <v>-23.280861640430828</v>
      </c>
      <c r="AM31" s="146">
        <f t="shared" si="72"/>
        <v>-33.678160919540218</v>
      </c>
      <c r="AN31" s="146">
        <f t="shared" si="72"/>
        <v>-26.658624849215926</v>
      </c>
      <c r="AO31" s="146">
        <f t="shared" si="72"/>
        <v>-24.519510774606886</v>
      </c>
      <c r="AP31" s="146">
        <f t="shared" si="72"/>
        <v>-24.924471299093653</v>
      </c>
      <c r="AQ31" s="146">
        <f t="shared" ref="AQ31:BV31" si="73">(AQ23-AQ24)/AQ127%-100</f>
        <v>-34.371209057824501</v>
      </c>
      <c r="AR31" s="146">
        <f t="shared" si="73"/>
        <v>-21.942257217847768</v>
      </c>
      <c r="AS31" s="144">
        <f t="shared" si="73"/>
        <v>-27.601938979184496</v>
      </c>
      <c r="AT31" s="146">
        <f t="shared" si="73"/>
        <v>-14.782608695652172</v>
      </c>
      <c r="AU31" s="141">
        <f t="shared" si="73"/>
        <v>-17.861205915813414</v>
      </c>
      <c r="AV31" s="141">
        <f t="shared" si="73"/>
        <v>-21.172248803827742</v>
      </c>
      <c r="AW31" s="141">
        <f t="shared" si="73"/>
        <v>-28.174936921783015</v>
      </c>
      <c r="AX31" s="141">
        <f t="shared" si="73"/>
        <v>-27.226647356987698</v>
      </c>
      <c r="AY31" s="137">
        <f t="shared" si="73"/>
        <v>-29.503738953093134</v>
      </c>
      <c r="AZ31" s="137">
        <f t="shared" si="73"/>
        <v>-23.584905660377359</v>
      </c>
      <c r="BA31" s="137">
        <f t="shared" si="73"/>
        <v>-29.632905793896498</v>
      </c>
      <c r="BB31" s="137">
        <f t="shared" si="73"/>
        <v>-33.504624871531348</v>
      </c>
      <c r="BC31" s="137">
        <f t="shared" si="73"/>
        <v>-29.345689413086205</v>
      </c>
      <c r="BD31" s="137">
        <f t="shared" si="73"/>
        <v>-32.617400800873682</v>
      </c>
      <c r="BE31" s="137">
        <f t="shared" si="73"/>
        <v>-27.124183006535944</v>
      </c>
      <c r="BF31" s="139">
        <f t="shared" si="73"/>
        <v>-31.053268765133168</v>
      </c>
      <c r="BG31" s="137">
        <f t="shared" si="73"/>
        <v>25</v>
      </c>
      <c r="BH31" s="137">
        <f t="shared" si="73"/>
        <v>-22.222222222222229</v>
      </c>
      <c r="BI31" s="137">
        <f t="shared" si="73"/>
        <v>-20.151679306608884</v>
      </c>
      <c r="BJ31" s="137">
        <f t="shared" si="73"/>
        <v>-5.8510638297872219</v>
      </c>
      <c r="BK31" s="137">
        <f t="shared" si="73"/>
        <v>1.4925373134328339</v>
      </c>
      <c r="BL31" s="137">
        <f t="shared" si="73"/>
        <v>-26</v>
      </c>
      <c r="BM31" s="137">
        <f t="shared" si="73"/>
        <v>-36.046511627906973</v>
      </c>
      <c r="BN31" s="137">
        <f t="shared" si="73"/>
        <v>-22.081016679904678</v>
      </c>
      <c r="BO31" s="137">
        <f t="shared" si="73"/>
        <v>-22.222222222222229</v>
      </c>
      <c r="BP31" s="137">
        <f t="shared" si="73"/>
        <v>-28.160200250312897</v>
      </c>
      <c r="BQ31" s="137">
        <f t="shared" si="73"/>
        <v>-22.103386809269168</v>
      </c>
      <c r="BR31" s="139">
        <f t="shared" si="73"/>
        <v>-27.522935779816521</v>
      </c>
      <c r="BS31" s="137">
        <f t="shared" si="73"/>
        <v>-16.901408450704224</v>
      </c>
      <c r="BT31" s="137">
        <f t="shared" si="73"/>
        <v>-17.486994797919166</v>
      </c>
      <c r="BU31" s="137">
        <f t="shared" si="73"/>
        <v>-17.692907248636004</v>
      </c>
      <c r="BV31" s="137">
        <f t="shared" si="73"/>
        <v>-14.509558132246951</v>
      </c>
      <c r="BW31" s="137">
        <f t="shared" ref="BW31:CL31" si="74">(BW23-BW24)/BW127%-100</f>
        <v>-30.352112676056336</v>
      </c>
      <c r="BX31" s="137">
        <f t="shared" si="74"/>
        <v>-25.380116959064338</v>
      </c>
      <c r="BY31" s="137">
        <f t="shared" si="74"/>
        <v>-33.628318584070797</v>
      </c>
      <c r="BZ31" s="137">
        <f t="shared" si="74"/>
        <v>-32.42647058823529</v>
      </c>
      <c r="CA31" s="137">
        <f t="shared" si="74"/>
        <v>-16.106333072713056</v>
      </c>
      <c r="CB31" s="139">
        <f t="shared" si="74"/>
        <v>-24.345295829291956</v>
      </c>
      <c r="CC31" s="137">
        <f t="shared" si="74"/>
        <v>-24.519510774606886</v>
      </c>
      <c r="CD31" s="137">
        <f t="shared" si="74"/>
        <v>-24.924471299093653</v>
      </c>
      <c r="CE31" s="137">
        <f t="shared" si="74"/>
        <v>-23.280861640430828</v>
      </c>
      <c r="CF31" s="137">
        <f t="shared" si="74"/>
        <v>-28.865979381443296</v>
      </c>
      <c r="CG31" s="137">
        <f t="shared" si="74"/>
        <v>-27.52792031391489</v>
      </c>
      <c r="CH31" s="137">
        <f t="shared" si="74"/>
        <v>-33.678160919540218</v>
      </c>
      <c r="CI31" s="137">
        <f t="shared" si="74"/>
        <v>-21.942257217847768</v>
      </c>
      <c r="CJ31" s="137">
        <f t="shared" si="74"/>
        <v>-26.658624849215926</v>
      </c>
      <c r="CK31" s="138">
        <f t="shared" si="74"/>
        <v>-34.371209057824501</v>
      </c>
      <c r="CL31" s="140">
        <f t="shared" si="74"/>
        <v>-26.63172863374183</v>
      </c>
    </row>
    <row r="32" spans="1:90">
      <c r="A32" s="80">
        <f>ROWS($A$3:A30)</f>
        <v>28</v>
      </c>
      <c r="B32" s="53" t="s">
        <v>170</v>
      </c>
      <c r="C32" s="261">
        <v>1999</v>
      </c>
      <c r="D32" s="268" t="s">
        <v>3</v>
      </c>
      <c r="E32" s="269"/>
      <c r="F32" s="116">
        <v>38</v>
      </c>
      <c r="G32" s="137">
        <v>29</v>
      </c>
      <c r="H32" s="137">
        <v>27</v>
      </c>
      <c r="I32" s="138">
        <v>42</v>
      </c>
      <c r="J32" s="141"/>
      <c r="K32" s="116">
        <f t="shared" si="47"/>
        <v>34</v>
      </c>
      <c r="L32" s="137">
        <f t="shared" si="48"/>
        <v>34</v>
      </c>
      <c r="M32" s="137">
        <f t="shared" si="49"/>
        <v>35</v>
      </c>
      <c r="N32" s="137">
        <f t="shared" si="50"/>
        <v>41</v>
      </c>
      <c r="O32" s="137">
        <f t="shared" si="51"/>
        <v>44</v>
      </c>
      <c r="P32" s="143">
        <f>(AZ23*AZ32+BA23*BA32)/P23</f>
        <v>39.413145539906104</v>
      </c>
      <c r="Q32" s="146">
        <f>'2001'!AU32</f>
        <v>26</v>
      </c>
      <c r="R32" s="143">
        <f>(AT23*AT32+AX23*AX32)/R23</f>
        <v>39.864048338368583</v>
      </c>
      <c r="S32" s="146">
        <f t="shared" si="52"/>
        <v>31</v>
      </c>
      <c r="T32" s="146">
        <f t="shared" si="53"/>
        <v>39</v>
      </c>
      <c r="U32" s="147">
        <f t="shared" si="53"/>
        <v>47</v>
      </c>
      <c r="V32" s="143">
        <f>(BG23*BG32+BJ23*BJ32)/V23</f>
        <v>15.621178225205071</v>
      </c>
      <c r="W32" s="146">
        <f t="shared" si="54"/>
        <v>20</v>
      </c>
      <c r="X32" s="143">
        <f>(BH23*BH32+BI23*BI32)/X23</f>
        <v>29.009708737864077</v>
      </c>
      <c r="Y32" s="143">
        <f>(BK23*BK32+BL23*BL32+BN23*BN32)/Y23</f>
        <v>45.637152777777779</v>
      </c>
      <c r="Z32" s="146">
        <f t="shared" si="55"/>
        <v>32</v>
      </c>
      <c r="AA32" s="143">
        <f>(BO23*BO32+BQ23*BQ32)/AA23</f>
        <v>33.179916317991633</v>
      </c>
      <c r="AB32" s="147">
        <f t="shared" si="56"/>
        <v>21</v>
      </c>
      <c r="AC32" s="146">
        <f t="shared" si="57"/>
        <v>32</v>
      </c>
      <c r="AD32" s="146">
        <f t="shared" si="58"/>
        <v>24</v>
      </c>
      <c r="AE32" s="143">
        <f>(BS23*BS32+BT23*BT32)/AE23</f>
        <v>28.206815511163338</v>
      </c>
      <c r="AF32" s="146">
        <f t="shared" si="59"/>
        <v>24</v>
      </c>
      <c r="AG32" s="146">
        <f t="shared" si="60"/>
        <v>28</v>
      </c>
      <c r="AH32" s="146">
        <f t="shared" si="61"/>
        <v>42</v>
      </c>
      <c r="AI32" s="146">
        <f t="shared" si="62"/>
        <v>22</v>
      </c>
      <c r="AJ32" s="146">
        <f t="shared" si="63"/>
        <v>23</v>
      </c>
      <c r="AK32" s="147">
        <f t="shared" si="64"/>
        <v>24</v>
      </c>
      <c r="AL32" s="146">
        <f t="shared" si="65"/>
        <v>15</v>
      </c>
      <c r="AM32" s="146">
        <f t="shared" si="66"/>
        <v>48</v>
      </c>
      <c r="AN32" s="146">
        <f t="shared" si="67"/>
        <v>63</v>
      </c>
      <c r="AO32" s="146">
        <f t="shared" si="68"/>
        <v>25</v>
      </c>
      <c r="AP32" s="146">
        <f t="shared" si="68"/>
        <v>20</v>
      </c>
      <c r="AQ32" s="146">
        <f t="shared" si="69"/>
        <v>30</v>
      </c>
      <c r="AR32" s="146">
        <f t="shared" si="70"/>
        <v>49</v>
      </c>
      <c r="AS32" s="144">
        <f>(CF23*CF32+CG23*CG32)/AS23</f>
        <v>41.908937034529451</v>
      </c>
      <c r="AT32" s="146">
        <v>61</v>
      </c>
      <c r="AU32" s="141">
        <v>26</v>
      </c>
      <c r="AV32" s="141">
        <v>31</v>
      </c>
      <c r="AW32" s="141">
        <v>41</v>
      </c>
      <c r="AX32" s="141">
        <v>37</v>
      </c>
      <c r="AY32" s="137">
        <v>34</v>
      </c>
      <c r="AZ32" s="137">
        <v>59</v>
      </c>
      <c r="BA32" s="137">
        <v>38</v>
      </c>
      <c r="BB32" s="137">
        <v>39</v>
      </c>
      <c r="BC32" s="137">
        <v>47</v>
      </c>
      <c r="BD32" s="137">
        <v>35</v>
      </c>
      <c r="BE32" s="137">
        <v>44</v>
      </c>
      <c r="BF32" s="139">
        <v>34</v>
      </c>
      <c r="BG32" s="137">
        <v>14</v>
      </c>
      <c r="BH32" s="137">
        <v>41</v>
      </c>
      <c r="BI32" s="137">
        <v>28</v>
      </c>
      <c r="BJ32" s="137">
        <v>16</v>
      </c>
      <c r="BK32" s="137">
        <v>72</v>
      </c>
      <c r="BL32" s="137">
        <v>67</v>
      </c>
      <c r="BM32" s="137">
        <v>32</v>
      </c>
      <c r="BN32" s="137">
        <v>42</v>
      </c>
      <c r="BO32" s="137">
        <v>50</v>
      </c>
      <c r="BP32" s="137">
        <v>21</v>
      </c>
      <c r="BQ32" s="137">
        <v>32</v>
      </c>
      <c r="BR32" s="139">
        <v>20</v>
      </c>
      <c r="BS32" s="137">
        <v>31</v>
      </c>
      <c r="BT32" s="137">
        <v>28</v>
      </c>
      <c r="BU32" s="137">
        <v>24</v>
      </c>
      <c r="BV32" s="137">
        <v>28</v>
      </c>
      <c r="BW32" s="137">
        <v>22</v>
      </c>
      <c r="BX32" s="137">
        <v>32</v>
      </c>
      <c r="BY32" s="137">
        <v>23</v>
      </c>
      <c r="BZ32" s="137">
        <v>42</v>
      </c>
      <c r="CA32" s="137">
        <v>24</v>
      </c>
      <c r="CB32" s="139">
        <v>24</v>
      </c>
      <c r="CC32" s="137">
        <v>25</v>
      </c>
      <c r="CD32" s="137">
        <v>20</v>
      </c>
      <c r="CE32" s="137">
        <v>15</v>
      </c>
      <c r="CF32" s="137">
        <v>56</v>
      </c>
      <c r="CG32" s="137">
        <v>41</v>
      </c>
      <c r="CH32" s="137">
        <v>48</v>
      </c>
      <c r="CI32" s="137">
        <v>49</v>
      </c>
      <c r="CJ32" s="137">
        <v>63</v>
      </c>
      <c r="CK32" s="138">
        <v>30</v>
      </c>
      <c r="CL32" s="140">
        <v>35</v>
      </c>
    </row>
    <row r="33" spans="1:90">
      <c r="A33" s="80">
        <f>ROWS($A$3:A31)</f>
        <v>29</v>
      </c>
      <c r="B33" s="53" t="s">
        <v>68</v>
      </c>
      <c r="C33" s="261"/>
      <c r="D33" s="268" t="s">
        <v>3</v>
      </c>
      <c r="E33" s="269"/>
      <c r="F33" s="142">
        <f>100-F32</f>
        <v>62</v>
      </c>
      <c r="G33" s="143">
        <f>100-G32</f>
        <v>71</v>
      </c>
      <c r="H33" s="143">
        <f>100-H32</f>
        <v>73</v>
      </c>
      <c r="I33" s="144">
        <f>100-I32</f>
        <v>58</v>
      </c>
      <c r="J33" s="141"/>
      <c r="K33" s="145">
        <f t="shared" si="47"/>
        <v>66</v>
      </c>
      <c r="L33" s="146">
        <f t="shared" si="48"/>
        <v>66</v>
      </c>
      <c r="M33" s="146">
        <f t="shared" si="49"/>
        <v>65</v>
      </c>
      <c r="N33" s="146">
        <f t="shared" si="50"/>
        <v>59</v>
      </c>
      <c r="O33" s="146">
        <f t="shared" si="51"/>
        <v>56</v>
      </c>
      <c r="P33" s="143">
        <f>100-P32</f>
        <v>60.586854460093896</v>
      </c>
      <c r="Q33" s="146">
        <f>'2001'!AU33</f>
        <v>74</v>
      </c>
      <c r="R33" s="143">
        <f>100-R32</f>
        <v>60.135951661631417</v>
      </c>
      <c r="S33" s="146">
        <f t="shared" si="52"/>
        <v>69</v>
      </c>
      <c r="T33" s="146">
        <f t="shared" si="53"/>
        <v>61</v>
      </c>
      <c r="U33" s="147">
        <f t="shared" si="53"/>
        <v>53</v>
      </c>
      <c r="V33" s="143">
        <f>100-V32</f>
        <v>84.378821774794929</v>
      </c>
      <c r="W33" s="146">
        <f t="shared" si="54"/>
        <v>80</v>
      </c>
      <c r="X33" s="143">
        <f>100-X32</f>
        <v>70.990291262135926</v>
      </c>
      <c r="Y33" s="143">
        <f>100-Y32</f>
        <v>54.362847222222221</v>
      </c>
      <c r="Z33" s="146">
        <f t="shared" si="55"/>
        <v>68</v>
      </c>
      <c r="AA33" s="143">
        <f>100-AA32</f>
        <v>66.820083682008374</v>
      </c>
      <c r="AB33" s="147">
        <f t="shared" si="56"/>
        <v>79</v>
      </c>
      <c r="AC33" s="146">
        <f t="shared" si="57"/>
        <v>68</v>
      </c>
      <c r="AD33" s="146">
        <f t="shared" si="58"/>
        <v>76</v>
      </c>
      <c r="AE33" s="143">
        <f>100-AE32</f>
        <v>71.793184488836658</v>
      </c>
      <c r="AF33" s="146">
        <f t="shared" si="59"/>
        <v>76</v>
      </c>
      <c r="AG33" s="146">
        <f t="shared" si="60"/>
        <v>72</v>
      </c>
      <c r="AH33" s="146">
        <f t="shared" si="61"/>
        <v>58</v>
      </c>
      <c r="AI33" s="146">
        <f t="shared" si="62"/>
        <v>78</v>
      </c>
      <c r="AJ33" s="146">
        <f t="shared" si="63"/>
        <v>77</v>
      </c>
      <c r="AK33" s="147">
        <f t="shared" si="64"/>
        <v>76</v>
      </c>
      <c r="AL33" s="146">
        <f t="shared" si="65"/>
        <v>85</v>
      </c>
      <c r="AM33" s="146">
        <f t="shared" si="66"/>
        <v>52</v>
      </c>
      <c r="AN33" s="146">
        <f t="shared" si="67"/>
        <v>37</v>
      </c>
      <c r="AO33" s="146">
        <f t="shared" si="68"/>
        <v>75</v>
      </c>
      <c r="AP33" s="146">
        <f t="shared" si="68"/>
        <v>80</v>
      </c>
      <c r="AQ33" s="146">
        <f t="shared" si="69"/>
        <v>70</v>
      </c>
      <c r="AR33" s="146">
        <f t="shared" si="70"/>
        <v>51</v>
      </c>
      <c r="AS33" s="144">
        <f t="shared" ref="AS33:CL33" si="75">100-AS32</f>
        <v>58.091062965470549</v>
      </c>
      <c r="AT33" s="143">
        <f t="shared" si="75"/>
        <v>39</v>
      </c>
      <c r="AU33" s="143">
        <f t="shared" si="75"/>
        <v>74</v>
      </c>
      <c r="AV33" s="143">
        <f t="shared" si="75"/>
        <v>69</v>
      </c>
      <c r="AW33" s="143">
        <f t="shared" si="75"/>
        <v>59</v>
      </c>
      <c r="AX33" s="143">
        <f t="shared" si="75"/>
        <v>63</v>
      </c>
      <c r="AY33" s="143">
        <f t="shared" si="75"/>
        <v>66</v>
      </c>
      <c r="AZ33" s="143">
        <f t="shared" si="75"/>
        <v>41</v>
      </c>
      <c r="BA33" s="143">
        <f t="shared" si="75"/>
        <v>62</v>
      </c>
      <c r="BB33" s="143">
        <f t="shared" si="75"/>
        <v>61</v>
      </c>
      <c r="BC33" s="143">
        <f t="shared" si="75"/>
        <v>53</v>
      </c>
      <c r="BD33" s="143">
        <f t="shared" si="75"/>
        <v>65</v>
      </c>
      <c r="BE33" s="143">
        <f t="shared" si="75"/>
        <v>56</v>
      </c>
      <c r="BF33" s="148">
        <f t="shared" si="75"/>
        <v>66</v>
      </c>
      <c r="BG33" s="143">
        <f t="shared" si="75"/>
        <v>86</v>
      </c>
      <c r="BH33" s="143">
        <f t="shared" si="75"/>
        <v>59</v>
      </c>
      <c r="BI33" s="143">
        <f t="shared" si="75"/>
        <v>72</v>
      </c>
      <c r="BJ33" s="143">
        <f t="shared" si="75"/>
        <v>84</v>
      </c>
      <c r="BK33" s="143">
        <f t="shared" si="75"/>
        <v>28</v>
      </c>
      <c r="BL33" s="143">
        <f t="shared" si="75"/>
        <v>33</v>
      </c>
      <c r="BM33" s="143">
        <f t="shared" si="75"/>
        <v>68</v>
      </c>
      <c r="BN33" s="143">
        <f t="shared" si="75"/>
        <v>58</v>
      </c>
      <c r="BO33" s="143">
        <f t="shared" si="75"/>
        <v>50</v>
      </c>
      <c r="BP33" s="143">
        <f t="shared" si="75"/>
        <v>79</v>
      </c>
      <c r="BQ33" s="143">
        <f t="shared" si="75"/>
        <v>68</v>
      </c>
      <c r="BR33" s="148">
        <f t="shared" si="75"/>
        <v>80</v>
      </c>
      <c r="BS33" s="143">
        <f t="shared" si="75"/>
        <v>69</v>
      </c>
      <c r="BT33" s="143">
        <f t="shared" si="75"/>
        <v>72</v>
      </c>
      <c r="BU33" s="143">
        <f t="shared" si="75"/>
        <v>76</v>
      </c>
      <c r="BV33" s="143">
        <f t="shared" si="75"/>
        <v>72</v>
      </c>
      <c r="BW33" s="143">
        <f t="shared" si="75"/>
        <v>78</v>
      </c>
      <c r="BX33" s="143">
        <f t="shared" si="75"/>
        <v>68</v>
      </c>
      <c r="BY33" s="143">
        <f t="shared" si="75"/>
        <v>77</v>
      </c>
      <c r="BZ33" s="143">
        <f t="shared" si="75"/>
        <v>58</v>
      </c>
      <c r="CA33" s="143">
        <f t="shared" si="75"/>
        <v>76</v>
      </c>
      <c r="CB33" s="148">
        <f t="shared" si="75"/>
        <v>76</v>
      </c>
      <c r="CC33" s="143">
        <f t="shared" si="75"/>
        <v>75</v>
      </c>
      <c r="CD33" s="143">
        <f t="shared" si="75"/>
        <v>80</v>
      </c>
      <c r="CE33" s="143">
        <f t="shared" si="75"/>
        <v>85</v>
      </c>
      <c r="CF33" s="143">
        <f t="shared" si="75"/>
        <v>44</v>
      </c>
      <c r="CG33" s="143">
        <f t="shared" si="75"/>
        <v>59</v>
      </c>
      <c r="CH33" s="143">
        <f t="shared" si="75"/>
        <v>52</v>
      </c>
      <c r="CI33" s="143">
        <f t="shared" si="75"/>
        <v>51</v>
      </c>
      <c r="CJ33" s="143">
        <f t="shared" si="75"/>
        <v>37</v>
      </c>
      <c r="CK33" s="144">
        <f t="shared" si="75"/>
        <v>70</v>
      </c>
      <c r="CL33" s="149">
        <f t="shared" si="75"/>
        <v>65</v>
      </c>
    </row>
    <row r="34" spans="1:90">
      <c r="A34" s="80">
        <f>ROWS($A$3:A32)</f>
        <v>30</v>
      </c>
      <c r="B34" s="59" t="s">
        <v>69</v>
      </c>
      <c r="C34" s="201"/>
      <c r="D34" s="268"/>
      <c r="E34" s="269"/>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c r="A35" s="80">
        <f>ROWS($A$3:A33)</f>
        <v>31</v>
      </c>
      <c r="B35" s="92" t="s">
        <v>71</v>
      </c>
      <c r="C35" s="202">
        <v>2001</v>
      </c>
      <c r="D35" s="254" t="s">
        <v>1</v>
      </c>
      <c r="E35" s="273"/>
      <c r="F35" s="116">
        <v>480048</v>
      </c>
      <c r="G35" s="137">
        <v>205981</v>
      </c>
      <c r="H35" s="137">
        <v>339924</v>
      </c>
      <c r="I35" s="138">
        <v>439333</v>
      </c>
      <c r="J35" s="141"/>
      <c r="K35" s="116">
        <f>BF35</f>
        <v>67656</v>
      </c>
      <c r="L35" s="137">
        <f>AY35</f>
        <v>27215</v>
      </c>
      <c r="M35" s="137">
        <f>BD35</f>
        <v>69241</v>
      </c>
      <c r="N35" s="137">
        <f>AW35</f>
        <v>29014</v>
      </c>
      <c r="O35" s="137">
        <f>BE35</f>
        <v>26882</v>
      </c>
      <c r="P35" s="137">
        <f>'2001'!AZ35+'2001'!BA35</f>
        <v>59762</v>
      </c>
      <c r="Q35" s="137">
        <f>'2001'!AU35</f>
        <v>22736</v>
      </c>
      <c r="R35" s="137">
        <f>AT35+AX35</f>
        <v>35976</v>
      </c>
      <c r="S35" s="137">
        <f>AV35</f>
        <v>20667</v>
      </c>
      <c r="T35" s="137">
        <f t="shared" ref="T35:U39" si="76">BB35</f>
        <v>42352</v>
      </c>
      <c r="U35" s="139">
        <f t="shared" si="76"/>
        <v>78548</v>
      </c>
      <c r="V35" s="137">
        <f>BG35+BJ35</f>
        <v>16432</v>
      </c>
      <c r="W35" s="137">
        <f>BR35</f>
        <v>20259</v>
      </c>
      <c r="X35" s="137">
        <f>BH35+BI35</f>
        <v>40456</v>
      </c>
      <c r="Y35" s="137">
        <f>BK35+BL35+BN35</f>
        <v>43664</v>
      </c>
      <c r="Z35" s="137">
        <f>BM35</f>
        <v>47271</v>
      </c>
      <c r="AA35" s="137">
        <f>BO35+BQ35</f>
        <v>20431</v>
      </c>
      <c r="AB35" s="139">
        <f>BP35</f>
        <v>17468</v>
      </c>
      <c r="AC35" s="137">
        <f>BX35</f>
        <v>40565</v>
      </c>
      <c r="AD35" s="137">
        <f>BU35</f>
        <v>23925</v>
      </c>
      <c r="AE35" s="137">
        <f>BS35+BT35</f>
        <v>55754</v>
      </c>
      <c r="AF35" s="137">
        <f>CA35</f>
        <v>24986</v>
      </c>
      <c r="AG35" s="137">
        <f>BV35</f>
        <v>61089</v>
      </c>
      <c r="AH35" s="137">
        <f>BZ35</f>
        <v>35623</v>
      </c>
      <c r="AI35" s="137">
        <f>BW35</f>
        <v>31842</v>
      </c>
      <c r="AJ35" s="137">
        <f>BY35</f>
        <v>25305</v>
      </c>
      <c r="AK35" s="139">
        <f>CB35</f>
        <v>40834</v>
      </c>
      <c r="AL35" s="137">
        <f>CE35</f>
        <v>34562</v>
      </c>
      <c r="AM35" s="137">
        <f>CH35</f>
        <v>78375</v>
      </c>
      <c r="AN35" s="137">
        <f>CJ35</f>
        <v>90622</v>
      </c>
      <c r="AO35" s="137">
        <f t="shared" ref="AO35:AP39" si="77">CC35</f>
        <v>43429</v>
      </c>
      <c r="AP35" s="137">
        <f t="shared" si="77"/>
        <v>20009</v>
      </c>
      <c r="AQ35" s="137">
        <f>CK35</f>
        <v>56082</v>
      </c>
      <c r="AR35" s="137">
        <f>CI35</f>
        <v>35035</v>
      </c>
      <c r="AS35" s="138">
        <f>CF35+CG35</f>
        <v>81218</v>
      </c>
      <c r="AT35" s="137">
        <v>2493</v>
      </c>
      <c r="AU35" s="137">
        <v>22736</v>
      </c>
      <c r="AV35" s="137">
        <v>20667</v>
      </c>
      <c r="AW35" s="141">
        <v>29014</v>
      </c>
      <c r="AX35" s="137">
        <v>33483</v>
      </c>
      <c r="AY35" s="137">
        <v>27215</v>
      </c>
      <c r="AZ35" s="137">
        <v>4553</v>
      </c>
      <c r="BA35" s="137">
        <v>55209</v>
      </c>
      <c r="BB35" s="137">
        <v>42352</v>
      </c>
      <c r="BC35" s="137">
        <v>78548</v>
      </c>
      <c r="BD35" s="137">
        <v>69241</v>
      </c>
      <c r="BE35" s="137">
        <v>26882</v>
      </c>
      <c r="BF35" s="139">
        <v>67656</v>
      </c>
      <c r="BG35" s="137">
        <v>1582</v>
      </c>
      <c r="BH35" s="137">
        <v>2612</v>
      </c>
      <c r="BI35" s="137">
        <v>37844</v>
      </c>
      <c r="BJ35" s="137">
        <v>14850</v>
      </c>
      <c r="BK35" s="137">
        <v>1890</v>
      </c>
      <c r="BL35" s="137">
        <v>3105</v>
      </c>
      <c r="BM35" s="137">
        <v>47271</v>
      </c>
      <c r="BN35" s="137">
        <v>38669</v>
      </c>
      <c r="BO35" s="137">
        <v>1240</v>
      </c>
      <c r="BP35" s="137">
        <v>17468</v>
      </c>
      <c r="BQ35" s="137">
        <v>19191</v>
      </c>
      <c r="BR35" s="139">
        <v>20259</v>
      </c>
      <c r="BS35" s="137">
        <v>3623</v>
      </c>
      <c r="BT35" s="137">
        <v>52131</v>
      </c>
      <c r="BU35" s="137">
        <v>23925</v>
      </c>
      <c r="BV35" s="137">
        <v>61089</v>
      </c>
      <c r="BW35" s="137">
        <v>31842</v>
      </c>
      <c r="BX35" s="137">
        <v>40565</v>
      </c>
      <c r="BY35" s="137">
        <v>25305</v>
      </c>
      <c r="BZ35" s="137">
        <v>35623</v>
      </c>
      <c r="CA35" s="137">
        <v>24986</v>
      </c>
      <c r="CB35" s="139">
        <v>40834</v>
      </c>
      <c r="CC35" s="137">
        <v>43429</v>
      </c>
      <c r="CD35" s="137">
        <v>20009</v>
      </c>
      <c r="CE35" s="137">
        <v>34562</v>
      </c>
      <c r="CF35" s="137">
        <v>4836</v>
      </c>
      <c r="CG35" s="137">
        <v>76382</v>
      </c>
      <c r="CH35" s="137">
        <v>78375</v>
      </c>
      <c r="CI35" s="137">
        <v>35035</v>
      </c>
      <c r="CJ35" s="137">
        <v>90622</v>
      </c>
      <c r="CK35" s="138">
        <v>56082</v>
      </c>
      <c r="CL35" s="140">
        <v>1465286</v>
      </c>
    </row>
    <row r="36" spans="1:90">
      <c r="A36" s="80">
        <f>ROWS($A$3:A34)</f>
        <v>32</v>
      </c>
      <c r="B36" s="92" t="s">
        <v>72</v>
      </c>
      <c r="C36" s="203"/>
      <c r="D36" s="254" t="s">
        <v>1</v>
      </c>
      <c r="E36" s="273"/>
      <c r="F36" s="116">
        <v>316887</v>
      </c>
      <c r="G36" s="137">
        <v>145088</v>
      </c>
      <c r="H36" s="137">
        <v>148601</v>
      </c>
      <c r="I36" s="138">
        <v>232261</v>
      </c>
      <c r="J36" s="141"/>
      <c r="K36" s="116">
        <f>BF36</f>
        <v>34804</v>
      </c>
      <c r="L36" s="137">
        <f>AY36</f>
        <v>12252</v>
      </c>
      <c r="M36" s="137">
        <f>BD36</f>
        <v>59838</v>
      </c>
      <c r="N36" s="137">
        <f>AW36</f>
        <v>12690</v>
      </c>
      <c r="O36" s="137">
        <f>BE36</f>
        <v>17235</v>
      </c>
      <c r="P36" s="137">
        <f>'2001'!AZ36+'2001'!BA36</f>
        <v>45706</v>
      </c>
      <c r="Q36" s="137">
        <f>'2001'!AU36</f>
        <v>15715</v>
      </c>
      <c r="R36" s="137">
        <f>AT36+AX36</f>
        <v>27123</v>
      </c>
      <c r="S36" s="137">
        <f>AV36</f>
        <v>10527</v>
      </c>
      <c r="T36" s="137">
        <f t="shared" si="76"/>
        <v>30935</v>
      </c>
      <c r="U36" s="139">
        <f t="shared" si="76"/>
        <v>50062</v>
      </c>
      <c r="V36" s="137">
        <f>BG36+BJ36</f>
        <v>10488</v>
      </c>
      <c r="W36" s="137">
        <f>BR36</f>
        <v>10136</v>
      </c>
      <c r="X36" s="137">
        <f>BH36+BI36</f>
        <v>32811</v>
      </c>
      <c r="Y36" s="137">
        <f>BK36+BL36+BN36</f>
        <v>34730</v>
      </c>
      <c r="Z36" s="137">
        <f>BM36</f>
        <v>35586</v>
      </c>
      <c r="AA36" s="137">
        <f>BO36+BQ36</f>
        <v>12977</v>
      </c>
      <c r="AB36" s="139">
        <f>BP36</f>
        <v>8360</v>
      </c>
      <c r="AC36" s="137">
        <f>BX36</f>
        <v>15954</v>
      </c>
      <c r="AD36" s="137">
        <f>BU36</f>
        <v>10567</v>
      </c>
      <c r="AE36" s="137">
        <f>BS36+BT36</f>
        <v>21752</v>
      </c>
      <c r="AF36" s="137">
        <f>CA36</f>
        <v>7728</v>
      </c>
      <c r="AG36" s="137">
        <f>BV36</f>
        <v>29051</v>
      </c>
      <c r="AH36" s="137">
        <f>BZ36</f>
        <v>20264</v>
      </c>
      <c r="AI36" s="137">
        <f>BW36</f>
        <v>17536</v>
      </c>
      <c r="AJ36" s="137">
        <f>BY36</f>
        <v>9524</v>
      </c>
      <c r="AK36" s="139">
        <f>CB36</f>
        <v>16225</v>
      </c>
      <c r="AL36" s="137">
        <f>CE36</f>
        <v>13772</v>
      </c>
      <c r="AM36" s="137">
        <f>CH36</f>
        <v>51057</v>
      </c>
      <c r="AN36" s="137">
        <f>CJ36</f>
        <v>24152</v>
      </c>
      <c r="AO36" s="137">
        <f t="shared" si="77"/>
        <v>20198</v>
      </c>
      <c r="AP36" s="137">
        <f t="shared" si="77"/>
        <v>13393</v>
      </c>
      <c r="AQ36" s="137">
        <f>CK36</f>
        <v>35249</v>
      </c>
      <c r="AR36" s="137">
        <f>CI36</f>
        <v>14132</v>
      </c>
      <c r="AS36" s="138">
        <f>CF36+CG36</f>
        <v>60308</v>
      </c>
      <c r="AT36" s="137">
        <v>1524</v>
      </c>
      <c r="AU36" s="141">
        <v>15715</v>
      </c>
      <c r="AV36" s="141">
        <v>10527</v>
      </c>
      <c r="AW36" s="141">
        <v>12690</v>
      </c>
      <c r="AX36" s="141">
        <v>25599</v>
      </c>
      <c r="AY36" s="137">
        <v>12252</v>
      </c>
      <c r="AZ36" s="137">
        <v>3624</v>
      </c>
      <c r="BA36" s="137">
        <v>42082</v>
      </c>
      <c r="BB36" s="137">
        <v>30935</v>
      </c>
      <c r="BC36" s="137">
        <v>50062</v>
      </c>
      <c r="BD36" s="137">
        <v>59838</v>
      </c>
      <c r="BE36" s="137">
        <v>17235</v>
      </c>
      <c r="BF36" s="139">
        <v>34804</v>
      </c>
      <c r="BG36" s="137">
        <v>557</v>
      </c>
      <c r="BH36" s="137">
        <v>2123</v>
      </c>
      <c r="BI36" s="137">
        <v>30688</v>
      </c>
      <c r="BJ36" s="137">
        <v>9931</v>
      </c>
      <c r="BK36" s="137">
        <v>1549</v>
      </c>
      <c r="BL36" s="137">
        <v>2849</v>
      </c>
      <c r="BM36" s="137">
        <v>35586</v>
      </c>
      <c r="BN36" s="137">
        <v>30332</v>
      </c>
      <c r="BO36" s="137">
        <v>739</v>
      </c>
      <c r="BP36" s="137">
        <v>8360</v>
      </c>
      <c r="BQ36" s="137">
        <v>12238</v>
      </c>
      <c r="BR36" s="139">
        <v>10136</v>
      </c>
      <c r="BS36" s="137">
        <v>1708</v>
      </c>
      <c r="BT36" s="137">
        <v>20044</v>
      </c>
      <c r="BU36" s="137">
        <v>10567</v>
      </c>
      <c r="BV36" s="137">
        <v>29051</v>
      </c>
      <c r="BW36" s="137">
        <v>17536</v>
      </c>
      <c r="BX36" s="137">
        <v>15954</v>
      </c>
      <c r="BY36" s="137">
        <v>9524</v>
      </c>
      <c r="BZ36" s="137">
        <v>20264</v>
      </c>
      <c r="CA36" s="137">
        <v>7728</v>
      </c>
      <c r="CB36" s="139">
        <v>16225</v>
      </c>
      <c r="CC36" s="137">
        <v>20198</v>
      </c>
      <c r="CD36" s="137">
        <v>13393</v>
      </c>
      <c r="CE36" s="137">
        <v>13772</v>
      </c>
      <c r="CF36" s="137">
        <v>4066</v>
      </c>
      <c r="CG36" s="137">
        <v>56242</v>
      </c>
      <c r="CH36" s="137">
        <v>51057</v>
      </c>
      <c r="CI36" s="137">
        <v>14132</v>
      </c>
      <c r="CJ36" s="137">
        <v>24152</v>
      </c>
      <c r="CK36" s="138">
        <v>35249</v>
      </c>
      <c r="CL36" s="140">
        <v>842837</v>
      </c>
    </row>
    <row r="37" spans="1:90">
      <c r="A37" s="80">
        <f>ROWS($A$3:A35)</f>
        <v>33</v>
      </c>
      <c r="B37" s="92" t="s">
        <v>6</v>
      </c>
      <c r="C37" s="203"/>
      <c r="D37" s="254" t="s">
        <v>1</v>
      </c>
      <c r="E37" s="273"/>
      <c r="F37" s="116">
        <v>147375</v>
      </c>
      <c r="G37" s="137">
        <v>56333</v>
      </c>
      <c r="H37" s="137">
        <v>170993</v>
      </c>
      <c r="I37" s="138">
        <v>197172</v>
      </c>
      <c r="J37" s="141"/>
      <c r="K37" s="116">
        <f>BF37</f>
        <v>32490</v>
      </c>
      <c r="L37" s="137">
        <f>AY37</f>
        <v>13204</v>
      </c>
      <c r="M37" s="137">
        <f>BD37</f>
        <v>8372</v>
      </c>
      <c r="N37" s="137">
        <f>AW37</f>
        <v>16171</v>
      </c>
      <c r="O37" s="137">
        <f>BE37</f>
        <v>9613</v>
      </c>
      <c r="P37" s="137">
        <f>'2001'!AZ37+'2001'!BA37</f>
        <v>6986</v>
      </c>
      <c r="Q37" s="137">
        <f>'2001'!AU37</f>
        <v>6863</v>
      </c>
      <c r="R37" s="137">
        <f>AT37+AX37</f>
        <v>6047</v>
      </c>
      <c r="S37" s="137">
        <f>AV37</f>
        <v>9637</v>
      </c>
      <c r="T37" s="137">
        <f t="shared" si="76"/>
        <v>9759</v>
      </c>
      <c r="U37" s="139">
        <f t="shared" si="76"/>
        <v>28233</v>
      </c>
      <c r="V37" s="137">
        <f>BG37+BJ37</f>
        <v>4690</v>
      </c>
      <c r="W37" s="137">
        <f>BR37</f>
        <v>10073</v>
      </c>
      <c r="X37" s="137">
        <f>BH37+BI37</f>
        <v>6566</v>
      </c>
      <c r="Y37" s="137">
        <f>BK37+BL37+BN37</f>
        <v>7591</v>
      </c>
      <c r="Z37" s="137">
        <f>BM37</f>
        <v>11279</v>
      </c>
      <c r="AA37" s="137">
        <f>BO37+BQ37</f>
        <v>7190</v>
      </c>
      <c r="AB37" s="139">
        <f>BP37</f>
        <v>8944</v>
      </c>
      <c r="AC37" s="137">
        <f>BX37</f>
        <v>24560</v>
      </c>
      <c r="AD37" s="137">
        <f>BU37</f>
        <v>10552</v>
      </c>
      <c r="AE37" s="137">
        <f>BS37+BT37</f>
        <v>27012</v>
      </c>
      <c r="AF37" s="137">
        <f>CA37</f>
        <v>15731</v>
      </c>
      <c r="AG37" s="137">
        <f>BV37</f>
        <v>24577</v>
      </c>
      <c r="AH37" s="137">
        <f>BZ37</f>
        <v>14240</v>
      </c>
      <c r="AI37" s="137">
        <f>BW37</f>
        <v>14264</v>
      </c>
      <c r="AJ37" s="137">
        <f>BY37</f>
        <v>15750</v>
      </c>
      <c r="AK37" s="139">
        <f>CB37</f>
        <v>24307</v>
      </c>
      <c r="AL37" s="137">
        <f>CE37</f>
        <v>20593</v>
      </c>
      <c r="AM37" s="137">
        <f>CH37</f>
        <v>27103</v>
      </c>
      <c r="AN37" s="137">
        <f>CJ37</f>
        <v>64939</v>
      </c>
      <c r="AO37" s="137">
        <f t="shared" si="77"/>
        <v>23004</v>
      </c>
      <c r="AP37" s="137">
        <f t="shared" si="77"/>
        <v>6533</v>
      </c>
      <c r="AQ37" s="137">
        <f>CK37</f>
        <v>20673</v>
      </c>
      <c r="AR37" s="137">
        <f>CI37</f>
        <v>13610</v>
      </c>
      <c r="AS37" s="138">
        <f>CF37+CG37</f>
        <v>20717</v>
      </c>
      <c r="AT37" s="141">
        <v>476</v>
      </c>
      <c r="AU37" s="141">
        <v>6863</v>
      </c>
      <c r="AV37" s="141">
        <v>9637</v>
      </c>
      <c r="AW37" s="141">
        <v>16171</v>
      </c>
      <c r="AX37" s="141">
        <v>5571</v>
      </c>
      <c r="AY37" s="137">
        <v>13204</v>
      </c>
      <c r="AZ37" s="137">
        <v>212</v>
      </c>
      <c r="BA37" s="137">
        <v>6774</v>
      </c>
      <c r="BB37" s="137">
        <v>9759</v>
      </c>
      <c r="BC37" s="137">
        <v>28233</v>
      </c>
      <c r="BD37" s="137">
        <v>8372</v>
      </c>
      <c r="BE37" s="137">
        <v>9613</v>
      </c>
      <c r="BF37" s="139">
        <v>32490</v>
      </c>
      <c r="BG37" s="137">
        <v>724</v>
      </c>
      <c r="BH37" s="137">
        <v>401</v>
      </c>
      <c r="BI37" s="137">
        <v>6165</v>
      </c>
      <c r="BJ37" s="137">
        <v>3966</v>
      </c>
      <c r="BK37" s="137">
        <v>255</v>
      </c>
      <c r="BL37" s="137">
        <v>245</v>
      </c>
      <c r="BM37" s="137">
        <v>11279</v>
      </c>
      <c r="BN37" s="137">
        <v>7091</v>
      </c>
      <c r="BO37" s="137">
        <v>499</v>
      </c>
      <c r="BP37" s="137">
        <v>8944</v>
      </c>
      <c r="BQ37" s="137">
        <v>6691</v>
      </c>
      <c r="BR37" s="139">
        <v>10073</v>
      </c>
      <c r="BS37" s="137">
        <v>1083</v>
      </c>
      <c r="BT37" s="137">
        <v>25929</v>
      </c>
      <c r="BU37" s="137">
        <v>10552</v>
      </c>
      <c r="BV37" s="137">
        <v>24577</v>
      </c>
      <c r="BW37" s="137">
        <v>14264</v>
      </c>
      <c r="BX37" s="137">
        <v>24560</v>
      </c>
      <c r="BY37" s="137">
        <v>15750</v>
      </c>
      <c r="BZ37" s="137">
        <v>14240</v>
      </c>
      <c r="CA37" s="137">
        <v>15731</v>
      </c>
      <c r="CB37" s="139">
        <v>24307</v>
      </c>
      <c r="CC37" s="137">
        <v>23004</v>
      </c>
      <c r="CD37" s="137">
        <v>6533</v>
      </c>
      <c r="CE37" s="137">
        <v>20593</v>
      </c>
      <c r="CF37" s="137">
        <v>738</v>
      </c>
      <c r="CG37" s="137">
        <v>19979</v>
      </c>
      <c r="CH37" s="137">
        <v>27103</v>
      </c>
      <c r="CI37" s="137">
        <v>13610</v>
      </c>
      <c r="CJ37" s="137">
        <v>64939</v>
      </c>
      <c r="CK37" s="138">
        <v>20673</v>
      </c>
      <c r="CL37" s="140">
        <v>571873</v>
      </c>
    </row>
    <row r="38" spans="1:90">
      <c r="A38" s="80">
        <f>ROWS($A$3:A36)</f>
        <v>34</v>
      </c>
      <c r="B38" s="92" t="s">
        <v>244</v>
      </c>
      <c r="C38" s="203"/>
      <c r="D38" s="254" t="s">
        <v>1</v>
      </c>
      <c r="E38" s="273"/>
      <c r="F38" s="116">
        <v>3551</v>
      </c>
      <c r="G38" s="137">
        <v>1476</v>
      </c>
      <c r="H38" s="137">
        <v>8196</v>
      </c>
      <c r="I38" s="138">
        <v>8366</v>
      </c>
      <c r="J38" s="141"/>
      <c r="K38" s="116">
        <f>BF38</f>
        <v>20</v>
      </c>
      <c r="L38" s="137">
        <f>AY38</f>
        <v>547</v>
      </c>
      <c r="M38" s="137">
        <f>BD38</f>
        <v>87</v>
      </c>
      <c r="N38" s="137">
        <f>AW38</f>
        <v>88</v>
      </c>
      <c r="O38" s="137">
        <f>BE38</f>
        <v>6</v>
      </c>
      <c r="P38" s="137">
        <f>'2001'!AZ38+'2001'!BA38</f>
        <v>1069</v>
      </c>
      <c r="Q38" s="137">
        <f>'2001'!AU38</f>
        <v>114</v>
      </c>
      <c r="R38" s="137">
        <f>AT38+AX38</f>
        <v>531</v>
      </c>
      <c r="S38" s="137">
        <f>AV38</f>
        <v>206</v>
      </c>
      <c r="T38" s="137">
        <f t="shared" si="76"/>
        <v>733</v>
      </c>
      <c r="U38" s="139">
        <f t="shared" si="76"/>
        <v>150</v>
      </c>
      <c r="V38" s="137">
        <f>BG38+BJ38</f>
        <v>613</v>
      </c>
      <c r="W38" s="137">
        <f>BR38</f>
        <v>21</v>
      </c>
      <c r="X38" s="137">
        <f>BH38+BI38</f>
        <v>250</v>
      </c>
      <c r="Y38" s="137">
        <f>BK38+BN38</f>
        <v>475</v>
      </c>
      <c r="Z38" s="137">
        <f>BM38</f>
        <v>80</v>
      </c>
      <c r="AA38" s="137">
        <f>BQ38</f>
        <v>27</v>
      </c>
      <c r="AB38" s="139">
        <f>BP38</f>
        <v>4</v>
      </c>
      <c r="AC38" s="137">
        <f>BX38</f>
        <v>8</v>
      </c>
      <c r="AD38" s="137">
        <f>BU38</f>
        <v>722</v>
      </c>
      <c r="AE38" s="137">
        <f>BS38+BT38</f>
        <v>1020</v>
      </c>
      <c r="AF38" s="137">
        <f>CA38</f>
        <v>722</v>
      </c>
      <c r="AG38" s="137">
        <f>BV38</f>
        <v>4585</v>
      </c>
      <c r="AH38" s="137">
        <f>BZ38</f>
        <v>936</v>
      </c>
      <c r="AI38" s="137" t="str">
        <f>BW38</f>
        <v>*</v>
      </c>
      <c r="AJ38" s="137" t="str">
        <f>BY38</f>
        <v>*</v>
      </c>
      <c r="AK38" s="139">
        <f>CB38</f>
        <v>190</v>
      </c>
      <c r="AL38" s="137">
        <f>CE38</f>
        <v>33</v>
      </c>
      <c r="AM38" s="137">
        <f>CH38</f>
        <v>39</v>
      </c>
      <c r="AN38" s="137">
        <f>CJ38</f>
        <v>1335</v>
      </c>
      <c r="AO38" s="137">
        <f t="shared" si="77"/>
        <v>100</v>
      </c>
      <c r="AP38" s="137">
        <f t="shared" si="77"/>
        <v>61</v>
      </c>
      <c r="AQ38" s="137">
        <f>CK38</f>
        <v>31</v>
      </c>
      <c r="AR38" s="137">
        <f>CI38</f>
        <v>6684</v>
      </c>
      <c r="AS38" s="138">
        <f>CF38+CG38</f>
        <v>85</v>
      </c>
      <c r="AT38" s="141">
        <v>91</v>
      </c>
      <c r="AU38" s="141">
        <v>114</v>
      </c>
      <c r="AV38" s="141">
        <v>206</v>
      </c>
      <c r="AW38" s="141">
        <v>88</v>
      </c>
      <c r="AX38" s="141">
        <v>440</v>
      </c>
      <c r="AY38" s="137">
        <v>547</v>
      </c>
      <c r="AZ38" s="137">
        <v>51</v>
      </c>
      <c r="BA38" s="137">
        <v>1018</v>
      </c>
      <c r="BB38" s="137">
        <v>733</v>
      </c>
      <c r="BC38" s="137">
        <v>150</v>
      </c>
      <c r="BD38" s="137">
        <v>87</v>
      </c>
      <c r="BE38" s="137">
        <v>6</v>
      </c>
      <c r="BF38" s="139">
        <v>20</v>
      </c>
      <c r="BG38" s="137">
        <v>60</v>
      </c>
      <c r="BH38" s="137">
        <v>55</v>
      </c>
      <c r="BI38" s="137">
        <v>195</v>
      </c>
      <c r="BJ38" s="137">
        <v>553</v>
      </c>
      <c r="BK38" s="137">
        <v>24</v>
      </c>
      <c r="BL38" s="137">
        <v>7</v>
      </c>
      <c r="BM38" s="137">
        <v>80</v>
      </c>
      <c r="BN38" s="137">
        <v>451</v>
      </c>
      <c r="BO38" s="137" t="s">
        <v>233</v>
      </c>
      <c r="BP38" s="137">
        <v>4</v>
      </c>
      <c r="BQ38" s="137">
        <v>27</v>
      </c>
      <c r="BR38" s="139">
        <v>21</v>
      </c>
      <c r="BS38" s="137">
        <v>107</v>
      </c>
      <c r="BT38" s="137">
        <v>913</v>
      </c>
      <c r="BU38" s="137">
        <v>722</v>
      </c>
      <c r="BV38" s="137">
        <v>4585</v>
      </c>
      <c r="BW38" s="137" t="s">
        <v>233</v>
      </c>
      <c r="BX38" s="137">
        <v>8</v>
      </c>
      <c r="BY38" s="137" t="s">
        <v>233</v>
      </c>
      <c r="BZ38" s="137">
        <v>936</v>
      </c>
      <c r="CA38" s="137">
        <v>722</v>
      </c>
      <c r="CB38" s="139">
        <v>190</v>
      </c>
      <c r="CC38" s="137">
        <v>100</v>
      </c>
      <c r="CD38" s="137">
        <v>61</v>
      </c>
      <c r="CE38" s="137">
        <v>33</v>
      </c>
      <c r="CF38" s="137">
        <v>12</v>
      </c>
      <c r="CG38" s="137">
        <v>73</v>
      </c>
      <c r="CH38" s="137">
        <v>39</v>
      </c>
      <c r="CI38" s="137">
        <v>6684</v>
      </c>
      <c r="CJ38" s="137">
        <v>1335</v>
      </c>
      <c r="CK38" s="138">
        <v>31</v>
      </c>
      <c r="CL38" s="140">
        <v>21589</v>
      </c>
    </row>
    <row r="39" spans="1:90">
      <c r="A39" s="80">
        <f>ROWS($A$3:A37)</f>
        <v>35</v>
      </c>
      <c r="B39" s="92" t="s">
        <v>245</v>
      </c>
      <c r="C39" s="203"/>
      <c r="D39" s="254" t="s">
        <v>1</v>
      </c>
      <c r="E39" s="273"/>
      <c r="F39" s="116">
        <v>10468</v>
      </c>
      <c r="G39" s="137">
        <v>2147</v>
      </c>
      <c r="H39" s="137">
        <v>10879</v>
      </c>
      <c r="I39" s="138">
        <v>508</v>
      </c>
      <c r="J39" s="141"/>
      <c r="K39" s="116" t="str">
        <f>BF39</f>
        <v>-</v>
      </c>
      <c r="L39" s="137">
        <f>AY39</f>
        <v>1054</v>
      </c>
      <c r="M39" s="137">
        <f>BD39</f>
        <v>805</v>
      </c>
      <c r="N39" s="137" t="str">
        <f>AW39</f>
        <v>-</v>
      </c>
      <c r="O39" s="137" t="str">
        <f>BE39</f>
        <v>-</v>
      </c>
      <c r="P39" s="137">
        <f>'2001'!AZ39+'2001'!BA39</f>
        <v>5673</v>
      </c>
      <c r="Q39" s="137" t="str">
        <f>'2001'!AU39</f>
        <v>*</v>
      </c>
      <c r="R39" s="137">
        <f>AT39+AX39</f>
        <v>2029</v>
      </c>
      <c r="S39" s="137">
        <f>AV39</f>
        <v>133</v>
      </c>
      <c r="T39" s="137">
        <f t="shared" si="76"/>
        <v>769</v>
      </c>
      <c r="U39" s="139" t="str">
        <f t="shared" si="76"/>
        <v>*</v>
      </c>
      <c r="V39" s="137">
        <f>BG39+BJ39</f>
        <v>557</v>
      </c>
      <c r="W39" s="137" t="str">
        <f>BR39</f>
        <v>-</v>
      </c>
      <c r="X39" s="137">
        <f>BI39</f>
        <v>738</v>
      </c>
      <c r="Y39" s="137">
        <f>BK39+BN39</f>
        <v>646</v>
      </c>
      <c r="Z39" s="137">
        <f>BM39</f>
        <v>6</v>
      </c>
      <c r="AA39" s="137">
        <f>BQ39</f>
        <v>192</v>
      </c>
      <c r="AB39" s="139" t="str">
        <f>BP39</f>
        <v>-</v>
      </c>
      <c r="AC39" s="137" t="str">
        <f>BX39</f>
        <v>-</v>
      </c>
      <c r="AD39" s="137">
        <f>BU39</f>
        <v>1941</v>
      </c>
      <c r="AE39" s="137">
        <f>BS39+BT39</f>
        <v>5809</v>
      </c>
      <c r="AF39" s="137">
        <f>CA39</f>
        <v>703</v>
      </c>
      <c r="AG39" s="137">
        <f>BV39</f>
        <v>2324</v>
      </c>
      <c r="AH39" s="137">
        <f>BZ39</f>
        <v>56</v>
      </c>
      <c r="AI39" s="137" t="str">
        <f>BW39</f>
        <v>-</v>
      </c>
      <c r="AJ39" s="137" t="str">
        <f>BY39</f>
        <v>-</v>
      </c>
      <c r="AK39" s="139">
        <f>CB39</f>
        <v>46</v>
      </c>
      <c r="AL39" s="137" t="str">
        <f>CE39</f>
        <v>-</v>
      </c>
      <c r="AM39" s="137" t="str">
        <f>CH39</f>
        <v>-</v>
      </c>
      <c r="AN39" s="137" t="str">
        <f>CJ39</f>
        <v>-</v>
      </c>
      <c r="AO39" s="137">
        <f t="shared" si="77"/>
        <v>17</v>
      </c>
      <c r="AP39" s="137">
        <f t="shared" si="77"/>
        <v>7</v>
      </c>
      <c r="AQ39" s="137" t="str">
        <f>CK39</f>
        <v>-</v>
      </c>
      <c r="AR39" s="137">
        <f>CI39</f>
        <v>484</v>
      </c>
      <c r="AS39" s="138" t="str">
        <f>CG39</f>
        <v>-</v>
      </c>
      <c r="AT39" s="141">
        <v>369</v>
      </c>
      <c r="AU39" s="141" t="s">
        <v>233</v>
      </c>
      <c r="AV39" s="141">
        <v>133</v>
      </c>
      <c r="AW39" s="137" t="s">
        <v>58</v>
      </c>
      <c r="AX39" s="141">
        <v>1660</v>
      </c>
      <c r="AY39" s="137">
        <v>1054</v>
      </c>
      <c r="AZ39" s="137">
        <v>623</v>
      </c>
      <c r="BA39" s="137">
        <v>5050</v>
      </c>
      <c r="BB39" s="137">
        <v>769</v>
      </c>
      <c r="BC39" s="137" t="s">
        <v>233</v>
      </c>
      <c r="BD39" s="137">
        <v>805</v>
      </c>
      <c r="BE39" s="137" t="s">
        <v>58</v>
      </c>
      <c r="BF39" s="139" t="s">
        <v>58</v>
      </c>
      <c r="BG39" s="137">
        <v>208</v>
      </c>
      <c r="BH39" s="137" t="s">
        <v>233</v>
      </c>
      <c r="BI39" s="137">
        <v>738</v>
      </c>
      <c r="BJ39" s="137">
        <v>349</v>
      </c>
      <c r="BK39" s="137">
        <v>50</v>
      </c>
      <c r="BL39" s="137" t="s">
        <v>58</v>
      </c>
      <c r="BM39" s="137">
        <v>6</v>
      </c>
      <c r="BN39" s="137">
        <v>596</v>
      </c>
      <c r="BO39" s="137" t="s">
        <v>233</v>
      </c>
      <c r="BP39" s="137" t="s">
        <v>58</v>
      </c>
      <c r="BQ39" s="137">
        <v>192</v>
      </c>
      <c r="BR39" s="139" t="s">
        <v>58</v>
      </c>
      <c r="BS39" s="137">
        <v>695</v>
      </c>
      <c r="BT39" s="137">
        <v>5114</v>
      </c>
      <c r="BU39" s="137">
        <v>1941</v>
      </c>
      <c r="BV39" s="137">
        <v>2324</v>
      </c>
      <c r="BW39" s="137" t="s">
        <v>58</v>
      </c>
      <c r="BX39" s="137" t="s">
        <v>58</v>
      </c>
      <c r="BY39" s="137" t="s">
        <v>58</v>
      </c>
      <c r="BZ39" s="137">
        <v>56</v>
      </c>
      <c r="CA39" s="137">
        <v>703</v>
      </c>
      <c r="CB39" s="139">
        <v>46</v>
      </c>
      <c r="CC39" s="137">
        <v>17</v>
      </c>
      <c r="CD39" s="137">
        <v>7</v>
      </c>
      <c r="CE39" s="137" t="s">
        <v>58</v>
      </c>
      <c r="CF39" s="137" t="s">
        <v>58</v>
      </c>
      <c r="CG39" s="137" t="s">
        <v>58</v>
      </c>
      <c r="CH39" s="137" t="s">
        <v>58</v>
      </c>
      <c r="CI39" s="137">
        <v>484</v>
      </c>
      <c r="CJ39" s="137" t="s">
        <v>58</v>
      </c>
      <c r="CK39" s="138" t="s">
        <v>58</v>
      </c>
      <c r="CL39" s="140">
        <v>24002</v>
      </c>
    </row>
    <row r="40" spans="1:90">
      <c r="A40" s="80">
        <f>ROWS($A$3:A38)</f>
        <v>36</v>
      </c>
      <c r="B40" s="59" t="s">
        <v>98</v>
      </c>
      <c r="C40" s="203"/>
      <c r="D40" s="254"/>
      <c r="E40" s="269"/>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c r="A41" s="80">
        <f>ROWS($A$3:A39)</f>
        <v>37</v>
      </c>
      <c r="B41" s="92" t="s">
        <v>73</v>
      </c>
      <c r="C41" s="202">
        <v>2001</v>
      </c>
      <c r="D41" s="254" t="s">
        <v>7</v>
      </c>
      <c r="E41" s="273"/>
      <c r="F41" s="126">
        <v>369529</v>
      </c>
      <c r="G41" s="137">
        <v>103445</v>
      </c>
      <c r="H41" s="137">
        <v>270951</v>
      </c>
      <c r="I41" s="138">
        <v>467741</v>
      </c>
      <c r="J41" s="141"/>
      <c r="K41" s="116">
        <f t="shared" ref="K41:K54" si="78">BF41</f>
        <v>87620</v>
      </c>
      <c r="L41" s="137">
        <f t="shared" ref="L41:L54" si="79">AY41</f>
        <v>26788</v>
      </c>
      <c r="M41" s="137">
        <f t="shared" ref="M41:M54" si="80">BD41</f>
        <v>29645</v>
      </c>
      <c r="N41" s="137">
        <f t="shared" ref="N41:N54" si="81">AW41</f>
        <v>34558</v>
      </c>
      <c r="O41" s="137">
        <f t="shared" ref="O41:O54" si="82">BE41</f>
        <v>26077</v>
      </c>
      <c r="P41" s="137">
        <f>AZ41+BA41</f>
        <v>19100</v>
      </c>
      <c r="Q41" s="137">
        <f>'2001'!AU41</f>
        <v>10506</v>
      </c>
      <c r="R41" s="137">
        <f>AT41+AX41</f>
        <v>19311</v>
      </c>
      <c r="S41" s="137">
        <f t="shared" ref="S41:S54" si="83">AV41</f>
        <v>12514</v>
      </c>
      <c r="T41" s="137">
        <f t="shared" ref="T41:T54" si="84">BB41</f>
        <v>26291</v>
      </c>
      <c r="U41" s="139">
        <f t="shared" ref="U41:U54" si="85">BC41</f>
        <v>77119</v>
      </c>
      <c r="V41" s="137">
        <f>BG41+BJ41</f>
        <v>3562</v>
      </c>
      <c r="W41" s="137">
        <f t="shared" ref="W41:W54" si="86">BR41</f>
        <v>15289</v>
      </c>
      <c r="X41" s="137">
        <f>BH41+BI41</f>
        <v>7988</v>
      </c>
      <c r="Y41" s="137">
        <f>BK41+BL41+BN41</f>
        <v>18282</v>
      </c>
      <c r="Z41" s="137">
        <f t="shared" ref="Z41:Z54" si="87">BM41</f>
        <v>31835</v>
      </c>
      <c r="AA41" s="137">
        <f>BO41+BQ41</f>
        <v>12248</v>
      </c>
      <c r="AB41" s="139">
        <f t="shared" ref="AB41:AB54" si="88">BP41</f>
        <v>14241</v>
      </c>
      <c r="AC41" s="137">
        <f t="shared" ref="AC41:AC54" si="89">BX41</f>
        <v>38892</v>
      </c>
      <c r="AD41" s="137">
        <f t="shared" ref="AD41:AD54" si="90">BU41</f>
        <v>18741</v>
      </c>
      <c r="AE41" s="137">
        <f>BS41+BT41</f>
        <v>36725</v>
      </c>
      <c r="AF41" s="137">
        <f t="shared" ref="AF41:AF54" si="91">CA41</f>
        <v>20109</v>
      </c>
      <c r="AG41" s="137">
        <f t="shared" ref="AG41:AG54" si="92">BV41</f>
        <v>38769</v>
      </c>
      <c r="AH41" s="137">
        <f t="shared" ref="AH41:AH54" si="93">BZ41</f>
        <v>31156</v>
      </c>
      <c r="AI41" s="137">
        <f t="shared" ref="AI41:AI54" si="94">BW41</f>
        <v>24668</v>
      </c>
      <c r="AJ41" s="137">
        <f t="shared" ref="AJ41:AJ54" si="95">BY41</f>
        <v>18487</v>
      </c>
      <c r="AK41" s="139">
        <f t="shared" ref="AK41:AK54" si="96">CB41</f>
        <v>43404</v>
      </c>
      <c r="AL41" s="137">
        <f t="shared" ref="AL41:AL54" si="97">CE41</f>
        <v>14908</v>
      </c>
      <c r="AM41" s="137">
        <f t="shared" ref="AM41:AM54" si="98">CH41</f>
        <v>108899</v>
      </c>
      <c r="AN41" s="137">
        <f t="shared" ref="AN41:AN54" si="99">CJ41</f>
        <v>161200</v>
      </c>
      <c r="AO41" s="137">
        <f t="shared" ref="AO41:AO54" si="100">CC41</f>
        <v>33471</v>
      </c>
      <c r="AP41" s="137">
        <f t="shared" ref="AP41:AP54" si="101">CD41</f>
        <v>7261</v>
      </c>
      <c r="AQ41" s="137">
        <f t="shared" ref="AQ41:AQ54" si="102">CK41</f>
        <v>46318</v>
      </c>
      <c r="AR41" s="137">
        <f t="shared" ref="AR41:AR54" si="103">CI41</f>
        <v>30818</v>
      </c>
      <c r="AS41" s="138">
        <f>CF41+CG41</f>
        <v>64866</v>
      </c>
      <c r="AT41" s="116">
        <v>1028</v>
      </c>
      <c r="AU41" s="141">
        <v>10506</v>
      </c>
      <c r="AV41" s="141">
        <v>12514</v>
      </c>
      <c r="AW41" s="141">
        <v>34558</v>
      </c>
      <c r="AX41" s="141">
        <v>18283</v>
      </c>
      <c r="AY41" s="137">
        <v>26788</v>
      </c>
      <c r="AZ41" s="137">
        <v>638</v>
      </c>
      <c r="BA41" s="137">
        <v>18462</v>
      </c>
      <c r="BB41" s="137">
        <v>26291</v>
      </c>
      <c r="BC41" s="137">
        <v>77119</v>
      </c>
      <c r="BD41" s="137">
        <v>29645</v>
      </c>
      <c r="BE41" s="137">
        <v>26077</v>
      </c>
      <c r="BF41" s="139">
        <v>87620</v>
      </c>
      <c r="BG41" s="137">
        <v>221</v>
      </c>
      <c r="BH41" s="137">
        <v>379</v>
      </c>
      <c r="BI41" s="137">
        <v>7609</v>
      </c>
      <c r="BJ41" s="137">
        <v>3341</v>
      </c>
      <c r="BK41" s="137">
        <v>857</v>
      </c>
      <c r="BL41" s="137">
        <v>94</v>
      </c>
      <c r="BM41" s="137">
        <v>31835</v>
      </c>
      <c r="BN41" s="137">
        <v>17331</v>
      </c>
      <c r="BO41" s="137">
        <v>358</v>
      </c>
      <c r="BP41" s="137">
        <v>14241</v>
      </c>
      <c r="BQ41" s="137">
        <v>11890</v>
      </c>
      <c r="BR41" s="139">
        <v>15289</v>
      </c>
      <c r="BS41" s="137">
        <v>781</v>
      </c>
      <c r="BT41" s="137">
        <v>35944</v>
      </c>
      <c r="BU41" s="137">
        <v>18741</v>
      </c>
      <c r="BV41" s="137">
        <v>38769</v>
      </c>
      <c r="BW41" s="137">
        <v>24668</v>
      </c>
      <c r="BX41" s="137">
        <v>38892</v>
      </c>
      <c r="BY41" s="137">
        <v>18487</v>
      </c>
      <c r="BZ41" s="137">
        <v>31156</v>
      </c>
      <c r="CA41" s="137">
        <v>20109</v>
      </c>
      <c r="CB41" s="139">
        <v>43404</v>
      </c>
      <c r="CC41" s="137">
        <v>33471</v>
      </c>
      <c r="CD41" s="137">
        <v>7261</v>
      </c>
      <c r="CE41" s="137">
        <v>14908</v>
      </c>
      <c r="CF41" s="137">
        <v>2984</v>
      </c>
      <c r="CG41" s="137">
        <v>61882</v>
      </c>
      <c r="CH41" s="137">
        <v>108899</v>
      </c>
      <c r="CI41" s="137">
        <v>30818</v>
      </c>
      <c r="CJ41" s="137">
        <v>161200</v>
      </c>
      <c r="CK41" s="138">
        <v>46318</v>
      </c>
      <c r="CL41" s="140">
        <v>1211666</v>
      </c>
    </row>
    <row r="42" spans="1:90">
      <c r="A42" s="80">
        <f>ROWS($A$3:A40)</f>
        <v>38</v>
      </c>
      <c r="B42" s="92" t="s">
        <v>305</v>
      </c>
      <c r="C42" s="203"/>
      <c r="D42" s="254" t="s">
        <v>7</v>
      </c>
      <c r="E42" s="273"/>
      <c r="F42" s="126">
        <f>120592+17670+20479</f>
        <v>158741</v>
      </c>
      <c r="G42" s="137">
        <f>30117+8259+5158</f>
        <v>43534</v>
      </c>
      <c r="H42" s="137">
        <f>81611+26057+16397</f>
        <v>124065</v>
      </c>
      <c r="I42" s="138">
        <f>185905+13337+30509</f>
        <v>229751</v>
      </c>
      <c r="J42" s="141"/>
      <c r="K42" s="116">
        <f t="shared" si="78"/>
        <v>37804</v>
      </c>
      <c r="L42" s="137">
        <f t="shared" si="79"/>
        <v>11857</v>
      </c>
      <c r="M42" s="137">
        <f t="shared" si="80"/>
        <v>12019</v>
      </c>
      <c r="N42" s="137">
        <f t="shared" si="81"/>
        <v>15991</v>
      </c>
      <c r="O42" s="137">
        <f t="shared" si="82"/>
        <v>11066</v>
      </c>
      <c r="P42" s="137">
        <f>AZ42+BA42</f>
        <v>8072</v>
      </c>
      <c r="Q42" s="137">
        <f>'2001'!AU42</f>
        <v>4732</v>
      </c>
      <c r="R42" s="137">
        <f>AT42+AX42</f>
        <v>7348</v>
      </c>
      <c r="S42" s="137">
        <f t="shared" si="83"/>
        <v>5258</v>
      </c>
      <c r="T42" s="137">
        <f t="shared" si="84"/>
        <v>11544</v>
      </c>
      <c r="U42" s="139">
        <f t="shared" si="85"/>
        <v>32977</v>
      </c>
      <c r="V42" s="137">
        <f>BJ42</f>
        <v>1367</v>
      </c>
      <c r="W42" s="137">
        <f t="shared" si="86"/>
        <v>6889</v>
      </c>
      <c r="X42" s="137">
        <f>BI42</f>
        <v>2900</v>
      </c>
      <c r="Y42" s="137">
        <f>BK42+BL42+BN42</f>
        <v>7508</v>
      </c>
      <c r="Z42" s="137">
        <f t="shared" si="87"/>
        <v>13087</v>
      </c>
      <c r="AA42" s="137">
        <f>BO42+BQ42</f>
        <v>5017</v>
      </c>
      <c r="AB42" s="139">
        <f t="shared" si="88"/>
        <v>6497</v>
      </c>
      <c r="AC42" s="137">
        <f t="shared" si="89"/>
        <v>19134</v>
      </c>
      <c r="AD42" s="137">
        <f t="shared" si="90"/>
        <v>8390</v>
      </c>
      <c r="AE42" s="137">
        <f>BS42+BT42</f>
        <v>18902</v>
      </c>
      <c r="AF42" s="137">
        <f t="shared" si="91"/>
        <v>9067</v>
      </c>
      <c r="AG42" s="137">
        <f t="shared" si="92"/>
        <v>17395</v>
      </c>
      <c r="AH42" s="137">
        <f t="shared" si="93"/>
        <v>13604</v>
      </c>
      <c r="AI42" s="137">
        <f t="shared" si="94"/>
        <v>10280</v>
      </c>
      <c r="AJ42" s="137">
        <f t="shared" si="95"/>
        <v>8419</v>
      </c>
      <c r="AK42" s="139">
        <f t="shared" si="96"/>
        <v>18874</v>
      </c>
      <c r="AL42" s="137">
        <f t="shared" si="97"/>
        <v>6266</v>
      </c>
      <c r="AM42" s="137">
        <f t="shared" si="98"/>
        <v>48585</v>
      </c>
      <c r="AN42" s="137">
        <f t="shared" si="99"/>
        <v>92253</v>
      </c>
      <c r="AO42" s="137">
        <f t="shared" si="100"/>
        <v>13757</v>
      </c>
      <c r="AP42" s="137">
        <f t="shared" si="101"/>
        <v>3026</v>
      </c>
      <c r="AQ42" s="137">
        <f t="shared" si="102"/>
        <v>21109</v>
      </c>
      <c r="AR42" s="137">
        <f t="shared" si="103"/>
        <v>16139</v>
      </c>
      <c r="AS42" s="138">
        <f>CF42+CG42</f>
        <v>28616</v>
      </c>
      <c r="AT42" s="116">
        <f>492+11</f>
        <v>503</v>
      </c>
      <c r="AU42" s="141">
        <f>3554+640+538</f>
        <v>4732</v>
      </c>
      <c r="AV42" s="141">
        <f>3546+1047+665</f>
        <v>5258</v>
      </c>
      <c r="AW42" s="141">
        <f>12025+1762+2204</f>
        <v>15991</v>
      </c>
      <c r="AX42" s="141">
        <f>5741+312+792</f>
        <v>6845</v>
      </c>
      <c r="AY42" s="137">
        <f>8502+1838+1517</f>
        <v>11857</v>
      </c>
      <c r="AZ42" s="137">
        <f>232+29</f>
        <v>261</v>
      </c>
      <c r="BA42" s="137">
        <f>6244+675+892</f>
        <v>7811</v>
      </c>
      <c r="BB42" s="137">
        <f>8815+1311+1418</f>
        <v>11544</v>
      </c>
      <c r="BC42" s="137">
        <f>24592+3809+4576</f>
        <v>32977</v>
      </c>
      <c r="BD42" s="137">
        <f>9365+1029+1625</f>
        <v>12019</v>
      </c>
      <c r="BE42" s="137">
        <f>8738+686+1642</f>
        <v>11066</v>
      </c>
      <c r="BF42" s="139">
        <f>28746+4521+4537</f>
        <v>37804</v>
      </c>
      <c r="BG42" s="137">
        <f>9+76+8</f>
        <v>93</v>
      </c>
      <c r="BH42" s="137">
        <f>94+22</f>
        <v>116</v>
      </c>
      <c r="BI42" s="137">
        <f>1927+719+254</f>
        <v>2900</v>
      </c>
      <c r="BJ42" s="137">
        <f>718+480+169</f>
        <v>1367</v>
      </c>
      <c r="BK42" s="137">
        <f>249+123+32</f>
        <v>404</v>
      </c>
      <c r="BL42" s="137">
        <v>39</v>
      </c>
      <c r="BM42" s="137">
        <f>9713+1723+1651</f>
        <v>13087</v>
      </c>
      <c r="BN42" s="137">
        <f>4846+1415+804</f>
        <v>7065</v>
      </c>
      <c r="BO42" s="137">
        <f>106+31</f>
        <v>137</v>
      </c>
      <c r="BP42" s="137">
        <f>4447+1292+758</f>
        <v>6497</v>
      </c>
      <c r="BQ42" s="137">
        <f>3227+1044+609</f>
        <v>4880</v>
      </c>
      <c r="BR42" s="139">
        <f>4742+1318+829</f>
        <v>6889</v>
      </c>
      <c r="BS42" s="137">
        <f>145+80+37</f>
        <v>262</v>
      </c>
      <c r="BT42" s="137">
        <f>12388+3527+2725</f>
        <v>18640</v>
      </c>
      <c r="BU42" s="137">
        <f>4542+2787+1061</f>
        <v>8390</v>
      </c>
      <c r="BV42" s="137">
        <f>11179+4498+1718</f>
        <v>17395</v>
      </c>
      <c r="BW42" s="137">
        <f>6827+2140+1313</f>
        <v>10280</v>
      </c>
      <c r="BX42" s="137">
        <f>13715+2742+2677</f>
        <v>19134</v>
      </c>
      <c r="BY42" s="137">
        <f>5658+1541+1220</f>
        <v>8419</v>
      </c>
      <c r="BZ42" s="137">
        <f>10347+1383+1874</f>
        <v>13604</v>
      </c>
      <c r="CA42" s="137">
        <f>4989+2671+1407</f>
        <v>9067</v>
      </c>
      <c r="CB42" s="139">
        <f>11821+4688+2365</f>
        <v>18874</v>
      </c>
      <c r="CC42" s="137">
        <f>10364+1579+1814</f>
        <v>13757</v>
      </c>
      <c r="CD42" s="137">
        <f>2187+501+338</f>
        <v>3026</v>
      </c>
      <c r="CE42" s="137">
        <f>3685+1763+818</f>
        <v>6266</v>
      </c>
      <c r="CF42" s="137">
        <f>995+28+156</f>
        <v>1179</v>
      </c>
      <c r="CG42" s="137">
        <f>21973+1746+3718</f>
        <v>27437</v>
      </c>
      <c r="CH42" s="137">
        <f>39896+2143+6546</f>
        <v>48585</v>
      </c>
      <c r="CI42" s="137">
        <f>13123+1100+1916</f>
        <v>16139</v>
      </c>
      <c r="CJ42" s="137">
        <f>77839+1983+12431</f>
        <v>92253</v>
      </c>
      <c r="CK42" s="138">
        <f>15843+2494+2772</f>
        <v>21109</v>
      </c>
      <c r="CL42" s="140">
        <f>418225+65323+72543</f>
        <v>556091</v>
      </c>
    </row>
    <row r="43" spans="1:90">
      <c r="A43" s="80">
        <f>ROWS($A$3:A41)</f>
        <v>39</v>
      </c>
      <c r="B43" s="92" t="s">
        <v>14</v>
      </c>
      <c r="C43" s="203"/>
      <c r="D43" s="254" t="s">
        <v>7</v>
      </c>
      <c r="E43" s="273"/>
      <c r="F43" s="126">
        <v>120592</v>
      </c>
      <c r="G43" s="137">
        <v>30117</v>
      </c>
      <c r="H43" s="137">
        <v>81611</v>
      </c>
      <c r="I43" s="138">
        <v>185905</v>
      </c>
      <c r="J43" s="141"/>
      <c r="K43" s="116">
        <f>BF43</f>
        <v>28746</v>
      </c>
      <c r="L43" s="137">
        <f>AY43</f>
        <v>8502</v>
      </c>
      <c r="M43" s="137">
        <f>BD43</f>
        <v>9365</v>
      </c>
      <c r="N43" s="137">
        <f>AW43</f>
        <v>12025</v>
      </c>
      <c r="O43" s="137">
        <f>BE43</f>
        <v>8738</v>
      </c>
      <c r="P43" s="137">
        <f>AZ43+BA43</f>
        <v>6476</v>
      </c>
      <c r="Q43" s="137">
        <f>'2001'!AU43</f>
        <v>3554</v>
      </c>
      <c r="R43" s="137">
        <f>AT43+AX43</f>
        <v>6233</v>
      </c>
      <c r="S43" s="137">
        <f>AV43</f>
        <v>3546</v>
      </c>
      <c r="T43" s="137">
        <f>BB43</f>
        <v>8815</v>
      </c>
      <c r="U43" s="139">
        <f>BC43</f>
        <v>24592</v>
      </c>
      <c r="V43" s="137">
        <f>BJ43</f>
        <v>718</v>
      </c>
      <c r="W43" s="137">
        <f>BR43</f>
        <v>4742</v>
      </c>
      <c r="X43" s="137">
        <f>BI43</f>
        <v>1927</v>
      </c>
      <c r="Y43" s="137">
        <f>BK43+BL43+BN43</f>
        <v>5134</v>
      </c>
      <c r="Z43" s="137">
        <f>BM43</f>
        <v>9713</v>
      </c>
      <c r="AA43" s="137">
        <f>BO43+BQ43</f>
        <v>3333</v>
      </c>
      <c r="AB43" s="139">
        <f>BP43</f>
        <v>4447</v>
      </c>
      <c r="AC43" s="137">
        <f>BX43</f>
        <v>13715</v>
      </c>
      <c r="AD43" s="137">
        <f>BU43</f>
        <v>4542</v>
      </c>
      <c r="AE43" s="137">
        <f>BS43+BT43</f>
        <v>12533</v>
      </c>
      <c r="AF43" s="137">
        <f>CA43</f>
        <v>4989</v>
      </c>
      <c r="AG43" s="137">
        <f>BV43</f>
        <v>11179</v>
      </c>
      <c r="AH43" s="137">
        <f>BZ43</f>
        <v>10347</v>
      </c>
      <c r="AI43" s="137">
        <f>BW43</f>
        <v>6827</v>
      </c>
      <c r="AJ43" s="137">
        <f>BY43</f>
        <v>5658</v>
      </c>
      <c r="AK43" s="139">
        <f>CB43</f>
        <v>11821</v>
      </c>
      <c r="AL43" s="137">
        <f>CE43</f>
        <v>3685</v>
      </c>
      <c r="AM43" s="137">
        <f>CH43</f>
        <v>39896</v>
      </c>
      <c r="AN43" s="137">
        <f>CJ43</f>
        <v>77839</v>
      </c>
      <c r="AO43" s="137">
        <f>CC43</f>
        <v>10364</v>
      </c>
      <c r="AP43" s="137">
        <f>CD43</f>
        <v>2187</v>
      </c>
      <c r="AQ43" s="137">
        <f>CK43</f>
        <v>15843</v>
      </c>
      <c r="AR43" s="137">
        <f>CI43</f>
        <v>13123</v>
      </c>
      <c r="AS43" s="138">
        <f>CF43+CG43</f>
        <v>22968</v>
      </c>
      <c r="AT43" s="116">
        <v>492</v>
      </c>
      <c r="AU43" s="141">
        <v>3554</v>
      </c>
      <c r="AV43" s="141">
        <v>3546</v>
      </c>
      <c r="AW43" s="141">
        <v>12025</v>
      </c>
      <c r="AX43" s="141">
        <v>5741</v>
      </c>
      <c r="AY43" s="137">
        <v>8502</v>
      </c>
      <c r="AZ43" s="137">
        <v>232</v>
      </c>
      <c r="BA43" s="137">
        <v>6244</v>
      </c>
      <c r="BB43" s="137">
        <v>8815</v>
      </c>
      <c r="BC43" s="137">
        <v>24592</v>
      </c>
      <c r="BD43" s="137">
        <v>9365</v>
      </c>
      <c r="BE43" s="137">
        <v>8738</v>
      </c>
      <c r="BF43" s="139">
        <v>28746</v>
      </c>
      <c r="BG43" s="137">
        <v>9</v>
      </c>
      <c r="BH43" s="137">
        <v>94</v>
      </c>
      <c r="BI43" s="137">
        <v>1927</v>
      </c>
      <c r="BJ43" s="137">
        <v>718</v>
      </c>
      <c r="BK43" s="137">
        <v>249</v>
      </c>
      <c r="BL43" s="137">
        <v>39</v>
      </c>
      <c r="BM43" s="137">
        <v>9713</v>
      </c>
      <c r="BN43" s="137">
        <v>4846</v>
      </c>
      <c r="BO43" s="137">
        <v>106</v>
      </c>
      <c r="BP43" s="137">
        <v>4447</v>
      </c>
      <c r="BQ43" s="137">
        <v>3227</v>
      </c>
      <c r="BR43" s="139">
        <v>4742</v>
      </c>
      <c r="BS43" s="137">
        <v>145</v>
      </c>
      <c r="BT43" s="137">
        <v>12388</v>
      </c>
      <c r="BU43" s="137">
        <v>4542</v>
      </c>
      <c r="BV43" s="137">
        <v>11179</v>
      </c>
      <c r="BW43" s="137">
        <v>6827</v>
      </c>
      <c r="BX43" s="137">
        <v>13715</v>
      </c>
      <c r="BY43" s="137">
        <v>5658</v>
      </c>
      <c r="BZ43" s="137">
        <v>10347</v>
      </c>
      <c r="CA43" s="137">
        <v>4989</v>
      </c>
      <c r="CB43" s="139">
        <v>11821</v>
      </c>
      <c r="CC43" s="137">
        <v>10364</v>
      </c>
      <c r="CD43" s="137">
        <v>2187</v>
      </c>
      <c r="CE43" s="137">
        <v>3685</v>
      </c>
      <c r="CF43" s="137">
        <v>995</v>
      </c>
      <c r="CG43" s="137">
        <v>21973</v>
      </c>
      <c r="CH43" s="137">
        <v>39896</v>
      </c>
      <c r="CI43" s="137">
        <v>13123</v>
      </c>
      <c r="CJ43" s="137">
        <v>77839</v>
      </c>
      <c r="CK43" s="138">
        <v>15843</v>
      </c>
      <c r="CL43" s="140">
        <v>418225</v>
      </c>
    </row>
    <row r="44" spans="1:90">
      <c r="A44" s="80">
        <f>ROWS($A$3:A42)</f>
        <v>40</v>
      </c>
      <c r="B44" s="54" t="s">
        <v>20</v>
      </c>
      <c r="C44" s="252"/>
      <c r="D44" s="254" t="s">
        <v>241</v>
      </c>
      <c r="E44" s="273"/>
      <c r="F44" s="126">
        <v>21.9</v>
      </c>
      <c r="G44" s="137">
        <v>21.5</v>
      </c>
      <c r="H44" s="137">
        <v>16.399999999999999</v>
      </c>
      <c r="I44" s="138">
        <v>28</v>
      </c>
      <c r="J44" s="141"/>
      <c r="K44" s="116">
        <f t="shared" si="78"/>
        <v>22.9</v>
      </c>
      <c r="L44" s="137">
        <f t="shared" si="79"/>
        <v>18.399999999999999</v>
      </c>
      <c r="M44" s="137">
        <f t="shared" si="80"/>
        <v>18.399999999999999</v>
      </c>
      <c r="N44" s="137">
        <f t="shared" si="81"/>
        <v>25.5</v>
      </c>
      <c r="O44" s="137">
        <f t="shared" si="82"/>
        <v>26.7</v>
      </c>
      <c r="P44" s="143">
        <f>(AZ42*AZ44+BA42*BA44)/P42</f>
        <v>22.928629831516353</v>
      </c>
      <c r="Q44" s="137">
        <f>'2001'!AU44</f>
        <v>21.9</v>
      </c>
      <c r="R44" s="143">
        <f>(AT42*AT44+AX42*AX44)/R42</f>
        <v>22.825898203592814</v>
      </c>
      <c r="S44" s="137">
        <f t="shared" si="83"/>
        <v>18.7</v>
      </c>
      <c r="T44" s="137">
        <f t="shared" si="84"/>
        <v>21.1</v>
      </c>
      <c r="U44" s="139">
        <f t="shared" si="85"/>
        <v>21.3</v>
      </c>
      <c r="V44" s="143">
        <f>(BJ42*BJ44)/V42</f>
        <v>18</v>
      </c>
      <c r="W44" s="137">
        <f t="shared" si="86"/>
        <v>15.8</v>
      </c>
      <c r="X44" s="143">
        <f>(BI42*BI44)/X42</f>
        <v>24.4</v>
      </c>
      <c r="Y44" s="143">
        <f>(BK42*BK44+BN42*BN44)/Y42</f>
        <v>25.768220564730953</v>
      </c>
      <c r="Z44" s="137">
        <f t="shared" si="87"/>
        <v>25.4</v>
      </c>
      <c r="AA44" s="143">
        <f>(BQ42*BQ44)/AA42</f>
        <v>27.040861072353998</v>
      </c>
      <c r="AB44" s="139">
        <f t="shared" si="88"/>
        <v>16.3</v>
      </c>
      <c r="AC44" s="137">
        <f t="shared" si="89"/>
        <v>19.5</v>
      </c>
      <c r="AD44" s="137">
        <f t="shared" si="90"/>
        <v>12</v>
      </c>
      <c r="AE44" s="143">
        <f>(BS42*BS44+BT42*BT44)/AE42</f>
        <v>17.769706909321766</v>
      </c>
      <c r="AF44" s="137">
        <f t="shared" si="91"/>
        <v>13.2</v>
      </c>
      <c r="AG44" s="137">
        <f t="shared" si="92"/>
        <v>10.5</v>
      </c>
      <c r="AH44" s="137">
        <f t="shared" si="93"/>
        <v>28</v>
      </c>
      <c r="AI44" s="137">
        <f t="shared" si="94"/>
        <v>14.2</v>
      </c>
      <c r="AJ44" s="137">
        <f t="shared" si="95"/>
        <v>25.8</v>
      </c>
      <c r="AK44" s="139">
        <f t="shared" si="96"/>
        <v>17.7</v>
      </c>
      <c r="AL44" s="137">
        <f t="shared" si="97"/>
        <v>26</v>
      </c>
      <c r="AM44" s="137">
        <f t="shared" si="98"/>
        <v>29.3</v>
      </c>
      <c r="AN44" s="137">
        <f t="shared" si="99"/>
        <v>33.6</v>
      </c>
      <c r="AO44" s="137">
        <f t="shared" si="100"/>
        <v>21.7</v>
      </c>
      <c r="AP44" s="137">
        <f t="shared" si="101"/>
        <v>18.5</v>
      </c>
      <c r="AQ44" s="137">
        <f t="shared" si="102"/>
        <v>23.1</v>
      </c>
      <c r="AR44" s="137">
        <f t="shared" si="103"/>
        <v>24.3</v>
      </c>
      <c r="AS44" s="144">
        <f>(CF42*CF44+CG42*CG44)/AS42</f>
        <v>22.982401453732173</v>
      </c>
      <c r="AT44" s="116">
        <v>25.9</v>
      </c>
      <c r="AU44" s="137">
        <v>21.9</v>
      </c>
      <c r="AV44" s="137">
        <v>18.7</v>
      </c>
      <c r="AW44" s="137">
        <v>25.5</v>
      </c>
      <c r="AX44" s="137">
        <v>22.6</v>
      </c>
      <c r="AY44" s="137">
        <v>18.399999999999999</v>
      </c>
      <c r="AZ44" s="137">
        <v>17.8</v>
      </c>
      <c r="BA44" s="137">
        <v>23.1</v>
      </c>
      <c r="BB44" s="137">
        <v>21.1</v>
      </c>
      <c r="BC44" s="137">
        <v>21.3</v>
      </c>
      <c r="BD44" s="137">
        <v>18.399999999999999</v>
      </c>
      <c r="BE44" s="137">
        <v>26.7</v>
      </c>
      <c r="BF44" s="139">
        <v>22.9</v>
      </c>
      <c r="BG44" s="137">
        <v>1.8</v>
      </c>
      <c r="BH44" s="137">
        <v>18.8</v>
      </c>
      <c r="BI44" s="137">
        <v>24.4</v>
      </c>
      <c r="BJ44" s="137">
        <v>18</v>
      </c>
      <c r="BK44" s="137">
        <v>27.7</v>
      </c>
      <c r="BL44" s="137">
        <v>13</v>
      </c>
      <c r="BM44" s="137">
        <v>25.4</v>
      </c>
      <c r="BN44" s="137">
        <v>25.8</v>
      </c>
      <c r="BO44" s="137">
        <v>35.299999999999997</v>
      </c>
      <c r="BP44" s="137">
        <v>16.3</v>
      </c>
      <c r="BQ44" s="137">
        <v>27.8</v>
      </c>
      <c r="BR44" s="139">
        <v>15.8</v>
      </c>
      <c r="BS44" s="137">
        <v>8.5</v>
      </c>
      <c r="BT44" s="137">
        <v>17.899999999999999</v>
      </c>
      <c r="BU44" s="137">
        <v>12</v>
      </c>
      <c r="BV44" s="137">
        <v>10.5</v>
      </c>
      <c r="BW44" s="137">
        <v>14.2</v>
      </c>
      <c r="BX44" s="137">
        <v>19.5</v>
      </c>
      <c r="BY44" s="137">
        <v>25.8</v>
      </c>
      <c r="BZ44" s="137">
        <v>28</v>
      </c>
      <c r="CA44" s="137">
        <v>13.2</v>
      </c>
      <c r="CB44" s="139">
        <v>17.7</v>
      </c>
      <c r="CC44" s="137">
        <v>21.7</v>
      </c>
      <c r="CD44" s="137">
        <v>18.5</v>
      </c>
      <c r="CE44" s="137">
        <v>26</v>
      </c>
      <c r="CF44" s="137">
        <v>24.9</v>
      </c>
      <c r="CG44" s="137">
        <v>22.9</v>
      </c>
      <c r="CH44" s="137">
        <v>29.3</v>
      </c>
      <c r="CI44" s="137">
        <v>24.3</v>
      </c>
      <c r="CJ44" s="137">
        <v>33.6</v>
      </c>
      <c r="CK44" s="138">
        <v>23.1</v>
      </c>
      <c r="CL44" s="140">
        <v>22.6</v>
      </c>
    </row>
    <row r="45" spans="1:90">
      <c r="A45" s="80">
        <f>ROWS($A$3:A43)</f>
        <v>41</v>
      </c>
      <c r="B45" s="92" t="s">
        <v>74</v>
      </c>
      <c r="C45" s="252"/>
      <c r="D45" s="254" t="s">
        <v>7</v>
      </c>
      <c r="E45" s="273"/>
      <c r="F45" s="126">
        <v>1192436</v>
      </c>
      <c r="G45" s="137">
        <v>143302</v>
      </c>
      <c r="H45" s="137">
        <v>208389</v>
      </c>
      <c r="I45" s="138">
        <v>770357</v>
      </c>
      <c r="J45" s="141"/>
      <c r="K45" s="116">
        <f t="shared" si="78"/>
        <v>130510</v>
      </c>
      <c r="L45" s="137">
        <f t="shared" si="79"/>
        <v>24013</v>
      </c>
      <c r="M45" s="137">
        <f t="shared" si="80"/>
        <v>150023</v>
      </c>
      <c r="N45" s="137">
        <f t="shared" si="81"/>
        <v>27833</v>
      </c>
      <c r="O45" s="137">
        <f t="shared" si="82"/>
        <v>54222</v>
      </c>
      <c r="P45" s="808">
        <f>IF(ISERROR(AZ45+BA45),BA45,AZ45+BA45)</f>
        <v>47945</v>
      </c>
      <c r="Q45" s="137">
        <f>'2001'!AU45</f>
        <v>22683</v>
      </c>
      <c r="R45" s="808">
        <f>IF(ISERROR(AT45+AX45),AX45,AT45+AX45)</f>
        <v>45515</v>
      </c>
      <c r="S45" s="137">
        <f t="shared" si="83"/>
        <v>9347</v>
      </c>
      <c r="T45" s="137">
        <f t="shared" si="84"/>
        <v>204629</v>
      </c>
      <c r="U45" s="139">
        <f t="shared" si="85"/>
        <v>475716</v>
      </c>
      <c r="V45" s="808">
        <f>IF(ISERROR(BG45+BJ45),BJ45,(BG45+BJ45))</f>
        <v>9397</v>
      </c>
      <c r="W45" s="137">
        <f t="shared" si="86"/>
        <v>16387</v>
      </c>
      <c r="X45" s="808">
        <f>IF(ISERROR(BH45+BI45),BI45,(BH45+BI45))</f>
        <v>16441</v>
      </c>
      <c r="Y45" s="808">
        <f>IF(ISERROR(BK45+BL45+BN45),BK45+BN45,(BK45+BL45+BN45))</f>
        <v>39921</v>
      </c>
      <c r="Z45" s="137">
        <f t="shared" si="87"/>
        <v>44848</v>
      </c>
      <c r="AA45" s="808">
        <f>IF(ISERROR(BO45+BQ45),BQ45,(BO45+BQ45))</f>
        <v>8507</v>
      </c>
      <c r="AB45" s="139">
        <f t="shared" si="88"/>
        <v>7801</v>
      </c>
      <c r="AC45" s="137">
        <f t="shared" si="89"/>
        <v>26900</v>
      </c>
      <c r="AD45" s="137">
        <f t="shared" si="90"/>
        <v>9551</v>
      </c>
      <c r="AE45" s="808">
        <f>BS45+BT45</f>
        <v>15105</v>
      </c>
      <c r="AF45" s="137">
        <f t="shared" si="91"/>
        <v>8106</v>
      </c>
      <c r="AG45" s="137">
        <f t="shared" si="92"/>
        <v>43874</v>
      </c>
      <c r="AH45" s="137">
        <f t="shared" si="93"/>
        <v>25543</v>
      </c>
      <c r="AI45" s="137">
        <f t="shared" si="94"/>
        <v>41477</v>
      </c>
      <c r="AJ45" s="137">
        <f t="shared" si="95"/>
        <v>14725</v>
      </c>
      <c r="AK45" s="139">
        <f t="shared" si="96"/>
        <v>23108</v>
      </c>
      <c r="AL45" s="137">
        <f t="shared" si="97"/>
        <v>14489</v>
      </c>
      <c r="AM45" s="137">
        <f t="shared" si="98"/>
        <v>180601</v>
      </c>
      <c r="AN45" s="137">
        <f t="shared" si="99"/>
        <v>69892</v>
      </c>
      <c r="AO45" s="137">
        <f t="shared" si="100"/>
        <v>39185</v>
      </c>
      <c r="AP45" s="137">
        <f t="shared" si="101"/>
        <v>13693</v>
      </c>
      <c r="AQ45" s="137">
        <f t="shared" si="102"/>
        <v>117850</v>
      </c>
      <c r="AR45" s="137">
        <f t="shared" si="103"/>
        <v>26480</v>
      </c>
      <c r="AS45" s="138">
        <f>CF45+CG45</f>
        <v>308167</v>
      </c>
      <c r="AT45" s="116">
        <v>475</v>
      </c>
      <c r="AU45" s="141">
        <v>22683</v>
      </c>
      <c r="AV45" s="141">
        <v>9347</v>
      </c>
      <c r="AW45" s="141">
        <v>27833</v>
      </c>
      <c r="AX45" s="141">
        <v>45040</v>
      </c>
      <c r="AY45" s="137">
        <v>24013</v>
      </c>
      <c r="AZ45" s="137">
        <v>1871</v>
      </c>
      <c r="BA45" s="137">
        <v>46074</v>
      </c>
      <c r="BB45" s="137">
        <v>204629</v>
      </c>
      <c r="BC45" s="137">
        <v>475716</v>
      </c>
      <c r="BD45" s="137">
        <v>150023</v>
      </c>
      <c r="BE45" s="137">
        <v>54222</v>
      </c>
      <c r="BF45" s="139">
        <v>130510</v>
      </c>
      <c r="BG45" s="137">
        <v>16</v>
      </c>
      <c r="BH45" s="137">
        <v>1484</v>
      </c>
      <c r="BI45" s="137">
        <v>14957</v>
      </c>
      <c r="BJ45" s="137">
        <v>9381</v>
      </c>
      <c r="BK45" s="137">
        <v>1487</v>
      </c>
      <c r="BL45" s="137">
        <v>2000</v>
      </c>
      <c r="BM45" s="137">
        <v>44848</v>
      </c>
      <c r="BN45" s="137">
        <v>36434</v>
      </c>
      <c r="BO45" s="137">
        <v>697</v>
      </c>
      <c r="BP45" s="137">
        <v>7801</v>
      </c>
      <c r="BQ45" s="137">
        <v>7810</v>
      </c>
      <c r="BR45" s="139">
        <v>16387</v>
      </c>
      <c r="BS45" s="137">
        <v>793</v>
      </c>
      <c r="BT45" s="137">
        <v>14312</v>
      </c>
      <c r="BU45" s="137">
        <v>9551</v>
      </c>
      <c r="BV45" s="137">
        <v>43874</v>
      </c>
      <c r="BW45" s="137">
        <v>41477</v>
      </c>
      <c r="BX45" s="137">
        <v>26900</v>
      </c>
      <c r="BY45" s="137">
        <v>14725</v>
      </c>
      <c r="BZ45" s="137">
        <v>25543</v>
      </c>
      <c r="CA45" s="137">
        <v>8106</v>
      </c>
      <c r="CB45" s="139">
        <v>23108</v>
      </c>
      <c r="CC45" s="137">
        <v>39185</v>
      </c>
      <c r="CD45" s="137">
        <v>13693</v>
      </c>
      <c r="CE45" s="137">
        <v>14489</v>
      </c>
      <c r="CF45" s="137">
        <v>19402</v>
      </c>
      <c r="CG45" s="137">
        <v>288765</v>
      </c>
      <c r="CH45" s="137">
        <v>180601</v>
      </c>
      <c r="CI45" s="137">
        <v>26480</v>
      </c>
      <c r="CJ45" s="137">
        <v>69892</v>
      </c>
      <c r="CK45" s="138">
        <v>117850</v>
      </c>
      <c r="CL45" s="140">
        <v>2314484</v>
      </c>
    </row>
    <row r="46" spans="1:90">
      <c r="A46" s="80">
        <f>ROWS($A$3:A44)</f>
        <v>42</v>
      </c>
      <c r="B46" s="92" t="s">
        <v>8</v>
      </c>
      <c r="C46" s="252"/>
      <c r="D46" s="254" t="s">
        <v>7</v>
      </c>
      <c r="E46" s="273"/>
      <c r="F46" s="126">
        <v>180184</v>
      </c>
      <c r="G46" s="137">
        <v>14434</v>
      </c>
      <c r="H46" s="137">
        <v>19624</v>
      </c>
      <c r="I46" s="138">
        <v>96624</v>
      </c>
      <c r="J46" s="141"/>
      <c r="K46" s="116">
        <f t="shared" si="78"/>
        <v>21942</v>
      </c>
      <c r="L46" s="137">
        <f t="shared" si="79"/>
        <v>2121</v>
      </c>
      <c r="M46" s="137">
        <f t="shared" si="80"/>
        <v>26570</v>
      </c>
      <c r="N46" s="137">
        <f t="shared" si="81"/>
        <v>2216</v>
      </c>
      <c r="O46" s="137">
        <f t="shared" si="82"/>
        <v>5864</v>
      </c>
      <c r="P46" s="808">
        <f>IF(ISERROR(AZ46+BA46),BA46,AZ46+BA46)</f>
        <v>5004</v>
      </c>
      <c r="Q46" s="137">
        <f>'2001'!AU46</f>
        <v>2625</v>
      </c>
      <c r="R46" s="808">
        <f>IF(ISERROR(AT46+AX46),AX46,AT46+AX46)</f>
        <v>4033</v>
      </c>
      <c r="S46" s="137">
        <f t="shared" si="83"/>
        <v>509</v>
      </c>
      <c r="T46" s="137">
        <f t="shared" si="84"/>
        <v>32949</v>
      </c>
      <c r="U46" s="139">
        <f t="shared" si="85"/>
        <v>76117</v>
      </c>
      <c r="V46" s="808">
        <f>IF(ISERROR(BG46+BJ46),BJ46,(BG46+BJ46))</f>
        <v>701</v>
      </c>
      <c r="W46" s="137">
        <f t="shared" si="86"/>
        <v>1929</v>
      </c>
      <c r="X46" s="808">
        <f>IF(ISERROR(BH46+BI46),BI46,(BH46+BI46))</f>
        <v>1908</v>
      </c>
      <c r="Y46" s="808">
        <f>IF(ISERROR(BK46+BL46+BN46),BN46,(BK46+BL46+BN46))</f>
        <v>4230</v>
      </c>
      <c r="Z46" s="137">
        <f t="shared" si="87"/>
        <v>4532</v>
      </c>
      <c r="AA46" s="808">
        <f>IF(ISERROR(BO46+BQ46),BQ46,(BO46+BQ46))</f>
        <v>389</v>
      </c>
      <c r="AB46" s="139">
        <f t="shared" si="88"/>
        <v>643</v>
      </c>
      <c r="AC46" s="137">
        <f t="shared" si="89"/>
        <v>2508</v>
      </c>
      <c r="AD46" s="137">
        <f t="shared" si="90"/>
        <v>813</v>
      </c>
      <c r="AE46" s="808">
        <f>IF(ISERROR(BS46+BT46),BT46,(BS46+BT46))</f>
        <v>1356</v>
      </c>
      <c r="AF46" s="137" t="str">
        <f t="shared" si="91"/>
        <v>*</v>
      </c>
      <c r="AG46" s="137">
        <f t="shared" si="92"/>
        <v>4744</v>
      </c>
      <c r="AH46" s="137">
        <f t="shared" si="93"/>
        <v>1779</v>
      </c>
      <c r="AI46" s="137">
        <f t="shared" si="94"/>
        <v>4596</v>
      </c>
      <c r="AJ46" s="137">
        <f t="shared" si="95"/>
        <v>992</v>
      </c>
      <c r="AK46" s="139">
        <f t="shared" si="96"/>
        <v>2239</v>
      </c>
      <c r="AL46" s="137">
        <f t="shared" si="97"/>
        <v>568</v>
      </c>
      <c r="AM46" s="137">
        <f t="shared" si="98"/>
        <v>23787</v>
      </c>
      <c r="AN46" s="137">
        <f t="shared" si="99"/>
        <v>10243</v>
      </c>
      <c r="AO46" s="137">
        <f t="shared" si="100"/>
        <v>5434</v>
      </c>
      <c r="AP46" s="137">
        <f t="shared" si="101"/>
        <v>1204</v>
      </c>
      <c r="AQ46" s="137">
        <f t="shared" si="102"/>
        <v>15203</v>
      </c>
      <c r="AR46" s="137">
        <f t="shared" si="103"/>
        <v>2068</v>
      </c>
      <c r="AS46" s="138">
        <f>CF46+CG46</f>
        <v>38117</v>
      </c>
      <c r="AT46" s="116" t="s">
        <v>233</v>
      </c>
      <c r="AU46" s="141">
        <v>2625</v>
      </c>
      <c r="AV46" s="141">
        <v>509</v>
      </c>
      <c r="AW46" s="141">
        <v>2216</v>
      </c>
      <c r="AX46" s="141">
        <v>4033</v>
      </c>
      <c r="AY46" s="137">
        <v>2121</v>
      </c>
      <c r="AZ46" s="137" t="s">
        <v>233</v>
      </c>
      <c r="BA46" s="137">
        <v>5004</v>
      </c>
      <c r="BB46" s="137">
        <v>32949</v>
      </c>
      <c r="BC46" s="137">
        <v>76117</v>
      </c>
      <c r="BD46" s="137">
        <v>26570</v>
      </c>
      <c r="BE46" s="137">
        <v>5864</v>
      </c>
      <c r="BF46" s="139">
        <v>21942</v>
      </c>
      <c r="BG46" s="137" t="s">
        <v>233</v>
      </c>
      <c r="BH46" s="137">
        <v>164</v>
      </c>
      <c r="BI46" s="137">
        <v>1744</v>
      </c>
      <c r="BJ46" s="137">
        <v>701</v>
      </c>
      <c r="BK46" s="137" t="s">
        <v>233</v>
      </c>
      <c r="BL46" s="137" t="s">
        <v>233</v>
      </c>
      <c r="BM46" s="137">
        <v>4532</v>
      </c>
      <c r="BN46" s="137">
        <v>4230</v>
      </c>
      <c r="BO46" s="137" t="s">
        <v>233</v>
      </c>
      <c r="BP46" s="137">
        <v>643</v>
      </c>
      <c r="BQ46" s="137">
        <v>389</v>
      </c>
      <c r="BR46" s="139">
        <v>1929</v>
      </c>
      <c r="BS46" s="137" t="s">
        <v>233</v>
      </c>
      <c r="BT46" s="137">
        <v>1356</v>
      </c>
      <c r="BU46" s="137">
        <v>813</v>
      </c>
      <c r="BV46" s="137">
        <v>4744</v>
      </c>
      <c r="BW46" s="137">
        <v>4596</v>
      </c>
      <c r="BX46" s="137">
        <v>2508</v>
      </c>
      <c r="BY46" s="137">
        <v>992</v>
      </c>
      <c r="BZ46" s="137">
        <v>1779</v>
      </c>
      <c r="CA46" s="137" t="s">
        <v>233</v>
      </c>
      <c r="CB46" s="139">
        <v>2239</v>
      </c>
      <c r="CC46" s="137">
        <v>5434</v>
      </c>
      <c r="CD46" s="137">
        <v>1204</v>
      </c>
      <c r="CE46" s="137">
        <v>568</v>
      </c>
      <c r="CF46" s="137">
        <v>1387</v>
      </c>
      <c r="CG46" s="137">
        <v>36730</v>
      </c>
      <c r="CH46" s="137">
        <v>23787</v>
      </c>
      <c r="CI46" s="137">
        <v>2068</v>
      </c>
      <c r="CJ46" s="137">
        <v>10243</v>
      </c>
      <c r="CK46" s="138">
        <v>15203</v>
      </c>
      <c r="CL46" s="140">
        <v>310866</v>
      </c>
    </row>
    <row r="47" spans="1:90">
      <c r="A47" s="80">
        <f>ROWS($A$3:A45)</f>
        <v>43</v>
      </c>
      <c r="B47" s="54" t="s">
        <v>19</v>
      </c>
      <c r="C47" s="252"/>
      <c r="D47" s="254" t="s">
        <v>241</v>
      </c>
      <c r="E47" s="273"/>
      <c r="F47" s="126">
        <f>F126/F125</f>
        <v>80.416243654822338</v>
      </c>
      <c r="G47" s="137">
        <f>G126/G125</f>
        <v>35.141598915989157</v>
      </c>
      <c r="H47" s="137">
        <f>H126/H125</f>
        <v>16.462461807071147</v>
      </c>
      <c r="I47" s="138">
        <f>I126/I125</f>
        <v>63.704922644163148</v>
      </c>
      <c r="J47" s="141"/>
      <c r="K47" s="116">
        <f t="shared" si="78"/>
        <v>37.364760432766616</v>
      </c>
      <c r="L47" s="137">
        <f t="shared" si="79"/>
        <v>32.532520325203251</v>
      </c>
      <c r="M47" s="137">
        <f t="shared" si="80"/>
        <v>56.685483870967744</v>
      </c>
      <c r="N47" s="137">
        <f t="shared" si="81"/>
        <v>50.469387755102041</v>
      </c>
      <c r="O47" s="137">
        <f t="shared" si="82"/>
        <v>83.773584905660371</v>
      </c>
      <c r="P47" s="808">
        <f>IF(ISERROR((BA45*BA47+AZ45*AZ47)/P45),BA47,(BA45*BA47+AZ45*AZ47)/P45)</f>
        <v>82.319327420026141</v>
      </c>
      <c r="Q47" s="137">
        <f>'2001'!AU47</f>
        <v>63.89051094890511</v>
      </c>
      <c r="R47" s="808">
        <f>IF(ISERROR((AT47*AT45+AX45*AX47)/R45),AX47,(AT47*AT45+AX45*AX47)/R45)</f>
        <v>109.7104497569956</v>
      </c>
      <c r="S47" s="137">
        <f t="shared" si="83"/>
        <v>25.808823529411764</v>
      </c>
      <c r="T47" s="137">
        <f t="shared" si="84"/>
        <v>144.83056478405317</v>
      </c>
      <c r="U47" s="139">
        <f t="shared" si="85"/>
        <v>154.63176265270505</v>
      </c>
      <c r="V47" s="808">
        <f>IF(ISERROR((BG47*BG45+BJ45*BJ47)/V45),BJ47,(BG47*BG45+BJ45*BJ47)/V45)</f>
        <v>43.756410256410255</v>
      </c>
      <c r="W47" s="137">
        <f t="shared" si="86"/>
        <v>22.504347826086956</v>
      </c>
      <c r="X47" s="808">
        <f>(BH45*BH47+BI45*BI47)/X45</f>
        <v>43.630264161360202</v>
      </c>
      <c r="Y47" s="808">
        <f>(BK47*BK45+BL47*BL45+BN47*BN45)/Y45</f>
        <v>57.805659486896516</v>
      </c>
      <c r="Z47" s="137">
        <f t="shared" si="87"/>
        <v>35.485507246376812</v>
      </c>
      <c r="AA47" s="808">
        <f>IF(ISERROR((BO47*BO45+BQ47*BQ45)/AA45),BQ47,(BO47*BO45+BQ47*BQ45)/AA45)</f>
        <v>37.160714285714285</v>
      </c>
      <c r="AB47" s="139">
        <f t="shared" si="88"/>
        <v>14.174672489082969</v>
      </c>
      <c r="AC47" s="137">
        <f t="shared" si="89"/>
        <v>20.017316017316016</v>
      </c>
      <c r="AD47" s="137">
        <f t="shared" si="90"/>
        <v>9.4</v>
      </c>
      <c r="AE47" s="808">
        <f>(BS45*BS47+BT45*BT47)/AE45</f>
        <v>8.684216648559353</v>
      </c>
      <c r="AF47" s="137">
        <f t="shared" si="91"/>
        <v>12.359430604982206</v>
      </c>
      <c r="AG47" s="137">
        <f t="shared" si="92"/>
        <v>11.871627146361407</v>
      </c>
      <c r="AH47" s="137">
        <f t="shared" si="93"/>
        <v>45.450980392156865</v>
      </c>
      <c r="AI47" s="137">
        <f t="shared" si="94"/>
        <v>29.526627218934912</v>
      </c>
      <c r="AJ47" s="137">
        <f t="shared" si="95"/>
        <v>25.477064220183486</v>
      </c>
      <c r="AK47" s="139">
        <f t="shared" si="96"/>
        <v>11.708097928436912</v>
      </c>
      <c r="AL47" s="137">
        <f t="shared" si="97"/>
        <v>30.431372549019606</v>
      </c>
      <c r="AM47" s="137">
        <f t="shared" si="98"/>
        <v>79.597875569044007</v>
      </c>
      <c r="AN47" s="137">
        <f t="shared" si="99"/>
        <v>55.249336870026525</v>
      </c>
      <c r="AO47" s="137">
        <f t="shared" si="100"/>
        <v>24.136460554371002</v>
      </c>
      <c r="AP47" s="137">
        <f t="shared" si="101"/>
        <v>36.523178807947019</v>
      </c>
      <c r="AQ47" s="137">
        <f t="shared" si="102"/>
        <v>54.47987117552335</v>
      </c>
      <c r="AR47" s="137">
        <f t="shared" si="103"/>
        <v>45.385245901639344</v>
      </c>
      <c r="AS47" s="144">
        <f>(CF45*CF47+CG45*CG47)/AS45</f>
        <v>104.72383062341795</v>
      </c>
      <c r="AT47" s="116">
        <f>AT126/AT125</f>
        <v>46.833333333333336</v>
      </c>
      <c r="AU47" s="137">
        <f t="shared" ref="AU47:CL47" si="104">AU126/AU125</f>
        <v>63.89051094890511</v>
      </c>
      <c r="AV47" s="137">
        <f t="shared" si="104"/>
        <v>25.808823529411764</v>
      </c>
      <c r="AW47" s="137">
        <f t="shared" si="104"/>
        <v>50.469387755102041</v>
      </c>
      <c r="AX47" s="137">
        <f t="shared" si="104"/>
        <v>110.3735632183908</v>
      </c>
      <c r="AY47" s="137">
        <f t="shared" si="104"/>
        <v>32.532520325203251</v>
      </c>
      <c r="AZ47" s="137">
        <f t="shared" si="104"/>
        <v>265.33333333333331</v>
      </c>
      <c r="BA47" s="137">
        <f t="shared" si="104"/>
        <v>74.887387387387392</v>
      </c>
      <c r="BB47" s="137">
        <f t="shared" si="104"/>
        <v>144.83056478405317</v>
      </c>
      <c r="BC47" s="137">
        <f t="shared" si="104"/>
        <v>154.63176265270505</v>
      </c>
      <c r="BD47" s="137">
        <f t="shared" si="104"/>
        <v>56.685483870967744</v>
      </c>
      <c r="BE47" s="137">
        <f t="shared" si="104"/>
        <v>83.773584905660371</v>
      </c>
      <c r="BF47" s="139">
        <f t="shared" si="104"/>
        <v>37.364760432766616</v>
      </c>
      <c r="BG47" s="137" t="s">
        <v>233</v>
      </c>
      <c r="BH47" s="137">
        <f t="shared" si="104"/>
        <v>79.25</v>
      </c>
      <c r="BI47" s="137">
        <f t="shared" si="104"/>
        <v>40.096153846153847</v>
      </c>
      <c r="BJ47" s="137">
        <f t="shared" si="104"/>
        <v>43.756410256410255</v>
      </c>
      <c r="BK47" s="137">
        <f t="shared" si="104"/>
        <v>54.466666666666669</v>
      </c>
      <c r="BL47" s="137">
        <f t="shared" si="104"/>
        <v>69.125</v>
      </c>
      <c r="BM47" s="137">
        <f t="shared" si="104"/>
        <v>35.485507246376812</v>
      </c>
      <c r="BN47" s="137">
        <f t="shared" si="104"/>
        <v>57.320574162679428</v>
      </c>
      <c r="BO47" s="137" t="s">
        <v>233</v>
      </c>
      <c r="BP47" s="137">
        <f t="shared" si="104"/>
        <v>14.174672489082969</v>
      </c>
      <c r="BQ47" s="137">
        <f t="shared" si="104"/>
        <v>37.160714285714285</v>
      </c>
      <c r="BR47" s="139">
        <f t="shared" si="104"/>
        <v>22.504347826086956</v>
      </c>
      <c r="BS47" s="137">
        <f t="shared" si="104"/>
        <v>12.772727272727273</v>
      </c>
      <c r="BT47" s="137">
        <f t="shared" si="104"/>
        <v>8.4576802507836994</v>
      </c>
      <c r="BU47" s="137">
        <f t="shared" si="104"/>
        <v>9.4</v>
      </c>
      <c r="BV47" s="137">
        <f t="shared" si="104"/>
        <v>11.871627146361407</v>
      </c>
      <c r="BW47" s="137">
        <f t="shared" si="104"/>
        <v>29.526627218934912</v>
      </c>
      <c r="BX47" s="137">
        <f t="shared" si="104"/>
        <v>20.017316017316016</v>
      </c>
      <c r="BY47" s="137">
        <f t="shared" si="104"/>
        <v>25.477064220183486</v>
      </c>
      <c r="BZ47" s="137">
        <f t="shared" si="104"/>
        <v>45.450980392156865</v>
      </c>
      <c r="CA47" s="137">
        <f t="shared" si="104"/>
        <v>12.359430604982206</v>
      </c>
      <c r="CB47" s="139">
        <f t="shared" si="104"/>
        <v>11.708097928436912</v>
      </c>
      <c r="CC47" s="137">
        <f t="shared" si="104"/>
        <v>24.136460554371002</v>
      </c>
      <c r="CD47" s="137">
        <f t="shared" si="104"/>
        <v>36.523178807947019</v>
      </c>
      <c r="CE47" s="137">
        <f t="shared" si="104"/>
        <v>30.431372549019606</v>
      </c>
      <c r="CF47" s="137">
        <f t="shared" si="104"/>
        <v>201.72222222222223</v>
      </c>
      <c r="CG47" s="137">
        <f t="shared" si="104"/>
        <v>98.206549118387912</v>
      </c>
      <c r="CH47" s="137">
        <f t="shared" si="104"/>
        <v>79.597875569044007</v>
      </c>
      <c r="CI47" s="137">
        <f t="shared" si="104"/>
        <v>45.385245901639344</v>
      </c>
      <c r="CJ47" s="137">
        <f t="shared" si="104"/>
        <v>55.249336870026525</v>
      </c>
      <c r="CK47" s="138">
        <f t="shared" si="104"/>
        <v>54.47987117552335</v>
      </c>
      <c r="CL47" s="140">
        <f t="shared" si="104"/>
        <v>48.07012806665638</v>
      </c>
    </row>
    <row r="48" spans="1:90">
      <c r="A48" s="80">
        <f>ROWS($A$3:A46)</f>
        <v>44</v>
      </c>
      <c r="B48" s="196" t="s">
        <v>239</v>
      </c>
      <c r="C48" s="252"/>
      <c r="D48" s="254" t="s">
        <v>7</v>
      </c>
      <c r="E48" s="273"/>
      <c r="F48" s="126">
        <v>19316</v>
      </c>
      <c r="G48" s="137">
        <v>11688</v>
      </c>
      <c r="H48" s="137">
        <v>13961</v>
      </c>
      <c r="I48" s="138">
        <v>17026</v>
      </c>
      <c r="J48" s="141"/>
      <c r="K48" s="116">
        <f t="shared" si="78"/>
        <v>3205</v>
      </c>
      <c r="L48" s="137">
        <f t="shared" si="79"/>
        <v>1843</v>
      </c>
      <c r="M48" s="137">
        <f t="shared" si="80"/>
        <v>989</v>
      </c>
      <c r="N48" s="137">
        <f t="shared" si="81"/>
        <v>1676</v>
      </c>
      <c r="O48" s="137">
        <f t="shared" si="82"/>
        <v>849</v>
      </c>
      <c r="P48" s="137">
        <f>AZ48+BA48</f>
        <v>1478</v>
      </c>
      <c r="Q48" s="137">
        <f>'2001'!AU48</f>
        <v>2382</v>
      </c>
      <c r="R48" s="137">
        <f>AT48+AX48</f>
        <v>2087</v>
      </c>
      <c r="S48" s="137">
        <f t="shared" si="83"/>
        <v>2139</v>
      </c>
      <c r="T48" s="137">
        <f t="shared" si="84"/>
        <v>982</v>
      </c>
      <c r="U48" s="139">
        <f t="shared" si="85"/>
        <v>1686</v>
      </c>
      <c r="V48" s="137">
        <f>BG48+BJ48</f>
        <v>749</v>
      </c>
      <c r="W48" s="137">
        <f t="shared" si="86"/>
        <v>1027</v>
      </c>
      <c r="X48" s="137">
        <f>BH48+BI48</f>
        <v>2352</v>
      </c>
      <c r="Y48" s="137">
        <f>BK48+BL48+BN48</f>
        <v>3004</v>
      </c>
      <c r="Z48" s="137">
        <f t="shared" si="87"/>
        <v>1724</v>
      </c>
      <c r="AA48" s="137">
        <f>BO48+BQ48</f>
        <v>1613</v>
      </c>
      <c r="AB48" s="139">
        <f t="shared" si="88"/>
        <v>1219</v>
      </c>
      <c r="AC48" s="137">
        <f t="shared" si="89"/>
        <v>1309</v>
      </c>
      <c r="AD48" s="137">
        <f t="shared" si="90"/>
        <v>826</v>
      </c>
      <c r="AE48" s="137">
        <f>BS48+BT48</f>
        <v>2632</v>
      </c>
      <c r="AF48" s="137">
        <f t="shared" si="91"/>
        <v>1597</v>
      </c>
      <c r="AG48" s="137">
        <f t="shared" si="92"/>
        <v>1947</v>
      </c>
      <c r="AH48" s="137">
        <f t="shared" si="93"/>
        <v>1544</v>
      </c>
      <c r="AI48" s="137">
        <f t="shared" si="94"/>
        <v>1124</v>
      </c>
      <c r="AJ48" s="137">
        <f t="shared" si="95"/>
        <v>841</v>
      </c>
      <c r="AK48" s="139">
        <f t="shared" si="96"/>
        <v>2141</v>
      </c>
      <c r="AL48" s="137">
        <f t="shared" si="97"/>
        <v>1692</v>
      </c>
      <c r="AM48" s="137">
        <f t="shared" si="98"/>
        <v>1902</v>
      </c>
      <c r="AN48" s="137">
        <f t="shared" si="99"/>
        <v>3991</v>
      </c>
      <c r="AO48" s="137">
        <f t="shared" si="100"/>
        <v>2635</v>
      </c>
      <c r="AP48" s="137">
        <f t="shared" si="101"/>
        <v>1248</v>
      </c>
      <c r="AQ48" s="137">
        <f t="shared" si="102"/>
        <v>1706</v>
      </c>
      <c r="AR48" s="137">
        <f t="shared" si="103"/>
        <v>1881</v>
      </c>
      <c r="AS48" s="138">
        <f>CF48+CG48</f>
        <v>2151</v>
      </c>
      <c r="AT48" s="116">
        <v>211</v>
      </c>
      <c r="AU48" s="141">
        <v>2382</v>
      </c>
      <c r="AV48" s="141">
        <v>2139</v>
      </c>
      <c r="AW48" s="141">
        <v>1676</v>
      </c>
      <c r="AX48" s="141">
        <v>1876</v>
      </c>
      <c r="AY48" s="137">
        <v>1843</v>
      </c>
      <c r="AZ48" s="137">
        <v>33</v>
      </c>
      <c r="BA48" s="137">
        <v>1445</v>
      </c>
      <c r="BB48" s="137">
        <v>982</v>
      </c>
      <c r="BC48" s="137">
        <v>1686</v>
      </c>
      <c r="BD48" s="137">
        <v>989</v>
      </c>
      <c r="BE48" s="137">
        <v>849</v>
      </c>
      <c r="BF48" s="139">
        <v>3205</v>
      </c>
      <c r="BG48" s="137">
        <v>62</v>
      </c>
      <c r="BH48" s="137">
        <v>205</v>
      </c>
      <c r="BI48" s="137">
        <v>2147</v>
      </c>
      <c r="BJ48" s="137">
        <v>687</v>
      </c>
      <c r="BK48" s="137">
        <v>174</v>
      </c>
      <c r="BL48" s="137">
        <v>444</v>
      </c>
      <c r="BM48" s="137">
        <v>1724</v>
      </c>
      <c r="BN48" s="137">
        <v>2386</v>
      </c>
      <c r="BO48" s="137">
        <v>170</v>
      </c>
      <c r="BP48" s="137">
        <v>1219</v>
      </c>
      <c r="BQ48" s="137">
        <v>1443</v>
      </c>
      <c r="BR48" s="139">
        <v>1027</v>
      </c>
      <c r="BS48" s="137">
        <v>274</v>
      </c>
      <c r="BT48" s="137">
        <v>2358</v>
      </c>
      <c r="BU48" s="137">
        <v>826</v>
      </c>
      <c r="BV48" s="137">
        <v>1947</v>
      </c>
      <c r="BW48" s="137">
        <v>1124</v>
      </c>
      <c r="BX48" s="137">
        <v>1309</v>
      </c>
      <c r="BY48" s="137">
        <v>841</v>
      </c>
      <c r="BZ48" s="137">
        <v>1544</v>
      </c>
      <c r="CA48" s="137">
        <v>1597</v>
      </c>
      <c r="CB48" s="139">
        <v>2141</v>
      </c>
      <c r="CC48" s="137">
        <v>2635</v>
      </c>
      <c r="CD48" s="137">
        <v>1248</v>
      </c>
      <c r="CE48" s="137">
        <v>1692</v>
      </c>
      <c r="CF48" s="137">
        <v>225</v>
      </c>
      <c r="CG48" s="137">
        <v>1926</v>
      </c>
      <c r="CH48" s="137">
        <v>1902</v>
      </c>
      <c r="CI48" s="137">
        <v>1881</v>
      </c>
      <c r="CJ48" s="137">
        <v>3991</v>
      </c>
      <c r="CK48" s="138">
        <v>1706</v>
      </c>
      <c r="CL48" s="140">
        <v>62171</v>
      </c>
    </row>
    <row r="49" spans="1:90">
      <c r="A49" s="80">
        <f>ROWS($A$3:A47)</f>
        <v>45</v>
      </c>
      <c r="B49" s="92" t="s">
        <v>75</v>
      </c>
      <c r="C49" s="252"/>
      <c r="D49" s="254" t="s">
        <v>7</v>
      </c>
      <c r="E49" s="273"/>
      <c r="F49" s="126">
        <v>100023</v>
      </c>
      <c r="G49" s="137">
        <v>46708</v>
      </c>
      <c r="H49" s="137">
        <v>72440</v>
      </c>
      <c r="I49" s="138">
        <v>88604</v>
      </c>
      <c r="J49" s="141"/>
      <c r="K49" s="116">
        <f t="shared" si="78"/>
        <v>11183</v>
      </c>
      <c r="L49" s="137">
        <f t="shared" si="79"/>
        <v>8135</v>
      </c>
      <c r="M49" s="137">
        <f t="shared" si="80"/>
        <v>6269</v>
      </c>
      <c r="N49" s="137">
        <f t="shared" si="81"/>
        <v>12758</v>
      </c>
      <c r="O49" s="137">
        <f t="shared" si="82"/>
        <v>10312</v>
      </c>
      <c r="P49" s="137">
        <f>BA49</f>
        <v>8187</v>
      </c>
      <c r="Q49" s="137">
        <f>'2001'!AU49</f>
        <v>5726</v>
      </c>
      <c r="R49" s="137">
        <f>AX49</f>
        <v>3162</v>
      </c>
      <c r="S49" s="137">
        <f t="shared" si="83"/>
        <v>15697</v>
      </c>
      <c r="T49" s="137">
        <f t="shared" si="84"/>
        <v>7083</v>
      </c>
      <c r="U49" s="139">
        <f t="shared" si="85"/>
        <v>10870</v>
      </c>
      <c r="V49" s="137">
        <f>BG49+BJ49</f>
        <v>6045</v>
      </c>
      <c r="W49" s="137">
        <f t="shared" si="86"/>
        <v>9549</v>
      </c>
      <c r="X49" s="137">
        <f>BI49</f>
        <v>4614</v>
      </c>
      <c r="Y49" s="137">
        <f>BK49+BN49</f>
        <v>7468</v>
      </c>
      <c r="Z49" s="137">
        <f t="shared" si="87"/>
        <v>5499</v>
      </c>
      <c r="AA49" s="137">
        <f>BQ49</f>
        <v>2152</v>
      </c>
      <c r="AB49" s="139">
        <f t="shared" si="88"/>
        <v>9725</v>
      </c>
      <c r="AC49" s="137">
        <f t="shared" si="89"/>
        <v>7651</v>
      </c>
      <c r="AD49" s="137">
        <f t="shared" si="90"/>
        <v>5165</v>
      </c>
      <c r="AE49" s="137">
        <f>BS49+BT49</f>
        <v>12746</v>
      </c>
      <c r="AF49" s="137">
        <f t="shared" si="91"/>
        <v>6112</v>
      </c>
      <c r="AG49" s="137">
        <f t="shared" si="92"/>
        <v>10078</v>
      </c>
      <c r="AH49" s="137">
        <f t="shared" si="93"/>
        <v>7820</v>
      </c>
      <c r="AI49" s="137">
        <f t="shared" si="94"/>
        <v>9302</v>
      </c>
      <c r="AJ49" s="137">
        <f t="shared" si="95"/>
        <v>7095</v>
      </c>
      <c r="AK49" s="139">
        <f t="shared" si="96"/>
        <v>6471</v>
      </c>
      <c r="AL49" s="137">
        <f t="shared" si="97"/>
        <v>17941</v>
      </c>
      <c r="AM49" s="137">
        <f t="shared" si="98"/>
        <v>5577</v>
      </c>
      <c r="AN49" s="137">
        <f t="shared" si="99"/>
        <v>5444</v>
      </c>
      <c r="AO49" s="137">
        <f t="shared" si="100"/>
        <v>26301</v>
      </c>
      <c r="AP49" s="137">
        <f t="shared" si="101"/>
        <v>6548</v>
      </c>
      <c r="AQ49" s="137">
        <f t="shared" si="102"/>
        <v>7292</v>
      </c>
      <c r="AR49" s="137">
        <f t="shared" si="103"/>
        <v>4747</v>
      </c>
      <c r="AS49" s="138">
        <f>CF49+CG49</f>
        <v>14754</v>
      </c>
      <c r="AT49" s="116" t="s">
        <v>233</v>
      </c>
      <c r="AU49" s="137">
        <v>5726</v>
      </c>
      <c r="AV49" s="141">
        <v>15697</v>
      </c>
      <c r="AW49" s="141">
        <v>12758</v>
      </c>
      <c r="AX49" s="141">
        <v>3162</v>
      </c>
      <c r="AY49" s="137">
        <v>8135</v>
      </c>
      <c r="AZ49" s="137" t="s">
        <v>233</v>
      </c>
      <c r="BA49" s="137">
        <v>8187</v>
      </c>
      <c r="BB49" s="137">
        <v>7083</v>
      </c>
      <c r="BC49" s="137">
        <v>10870</v>
      </c>
      <c r="BD49" s="137">
        <v>6269</v>
      </c>
      <c r="BE49" s="137">
        <v>10312</v>
      </c>
      <c r="BF49" s="139">
        <v>11183</v>
      </c>
      <c r="BG49" s="137">
        <v>1989</v>
      </c>
      <c r="BH49" s="137">
        <v>196</v>
      </c>
      <c r="BI49" s="137">
        <v>4614</v>
      </c>
      <c r="BJ49" s="137">
        <v>4056</v>
      </c>
      <c r="BK49" s="137">
        <v>47</v>
      </c>
      <c r="BL49" s="137" t="s">
        <v>233</v>
      </c>
      <c r="BM49" s="137">
        <v>5499</v>
      </c>
      <c r="BN49" s="137">
        <v>7421</v>
      </c>
      <c r="BO49" s="137">
        <v>1460</v>
      </c>
      <c r="BP49" s="137">
        <v>9725</v>
      </c>
      <c r="BQ49" s="137">
        <v>2152</v>
      </c>
      <c r="BR49" s="139">
        <v>9549</v>
      </c>
      <c r="BS49" s="137">
        <v>3900</v>
      </c>
      <c r="BT49" s="137">
        <v>8846</v>
      </c>
      <c r="BU49" s="137">
        <v>5165</v>
      </c>
      <c r="BV49" s="137">
        <v>10078</v>
      </c>
      <c r="BW49" s="137">
        <v>9302</v>
      </c>
      <c r="BX49" s="137">
        <v>7651</v>
      </c>
      <c r="BY49" s="137">
        <v>7095</v>
      </c>
      <c r="BZ49" s="137">
        <v>7820</v>
      </c>
      <c r="CA49" s="137">
        <v>6112</v>
      </c>
      <c r="CB49" s="139">
        <v>6471</v>
      </c>
      <c r="CC49" s="137">
        <v>26301</v>
      </c>
      <c r="CD49" s="137">
        <v>6548</v>
      </c>
      <c r="CE49" s="137">
        <v>17941</v>
      </c>
      <c r="CF49" s="137">
        <v>613</v>
      </c>
      <c r="CG49" s="137">
        <v>14141</v>
      </c>
      <c r="CH49" s="137">
        <v>5577</v>
      </c>
      <c r="CI49" s="137">
        <v>4747</v>
      </c>
      <c r="CJ49" s="137">
        <v>5444</v>
      </c>
      <c r="CK49" s="138">
        <v>7292</v>
      </c>
      <c r="CL49" s="140">
        <v>307775</v>
      </c>
    </row>
    <row r="50" spans="1:90">
      <c r="A50" s="80">
        <f>ROWS($A$3:A48)</f>
        <v>46</v>
      </c>
      <c r="B50" s="92" t="s">
        <v>76</v>
      </c>
      <c r="C50" s="252"/>
      <c r="D50" s="254" t="s">
        <v>21</v>
      </c>
      <c r="E50" s="269"/>
      <c r="F50" s="126">
        <v>87</v>
      </c>
      <c r="G50" s="137">
        <v>52</v>
      </c>
      <c r="H50" s="137">
        <v>70</v>
      </c>
      <c r="I50" s="138">
        <v>103</v>
      </c>
      <c r="J50" s="141"/>
      <c r="K50" s="116">
        <f t="shared" si="78"/>
        <v>117</v>
      </c>
      <c r="L50" s="137">
        <f t="shared" si="79"/>
        <v>91</v>
      </c>
      <c r="M50" s="137">
        <f t="shared" si="80"/>
        <v>54</v>
      </c>
      <c r="N50" s="137">
        <f t="shared" si="81"/>
        <v>107</v>
      </c>
      <c r="O50" s="137">
        <f t="shared" si="82"/>
        <v>96</v>
      </c>
      <c r="P50" s="143">
        <f>(AZ50*AZ35+BA50*BA35)/P35</f>
        <v>37.552474816773199</v>
      </c>
      <c r="Q50" s="137">
        <f>'2001'!AU50</f>
        <v>59</v>
      </c>
      <c r="R50" s="143">
        <f>(AT50*AT35+AX50*AX35)/R35</f>
        <v>59.821964643095399</v>
      </c>
      <c r="S50" s="137">
        <f t="shared" si="83"/>
        <v>65</v>
      </c>
      <c r="T50" s="137">
        <f t="shared" si="84"/>
        <v>101</v>
      </c>
      <c r="U50" s="139">
        <f t="shared" si="85"/>
        <v>134</v>
      </c>
      <c r="V50" s="143">
        <f>(BG50*BG35+BJ50*BJ35)/V35</f>
        <v>29.518622200584225</v>
      </c>
      <c r="W50" s="137">
        <f t="shared" si="86"/>
        <v>72</v>
      </c>
      <c r="X50" s="143">
        <f>(BH50*BH35+BI50*BI35)/X35</f>
        <v>26.064563970733637</v>
      </c>
      <c r="Y50" s="143">
        <f>(BK50*BK35+BL50*BL35+BN50*BN35)/Y35</f>
        <v>50.166567423964821</v>
      </c>
      <c r="Z50" s="137">
        <f t="shared" si="87"/>
        <v>62</v>
      </c>
      <c r="AA50" s="143">
        <f>(BO50*BO35+BQ50*BQ35)/AA35</f>
        <v>56.757231657774952</v>
      </c>
      <c r="AB50" s="139">
        <f t="shared" si="88"/>
        <v>76</v>
      </c>
      <c r="AC50" s="137">
        <f t="shared" si="89"/>
        <v>82</v>
      </c>
      <c r="AD50" s="137">
        <f t="shared" si="90"/>
        <v>66</v>
      </c>
      <c r="AE50" s="143">
        <f>(BS50*BS35+BT50*BT35)/AE35</f>
        <v>59.245489112888762</v>
      </c>
      <c r="AF50" s="137">
        <f t="shared" si="91"/>
        <v>70</v>
      </c>
      <c r="AG50" s="137">
        <f t="shared" si="92"/>
        <v>58</v>
      </c>
      <c r="AH50" s="137">
        <f t="shared" si="93"/>
        <v>77</v>
      </c>
      <c r="AI50" s="137">
        <f t="shared" si="94"/>
        <v>75</v>
      </c>
      <c r="AJ50" s="137">
        <f t="shared" si="95"/>
        <v>64</v>
      </c>
      <c r="AK50" s="139">
        <f t="shared" si="96"/>
        <v>86</v>
      </c>
      <c r="AL50" s="137">
        <f t="shared" si="97"/>
        <v>44</v>
      </c>
      <c r="AM50" s="137">
        <f t="shared" si="98"/>
        <v>127</v>
      </c>
      <c r="AN50" s="137">
        <f t="shared" si="99"/>
        <v>152</v>
      </c>
      <c r="AO50" s="137">
        <f t="shared" si="100"/>
        <v>75</v>
      </c>
      <c r="AP50" s="137">
        <f t="shared" si="101"/>
        <v>43</v>
      </c>
      <c r="AQ50" s="137">
        <f t="shared" si="102"/>
        <v>87</v>
      </c>
      <c r="AR50" s="137">
        <f t="shared" si="103"/>
        <v>82</v>
      </c>
      <c r="AS50" s="144">
        <f>(CF50*CF35+CG50*CG35)/AS35</f>
        <v>102.34502203944939</v>
      </c>
      <c r="AT50" s="116">
        <v>44</v>
      </c>
      <c r="AU50" s="141">
        <v>59</v>
      </c>
      <c r="AV50" s="141">
        <v>65</v>
      </c>
      <c r="AW50" s="141">
        <v>107</v>
      </c>
      <c r="AX50" s="141">
        <v>61</v>
      </c>
      <c r="AY50" s="137">
        <v>91</v>
      </c>
      <c r="AZ50" s="137">
        <v>20</v>
      </c>
      <c r="BA50" s="137">
        <v>39</v>
      </c>
      <c r="BB50" s="137">
        <v>101</v>
      </c>
      <c r="BC50" s="137">
        <v>134</v>
      </c>
      <c r="BD50" s="137">
        <v>54</v>
      </c>
      <c r="BE50" s="137">
        <v>96</v>
      </c>
      <c r="BF50" s="139">
        <v>117</v>
      </c>
      <c r="BG50" s="137">
        <v>25</v>
      </c>
      <c r="BH50" s="137">
        <v>27</v>
      </c>
      <c r="BI50" s="137">
        <v>26</v>
      </c>
      <c r="BJ50" s="137">
        <v>30</v>
      </c>
      <c r="BK50" s="137">
        <v>54</v>
      </c>
      <c r="BL50" s="137">
        <v>25</v>
      </c>
      <c r="BM50" s="137">
        <v>62</v>
      </c>
      <c r="BN50" s="137">
        <v>52</v>
      </c>
      <c r="BO50" s="137">
        <v>53</v>
      </c>
      <c r="BP50" s="137">
        <v>76</v>
      </c>
      <c r="BQ50" s="137">
        <v>57</v>
      </c>
      <c r="BR50" s="139">
        <v>72</v>
      </c>
      <c r="BS50" s="137">
        <v>34</v>
      </c>
      <c r="BT50" s="137">
        <v>61</v>
      </c>
      <c r="BU50" s="137">
        <v>66</v>
      </c>
      <c r="BV50" s="137">
        <v>58</v>
      </c>
      <c r="BW50" s="137">
        <v>75</v>
      </c>
      <c r="BX50" s="137">
        <v>82</v>
      </c>
      <c r="BY50" s="137">
        <v>64</v>
      </c>
      <c r="BZ50" s="137">
        <v>77</v>
      </c>
      <c r="CA50" s="137">
        <v>70</v>
      </c>
      <c r="CB50" s="139">
        <v>86</v>
      </c>
      <c r="CC50" s="137">
        <v>75</v>
      </c>
      <c r="CD50" s="137">
        <v>43</v>
      </c>
      <c r="CE50" s="137">
        <v>44</v>
      </c>
      <c r="CF50" s="137">
        <v>92</v>
      </c>
      <c r="CG50" s="137">
        <v>103</v>
      </c>
      <c r="CH50" s="137">
        <v>127</v>
      </c>
      <c r="CI50" s="137">
        <v>82</v>
      </c>
      <c r="CJ50" s="137">
        <v>152</v>
      </c>
      <c r="CK50" s="138">
        <v>87</v>
      </c>
      <c r="CL50" s="140">
        <v>83</v>
      </c>
    </row>
    <row r="51" spans="1:90">
      <c r="A51" s="80">
        <f>ROWS($A$3:A49)</f>
        <v>47</v>
      </c>
      <c r="B51" s="54" t="s">
        <v>92</v>
      </c>
      <c r="C51" s="252">
        <f>C95</f>
        <v>2001</v>
      </c>
      <c r="D51" s="254" t="s">
        <v>9</v>
      </c>
      <c r="E51" s="256"/>
      <c r="F51" s="142">
        <f>ROUND(F96/F95*1000,0)</f>
        <v>5416</v>
      </c>
      <c r="G51" s="143">
        <f>ROUND(G96/G95*1000,0)</f>
        <v>5190</v>
      </c>
      <c r="H51" s="143">
        <f>ROUND(H96/H95*1000,0)</f>
        <v>4838</v>
      </c>
      <c r="I51" s="144">
        <f>ROUND(I96/I95*1000,0)</f>
        <v>5688</v>
      </c>
      <c r="J51" s="141"/>
      <c r="K51" s="145">
        <f t="shared" si="78"/>
        <v>5562</v>
      </c>
      <c r="L51" s="146">
        <f t="shared" si="79"/>
        <v>5318</v>
      </c>
      <c r="M51" s="146">
        <f t="shared" si="80"/>
        <v>5145</v>
      </c>
      <c r="N51" s="146">
        <f t="shared" si="81"/>
        <v>5110</v>
      </c>
      <c r="O51" s="146">
        <f t="shared" si="82"/>
        <v>5104</v>
      </c>
      <c r="P51" s="143">
        <f>ROUND(P96/P95*1000,0)</f>
        <v>5478</v>
      </c>
      <c r="Q51" s="146">
        <f>'2001'!AU51</f>
        <v>5501</v>
      </c>
      <c r="R51" s="143">
        <f>ROUND(R96/R95*1000,0)</f>
        <v>5400</v>
      </c>
      <c r="S51" s="146">
        <f t="shared" si="83"/>
        <v>4430</v>
      </c>
      <c r="T51" s="146">
        <f t="shared" si="84"/>
        <v>5351</v>
      </c>
      <c r="U51" s="147">
        <f t="shared" si="85"/>
        <v>5799</v>
      </c>
      <c r="V51" s="143">
        <f>ROUND(V96/V95*1000,0)</f>
        <v>4108</v>
      </c>
      <c r="W51" s="146">
        <f t="shared" si="86"/>
        <v>4919</v>
      </c>
      <c r="X51" s="143">
        <f>ROUND(X96/X95*1000,0)</f>
        <v>4458</v>
      </c>
      <c r="Y51" s="143">
        <f>ROUND(Y96/Y95*1000,0)</f>
        <v>5263</v>
      </c>
      <c r="Z51" s="146">
        <f t="shared" si="87"/>
        <v>5588</v>
      </c>
      <c r="AA51" s="143">
        <f>ROUND(AA96/AA95*1000,0)</f>
        <v>5167</v>
      </c>
      <c r="AB51" s="147">
        <f t="shared" si="88"/>
        <v>5070</v>
      </c>
      <c r="AC51" s="146">
        <f t="shared" si="89"/>
        <v>4870</v>
      </c>
      <c r="AD51" s="146">
        <f t="shared" si="90"/>
        <v>4637</v>
      </c>
      <c r="AE51" s="143">
        <f>ROUND(AE96/AE95*1000,0)</f>
        <v>4763</v>
      </c>
      <c r="AF51" s="146">
        <f t="shared" si="91"/>
        <v>4327</v>
      </c>
      <c r="AG51" s="146">
        <f t="shared" si="92"/>
        <v>4296</v>
      </c>
      <c r="AH51" s="146">
        <f t="shared" si="93"/>
        <v>5562</v>
      </c>
      <c r="AI51" s="146">
        <f t="shared" si="94"/>
        <v>4603</v>
      </c>
      <c r="AJ51" s="146">
        <f t="shared" si="95"/>
        <v>5396</v>
      </c>
      <c r="AK51" s="147">
        <f t="shared" si="96"/>
        <v>4938</v>
      </c>
      <c r="AL51" s="146">
        <f t="shared" si="97"/>
        <v>5456</v>
      </c>
      <c r="AM51" s="146">
        <f t="shared" si="98"/>
        <v>5778</v>
      </c>
      <c r="AN51" s="146">
        <f t="shared" si="99"/>
        <v>5899</v>
      </c>
      <c r="AO51" s="146">
        <f t="shared" si="100"/>
        <v>5264</v>
      </c>
      <c r="AP51" s="146">
        <f t="shared" si="101"/>
        <v>4611</v>
      </c>
      <c r="AQ51" s="146">
        <f t="shared" si="102"/>
        <v>5287</v>
      </c>
      <c r="AR51" s="146">
        <f t="shared" si="103"/>
        <v>5695</v>
      </c>
      <c r="AS51" s="144">
        <f>ROUND(AS96/AS95*1000,0)</f>
        <v>5426</v>
      </c>
      <c r="AT51" s="143">
        <f t="shared" ref="AT51:CL51" si="105">IF(ISERROR(AT96/AT95)=TRUE,0,ROUND(AT96/AT95*1000,0))</f>
        <v>4764</v>
      </c>
      <c r="AU51" s="143">
        <f t="shared" si="105"/>
        <v>5501</v>
      </c>
      <c r="AV51" s="143">
        <f t="shared" si="105"/>
        <v>4430</v>
      </c>
      <c r="AW51" s="143">
        <f t="shared" si="105"/>
        <v>5110</v>
      </c>
      <c r="AX51" s="143">
        <f t="shared" si="105"/>
        <v>5400</v>
      </c>
      <c r="AY51" s="143">
        <f t="shared" si="105"/>
        <v>5318</v>
      </c>
      <c r="AZ51" s="143">
        <f t="shared" si="105"/>
        <v>3523</v>
      </c>
      <c r="BA51" s="143">
        <f t="shared" si="105"/>
        <v>5558</v>
      </c>
      <c r="BB51" s="143">
        <f t="shared" si="105"/>
        <v>5351</v>
      </c>
      <c r="BC51" s="143">
        <f t="shared" si="105"/>
        <v>5799</v>
      </c>
      <c r="BD51" s="143">
        <f t="shared" si="105"/>
        <v>5145</v>
      </c>
      <c r="BE51" s="143">
        <f t="shared" si="105"/>
        <v>5104</v>
      </c>
      <c r="BF51" s="148">
        <f t="shared" si="105"/>
        <v>5562</v>
      </c>
      <c r="BG51" s="143">
        <f t="shared" si="105"/>
        <v>0</v>
      </c>
      <c r="BH51" s="143">
        <f t="shared" si="105"/>
        <v>4699</v>
      </c>
      <c r="BI51" s="143">
        <f t="shared" si="105"/>
        <v>4444</v>
      </c>
      <c r="BJ51" s="143">
        <f t="shared" si="105"/>
        <v>4108</v>
      </c>
      <c r="BK51" s="143">
        <f t="shared" si="105"/>
        <v>6746</v>
      </c>
      <c r="BL51" s="143">
        <f t="shared" si="105"/>
        <v>4462</v>
      </c>
      <c r="BM51" s="143">
        <f t="shared" si="105"/>
        <v>5588</v>
      </c>
      <c r="BN51" s="143">
        <f t="shared" si="105"/>
        <v>5192</v>
      </c>
      <c r="BO51" s="143">
        <f t="shared" si="105"/>
        <v>4496</v>
      </c>
      <c r="BP51" s="143">
        <f t="shared" si="105"/>
        <v>5070</v>
      </c>
      <c r="BQ51" s="143">
        <f t="shared" si="105"/>
        <v>5191</v>
      </c>
      <c r="BR51" s="148">
        <f t="shared" si="105"/>
        <v>4919</v>
      </c>
      <c r="BS51" s="143">
        <f t="shared" si="105"/>
        <v>0</v>
      </c>
      <c r="BT51" s="143">
        <f t="shared" si="105"/>
        <v>4763</v>
      </c>
      <c r="BU51" s="143">
        <f t="shared" si="105"/>
        <v>4637</v>
      </c>
      <c r="BV51" s="143">
        <f t="shared" si="105"/>
        <v>4296</v>
      </c>
      <c r="BW51" s="143">
        <f t="shared" si="105"/>
        <v>4603</v>
      </c>
      <c r="BX51" s="143">
        <f t="shared" si="105"/>
        <v>4870</v>
      </c>
      <c r="BY51" s="143">
        <f t="shared" si="105"/>
        <v>5396</v>
      </c>
      <c r="BZ51" s="143">
        <f t="shared" si="105"/>
        <v>5562</v>
      </c>
      <c r="CA51" s="143">
        <f t="shared" si="105"/>
        <v>4327</v>
      </c>
      <c r="CB51" s="148">
        <f t="shared" si="105"/>
        <v>4938</v>
      </c>
      <c r="CC51" s="143">
        <f t="shared" si="105"/>
        <v>5264</v>
      </c>
      <c r="CD51" s="143">
        <f t="shared" si="105"/>
        <v>4611</v>
      </c>
      <c r="CE51" s="143">
        <f t="shared" si="105"/>
        <v>5456</v>
      </c>
      <c r="CF51" s="143">
        <v>0</v>
      </c>
      <c r="CG51" s="143">
        <f t="shared" si="105"/>
        <v>5381</v>
      </c>
      <c r="CH51" s="143">
        <f t="shared" si="105"/>
        <v>5778</v>
      </c>
      <c r="CI51" s="143">
        <f t="shared" si="105"/>
        <v>5695</v>
      </c>
      <c r="CJ51" s="143">
        <f t="shared" si="105"/>
        <v>5899</v>
      </c>
      <c r="CK51" s="144">
        <f t="shared" si="105"/>
        <v>5287</v>
      </c>
      <c r="CL51" s="149">
        <f t="shared" si="105"/>
        <v>5408</v>
      </c>
    </row>
    <row r="52" spans="1:90">
      <c r="A52" s="80">
        <f>ROWS($A$3:A50)</f>
        <v>48</v>
      </c>
      <c r="B52" s="388" t="str">
        <f>'Stand der Daten'!B53</f>
        <v>Milcherzeugung</v>
      </c>
      <c r="C52" s="204">
        <v>2001</v>
      </c>
      <c r="D52" s="259" t="s">
        <v>358</v>
      </c>
      <c r="E52" s="497">
        <v>42919</v>
      </c>
      <c r="F52" s="389">
        <v>664.79499999999996</v>
      </c>
      <c r="G52" s="390">
        <v>156.94900000000001</v>
      </c>
      <c r="H52" s="390">
        <v>397.12099999999998</v>
      </c>
      <c r="I52" s="391">
        <v>1062.6590000000001</v>
      </c>
      <c r="J52" s="390"/>
      <c r="K52" s="389">
        <f t="shared" si="78"/>
        <v>161.53</v>
      </c>
      <c r="L52" s="390">
        <f t="shared" si="79"/>
        <v>46.113999999999997</v>
      </c>
      <c r="M52" s="390">
        <f t="shared" si="80"/>
        <v>49.631999999999998</v>
      </c>
      <c r="N52" s="390">
        <f t="shared" si="81"/>
        <v>62.116</v>
      </c>
      <c r="O52" s="390">
        <f t="shared" si="82"/>
        <v>45.338000000000001</v>
      </c>
      <c r="P52" s="390">
        <f>AZ52+BA52</f>
        <v>36.866999999999997</v>
      </c>
      <c r="Q52" s="390">
        <f>'2009'!AU52</f>
        <v>18.2</v>
      </c>
      <c r="R52" s="390">
        <f>AT52+AX52</f>
        <v>34.027999999999999</v>
      </c>
      <c r="S52" s="390">
        <f t="shared" si="83"/>
        <v>15.933999999999999</v>
      </c>
      <c r="T52" s="390">
        <f t="shared" si="84"/>
        <v>48.417000000000002</v>
      </c>
      <c r="U52" s="514">
        <f t="shared" si="85"/>
        <v>145.036</v>
      </c>
      <c r="V52" s="390">
        <f>BG52+BJ52</f>
        <v>3.0110000000000001</v>
      </c>
      <c r="W52" s="390">
        <f t="shared" si="86"/>
        <v>23.335000000000001</v>
      </c>
      <c r="X52" s="390">
        <f>BH52+BI52</f>
        <v>9.3699999999999992</v>
      </c>
      <c r="Y52" s="390">
        <f>BK52+BL52+BN52</f>
        <v>27.236000000000001</v>
      </c>
      <c r="Z52" s="390">
        <f t="shared" si="87"/>
        <v>54.271999999999998</v>
      </c>
      <c r="AA52" s="390">
        <f>BO52+BQ52</f>
        <v>17.061</v>
      </c>
      <c r="AB52" s="514">
        <f t="shared" si="88"/>
        <v>22.664000000000001</v>
      </c>
      <c r="AC52" s="390">
        <f t="shared" si="89"/>
        <v>66.784000000000006</v>
      </c>
      <c r="AD52" s="390">
        <f t="shared" si="90"/>
        <v>21.224</v>
      </c>
      <c r="AE52" s="390">
        <f>BS52+BT52</f>
        <v>59.899000000000001</v>
      </c>
      <c r="AF52" s="390">
        <f t="shared" si="91"/>
        <v>21.975999999999999</v>
      </c>
      <c r="AG52" s="390">
        <f t="shared" si="92"/>
        <v>48.87</v>
      </c>
      <c r="AH52" s="390">
        <f t="shared" si="93"/>
        <v>57.216999999999999</v>
      </c>
      <c r="AI52" s="390">
        <f t="shared" si="94"/>
        <v>32.064</v>
      </c>
      <c r="AJ52" s="390">
        <f t="shared" si="95"/>
        <v>30.588000000000001</v>
      </c>
      <c r="AK52" s="514">
        <f t="shared" si="96"/>
        <v>58.499000000000002</v>
      </c>
      <c r="AL52" s="390">
        <f t="shared" si="97"/>
        <v>20.088999999999999</v>
      </c>
      <c r="AM52" s="390">
        <f t="shared" si="98"/>
        <v>231.386</v>
      </c>
      <c r="AN52" s="390">
        <f t="shared" si="99"/>
        <v>459.35</v>
      </c>
      <c r="AO52" s="390">
        <f t="shared" si="100"/>
        <v>55.082000000000001</v>
      </c>
      <c r="AP52" s="390">
        <f t="shared" si="101"/>
        <v>10.087999999999999</v>
      </c>
      <c r="AQ52" s="390">
        <f t="shared" si="102"/>
        <v>84.86</v>
      </c>
      <c r="AR52" s="390">
        <f t="shared" si="103"/>
        <v>75.394000000000005</v>
      </c>
      <c r="AS52" s="391">
        <f>CF52+CG52</f>
        <v>126.41</v>
      </c>
      <c r="AT52" s="390">
        <v>2.3250000000000002</v>
      </c>
      <c r="AU52" s="390">
        <v>19.783000000000001</v>
      </c>
      <c r="AV52" s="390">
        <v>15.933999999999999</v>
      </c>
      <c r="AW52" s="390">
        <v>62.116</v>
      </c>
      <c r="AX52" s="390">
        <v>31.702999999999999</v>
      </c>
      <c r="AY52" s="390">
        <v>46.113999999999997</v>
      </c>
      <c r="AZ52" s="390">
        <v>0</v>
      </c>
      <c r="BA52" s="390">
        <v>36.866999999999997</v>
      </c>
      <c r="BB52" s="390">
        <v>48.417000000000002</v>
      </c>
      <c r="BC52" s="390">
        <v>145.036</v>
      </c>
      <c r="BD52" s="390">
        <v>49.631999999999998</v>
      </c>
      <c r="BE52" s="390">
        <v>45.338000000000001</v>
      </c>
      <c r="BF52" s="514">
        <v>161.53</v>
      </c>
      <c r="BG52" s="390">
        <v>0</v>
      </c>
      <c r="BH52" s="390">
        <v>0</v>
      </c>
      <c r="BI52" s="390">
        <v>9.3699999999999992</v>
      </c>
      <c r="BJ52" s="390">
        <v>3.0110000000000001</v>
      </c>
      <c r="BK52" s="390">
        <v>0</v>
      </c>
      <c r="BL52" s="390">
        <v>0</v>
      </c>
      <c r="BM52" s="390">
        <v>54.271999999999998</v>
      </c>
      <c r="BN52" s="390">
        <v>27.236000000000001</v>
      </c>
      <c r="BO52" s="390">
        <v>0</v>
      </c>
      <c r="BP52" s="390">
        <v>22.664000000000001</v>
      </c>
      <c r="BQ52" s="390">
        <v>17.061</v>
      </c>
      <c r="BR52" s="514">
        <v>23.335000000000001</v>
      </c>
      <c r="BS52" s="390">
        <v>0</v>
      </c>
      <c r="BT52" s="390">
        <v>59.899000000000001</v>
      </c>
      <c r="BU52" s="390">
        <v>21.224</v>
      </c>
      <c r="BV52" s="390">
        <v>48.87</v>
      </c>
      <c r="BW52" s="390">
        <v>32.064</v>
      </c>
      <c r="BX52" s="390">
        <v>66.784000000000006</v>
      </c>
      <c r="BY52" s="390">
        <v>30.588000000000001</v>
      </c>
      <c r="BZ52" s="390">
        <v>57.216999999999999</v>
      </c>
      <c r="CA52" s="390">
        <v>21.975999999999999</v>
      </c>
      <c r="CB52" s="514">
        <v>58.499000000000002</v>
      </c>
      <c r="CC52" s="390">
        <v>55.082000000000001</v>
      </c>
      <c r="CD52" s="390">
        <v>10.087999999999999</v>
      </c>
      <c r="CE52" s="390">
        <v>20.088999999999999</v>
      </c>
      <c r="CF52" s="390">
        <v>0</v>
      </c>
      <c r="CG52" s="390">
        <v>126.41</v>
      </c>
      <c r="CH52" s="390">
        <v>231.386</v>
      </c>
      <c r="CI52" s="390">
        <v>75.394000000000005</v>
      </c>
      <c r="CJ52" s="390">
        <v>459.35</v>
      </c>
      <c r="CK52" s="391">
        <v>84.86</v>
      </c>
      <c r="CL52" s="515">
        <v>2281.5239999999999</v>
      </c>
    </row>
    <row r="53" spans="1:90">
      <c r="A53" s="80">
        <f>ROWS($A$3:A51)</f>
        <v>49</v>
      </c>
      <c r="B53" s="54" t="str">
        <f>"Änderung der Milcherzeugung "&amp;C95&amp;"/"&amp;C98</f>
        <v>Änderung der Milcherzeugung 2001/1991</v>
      </c>
      <c r="C53" s="252"/>
      <c r="D53" s="254" t="s">
        <v>3</v>
      </c>
      <c r="E53" s="522">
        <v>42919</v>
      </c>
      <c r="F53" s="167">
        <f>IF(F52=0,0,(F52-F99)/F99%)</f>
        <v>-6.4741268461228971</v>
      </c>
      <c r="G53" s="168">
        <f>IF(G52=0,0,(G52-G99)/G99%)</f>
        <v>-16.483615891361481</v>
      </c>
      <c r="H53" s="168">
        <f>IF(H52=0,0,(H52-H99)/H99%)</f>
        <v>-13.49596364887884</v>
      </c>
      <c r="I53" s="169">
        <f>IF(I52=0,0,(I52-I99)/I99%)</f>
        <v>-4.2770281225791331</v>
      </c>
      <c r="J53" s="173"/>
      <c r="K53" s="178">
        <f t="shared" si="78"/>
        <v>-2.0377221177754778</v>
      </c>
      <c r="L53" s="179">
        <f t="shared" si="79"/>
        <v>-12.460609742207373</v>
      </c>
      <c r="M53" s="179">
        <f t="shared" si="80"/>
        <v>-14.885443819453972</v>
      </c>
      <c r="N53" s="179">
        <f t="shared" si="81"/>
        <v>1.3791189959360854</v>
      </c>
      <c r="O53" s="179">
        <f t="shared" si="82"/>
        <v>-8.118514915693904</v>
      </c>
      <c r="P53" s="168">
        <f>(P52-P99)/P99%</f>
        <v>-24.070107509165062</v>
      </c>
      <c r="Q53" s="179">
        <f>'2001'!AU53</f>
        <v>-9.9831642171360926</v>
      </c>
      <c r="R53" s="168">
        <f>(R52-R99)/R99%</f>
        <v>-16.407497482005542</v>
      </c>
      <c r="S53" s="179">
        <f t="shared" si="83"/>
        <v>-23.651173933876386</v>
      </c>
      <c r="T53" s="179">
        <f t="shared" si="84"/>
        <v>-14.582855529876682</v>
      </c>
      <c r="U53" s="180">
        <f t="shared" si="85"/>
        <v>7.0155244672687642</v>
      </c>
      <c r="V53" s="168">
        <f>(V52-V99)/V99%</f>
        <v>-46.53764204545454</v>
      </c>
      <c r="W53" s="179">
        <f t="shared" si="86"/>
        <v>-6.300192740122065</v>
      </c>
      <c r="X53" s="168">
        <f>(X52-X99)/X99%</f>
        <v>-39.360600569505571</v>
      </c>
      <c r="Y53" s="168">
        <f>(Y52-Y99)/Y99%</f>
        <v>-25.333771965896307</v>
      </c>
      <c r="Z53" s="179">
        <f t="shared" si="87"/>
        <v>-14.401526741636832</v>
      </c>
      <c r="AA53" s="168">
        <f>(AA52-AA99)/AA99%</f>
        <v>-7.3778501628664577</v>
      </c>
      <c r="AB53" s="180">
        <f t="shared" si="88"/>
        <v>-4.1204839664946284</v>
      </c>
      <c r="AC53" s="179">
        <f t="shared" si="89"/>
        <v>-4.6433262893369056</v>
      </c>
      <c r="AD53" s="179">
        <f t="shared" si="90"/>
        <v>-35.122577489759735</v>
      </c>
      <c r="AE53" s="168">
        <f>(AE52-AE99)/AE99%</f>
        <v>-8.8628202787414079</v>
      </c>
      <c r="AF53" s="179">
        <f t="shared" si="91"/>
        <v>-29.301248230600955</v>
      </c>
      <c r="AG53" s="179">
        <f t="shared" si="92"/>
        <v>-25.476920261677115</v>
      </c>
      <c r="AH53" s="179">
        <f t="shared" si="93"/>
        <v>-4.7542157042265272</v>
      </c>
      <c r="AI53" s="179">
        <f t="shared" si="94"/>
        <v>-20.669008857439753</v>
      </c>
      <c r="AJ53" s="179">
        <f t="shared" si="95"/>
        <v>-3.2821096566116497</v>
      </c>
      <c r="AK53" s="180">
        <f t="shared" si="96"/>
        <v>-5.3812311972309352</v>
      </c>
      <c r="AL53" s="179">
        <f t="shared" si="97"/>
        <v>-6.8314627585567314</v>
      </c>
      <c r="AM53" s="179">
        <f t="shared" si="98"/>
        <v>-5.2395773609632279</v>
      </c>
      <c r="AN53" s="179">
        <f t="shared" si="99"/>
        <v>3.3717625296207872</v>
      </c>
      <c r="AO53" s="179">
        <f t="shared" si="100"/>
        <v>-12.804926311123774</v>
      </c>
      <c r="AP53" s="179">
        <f t="shared" si="101"/>
        <v>-24.207362885048845</v>
      </c>
      <c r="AQ53" s="179">
        <f t="shared" si="102"/>
        <v>-12.847004693485607</v>
      </c>
      <c r="AR53" s="179">
        <f t="shared" si="103"/>
        <v>-8.1389965153398052</v>
      </c>
      <c r="AS53" s="169">
        <f>(AS52-AS99)/AS99%</f>
        <v>-12.280458270590604</v>
      </c>
      <c r="AT53" s="168">
        <f t="shared" ref="AT53:BR53" si="106">IF(AT52=0,0,(AT52-AT99)/AT99%)</f>
        <v>-20.431211498973305</v>
      </c>
      <c r="AU53" s="168">
        <f t="shared" si="106"/>
        <v>-9.9831642171360926</v>
      </c>
      <c r="AV53" s="168">
        <f t="shared" si="106"/>
        <v>-23.651173933876386</v>
      </c>
      <c r="AW53" s="168">
        <f t="shared" si="106"/>
        <v>1.3791189959360854</v>
      </c>
      <c r="AX53" s="168">
        <f t="shared" si="106"/>
        <v>-16.096334524282117</v>
      </c>
      <c r="AY53" s="168">
        <f t="shared" si="106"/>
        <v>-12.460609742207373</v>
      </c>
      <c r="AZ53" s="168">
        <f t="shared" si="106"/>
        <v>0</v>
      </c>
      <c r="BA53" s="168">
        <f t="shared" si="106"/>
        <v>-24.070107509165062</v>
      </c>
      <c r="BB53" s="168">
        <f t="shared" si="106"/>
        <v>-14.582855529876682</v>
      </c>
      <c r="BC53" s="168">
        <f t="shared" si="106"/>
        <v>7.0155244672687642</v>
      </c>
      <c r="BD53" s="168">
        <f t="shared" si="106"/>
        <v>-14.885443819453972</v>
      </c>
      <c r="BE53" s="168">
        <f t="shared" si="106"/>
        <v>-8.118514915693904</v>
      </c>
      <c r="BF53" s="176">
        <f t="shared" si="106"/>
        <v>-2.0377221177754778</v>
      </c>
      <c r="BG53" s="168">
        <f t="shared" si="106"/>
        <v>0</v>
      </c>
      <c r="BH53" s="168">
        <f t="shared" si="106"/>
        <v>0</v>
      </c>
      <c r="BI53" s="168">
        <f t="shared" si="106"/>
        <v>-39.360600569505571</v>
      </c>
      <c r="BJ53" s="168">
        <f t="shared" si="106"/>
        <v>-46.53764204545454</v>
      </c>
      <c r="BK53" s="168">
        <f t="shared" si="106"/>
        <v>0</v>
      </c>
      <c r="BL53" s="168">
        <f t="shared" si="106"/>
        <v>0</v>
      </c>
      <c r="BM53" s="168">
        <f t="shared" si="106"/>
        <v>-14.401526741636832</v>
      </c>
      <c r="BN53" s="168">
        <f t="shared" si="106"/>
        <v>-25.333771965896307</v>
      </c>
      <c r="BO53" s="168">
        <f t="shared" si="106"/>
        <v>0</v>
      </c>
      <c r="BP53" s="168">
        <f t="shared" si="106"/>
        <v>-4.1204839664946284</v>
      </c>
      <c r="BQ53" s="168">
        <f t="shared" si="106"/>
        <v>-7.3778501628664577</v>
      </c>
      <c r="BR53" s="176">
        <f t="shared" si="106"/>
        <v>-6.300192740122065</v>
      </c>
      <c r="BS53" s="168" t="s">
        <v>58</v>
      </c>
      <c r="BT53" s="168">
        <f t="shared" ref="BT53:CK53" si="107">IF(BT52=0,0,(BT52-BT99)/BT99%)</f>
        <v>-8.8628202787414079</v>
      </c>
      <c r="BU53" s="168">
        <f t="shared" si="107"/>
        <v>-35.122577489759735</v>
      </c>
      <c r="BV53" s="168">
        <f t="shared" si="107"/>
        <v>-25.476920261677115</v>
      </c>
      <c r="BW53" s="168">
        <f>IF(BW52=0,0,(BW52-BW99)/BW99%)</f>
        <v>-20.669008857439753</v>
      </c>
      <c r="BX53" s="168">
        <f t="shared" si="107"/>
        <v>-4.6433262893369056</v>
      </c>
      <c r="BY53" s="168">
        <f t="shared" si="107"/>
        <v>-3.2821096566116497</v>
      </c>
      <c r="BZ53" s="168">
        <f t="shared" si="107"/>
        <v>-4.7542157042265272</v>
      </c>
      <c r="CA53" s="168">
        <f t="shared" si="107"/>
        <v>-29.301248230600955</v>
      </c>
      <c r="CB53" s="176">
        <f t="shared" si="107"/>
        <v>-5.3812311972309352</v>
      </c>
      <c r="CC53" s="168">
        <f t="shared" si="107"/>
        <v>-12.804926311123774</v>
      </c>
      <c r="CD53" s="168">
        <f t="shared" si="107"/>
        <v>-24.207362885048845</v>
      </c>
      <c r="CE53" s="168">
        <f t="shared" si="107"/>
        <v>-6.8314627585567314</v>
      </c>
      <c r="CF53" s="168">
        <f t="shared" si="107"/>
        <v>0</v>
      </c>
      <c r="CG53" s="168">
        <f t="shared" si="107"/>
        <v>-12.280458270590604</v>
      </c>
      <c r="CH53" s="168">
        <f t="shared" si="107"/>
        <v>-5.2395773609632279</v>
      </c>
      <c r="CI53" s="168">
        <f t="shared" si="107"/>
        <v>-8.1389965153398052</v>
      </c>
      <c r="CJ53" s="168">
        <f t="shared" si="107"/>
        <v>3.3717625296207872</v>
      </c>
      <c r="CK53" s="169">
        <f t="shared" si="107"/>
        <v>-12.847004693485607</v>
      </c>
      <c r="CL53" s="177">
        <v>0.53</v>
      </c>
    </row>
    <row r="54" spans="1:90">
      <c r="A54" s="80">
        <f>ROWS($A$3:A52)</f>
        <v>50</v>
      </c>
      <c r="B54" s="93" t="str">
        <f>"Änderung der Milchkühe "&amp;C95&amp;"/"&amp;C98</f>
        <v>Änderung der Milchkühe 2001/1991</v>
      </c>
      <c r="C54" s="253"/>
      <c r="D54" s="255" t="s">
        <v>3</v>
      </c>
      <c r="E54" s="257"/>
      <c r="F54" s="181">
        <f>ROUND((F95-F98)/F98%,3)</f>
        <v>-28.669</v>
      </c>
      <c r="G54" s="182">
        <f>ROUND((G95-G98)/G98%,3)</f>
        <v>-32.402999999999999</v>
      </c>
      <c r="H54" s="182">
        <f>ROUND((H95-H98)/H98%,3)</f>
        <v>-30.853000000000002</v>
      </c>
      <c r="I54" s="183">
        <f>ROUND((I95-I98)/I98%,3)</f>
        <v>-22.283000000000001</v>
      </c>
      <c r="J54" s="279"/>
      <c r="K54" s="184">
        <f t="shared" si="78"/>
        <v>-24.792999999999999</v>
      </c>
      <c r="L54" s="185">
        <f t="shared" si="79"/>
        <v>-30.404</v>
      </c>
      <c r="M54" s="185">
        <f t="shared" si="80"/>
        <v>-32.576000000000001</v>
      </c>
      <c r="N54" s="185">
        <f t="shared" si="81"/>
        <v>-23.888999999999999</v>
      </c>
      <c r="O54" s="185">
        <f t="shared" si="82"/>
        <v>-23.922999999999998</v>
      </c>
      <c r="P54" s="182">
        <f>ROUND((P95-P98)/P98%,3)</f>
        <v>-38.029000000000003</v>
      </c>
      <c r="Q54" s="185">
        <f>'2001'!AU54</f>
        <v>-30.672999999999998</v>
      </c>
      <c r="R54" s="182">
        <f>ROUND((R95-R98)/R98%,3)</f>
        <v>-40.11</v>
      </c>
      <c r="S54" s="185">
        <f t="shared" si="83"/>
        <v>-37.203000000000003</v>
      </c>
      <c r="T54" s="185">
        <f t="shared" si="84"/>
        <v>-30.260999999999999</v>
      </c>
      <c r="U54" s="186">
        <f t="shared" si="85"/>
        <v>-27.481999999999999</v>
      </c>
      <c r="V54" s="182">
        <f>ROUND((V95-V98)/V98%,3)</f>
        <v>-46.143000000000001</v>
      </c>
      <c r="W54" s="185">
        <f t="shared" si="86"/>
        <v>-32.566000000000003</v>
      </c>
      <c r="X54" s="182">
        <f>ROUND((X95-X98)/X98%,3)</f>
        <v>-41.399000000000001</v>
      </c>
      <c r="Y54" s="182">
        <f>ROUND((Y95-Y98)/Y98%,3)</f>
        <v>-34.127000000000002</v>
      </c>
      <c r="Z54" s="185">
        <f t="shared" si="87"/>
        <v>-28.962</v>
      </c>
      <c r="AA54" s="182">
        <f>ROUND((AA95-AA98)/AA98%,3)</f>
        <v>-28.295000000000002</v>
      </c>
      <c r="AB54" s="186">
        <f t="shared" si="88"/>
        <v>-32.447000000000003</v>
      </c>
      <c r="AC54" s="185">
        <f t="shared" si="89"/>
        <v>-26.427</v>
      </c>
      <c r="AD54" s="185">
        <f t="shared" si="90"/>
        <v>-40.295000000000002</v>
      </c>
      <c r="AE54" s="182">
        <f>ROUND((AE95-AE98)/AE98%,3)</f>
        <v>-25.321999999999999</v>
      </c>
      <c r="AF54" s="185">
        <f t="shared" si="91"/>
        <v>-40.057000000000002</v>
      </c>
      <c r="AG54" s="185">
        <f t="shared" si="92"/>
        <v>-36.825000000000003</v>
      </c>
      <c r="AH54" s="185">
        <f t="shared" si="93"/>
        <v>-26.117999999999999</v>
      </c>
      <c r="AI54" s="185">
        <f t="shared" si="94"/>
        <v>-36.033000000000001</v>
      </c>
      <c r="AJ54" s="185">
        <f t="shared" si="95"/>
        <v>-23.742000000000001</v>
      </c>
      <c r="AK54" s="186">
        <f t="shared" si="96"/>
        <v>-29.667999999999999</v>
      </c>
      <c r="AL54" s="185">
        <f t="shared" si="97"/>
        <v>-31.739000000000001</v>
      </c>
      <c r="AM54" s="185">
        <f t="shared" si="98"/>
        <v>-20.49</v>
      </c>
      <c r="AN54" s="185">
        <f t="shared" si="99"/>
        <v>-14.746</v>
      </c>
      <c r="AO54" s="185">
        <f t="shared" si="100"/>
        <v>-29.015999999999998</v>
      </c>
      <c r="AP54" s="185">
        <f t="shared" si="101"/>
        <v>-32.197000000000003</v>
      </c>
      <c r="AQ54" s="185">
        <f t="shared" si="102"/>
        <v>-30.98</v>
      </c>
      <c r="AR54" s="185">
        <f t="shared" si="103"/>
        <v>-29.064</v>
      </c>
      <c r="AS54" s="183">
        <f>ROUND((AS95-AS98)/AS98%,3)</f>
        <v>-30.29</v>
      </c>
      <c r="AT54" s="182">
        <f t="shared" ref="AT54:CK54" si="108">IF(AT95=0,0,ROUND((AT95-AT98)/AT98%,3))</f>
        <v>-27.055</v>
      </c>
      <c r="AU54" s="182">
        <f t="shared" si="108"/>
        <v>-30.672999999999998</v>
      </c>
      <c r="AV54" s="182">
        <f t="shared" si="108"/>
        <v>-37.203000000000003</v>
      </c>
      <c r="AW54" s="182">
        <f t="shared" si="108"/>
        <v>-23.888999999999999</v>
      </c>
      <c r="AX54" s="182">
        <f t="shared" si="108"/>
        <v>-35.723999999999997</v>
      </c>
      <c r="AY54" s="182">
        <f t="shared" si="108"/>
        <v>-30.404</v>
      </c>
      <c r="AZ54" s="182">
        <f t="shared" si="108"/>
        <v>-54.058999999999997</v>
      </c>
      <c r="BA54" s="182">
        <f t="shared" si="108"/>
        <v>-37.127000000000002</v>
      </c>
      <c r="BB54" s="182">
        <f t="shared" si="108"/>
        <v>-30.260999999999999</v>
      </c>
      <c r="BC54" s="182">
        <f t="shared" si="108"/>
        <v>-27.481999999999999</v>
      </c>
      <c r="BD54" s="182">
        <f t="shared" si="108"/>
        <v>-32.576000000000001</v>
      </c>
      <c r="BE54" s="182">
        <f t="shared" si="108"/>
        <v>-23.922999999999998</v>
      </c>
      <c r="BF54" s="187">
        <f t="shared" si="108"/>
        <v>-24.792999999999999</v>
      </c>
      <c r="BG54" s="182">
        <v>0</v>
      </c>
      <c r="BH54" s="182">
        <f t="shared" si="108"/>
        <v>-57.835999999999999</v>
      </c>
      <c r="BI54" s="182">
        <f t="shared" si="108"/>
        <v>-40.072000000000003</v>
      </c>
      <c r="BJ54" s="182">
        <f t="shared" si="108"/>
        <v>-46.143000000000001</v>
      </c>
      <c r="BK54" s="182">
        <f t="shared" si="108"/>
        <v>-22.187999999999999</v>
      </c>
      <c r="BL54" s="182">
        <f t="shared" si="108"/>
        <v>-51.25</v>
      </c>
      <c r="BM54" s="182">
        <f t="shared" si="108"/>
        <v>-28.962</v>
      </c>
      <c r="BN54" s="182">
        <f t="shared" si="108"/>
        <v>-34.47</v>
      </c>
      <c r="BO54" s="182">
        <f t="shared" si="108"/>
        <v>-35.057000000000002</v>
      </c>
      <c r="BP54" s="182">
        <f t="shared" si="108"/>
        <v>-32.447000000000003</v>
      </c>
      <c r="BQ54" s="182">
        <f t="shared" si="108"/>
        <v>-28.03</v>
      </c>
      <c r="BR54" s="187">
        <f t="shared" si="108"/>
        <v>-32.566000000000003</v>
      </c>
      <c r="BS54" s="182" t="s">
        <v>58</v>
      </c>
      <c r="BT54" s="182">
        <f t="shared" si="108"/>
        <v>-25.321999999999999</v>
      </c>
      <c r="BU54" s="182">
        <f t="shared" si="108"/>
        <v>-40.295000000000002</v>
      </c>
      <c r="BV54" s="182">
        <f t="shared" si="108"/>
        <v>-36.825000000000003</v>
      </c>
      <c r="BW54" s="182">
        <f t="shared" si="108"/>
        <v>-36.033000000000001</v>
      </c>
      <c r="BX54" s="182">
        <f t="shared" si="108"/>
        <v>-26.427</v>
      </c>
      <c r="BY54" s="182">
        <f t="shared" si="108"/>
        <v>-23.742000000000001</v>
      </c>
      <c r="BZ54" s="182">
        <f t="shared" si="108"/>
        <v>-26.117999999999999</v>
      </c>
      <c r="CA54" s="182">
        <f t="shared" si="108"/>
        <v>-40.057000000000002</v>
      </c>
      <c r="CB54" s="187">
        <f t="shared" si="108"/>
        <v>-29.667999999999999</v>
      </c>
      <c r="CC54" s="182">
        <f t="shared" si="108"/>
        <v>-29.015999999999998</v>
      </c>
      <c r="CD54" s="182">
        <f t="shared" si="108"/>
        <v>-32.197000000000003</v>
      </c>
      <c r="CE54" s="182">
        <f t="shared" si="108"/>
        <v>-31.739000000000001</v>
      </c>
      <c r="CF54" s="182">
        <f t="shared" si="108"/>
        <v>-38.223999999999997</v>
      </c>
      <c r="CG54" s="182">
        <f t="shared" si="108"/>
        <v>-29.885999999999999</v>
      </c>
      <c r="CH54" s="182">
        <f t="shared" si="108"/>
        <v>-20.49</v>
      </c>
      <c r="CI54" s="182">
        <f t="shared" si="108"/>
        <v>-29.064</v>
      </c>
      <c r="CJ54" s="182">
        <f t="shared" si="108"/>
        <v>-14.746</v>
      </c>
      <c r="CK54" s="183">
        <f t="shared" si="108"/>
        <v>-30.98</v>
      </c>
      <c r="CL54" s="188">
        <f>ROUND((CL95-CL98)/CL98%,3)</f>
        <v>-26.744</v>
      </c>
    </row>
    <row r="55" spans="1:90" ht="14.25">
      <c r="A55" s="80">
        <f>ROWS($A$3:A53)</f>
        <v>51</v>
      </c>
      <c r="B55" s="59" t="s">
        <v>208</v>
      </c>
      <c r="C55" s="203"/>
      <c r="D55" s="254"/>
      <c r="E55" s="269"/>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c r="A56" s="80">
        <f>ROWS($A$3:A54)</f>
        <v>52</v>
      </c>
      <c r="B56" s="92" t="s">
        <v>54</v>
      </c>
      <c r="C56" s="202">
        <v>2002</v>
      </c>
      <c r="D56" s="254" t="s">
        <v>13</v>
      </c>
      <c r="E56" s="256">
        <v>40694</v>
      </c>
      <c r="F56" s="116">
        <v>252</v>
      </c>
      <c r="G56" s="137">
        <v>235</v>
      </c>
      <c r="H56" s="137">
        <v>261</v>
      </c>
      <c r="I56" s="138">
        <v>305</v>
      </c>
      <c r="J56" s="141"/>
      <c r="K56" s="116">
        <f t="shared" ref="K56:K63" si="109">BF56</f>
        <v>38</v>
      </c>
      <c r="L56" s="137">
        <f t="shared" ref="L56:L63" si="110">AY56</f>
        <v>22</v>
      </c>
      <c r="M56" s="137">
        <f t="shared" ref="M56:M63" si="111">BD56</f>
        <v>33</v>
      </c>
      <c r="N56" s="137">
        <f t="shared" ref="N56:N63" si="112">AW56</f>
        <v>19</v>
      </c>
      <c r="O56" s="137">
        <f t="shared" ref="O56:O63" si="113">BE56</f>
        <v>10</v>
      </c>
      <c r="P56" s="137">
        <f t="shared" ref="P56:P63" si="114">AZ56+BA56</f>
        <v>21</v>
      </c>
      <c r="Q56" s="137">
        <f>'2001'!AU56</f>
        <v>19</v>
      </c>
      <c r="R56" s="137">
        <f t="shared" ref="R56:R63" si="115">AT56+AX56</f>
        <v>26</v>
      </c>
      <c r="S56" s="137">
        <f t="shared" ref="S56:S63" si="116">AV56</f>
        <v>26</v>
      </c>
      <c r="T56" s="137">
        <f t="shared" ref="T56:U63" si="117">BB56</f>
        <v>20</v>
      </c>
      <c r="U56" s="139">
        <f t="shared" si="117"/>
        <v>18</v>
      </c>
      <c r="V56" s="137">
        <f t="shared" ref="V56:V63" si="118">BG56+BJ56</f>
        <v>31</v>
      </c>
      <c r="W56" s="137">
        <f t="shared" ref="W56:W63" si="119">BR56</f>
        <v>18</v>
      </c>
      <c r="X56" s="137">
        <f t="shared" ref="X56:X63" si="120">BH56+BI56</f>
        <v>46</v>
      </c>
      <c r="Y56" s="137">
        <f t="shared" ref="Y56:Y63" si="121">BK56+BL56+BN56</f>
        <v>61</v>
      </c>
      <c r="Z56" s="137">
        <f t="shared" ref="Z56:Z63" si="122">BM56</f>
        <v>25</v>
      </c>
      <c r="AA56" s="137">
        <f t="shared" ref="AA56:AA63" si="123">BO56+BQ56</f>
        <v>29</v>
      </c>
      <c r="AB56" s="139">
        <f t="shared" ref="AB56:AB63" si="124">BP56</f>
        <v>25</v>
      </c>
      <c r="AC56" s="137">
        <f t="shared" ref="AC56:AC63" si="125">BX56</f>
        <v>24</v>
      </c>
      <c r="AD56" s="137">
        <f t="shared" ref="AD56:AD63" si="126">BU56</f>
        <v>19</v>
      </c>
      <c r="AE56" s="137">
        <f t="shared" ref="AE56:AE63" si="127">BS56+BT56</f>
        <v>48</v>
      </c>
      <c r="AF56" s="137">
        <f t="shared" ref="AF56:AF63" si="128">CA56</f>
        <v>23</v>
      </c>
      <c r="AG56" s="137">
        <f t="shared" ref="AG56:AG63" si="129">BV56</f>
        <v>22</v>
      </c>
      <c r="AH56" s="137">
        <f t="shared" ref="AH56:AH63" si="130">BZ56</f>
        <v>57</v>
      </c>
      <c r="AI56" s="137">
        <f t="shared" ref="AI56:AI63" si="131">BW56</f>
        <v>10</v>
      </c>
      <c r="AJ56" s="137">
        <f t="shared" ref="AJ56:AJ63" si="132">BY56</f>
        <v>23</v>
      </c>
      <c r="AK56" s="139">
        <f t="shared" ref="AK56:AK63" si="133">CB56</f>
        <v>35</v>
      </c>
      <c r="AL56" s="137">
        <f t="shared" ref="AL56:AL63" si="134">CE56</f>
        <v>53</v>
      </c>
      <c r="AM56" s="137">
        <f t="shared" ref="AM56:AM63" si="135">CH56</f>
        <v>29</v>
      </c>
      <c r="AN56" s="137">
        <f t="shared" ref="AN56:AN63" si="136">CJ56</f>
        <v>75</v>
      </c>
      <c r="AO56" s="137">
        <f t="shared" ref="AO56:AP63" si="137">CC56</f>
        <v>41</v>
      </c>
      <c r="AP56" s="137">
        <f t="shared" si="137"/>
        <v>22</v>
      </c>
      <c r="AQ56" s="137">
        <f t="shared" ref="AQ56:AQ63" si="138">CK56</f>
        <v>23</v>
      </c>
      <c r="AR56" s="137">
        <f t="shared" ref="AR56:AR63" si="139">CI56</f>
        <v>30</v>
      </c>
      <c r="AS56" s="138">
        <f t="shared" ref="AS56:AS63" si="140">CF56+CG56</f>
        <v>32</v>
      </c>
      <c r="AT56" s="146">
        <v>7</v>
      </c>
      <c r="AU56" s="137">
        <v>19</v>
      </c>
      <c r="AV56" s="137">
        <v>26</v>
      </c>
      <c r="AW56" s="141">
        <v>19</v>
      </c>
      <c r="AX56" s="137">
        <v>19</v>
      </c>
      <c r="AY56" s="137">
        <v>22</v>
      </c>
      <c r="AZ56" s="137">
        <v>4</v>
      </c>
      <c r="BA56" s="137">
        <v>17</v>
      </c>
      <c r="BB56" s="137">
        <v>20</v>
      </c>
      <c r="BC56" s="137">
        <v>18</v>
      </c>
      <c r="BD56" s="137">
        <v>33</v>
      </c>
      <c r="BE56" s="137">
        <v>10</v>
      </c>
      <c r="BF56" s="139">
        <v>38</v>
      </c>
      <c r="BG56" s="137">
        <v>5</v>
      </c>
      <c r="BH56" s="137">
        <v>7</v>
      </c>
      <c r="BI56" s="137">
        <v>39</v>
      </c>
      <c r="BJ56" s="137">
        <v>26</v>
      </c>
      <c r="BK56" s="137">
        <v>5</v>
      </c>
      <c r="BL56" s="137">
        <v>9</v>
      </c>
      <c r="BM56" s="137">
        <v>25</v>
      </c>
      <c r="BN56" s="137">
        <v>47</v>
      </c>
      <c r="BO56" s="137">
        <v>3</v>
      </c>
      <c r="BP56" s="137">
        <v>25</v>
      </c>
      <c r="BQ56" s="137">
        <v>26</v>
      </c>
      <c r="BR56" s="139">
        <v>18</v>
      </c>
      <c r="BS56" s="137">
        <v>6</v>
      </c>
      <c r="BT56" s="137">
        <v>42</v>
      </c>
      <c r="BU56" s="137">
        <v>19</v>
      </c>
      <c r="BV56" s="137">
        <v>22</v>
      </c>
      <c r="BW56" s="137">
        <v>10</v>
      </c>
      <c r="BX56" s="137">
        <v>24</v>
      </c>
      <c r="BY56" s="137">
        <v>23</v>
      </c>
      <c r="BZ56" s="137">
        <v>57</v>
      </c>
      <c r="CA56" s="137">
        <v>23</v>
      </c>
      <c r="CB56" s="139">
        <v>35</v>
      </c>
      <c r="CC56" s="137">
        <v>41</v>
      </c>
      <c r="CD56" s="137">
        <v>22</v>
      </c>
      <c r="CE56" s="137">
        <v>53</v>
      </c>
      <c r="CF56" s="137">
        <v>1</v>
      </c>
      <c r="CG56" s="137">
        <v>31</v>
      </c>
      <c r="CH56" s="137">
        <v>29</v>
      </c>
      <c r="CI56" s="137">
        <v>30</v>
      </c>
      <c r="CJ56" s="137">
        <v>75</v>
      </c>
      <c r="CK56" s="138">
        <v>23</v>
      </c>
      <c r="CL56" s="140">
        <v>1053</v>
      </c>
    </row>
    <row r="57" spans="1:90">
      <c r="A57" s="80">
        <f>ROWS($A$3:A55)</f>
        <v>53</v>
      </c>
      <c r="B57" s="92"/>
      <c r="C57" s="203"/>
      <c r="D57" s="254" t="s">
        <v>1</v>
      </c>
      <c r="E57" s="269"/>
      <c r="F57" s="116">
        <v>12621</v>
      </c>
      <c r="G57" s="137">
        <v>18847</v>
      </c>
      <c r="H57" s="137">
        <v>29251</v>
      </c>
      <c r="I57" s="138">
        <v>18718</v>
      </c>
      <c r="J57" s="141"/>
      <c r="K57" s="116">
        <f t="shared" si="109"/>
        <v>1747</v>
      </c>
      <c r="L57" s="137">
        <f t="shared" si="110"/>
        <v>520</v>
      </c>
      <c r="M57" s="137">
        <f t="shared" si="111"/>
        <v>967</v>
      </c>
      <c r="N57" s="137">
        <f t="shared" si="112"/>
        <v>2448</v>
      </c>
      <c r="O57" s="137">
        <f t="shared" si="113"/>
        <v>440</v>
      </c>
      <c r="P57" s="137">
        <f t="shared" si="114"/>
        <v>409</v>
      </c>
      <c r="Q57" s="137">
        <f>'2001'!AU57</f>
        <v>709</v>
      </c>
      <c r="R57" s="137">
        <f t="shared" si="115"/>
        <v>1903</v>
      </c>
      <c r="S57" s="137">
        <f t="shared" si="116"/>
        <v>2091</v>
      </c>
      <c r="T57" s="137">
        <f t="shared" si="117"/>
        <v>479</v>
      </c>
      <c r="U57" s="139">
        <f t="shared" si="117"/>
        <v>908</v>
      </c>
      <c r="V57" s="137">
        <f t="shared" si="118"/>
        <v>4302</v>
      </c>
      <c r="W57" s="137">
        <f t="shared" si="119"/>
        <v>2855</v>
      </c>
      <c r="X57" s="137">
        <f t="shared" si="120"/>
        <v>3577</v>
      </c>
      <c r="Y57" s="137">
        <f t="shared" si="121"/>
        <v>3679</v>
      </c>
      <c r="Z57" s="137">
        <f t="shared" si="122"/>
        <v>903</v>
      </c>
      <c r="AA57" s="137">
        <f t="shared" si="123"/>
        <v>1554</v>
      </c>
      <c r="AB57" s="139">
        <f t="shared" si="124"/>
        <v>1977</v>
      </c>
      <c r="AC57" s="137">
        <f t="shared" si="125"/>
        <v>1949</v>
      </c>
      <c r="AD57" s="137">
        <f t="shared" si="126"/>
        <v>2885</v>
      </c>
      <c r="AE57" s="137">
        <f t="shared" si="127"/>
        <v>5871</v>
      </c>
      <c r="AF57" s="137">
        <f t="shared" si="128"/>
        <v>5541</v>
      </c>
      <c r="AG57" s="137">
        <f t="shared" si="129"/>
        <v>3485</v>
      </c>
      <c r="AH57" s="137">
        <f t="shared" si="130"/>
        <v>4092</v>
      </c>
      <c r="AI57" s="137">
        <f t="shared" si="131"/>
        <v>436</v>
      </c>
      <c r="AJ57" s="137">
        <f t="shared" si="132"/>
        <v>1566</v>
      </c>
      <c r="AK57" s="139">
        <f t="shared" si="133"/>
        <v>3426</v>
      </c>
      <c r="AL57" s="137">
        <f t="shared" si="134"/>
        <v>1545</v>
      </c>
      <c r="AM57" s="137">
        <f t="shared" si="135"/>
        <v>3551</v>
      </c>
      <c r="AN57" s="137">
        <f t="shared" si="136"/>
        <v>5820</v>
      </c>
      <c r="AO57" s="137">
        <f t="shared" si="137"/>
        <v>1930</v>
      </c>
      <c r="AP57" s="137">
        <f t="shared" si="137"/>
        <v>1184</v>
      </c>
      <c r="AQ57" s="137">
        <f t="shared" si="138"/>
        <v>1973</v>
      </c>
      <c r="AR57" s="137">
        <f t="shared" si="139"/>
        <v>1474</v>
      </c>
      <c r="AS57" s="138">
        <f t="shared" si="140"/>
        <v>1241</v>
      </c>
      <c r="AT57" s="137">
        <v>1360</v>
      </c>
      <c r="AU57" s="137">
        <v>709</v>
      </c>
      <c r="AV57" s="137">
        <v>2091</v>
      </c>
      <c r="AW57" s="137">
        <v>2448</v>
      </c>
      <c r="AX57" s="137">
        <v>543</v>
      </c>
      <c r="AY57" s="137">
        <v>520</v>
      </c>
      <c r="AZ57" s="137">
        <v>93</v>
      </c>
      <c r="BA57" s="137">
        <v>316</v>
      </c>
      <c r="BB57" s="137">
        <v>479</v>
      </c>
      <c r="BC57" s="137">
        <v>908</v>
      </c>
      <c r="BD57" s="137">
        <v>967</v>
      </c>
      <c r="BE57" s="137">
        <v>440</v>
      </c>
      <c r="BF57" s="139">
        <v>1747</v>
      </c>
      <c r="BG57" s="137">
        <v>438</v>
      </c>
      <c r="BH57" s="137">
        <v>646</v>
      </c>
      <c r="BI57" s="137">
        <v>2931</v>
      </c>
      <c r="BJ57" s="137">
        <v>3864</v>
      </c>
      <c r="BK57" s="137">
        <v>84</v>
      </c>
      <c r="BL57" s="137">
        <v>691</v>
      </c>
      <c r="BM57" s="137">
        <v>903</v>
      </c>
      <c r="BN57" s="137">
        <v>2904</v>
      </c>
      <c r="BO57" s="137">
        <v>197</v>
      </c>
      <c r="BP57" s="137">
        <v>1977</v>
      </c>
      <c r="BQ57" s="137">
        <v>1357</v>
      </c>
      <c r="BR57" s="139">
        <v>2855</v>
      </c>
      <c r="BS57" s="137">
        <v>655</v>
      </c>
      <c r="BT57" s="137">
        <v>5216</v>
      </c>
      <c r="BU57" s="137">
        <v>2885</v>
      </c>
      <c r="BV57" s="137">
        <v>3485</v>
      </c>
      <c r="BW57" s="137">
        <v>436</v>
      </c>
      <c r="BX57" s="137">
        <v>1949</v>
      </c>
      <c r="BY57" s="137">
        <v>1566</v>
      </c>
      <c r="BZ57" s="137">
        <v>4092</v>
      </c>
      <c r="CA57" s="137">
        <v>5541</v>
      </c>
      <c r="CB57" s="139">
        <v>3426</v>
      </c>
      <c r="CC57" s="137">
        <v>1930</v>
      </c>
      <c r="CD57" s="137">
        <v>1184</v>
      </c>
      <c r="CE57" s="137">
        <v>1545</v>
      </c>
      <c r="CF57" s="137">
        <v>39</v>
      </c>
      <c r="CG57" s="137">
        <v>1202</v>
      </c>
      <c r="CH57" s="137">
        <v>3551</v>
      </c>
      <c r="CI57" s="137">
        <v>1474</v>
      </c>
      <c r="CJ57" s="137">
        <v>5820</v>
      </c>
      <c r="CK57" s="138">
        <v>1973</v>
      </c>
      <c r="CL57" s="140">
        <v>79437</v>
      </c>
    </row>
    <row r="58" spans="1:90">
      <c r="A58" s="80">
        <f>ROWS($A$3:A56)</f>
        <v>54</v>
      </c>
      <c r="B58" s="92" t="s">
        <v>231</v>
      </c>
      <c r="C58" s="203"/>
      <c r="D58" s="254" t="s">
        <v>13</v>
      </c>
      <c r="E58" s="273"/>
      <c r="F58" s="116"/>
      <c r="G58" s="137"/>
      <c r="H58" s="137"/>
      <c r="I58" s="138"/>
      <c r="J58" s="141"/>
      <c r="K58" s="116">
        <f t="shared" si="109"/>
        <v>0</v>
      </c>
      <c r="L58" s="137">
        <f t="shared" si="110"/>
        <v>0</v>
      </c>
      <c r="M58" s="137">
        <f t="shared" si="111"/>
        <v>0</v>
      </c>
      <c r="N58" s="137">
        <f t="shared" si="112"/>
        <v>0</v>
      </c>
      <c r="O58" s="137">
        <f t="shared" si="113"/>
        <v>0</v>
      </c>
      <c r="P58" s="137">
        <f t="shared" si="114"/>
        <v>0</v>
      </c>
      <c r="Q58" s="137">
        <f>'2001'!AU58</f>
        <v>0</v>
      </c>
      <c r="R58" s="137">
        <f t="shared" si="115"/>
        <v>0</v>
      </c>
      <c r="S58" s="137">
        <f t="shared" si="116"/>
        <v>0</v>
      </c>
      <c r="T58" s="137">
        <f t="shared" si="117"/>
        <v>0</v>
      </c>
      <c r="U58" s="139">
        <f t="shared" si="117"/>
        <v>0</v>
      </c>
      <c r="V58" s="137">
        <f t="shared" si="118"/>
        <v>0</v>
      </c>
      <c r="W58" s="137">
        <f t="shared" si="119"/>
        <v>0</v>
      </c>
      <c r="X58" s="137">
        <f t="shared" si="120"/>
        <v>0</v>
      </c>
      <c r="Y58" s="137">
        <f t="shared" si="121"/>
        <v>0</v>
      </c>
      <c r="Z58" s="137">
        <f t="shared" si="122"/>
        <v>0</v>
      </c>
      <c r="AA58" s="137">
        <f t="shared" si="123"/>
        <v>0</v>
      </c>
      <c r="AB58" s="139">
        <f t="shared" si="124"/>
        <v>0</v>
      </c>
      <c r="AC58" s="137">
        <f t="shared" si="125"/>
        <v>0</v>
      </c>
      <c r="AD58" s="137">
        <f t="shared" si="126"/>
        <v>0</v>
      </c>
      <c r="AE58" s="137">
        <f t="shared" si="127"/>
        <v>0</v>
      </c>
      <c r="AF58" s="137">
        <f t="shared" si="128"/>
        <v>0</v>
      </c>
      <c r="AG58" s="137">
        <f t="shared" si="129"/>
        <v>0</v>
      </c>
      <c r="AH58" s="137">
        <f t="shared" si="130"/>
        <v>0</v>
      </c>
      <c r="AI58" s="137">
        <f t="shared" si="131"/>
        <v>0</v>
      </c>
      <c r="AJ58" s="137">
        <f t="shared" si="132"/>
        <v>0</v>
      </c>
      <c r="AK58" s="139">
        <f t="shared" si="133"/>
        <v>0</v>
      </c>
      <c r="AL58" s="137">
        <f t="shared" si="134"/>
        <v>0</v>
      </c>
      <c r="AM58" s="137">
        <f t="shared" si="135"/>
        <v>0</v>
      </c>
      <c r="AN58" s="137">
        <f t="shared" si="136"/>
        <v>0</v>
      </c>
      <c r="AO58" s="137">
        <f t="shared" si="137"/>
        <v>0</v>
      </c>
      <c r="AP58" s="137">
        <f t="shared" si="137"/>
        <v>0</v>
      </c>
      <c r="AQ58" s="137">
        <f t="shared" si="138"/>
        <v>0</v>
      </c>
      <c r="AR58" s="137">
        <f t="shared" si="139"/>
        <v>0</v>
      </c>
      <c r="AS58" s="138">
        <f t="shared" si="140"/>
        <v>0</v>
      </c>
      <c r="AT58" s="146"/>
      <c r="AU58" s="137"/>
      <c r="AV58" s="141"/>
      <c r="AW58" s="141"/>
      <c r="AX58" s="141"/>
      <c r="AY58" s="141"/>
      <c r="AZ58" s="141"/>
      <c r="BA58" s="141"/>
      <c r="BB58" s="141"/>
      <c r="BC58" s="141"/>
      <c r="BD58" s="141"/>
      <c r="BE58" s="141"/>
      <c r="BF58" s="139"/>
      <c r="BG58" s="141"/>
      <c r="BH58" s="141"/>
      <c r="BI58" s="141"/>
      <c r="BJ58" s="141"/>
      <c r="BK58" s="141"/>
      <c r="BL58" s="141"/>
      <c r="BM58" s="141"/>
      <c r="BN58" s="141"/>
      <c r="BO58" s="141"/>
      <c r="BP58" s="141"/>
      <c r="BQ58" s="141"/>
      <c r="BR58" s="139"/>
      <c r="BS58" s="141"/>
      <c r="BT58" s="141"/>
      <c r="BU58" s="141"/>
      <c r="BV58" s="141"/>
      <c r="BW58" s="141"/>
      <c r="BX58" s="141"/>
      <c r="BY58" s="141"/>
      <c r="BZ58" s="141"/>
      <c r="CA58" s="141"/>
      <c r="CB58" s="139"/>
      <c r="CC58" s="141"/>
      <c r="CD58" s="141"/>
      <c r="CE58" s="141"/>
      <c r="CF58" s="141"/>
      <c r="CG58" s="141"/>
      <c r="CH58" s="141"/>
      <c r="CI58" s="141"/>
      <c r="CJ58" s="141"/>
      <c r="CK58" s="138"/>
      <c r="CL58" s="140"/>
    </row>
    <row r="59" spans="1:90">
      <c r="A59" s="80">
        <f>ROWS($A$3:A57)</f>
        <v>55</v>
      </c>
      <c r="B59" s="92"/>
      <c r="C59" s="203"/>
      <c r="D59" s="254" t="s">
        <v>1</v>
      </c>
      <c r="E59" s="269"/>
      <c r="F59" s="116"/>
      <c r="G59" s="137"/>
      <c r="H59" s="137"/>
      <c r="I59" s="138"/>
      <c r="J59" s="141"/>
      <c r="K59" s="116">
        <f t="shared" si="109"/>
        <v>0</v>
      </c>
      <c r="L59" s="137">
        <f t="shared" si="110"/>
        <v>0</v>
      </c>
      <c r="M59" s="137">
        <f t="shared" si="111"/>
        <v>0</v>
      </c>
      <c r="N59" s="137">
        <f t="shared" si="112"/>
        <v>0</v>
      </c>
      <c r="O59" s="137">
        <f t="shared" si="113"/>
        <v>0</v>
      </c>
      <c r="P59" s="137">
        <f t="shared" si="114"/>
        <v>0</v>
      </c>
      <c r="Q59" s="137">
        <f>'2001'!AU59</f>
        <v>0</v>
      </c>
      <c r="R59" s="137">
        <f t="shared" si="115"/>
        <v>0</v>
      </c>
      <c r="S59" s="137">
        <f t="shared" si="116"/>
        <v>0</v>
      </c>
      <c r="T59" s="137">
        <f t="shared" si="117"/>
        <v>0</v>
      </c>
      <c r="U59" s="139">
        <f t="shared" si="117"/>
        <v>0</v>
      </c>
      <c r="V59" s="137">
        <f t="shared" si="118"/>
        <v>0</v>
      </c>
      <c r="W59" s="137">
        <f t="shared" si="119"/>
        <v>0</v>
      </c>
      <c r="X59" s="137">
        <f t="shared" si="120"/>
        <v>0</v>
      </c>
      <c r="Y59" s="137">
        <f t="shared" si="121"/>
        <v>0</v>
      </c>
      <c r="Z59" s="137">
        <f t="shared" si="122"/>
        <v>0</v>
      </c>
      <c r="AA59" s="137">
        <f t="shared" si="123"/>
        <v>0</v>
      </c>
      <c r="AB59" s="139">
        <f t="shared" si="124"/>
        <v>0</v>
      </c>
      <c r="AC59" s="137">
        <f t="shared" si="125"/>
        <v>0</v>
      </c>
      <c r="AD59" s="137">
        <f t="shared" si="126"/>
        <v>0</v>
      </c>
      <c r="AE59" s="137">
        <f t="shared" si="127"/>
        <v>0</v>
      </c>
      <c r="AF59" s="137">
        <f t="shared" si="128"/>
        <v>0</v>
      </c>
      <c r="AG59" s="137">
        <f t="shared" si="129"/>
        <v>0</v>
      </c>
      <c r="AH59" s="137">
        <f t="shared" si="130"/>
        <v>0</v>
      </c>
      <c r="AI59" s="137">
        <f t="shared" si="131"/>
        <v>0</v>
      </c>
      <c r="AJ59" s="137">
        <f t="shared" si="132"/>
        <v>0</v>
      </c>
      <c r="AK59" s="139">
        <f t="shared" si="133"/>
        <v>0</v>
      </c>
      <c r="AL59" s="137">
        <f t="shared" si="134"/>
        <v>0</v>
      </c>
      <c r="AM59" s="137">
        <f t="shared" si="135"/>
        <v>0</v>
      </c>
      <c r="AN59" s="137">
        <f t="shared" si="136"/>
        <v>0</v>
      </c>
      <c r="AO59" s="137">
        <f t="shared" si="137"/>
        <v>0</v>
      </c>
      <c r="AP59" s="137">
        <f t="shared" si="137"/>
        <v>0</v>
      </c>
      <c r="AQ59" s="137">
        <f t="shared" si="138"/>
        <v>0</v>
      </c>
      <c r="AR59" s="137">
        <f t="shared" si="139"/>
        <v>0</v>
      </c>
      <c r="AS59" s="138">
        <f t="shared" si="140"/>
        <v>0</v>
      </c>
      <c r="AT59" s="137"/>
      <c r="AU59" s="137"/>
      <c r="AV59" s="137"/>
      <c r="AW59" s="137"/>
      <c r="AX59" s="137"/>
      <c r="AY59" s="137"/>
      <c r="AZ59" s="137"/>
      <c r="BA59" s="137"/>
      <c r="BB59" s="137"/>
      <c r="BC59" s="137"/>
      <c r="BD59" s="137"/>
      <c r="BE59" s="137"/>
      <c r="BF59" s="139"/>
      <c r="BG59" s="137"/>
      <c r="BH59" s="137"/>
      <c r="BI59" s="137"/>
      <c r="BJ59" s="137"/>
      <c r="BK59" s="137"/>
      <c r="BL59" s="137"/>
      <c r="BM59" s="137"/>
      <c r="BN59" s="137"/>
      <c r="BO59" s="137"/>
      <c r="BP59" s="137"/>
      <c r="BQ59" s="137"/>
      <c r="BR59" s="139"/>
      <c r="BS59" s="137"/>
      <c r="BT59" s="137"/>
      <c r="BU59" s="137"/>
      <c r="BV59" s="137"/>
      <c r="BW59" s="137"/>
      <c r="BX59" s="137"/>
      <c r="BY59" s="137"/>
      <c r="BZ59" s="137"/>
      <c r="CA59" s="137"/>
      <c r="CB59" s="139"/>
      <c r="CC59" s="137"/>
      <c r="CD59" s="137"/>
      <c r="CE59" s="137"/>
      <c r="CF59" s="137"/>
      <c r="CG59" s="137"/>
      <c r="CH59" s="137"/>
      <c r="CI59" s="137"/>
      <c r="CJ59" s="137"/>
      <c r="CK59" s="138"/>
      <c r="CL59" s="140"/>
    </row>
    <row r="60" spans="1:90">
      <c r="A60" s="80">
        <f>ROWS($A$3:A58)</f>
        <v>56</v>
      </c>
      <c r="B60" s="92" t="s">
        <v>232</v>
      </c>
      <c r="C60" s="203"/>
      <c r="D60" s="254" t="s">
        <v>13</v>
      </c>
      <c r="E60" s="273"/>
      <c r="F60" s="116"/>
      <c r="G60" s="141"/>
      <c r="H60" s="141"/>
      <c r="I60" s="138"/>
      <c r="J60" s="141"/>
      <c r="K60" s="116">
        <f t="shared" si="109"/>
        <v>0</v>
      </c>
      <c r="L60" s="137">
        <f t="shared" si="110"/>
        <v>0</v>
      </c>
      <c r="M60" s="137">
        <f t="shared" si="111"/>
        <v>0</v>
      </c>
      <c r="N60" s="137">
        <f t="shared" si="112"/>
        <v>0</v>
      </c>
      <c r="O60" s="137">
        <f t="shared" si="113"/>
        <v>0</v>
      </c>
      <c r="P60" s="137">
        <f t="shared" si="114"/>
        <v>0</v>
      </c>
      <c r="Q60" s="137">
        <f>'2001'!AU60</f>
        <v>0</v>
      </c>
      <c r="R60" s="137">
        <f t="shared" si="115"/>
        <v>0</v>
      </c>
      <c r="S60" s="137">
        <f t="shared" si="116"/>
        <v>0</v>
      </c>
      <c r="T60" s="137">
        <f t="shared" si="117"/>
        <v>0</v>
      </c>
      <c r="U60" s="139">
        <f t="shared" si="117"/>
        <v>0</v>
      </c>
      <c r="V60" s="137">
        <f t="shared" si="118"/>
        <v>0</v>
      </c>
      <c r="W60" s="137">
        <f t="shared" si="119"/>
        <v>0</v>
      </c>
      <c r="X60" s="137">
        <f t="shared" si="120"/>
        <v>0</v>
      </c>
      <c r="Y60" s="137">
        <f t="shared" si="121"/>
        <v>0</v>
      </c>
      <c r="Z60" s="137">
        <f t="shared" si="122"/>
        <v>0</v>
      </c>
      <c r="AA60" s="137">
        <f t="shared" si="123"/>
        <v>0</v>
      </c>
      <c r="AB60" s="139">
        <f t="shared" si="124"/>
        <v>0</v>
      </c>
      <c r="AC60" s="137">
        <f t="shared" si="125"/>
        <v>0</v>
      </c>
      <c r="AD60" s="137">
        <f t="shared" si="126"/>
        <v>0</v>
      </c>
      <c r="AE60" s="137">
        <f t="shared" si="127"/>
        <v>0</v>
      </c>
      <c r="AF60" s="137">
        <f t="shared" si="128"/>
        <v>0</v>
      </c>
      <c r="AG60" s="137">
        <f t="shared" si="129"/>
        <v>0</v>
      </c>
      <c r="AH60" s="137">
        <f t="shared" si="130"/>
        <v>0</v>
      </c>
      <c r="AI60" s="137">
        <f t="shared" si="131"/>
        <v>0</v>
      </c>
      <c r="AJ60" s="137">
        <f t="shared" si="132"/>
        <v>0</v>
      </c>
      <c r="AK60" s="139">
        <f t="shared" si="133"/>
        <v>0</v>
      </c>
      <c r="AL60" s="137">
        <f t="shared" si="134"/>
        <v>0</v>
      </c>
      <c r="AM60" s="137">
        <f t="shared" si="135"/>
        <v>0</v>
      </c>
      <c r="AN60" s="137">
        <f t="shared" si="136"/>
        <v>0</v>
      </c>
      <c r="AO60" s="137">
        <f t="shared" si="137"/>
        <v>0</v>
      </c>
      <c r="AP60" s="137">
        <f t="shared" si="137"/>
        <v>0</v>
      </c>
      <c r="AQ60" s="137">
        <f t="shared" si="138"/>
        <v>0</v>
      </c>
      <c r="AR60" s="137">
        <f t="shared" si="139"/>
        <v>0</v>
      </c>
      <c r="AS60" s="138">
        <f t="shared" si="140"/>
        <v>0</v>
      </c>
      <c r="AT60" s="137"/>
      <c r="AU60" s="141"/>
      <c r="AV60" s="141"/>
      <c r="AW60" s="141"/>
      <c r="AX60" s="141"/>
      <c r="AY60" s="141"/>
      <c r="AZ60" s="141"/>
      <c r="BA60" s="141"/>
      <c r="BB60" s="141"/>
      <c r="BC60" s="141"/>
      <c r="BD60" s="141"/>
      <c r="BE60" s="141"/>
      <c r="BF60" s="139"/>
      <c r="BG60" s="141"/>
      <c r="BH60" s="141"/>
      <c r="BI60" s="141"/>
      <c r="BJ60" s="141"/>
      <c r="BK60" s="141"/>
      <c r="BL60" s="141"/>
      <c r="BM60" s="141"/>
      <c r="BN60" s="141"/>
      <c r="BO60" s="141"/>
      <c r="BP60" s="141"/>
      <c r="BQ60" s="141"/>
      <c r="BR60" s="139"/>
      <c r="BS60" s="141"/>
      <c r="BT60" s="141"/>
      <c r="BU60" s="141"/>
      <c r="BV60" s="141"/>
      <c r="BW60" s="141"/>
      <c r="BX60" s="141"/>
      <c r="BY60" s="141"/>
      <c r="BZ60" s="141"/>
      <c r="CA60" s="141"/>
      <c r="CB60" s="139"/>
      <c r="CC60" s="141"/>
      <c r="CD60" s="141"/>
      <c r="CE60" s="141"/>
      <c r="CF60" s="141"/>
      <c r="CG60" s="141"/>
      <c r="CH60" s="141"/>
      <c r="CI60" s="141"/>
      <c r="CJ60" s="141"/>
      <c r="CK60" s="138"/>
      <c r="CL60" s="140"/>
    </row>
    <row r="61" spans="1:90">
      <c r="A61" s="80">
        <f>ROWS($A$3:A59)</f>
        <v>57</v>
      </c>
      <c r="B61" s="92"/>
      <c r="C61" s="203"/>
      <c r="D61" s="254" t="s">
        <v>1</v>
      </c>
      <c r="E61" s="269"/>
      <c r="F61" s="116"/>
      <c r="G61" s="137"/>
      <c r="H61" s="137"/>
      <c r="I61" s="138"/>
      <c r="J61" s="141"/>
      <c r="K61" s="116">
        <f t="shared" si="109"/>
        <v>0</v>
      </c>
      <c r="L61" s="137">
        <f t="shared" si="110"/>
        <v>0</v>
      </c>
      <c r="M61" s="137">
        <f t="shared" si="111"/>
        <v>0</v>
      </c>
      <c r="N61" s="137">
        <f t="shared" si="112"/>
        <v>0</v>
      </c>
      <c r="O61" s="137">
        <f t="shared" si="113"/>
        <v>0</v>
      </c>
      <c r="P61" s="137">
        <f t="shared" si="114"/>
        <v>0</v>
      </c>
      <c r="Q61" s="137">
        <f>'2001'!AU61</f>
        <v>0</v>
      </c>
      <c r="R61" s="137">
        <f t="shared" si="115"/>
        <v>0</v>
      </c>
      <c r="S61" s="137">
        <f t="shared" si="116"/>
        <v>0</v>
      </c>
      <c r="T61" s="137">
        <f t="shared" si="117"/>
        <v>0</v>
      </c>
      <c r="U61" s="139">
        <f t="shared" si="117"/>
        <v>0</v>
      </c>
      <c r="V61" s="137">
        <f t="shared" si="118"/>
        <v>0</v>
      </c>
      <c r="W61" s="137">
        <f t="shared" si="119"/>
        <v>0</v>
      </c>
      <c r="X61" s="137">
        <f t="shared" si="120"/>
        <v>0</v>
      </c>
      <c r="Y61" s="137">
        <f t="shared" si="121"/>
        <v>0</v>
      </c>
      <c r="Z61" s="137">
        <f t="shared" si="122"/>
        <v>0</v>
      </c>
      <c r="AA61" s="137">
        <f t="shared" si="123"/>
        <v>0</v>
      </c>
      <c r="AB61" s="139">
        <f t="shared" si="124"/>
        <v>0</v>
      </c>
      <c r="AC61" s="137">
        <f t="shared" si="125"/>
        <v>0</v>
      </c>
      <c r="AD61" s="137">
        <f t="shared" si="126"/>
        <v>0</v>
      </c>
      <c r="AE61" s="137">
        <f t="shared" si="127"/>
        <v>0</v>
      </c>
      <c r="AF61" s="137">
        <f t="shared" si="128"/>
        <v>0</v>
      </c>
      <c r="AG61" s="137">
        <f t="shared" si="129"/>
        <v>0</v>
      </c>
      <c r="AH61" s="137">
        <f t="shared" si="130"/>
        <v>0</v>
      </c>
      <c r="AI61" s="137">
        <f t="shared" si="131"/>
        <v>0</v>
      </c>
      <c r="AJ61" s="137">
        <f t="shared" si="132"/>
        <v>0</v>
      </c>
      <c r="AK61" s="139">
        <f t="shared" si="133"/>
        <v>0</v>
      </c>
      <c r="AL61" s="137">
        <f t="shared" si="134"/>
        <v>0</v>
      </c>
      <c r="AM61" s="137">
        <f t="shared" si="135"/>
        <v>0</v>
      </c>
      <c r="AN61" s="137">
        <f t="shared" si="136"/>
        <v>0</v>
      </c>
      <c r="AO61" s="137">
        <f t="shared" si="137"/>
        <v>0</v>
      </c>
      <c r="AP61" s="137">
        <f t="shared" si="137"/>
        <v>0</v>
      </c>
      <c r="AQ61" s="137">
        <f t="shared" si="138"/>
        <v>0</v>
      </c>
      <c r="AR61" s="137">
        <f t="shared" si="139"/>
        <v>0</v>
      </c>
      <c r="AS61" s="138">
        <f t="shared" si="140"/>
        <v>0</v>
      </c>
      <c r="AT61" s="137"/>
      <c r="AU61" s="137"/>
      <c r="AV61" s="137"/>
      <c r="AW61" s="137"/>
      <c r="AX61" s="137"/>
      <c r="AY61" s="137"/>
      <c r="AZ61" s="137"/>
      <c r="BA61" s="137"/>
      <c r="BB61" s="137"/>
      <c r="BC61" s="137"/>
      <c r="BD61" s="137"/>
      <c r="BE61" s="137"/>
      <c r="BF61" s="139"/>
      <c r="BG61" s="137"/>
      <c r="BH61" s="137"/>
      <c r="BI61" s="137"/>
      <c r="BJ61" s="137"/>
      <c r="BK61" s="137"/>
      <c r="BL61" s="137"/>
      <c r="BM61" s="137"/>
      <c r="BN61" s="137"/>
      <c r="BO61" s="137"/>
      <c r="BP61" s="137"/>
      <c r="BQ61" s="137"/>
      <c r="BR61" s="139"/>
      <c r="BS61" s="137"/>
      <c r="BT61" s="137"/>
      <c r="BU61" s="137"/>
      <c r="BV61" s="137"/>
      <c r="BW61" s="137"/>
      <c r="BX61" s="137"/>
      <c r="BY61" s="137"/>
      <c r="BZ61" s="137"/>
      <c r="CA61" s="137"/>
      <c r="CB61" s="139"/>
      <c r="CC61" s="137"/>
      <c r="CD61" s="137"/>
      <c r="CE61" s="137"/>
      <c r="CF61" s="137"/>
      <c r="CG61" s="137"/>
      <c r="CH61" s="137"/>
      <c r="CI61" s="137"/>
      <c r="CJ61" s="137"/>
      <c r="CK61" s="138"/>
      <c r="CL61" s="140"/>
    </row>
    <row r="62" spans="1:90">
      <c r="A62" s="80">
        <f>ROWS($A$3:A60)</f>
        <v>58</v>
      </c>
      <c r="B62" s="92" t="s">
        <v>56</v>
      </c>
      <c r="C62" s="202">
        <v>2002</v>
      </c>
      <c r="D62" s="254" t="s">
        <v>13</v>
      </c>
      <c r="E62" s="256">
        <v>40694</v>
      </c>
      <c r="F62" s="116">
        <v>864</v>
      </c>
      <c r="G62" s="137">
        <v>332</v>
      </c>
      <c r="H62" s="137">
        <v>1022</v>
      </c>
      <c r="I62" s="138">
        <v>345</v>
      </c>
      <c r="J62" s="141"/>
      <c r="K62" s="116">
        <f t="shared" si="109"/>
        <v>82</v>
      </c>
      <c r="L62" s="137">
        <f t="shared" si="110"/>
        <v>209</v>
      </c>
      <c r="M62" s="137">
        <f t="shared" si="111"/>
        <v>58</v>
      </c>
      <c r="N62" s="137">
        <f t="shared" si="112"/>
        <v>36</v>
      </c>
      <c r="O62" s="137">
        <f t="shared" si="113"/>
        <v>13</v>
      </c>
      <c r="P62" s="137">
        <f t="shared" si="114"/>
        <v>143</v>
      </c>
      <c r="Q62" s="137">
        <f>'2001'!AU62</f>
        <v>31</v>
      </c>
      <c r="R62" s="137">
        <f t="shared" si="115"/>
        <v>51</v>
      </c>
      <c r="S62" s="137">
        <f t="shared" si="116"/>
        <v>44</v>
      </c>
      <c r="T62" s="137">
        <f t="shared" si="117"/>
        <v>96</v>
      </c>
      <c r="U62" s="139">
        <f t="shared" si="117"/>
        <v>101</v>
      </c>
      <c r="V62" s="137">
        <f t="shared" si="118"/>
        <v>63</v>
      </c>
      <c r="W62" s="137">
        <f t="shared" si="119"/>
        <v>41</v>
      </c>
      <c r="X62" s="137">
        <f t="shared" si="120"/>
        <v>43</v>
      </c>
      <c r="Y62" s="137">
        <f t="shared" si="121"/>
        <v>57</v>
      </c>
      <c r="Z62" s="137">
        <f t="shared" si="122"/>
        <v>38</v>
      </c>
      <c r="AA62" s="137">
        <f t="shared" si="123"/>
        <v>36</v>
      </c>
      <c r="AB62" s="139">
        <f t="shared" si="124"/>
        <v>54</v>
      </c>
      <c r="AC62" s="137">
        <f t="shared" si="125"/>
        <v>126</v>
      </c>
      <c r="AD62" s="137">
        <f t="shared" si="126"/>
        <v>84</v>
      </c>
      <c r="AE62" s="137">
        <f t="shared" si="127"/>
        <v>125</v>
      </c>
      <c r="AF62" s="137">
        <f t="shared" si="128"/>
        <v>114</v>
      </c>
      <c r="AG62" s="137">
        <f t="shared" si="129"/>
        <v>158</v>
      </c>
      <c r="AH62" s="137">
        <f t="shared" si="130"/>
        <v>108</v>
      </c>
      <c r="AI62" s="137">
        <f t="shared" si="131"/>
        <v>44</v>
      </c>
      <c r="AJ62" s="137">
        <f t="shared" si="132"/>
        <v>68</v>
      </c>
      <c r="AK62" s="139">
        <f t="shared" si="133"/>
        <v>195</v>
      </c>
      <c r="AL62" s="137">
        <f t="shared" si="134"/>
        <v>32</v>
      </c>
      <c r="AM62" s="137">
        <f t="shared" si="135"/>
        <v>54</v>
      </c>
      <c r="AN62" s="137">
        <f t="shared" si="136"/>
        <v>76</v>
      </c>
      <c r="AO62" s="137">
        <f t="shared" si="137"/>
        <v>36</v>
      </c>
      <c r="AP62" s="137">
        <f t="shared" si="137"/>
        <v>12</v>
      </c>
      <c r="AQ62" s="137">
        <f t="shared" si="138"/>
        <v>63</v>
      </c>
      <c r="AR62" s="137">
        <f t="shared" si="139"/>
        <v>33</v>
      </c>
      <c r="AS62" s="138">
        <f t="shared" si="140"/>
        <v>39</v>
      </c>
      <c r="AT62" s="141">
        <v>3</v>
      </c>
      <c r="AU62" s="141">
        <v>31</v>
      </c>
      <c r="AV62" s="141">
        <v>44</v>
      </c>
      <c r="AW62" s="141">
        <v>36</v>
      </c>
      <c r="AX62" s="141">
        <v>48</v>
      </c>
      <c r="AY62" s="137">
        <v>209</v>
      </c>
      <c r="AZ62" s="137">
        <v>10</v>
      </c>
      <c r="BA62" s="137">
        <v>133</v>
      </c>
      <c r="BB62" s="137">
        <v>96</v>
      </c>
      <c r="BC62" s="137">
        <v>101</v>
      </c>
      <c r="BD62" s="137">
        <v>58</v>
      </c>
      <c r="BE62" s="137">
        <v>13</v>
      </c>
      <c r="BF62" s="139">
        <v>82</v>
      </c>
      <c r="BG62" s="137">
        <v>6</v>
      </c>
      <c r="BH62" s="137">
        <v>3</v>
      </c>
      <c r="BI62" s="137">
        <v>40</v>
      </c>
      <c r="BJ62" s="137">
        <v>57</v>
      </c>
      <c r="BK62" s="137">
        <v>6</v>
      </c>
      <c r="BL62" s="137">
        <v>3</v>
      </c>
      <c r="BM62" s="137">
        <v>38</v>
      </c>
      <c r="BN62" s="137">
        <v>48</v>
      </c>
      <c r="BO62" s="137">
        <v>1</v>
      </c>
      <c r="BP62" s="137">
        <v>54</v>
      </c>
      <c r="BQ62" s="137">
        <v>35</v>
      </c>
      <c r="BR62" s="139">
        <v>41</v>
      </c>
      <c r="BS62" s="137">
        <v>8</v>
      </c>
      <c r="BT62" s="137">
        <v>117</v>
      </c>
      <c r="BU62" s="137">
        <v>84</v>
      </c>
      <c r="BV62" s="137">
        <v>158</v>
      </c>
      <c r="BW62" s="137">
        <v>44</v>
      </c>
      <c r="BX62" s="137">
        <v>126</v>
      </c>
      <c r="BY62" s="137">
        <v>68</v>
      </c>
      <c r="BZ62" s="137">
        <v>108</v>
      </c>
      <c r="CA62" s="137">
        <v>114</v>
      </c>
      <c r="CB62" s="139">
        <v>195</v>
      </c>
      <c r="CC62" s="137">
        <v>36</v>
      </c>
      <c r="CD62" s="137">
        <v>12</v>
      </c>
      <c r="CE62" s="137">
        <v>32</v>
      </c>
      <c r="CF62" s="137">
        <v>2</v>
      </c>
      <c r="CG62" s="137">
        <v>37</v>
      </c>
      <c r="CH62" s="137">
        <v>54</v>
      </c>
      <c r="CI62" s="137">
        <v>33</v>
      </c>
      <c r="CJ62" s="137">
        <v>76</v>
      </c>
      <c r="CK62" s="138">
        <v>63</v>
      </c>
      <c r="CL62" s="140">
        <v>2563</v>
      </c>
    </row>
    <row r="63" spans="1:90">
      <c r="A63" s="80">
        <f>ROWS($A$3:A61)</f>
        <v>59</v>
      </c>
      <c r="B63" s="92"/>
      <c r="C63" s="203"/>
      <c r="D63" s="254" t="s">
        <v>1</v>
      </c>
      <c r="E63" s="269"/>
      <c r="F63" s="116">
        <v>257350</v>
      </c>
      <c r="G63" s="137">
        <v>180750</v>
      </c>
      <c r="H63" s="137">
        <v>142320</v>
      </c>
      <c r="I63" s="138">
        <v>241572</v>
      </c>
      <c r="J63" s="141"/>
      <c r="K63" s="116">
        <f t="shared" si="109"/>
        <v>40470</v>
      </c>
      <c r="L63" s="137">
        <f t="shared" si="110"/>
        <v>6740</v>
      </c>
      <c r="M63" s="137">
        <f t="shared" si="111"/>
        <v>45490</v>
      </c>
      <c r="N63" s="137">
        <f t="shared" si="112"/>
        <v>16000</v>
      </c>
      <c r="O63" s="137">
        <f t="shared" si="113"/>
        <v>57990</v>
      </c>
      <c r="P63" s="137">
        <f t="shared" si="114"/>
        <v>21390</v>
      </c>
      <c r="Q63" s="137">
        <f>'2001'!AU63</f>
        <v>24760</v>
      </c>
      <c r="R63" s="137">
        <f t="shared" si="115"/>
        <v>16190</v>
      </c>
      <c r="S63" s="137">
        <f t="shared" si="116"/>
        <v>9990</v>
      </c>
      <c r="T63" s="137">
        <f t="shared" si="117"/>
        <v>12510</v>
      </c>
      <c r="U63" s="139">
        <f t="shared" si="117"/>
        <v>5820</v>
      </c>
      <c r="V63" s="137">
        <f t="shared" si="118"/>
        <v>13660</v>
      </c>
      <c r="W63" s="137">
        <f t="shared" si="119"/>
        <v>14470</v>
      </c>
      <c r="X63" s="137">
        <f t="shared" si="120"/>
        <v>35770</v>
      </c>
      <c r="Y63" s="137">
        <f t="shared" si="121"/>
        <v>40760</v>
      </c>
      <c r="Z63" s="137">
        <f t="shared" si="122"/>
        <v>29930</v>
      </c>
      <c r="AA63" s="137">
        <f t="shared" si="123"/>
        <v>25600</v>
      </c>
      <c r="AB63" s="139">
        <f t="shared" si="124"/>
        <v>20560</v>
      </c>
      <c r="AC63" s="137">
        <f t="shared" si="125"/>
        <v>16580</v>
      </c>
      <c r="AD63" s="137">
        <f t="shared" si="126"/>
        <v>8020</v>
      </c>
      <c r="AE63" s="137">
        <f t="shared" si="127"/>
        <v>20390</v>
      </c>
      <c r="AF63" s="137">
        <f t="shared" si="128"/>
        <v>8220</v>
      </c>
      <c r="AG63" s="137">
        <f t="shared" si="129"/>
        <v>17160</v>
      </c>
      <c r="AH63" s="137">
        <f t="shared" si="130"/>
        <v>20870</v>
      </c>
      <c r="AI63" s="137">
        <f t="shared" si="131"/>
        <v>17620</v>
      </c>
      <c r="AJ63" s="137">
        <f t="shared" si="132"/>
        <v>13560</v>
      </c>
      <c r="AK63" s="139">
        <f t="shared" si="133"/>
        <v>19900</v>
      </c>
      <c r="AL63" s="137">
        <f t="shared" si="134"/>
        <v>27090</v>
      </c>
      <c r="AM63" s="137">
        <f t="shared" si="135"/>
        <v>22910</v>
      </c>
      <c r="AN63" s="137">
        <f t="shared" si="136"/>
        <v>11690</v>
      </c>
      <c r="AO63" s="137">
        <f t="shared" si="137"/>
        <v>51400</v>
      </c>
      <c r="AP63" s="137">
        <f t="shared" si="137"/>
        <v>7270</v>
      </c>
      <c r="AQ63" s="137">
        <f t="shared" si="138"/>
        <v>41550</v>
      </c>
      <c r="AR63" s="137">
        <f t="shared" si="139"/>
        <v>7730</v>
      </c>
      <c r="AS63" s="138">
        <f t="shared" si="140"/>
        <v>71932</v>
      </c>
      <c r="AT63" s="137">
        <v>1260</v>
      </c>
      <c r="AU63" s="137">
        <v>24760</v>
      </c>
      <c r="AV63" s="137">
        <v>9990</v>
      </c>
      <c r="AW63" s="137">
        <v>16000</v>
      </c>
      <c r="AX63" s="137">
        <v>14930</v>
      </c>
      <c r="AY63" s="137">
        <v>6740</v>
      </c>
      <c r="AZ63" s="137">
        <v>1190</v>
      </c>
      <c r="BA63" s="137">
        <v>20200</v>
      </c>
      <c r="BB63" s="137">
        <v>12510</v>
      </c>
      <c r="BC63" s="137">
        <v>5820</v>
      </c>
      <c r="BD63" s="137">
        <v>45490</v>
      </c>
      <c r="BE63" s="137">
        <v>57990</v>
      </c>
      <c r="BF63" s="139">
        <v>40470</v>
      </c>
      <c r="BG63" s="137">
        <v>1430</v>
      </c>
      <c r="BH63" s="137">
        <v>5710</v>
      </c>
      <c r="BI63" s="137">
        <v>30060</v>
      </c>
      <c r="BJ63" s="137">
        <v>12230</v>
      </c>
      <c r="BK63" s="137">
        <v>4130</v>
      </c>
      <c r="BL63" s="137">
        <v>3360</v>
      </c>
      <c r="BM63" s="137">
        <v>29930</v>
      </c>
      <c r="BN63" s="137">
        <v>33270</v>
      </c>
      <c r="BO63" s="137">
        <v>2880</v>
      </c>
      <c r="BP63" s="137">
        <v>20560</v>
      </c>
      <c r="BQ63" s="137">
        <v>22720</v>
      </c>
      <c r="BR63" s="139">
        <v>14470</v>
      </c>
      <c r="BS63" s="137">
        <v>1710</v>
      </c>
      <c r="BT63" s="137">
        <v>18680</v>
      </c>
      <c r="BU63" s="137">
        <v>8020</v>
      </c>
      <c r="BV63" s="137">
        <v>17160</v>
      </c>
      <c r="BW63" s="137">
        <v>17620</v>
      </c>
      <c r="BX63" s="137">
        <v>16580</v>
      </c>
      <c r="BY63" s="137">
        <v>13560</v>
      </c>
      <c r="BZ63" s="137">
        <v>20870</v>
      </c>
      <c r="CA63" s="137">
        <v>8220</v>
      </c>
      <c r="CB63" s="139">
        <v>19900</v>
      </c>
      <c r="CC63" s="137">
        <v>51400</v>
      </c>
      <c r="CD63" s="137">
        <v>7270</v>
      </c>
      <c r="CE63" s="137">
        <v>27090</v>
      </c>
      <c r="CF63" s="137">
        <v>630</v>
      </c>
      <c r="CG63" s="137">
        <v>71302</v>
      </c>
      <c r="CH63" s="137">
        <v>22910</v>
      </c>
      <c r="CI63" s="137">
        <v>7730</v>
      </c>
      <c r="CJ63" s="137">
        <v>11690</v>
      </c>
      <c r="CK63" s="138">
        <v>41550</v>
      </c>
      <c r="CL63" s="140">
        <v>821992</v>
      </c>
    </row>
    <row r="64" spans="1:90">
      <c r="A64" s="80">
        <f>ROWS($A$3:A62)</f>
        <v>60</v>
      </c>
      <c r="B64" s="59" t="s">
        <v>80</v>
      </c>
      <c r="C64" s="203"/>
      <c r="D64" s="254"/>
      <c r="E64" s="269"/>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f>1168+10492</f>
        <v>11660</v>
      </c>
      <c r="AW65" s="493">
        <f>4624+16926</f>
        <v>21550</v>
      </c>
      <c r="AX65" s="493">
        <v>184</v>
      </c>
      <c r="AY65" s="493">
        <v>17583</v>
      </c>
      <c r="AZ65" s="493">
        <v>0</v>
      </c>
      <c r="BA65" s="493">
        <v>4301</v>
      </c>
      <c r="BB65" s="493">
        <v>20868</v>
      </c>
      <c r="BC65" s="493">
        <v>72802</v>
      </c>
      <c r="BD65" s="493">
        <v>44936</v>
      </c>
      <c r="BE65" s="493">
        <v>13465</v>
      </c>
      <c r="BF65" s="510">
        <f>325+64388</f>
        <v>64713</v>
      </c>
      <c r="BG65" s="493">
        <v>0</v>
      </c>
      <c r="BH65" s="493">
        <v>0</v>
      </c>
      <c r="BI65" s="493">
        <v>1416</v>
      </c>
      <c r="BJ65" s="493">
        <v>1994</v>
      </c>
      <c r="BK65" s="493">
        <v>0</v>
      </c>
      <c r="BL65" s="493">
        <v>0</v>
      </c>
      <c r="BM65" s="493">
        <v>29776</v>
      </c>
      <c r="BN65" s="493">
        <v>2994</v>
      </c>
      <c r="BO65" s="493">
        <v>0</v>
      </c>
      <c r="BP65" s="493">
        <v>11776</v>
      </c>
      <c r="BQ65" s="493">
        <v>7224</v>
      </c>
      <c r="BR65" s="510">
        <f>1582+14783</f>
        <v>16365</v>
      </c>
      <c r="BS65" s="493">
        <v>0</v>
      </c>
      <c r="BT65" s="493">
        <f>20148+5700</f>
        <v>25848</v>
      </c>
      <c r="BU65" s="493">
        <f>1668+8614</f>
        <v>10282</v>
      </c>
      <c r="BV65" s="493">
        <f>2692+21113</f>
        <v>23805</v>
      </c>
      <c r="BW65" s="493">
        <f>2362+28923</f>
        <v>31285</v>
      </c>
      <c r="BX65" s="493">
        <f>13560+24494</f>
        <v>38054</v>
      </c>
      <c r="BY65" s="493">
        <f>8825+15815</f>
        <v>24640</v>
      </c>
      <c r="BZ65" s="493">
        <v>19530</v>
      </c>
      <c r="CA65" s="493">
        <f>9601+4568</f>
        <v>14169</v>
      </c>
      <c r="CB65" s="510">
        <f>13376+26805</f>
        <v>40181</v>
      </c>
      <c r="CC65" s="493">
        <f>1824+39164</f>
        <v>40988</v>
      </c>
      <c r="CD65" s="493">
        <v>10760</v>
      </c>
      <c r="CE65" s="493">
        <f>13639+20171</f>
        <v>33810</v>
      </c>
      <c r="CF65" s="493">
        <v>0</v>
      </c>
      <c r="CG65" s="493">
        <f>1526+32713</f>
        <v>34239</v>
      </c>
      <c r="CH65" s="493">
        <v>10710</v>
      </c>
      <c r="CI65" s="493">
        <f>415+7783</f>
        <v>8198</v>
      </c>
      <c r="CJ65" s="493">
        <f>1289+50919</f>
        <v>52208</v>
      </c>
      <c r="CK65" s="509">
        <f>2073+38498</f>
        <v>40571</v>
      </c>
      <c r="CL65" s="511">
        <f>101444+714003</f>
        <v>815447</v>
      </c>
    </row>
    <row r="66" spans="1:90">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c r="A67" s="80">
        <f>ROWS($A$3:A65)</f>
        <v>63</v>
      </c>
      <c r="B67" s="92" t="s">
        <v>363</v>
      </c>
      <c r="C67" s="201">
        <v>2001</v>
      </c>
      <c r="D67" s="260" t="s">
        <v>3</v>
      </c>
      <c r="E67" s="483">
        <v>42909</v>
      </c>
      <c r="F67" s="526">
        <f>IF(F65/F35%&gt;100,100,F65/F35%)</f>
        <v>59.135128153851284</v>
      </c>
      <c r="G67" s="523">
        <f t="shared" ref="G67:BR67" si="141">IF(G65/G35%&gt;100,100,G65/G35%)</f>
        <v>34.733786125904814</v>
      </c>
      <c r="H67" s="523">
        <f t="shared" si="141"/>
        <v>67.013214718584152</v>
      </c>
      <c r="I67" s="525">
        <f t="shared" si="141"/>
        <v>52.689873057566814</v>
      </c>
      <c r="J67" s="173"/>
      <c r="K67" s="170">
        <f t="shared" si="141"/>
        <v>95.650053210358294</v>
      </c>
      <c r="L67" s="171">
        <f t="shared" si="141"/>
        <v>64.607753077347056</v>
      </c>
      <c r="M67" s="171">
        <f t="shared" si="141"/>
        <v>64.897965078493954</v>
      </c>
      <c r="N67" s="171">
        <f t="shared" si="141"/>
        <v>74.274488178120905</v>
      </c>
      <c r="O67" s="171">
        <f t="shared" si="141"/>
        <v>50.089279071497657</v>
      </c>
      <c r="P67" s="171">
        <f t="shared" si="141"/>
        <v>12.183857073000901</v>
      </c>
      <c r="Q67" s="171">
        <f t="shared" si="141"/>
        <v>58.239862274432184</v>
      </c>
      <c r="R67" s="171">
        <f t="shared" si="141"/>
        <v>0.51145207916388702</v>
      </c>
      <c r="S67" s="171">
        <f t="shared" si="141"/>
        <v>56.418444863792523</v>
      </c>
      <c r="T67" s="171">
        <f t="shared" si="141"/>
        <v>49.272761616924825</v>
      </c>
      <c r="U67" s="172">
        <f t="shared" si="141"/>
        <v>92.684727809746903</v>
      </c>
      <c r="V67" s="171">
        <f t="shared" si="141"/>
        <v>12.134858812074002</v>
      </c>
      <c r="W67" s="171">
        <f t="shared" si="141"/>
        <v>80.778913075670076</v>
      </c>
      <c r="X67" s="171">
        <f t="shared" si="141"/>
        <v>3.5000988728495157</v>
      </c>
      <c r="Y67" s="171">
        <f t="shared" si="141"/>
        <v>6.85690729204837</v>
      </c>
      <c r="Z67" s="171">
        <f t="shared" si="141"/>
        <v>62.989993865160457</v>
      </c>
      <c r="AA67" s="171">
        <f t="shared" si="141"/>
        <v>35.35803435955166</v>
      </c>
      <c r="AB67" s="172">
        <f t="shared" si="141"/>
        <v>67.414701167849785</v>
      </c>
      <c r="AC67" s="171">
        <f t="shared" si="141"/>
        <v>93.809934672747445</v>
      </c>
      <c r="AD67" s="171">
        <f t="shared" si="141"/>
        <v>42.975966562173461</v>
      </c>
      <c r="AE67" s="171">
        <f t="shared" si="141"/>
        <v>46.360799225167703</v>
      </c>
      <c r="AF67" s="171">
        <f t="shared" si="141"/>
        <v>56.707756343552383</v>
      </c>
      <c r="AG67" s="171">
        <f t="shared" si="141"/>
        <v>38.967735598880324</v>
      </c>
      <c r="AH67" s="171">
        <f t="shared" si="141"/>
        <v>54.824130477500489</v>
      </c>
      <c r="AI67" s="171">
        <f t="shared" si="141"/>
        <v>98.250738018968647</v>
      </c>
      <c r="AJ67" s="171">
        <f t="shared" si="141"/>
        <v>97.372060857538031</v>
      </c>
      <c r="AK67" s="172">
        <f t="shared" si="141"/>
        <v>98.400842435225556</v>
      </c>
      <c r="AL67" s="171">
        <f t="shared" si="141"/>
        <v>97.824199988426599</v>
      </c>
      <c r="AM67" s="171">
        <f t="shared" si="141"/>
        <v>13.665071770334928</v>
      </c>
      <c r="AN67" s="171">
        <f t="shared" si="141"/>
        <v>57.61073470018318</v>
      </c>
      <c r="AO67" s="171">
        <f t="shared" si="141"/>
        <v>94.379331782910029</v>
      </c>
      <c r="AP67" s="171">
        <f t="shared" si="141"/>
        <v>53.77580088959968</v>
      </c>
      <c r="AQ67" s="171">
        <f t="shared" si="141"/>
        <v>72.342284511964621</v>
      </c>
      <c r="AR67" s="171">
        <f t="shared" si="141"/>
        <v>23.399457685171971</v>
      </c>
      <c r="AS67" s="174">
        <f t="shared" si="141"/>
        <v>42.156911029574729</v>
      </c>
      <c r="AT67" s="523">
        <f t="shared" si="141"/>
        <v>0</v>
      </c>
      <c r="AU67" s="523">
        <f t="shared" si="141"/>
        <v>51.966045038705133</v>
      </c>
      <c r="AV67" s="523">
        <f t="shared" si="141"/>
        <v>56.418444863792523</v>
      </c>
      <c r="AW67" s="523">
        <f t="shared" si="141"/>
        <v>74.274488178120905</v>
      </c>
      <c r="AX67" s="523">
        <f t="shared" si="141"/>
        <v>0.54953259863214166</v>
      </c>
      <c r="AY67" s="523">
        <f t="shared" si="141"/>
        <v>64.607753077347056</v>
      </c>
      <c r="AZ67" s="523">
        <f t="shared" si="141"/>
        <v>0</v>
      </c>
      <c r="BA67" s="523">
        <f t="shared" si="141"/>
        <v>7.7903964933253631</v>
      </c>
      <c r="BB67" s="523">
        <f t="shared" si="141"/>
        <v>49.272761616924825</v>
      </c>
      <c r="BC67" s="523">
        <f t="shared" si="141"/>
        <v>92.684727809746903</v>
      </c>
      <c r="BD67" s="523">
        <f t="shared" si="141"/>
        <v>64.897965078493954</v>
      </c>
      <c r="BE67" s="523">
        <f t="shared" si="141"/>
        <v>50.089279071497657</v>
      </c>
      <c r="BF67" s="524">
        <f t="shared" si="141"/>
        <v>95.650053210358294</v>
      </c>
      <c r="BG67" s="523">
        <f t="shared" si="141"/>
        <v>0</v>
      </c>
      <c r="BH67" s="523">
        <f t="shared" si="141"/>
        <v>0</v>
      </c>
      <c r="BI67" s="523">
        <f t="shared" si="141"/>
        <v>3.7416763555649508</v>
      </c>
      <c r="BJ67" s="523">
        <f t="shared" si="141"/>
        <v>13.427609427609427</v>
      </c>
      <c r="BK67" s="523">
        <f t="shared" si="141"/>
        <v>0</v>
      </c>
      <c r="BL67" s="523">
        <f t="shared" si="141"/>
        <v>0</v>
      </c>
      <c r="BM67" s="523">
        <f t="shared" si="141"/>
        <v>62.989993865160457</v>
      </c>
      <c r="BN67" s="523">
        <f t="shared" si="141"/>
        <v>7.7426362202280901</v>
      </c>
      <c r="BO67" s="523">
        <f t="shared" si="141"/>
        <v>0</v>
      </c>
      <c r="BP67" s="523">
        <f t="shared" si="141"/>
        <v>67.414701167849785</v>
      </c>
      <c r="BQ67" s="523">
        <f t="shared" si="141"/>
        <v>37.642644989838985</v>
      </c>
      <c r="BR67" s="524">
        <f t="shared" si="141"/>
        <v>80.778913075670076</v>
      </c>
      <c r="BS67" s="523">
        <f t="shared" ref="BS67:CL67" si="142">IF(BS65/BS35%&gt;100,100,BS65/BS35%)</f>
        <v>0</v>
      </c>
      <c r="BT67" s="523">
        <f t="shared" si="142"/>
        <v>49.582781838061813</v>
      </c>
      <c r="BU67" s="523">
        <f t="shared" si="142"/>
        <v>42.975966562173461</v>
      </c>
      <c r="BV67" s="523">
        <f t="shared" si="142"/>
        <v>38.967735598880324</v>
      </c>
      <c r="BW67" s="523">
        <f t="shared" si="142"/>
        <v>98.250738018968647</v>
      </c>
      <c r="BX67" s="523">
        <f t="shared" si="142"/>
        <v>93.809934672747445</v>
      </c>
      <c r="BY67" s="523">
        <f t="shared" si="142"/>
        <v>97.372060857538031</v>
      </c>
      <c r="BZ67" s="523">
        <f t="shared" si="142"/>
        <v>54.824130477500489</v>
      </c>
      <c r="CA67" s="523">
        <f t="shared" si="142"/>
        <v>56.707756343552383</v>
      </c>
      <c r="CB67" s="524">
        <f t="shared" si="142"/>
        <v>98.400842435225556</v>
      </c>
      <c r="CC67" s="523">
        <f t="shared" si="142"/>
        <v>94.379331782910029</v>
      </c>
      <c r="CD67" s="523">
        <f t="shared" si="142"/>
        <v>53.77580088959968</v>
      </c>
      <c r="CE67" s="523">
        <f t="shared" si="142"/>
        <v>97.824199988426599</v>
      </c>
      <c r="CF67" s="523">
        <f t="shared" si="142"/>
        <v>0</v>
      </c>
      <c r="CG67" s="523">
        <f t="shared" si="142"/>
        <v>44.826006127098005</v>
      </c>
      <c r="CH67" s="523">
        <f t="shared" si="142"/>
        <v>13.665071770334928</v>
      </c>
      <c r="CI67" s="523">
        <f t="shared" si="142"/>
        <v>23.399457685171971</v>
      </c>
      <c r="CJ67" s="523">
        <f t="shared" si="142"/>
        <v>57.61073470018318</v>
      </c>
      <c r="CK67" s="525">
        <f t="shared" si="142"/>
        <v>72.342284511964621</v>
      </c>
      <c r="CL67" s="478">
        <f t="shared" si="142"/>
        <v>55.651046962845477</v>
      </c>
    </row>
    <row r="68" spans="1:90">
      <c r="A68" s="80">
        <f>ROWS($A$3:A66)</f>
        <v>64</v>
      </c>
      <c r="B68" s="59" t="s">
        <v>81</v>
      </c>
      <c r="C68" s="203"/>
      <c r="D68" s="254"/>
      <c r="E68" s="269"/>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c r="A69" s="80">
        <f>ROWS($A$3:A67)</f>
        <v>65</v>
      </c>
      <c r="B69" s="92" t="s">
        <v>82</v>
      </c>
      <c r="C69" s="202">
        <v>2001</v>
      </c>
      <c r="D69" s="254" t="s">
        <v>13</v>
      </c>
      <c r="E69" s="269"/>
      <c r="F69" s="116">
        <f>822-42</f>
        <v>780</v>
      </c>
      <c r="G69" s="137">
        <v>221</v>
      </c>
      <c r="H69" s="137">
        <f>1202-59</f>
        <v>1143</v>
      </c>
      <c r="I69" s="138">
        <v>1118</v>
      </c>
      <c r="J69" s="141"/>
      <c r="K69" s="116">
        <f>BF69</f>
        <v>81</v>
      </c>
      <c r="L69" s="137">
        <f>AY69</f>
        <v>118</v>
      </c>
      <c r="M69" s="137">
        <f>BD69</f>
        <v>147</v>
      </c>
      <c r="N69" s="137">
        <f>AW69</f>
        <v>57</v>
      </c>
      <c r="O69" s="137">
        <f>BE69</f>
        <v>35</v>
      </c>
      <c r="P69" s="137">
        <f>'2001'!AZ69+'2001'!BA69</f>
        <v>49</v>
      </c>
      <c r="Q69" s="137">
        <f>'2001'!AU69</f>
        <v>25</v>
      </c>
      <c r="R69" s="137">
        <f>AT69+AX69</f>
        <v>40</v>
      </c>
      <c r="S69" s="137">
        <f>AV69</f>
        <v>30</v>
      </c>
      <c r="T69" s="137">
        <f t="shared" ref="T69:U71" si="143">BB69</f>
        <v>76</v>
      </c>
      <c r="U69" s="139">
        <f t="shared" si="143"/>
        <v>122</v>
      </c>
      <c r="V69" s="137">
        <f>BG69+BJ69</f>
        <v>19</v>
      </c>
      <c r="W69" s="137">
        <f>BR69</f>
        <v>27</v>
      </c>
      <c r="X69" s="137">
        <f>BH69+BI69</f>
        <v>30</v>
      </c>
      <c r="Y69" s="137">
        <f>BK69+BL69+BN69</f>
        <v>44</v>
      </c>
      <c r="Z69" s="137">
        <f>BM69</f>
        <v>32</v>
      </c>
      <c r="AA69" s="137">
        <f>BO69+BQ69</f>
        <v>37</v>
      </c>
      <c r="AB69" s="139">
        <f>BP69</f>
        <v>32</v>
      </c>
      <c r="AC69" s="137">
        <f>BX69</f>
        <v>120</v>
      </c>
      <c r="AD69" s="137">
        <f>BU69</f>
        <v>65</v>
      </c>
      <c r="AE69" s="137">
        <f>BS69+BT69</f>
        <v>231</v>
      </c>
      <c r="AF69" s="137">
        <f>CA69</f>
        <v>106</v>
      </c>
      <c r="AG69" s="137">
        <f>BV69</f>
        <v>106</v>
      </c>
      <c r="AH69" s="137">
        <f>BZ69</f>
        <v>167</v>
      </c>
      <c r="AI69" s="137">
        <f>BW69</f>
        <v>45</v>
      </c>
      <c r="AJ69" s="137">
        <f>BY69</f>
        <v>55</v>
      </c>
      <c r="AK69" s="139">
        <f>CB69</f>
        <v>248</v>
      </c>
      <c r="AL69" s="137">
        <f>CE69</f>
        <v>54</v>
      </c>
      <c r="AM69" s="137">
        <f>CH69</f>
        <v>60</v>
      </c>
      <c r="AN69" s="137">
        <f>CJ69</f>
        <v>426</v>
      </c>
      <c r="AO69" s="137">
        <f t="shared" ref="AO69:AP71" si="144">CC69</f>
        <v>40</v>
      </c>
      <c r="AP69" s="137">
        <f t="shared" si="144"/>
        <v>34</v>
      </c>
      <c r="AQ69" s="137">
        <f>CK69</f>
        <v>146</v>
      </c>
      <c r="AR69" s="137">
        <f>CI69</f>
        <v>303</v>
      </c>
      <c r="AS69" s="138">
        <f>CG69</f>
        <v>55</v>
      </c>
      <c r="AT69" s="137">
        <v>6</v>
      </c>
      <c r="AU69" s="137">
        <v>25</v>
      </c>
      <c r="AV69" s="137">
        <v>30</v>
      </c>
      <c r="AW69" s="141">
        <v>57</v>
      </c>
      <c r="AX69" s="137">
        <v>34</v>
      </c>
      <c r="AY69" s="137">
        <v>118</v>
      </c>
      <c r="AZ69" s="137">
        <v>6</v>
      </c>
      <c r="BA69" s="137">
        <v>43</v>
      </c>
      <c r="BB69" s="137">
        <v>76</v>
      </c>
      <c r="BC69" s="137">
        <v>122</v>
      </c>
      <c r="BD69" s="137">
        <v>147</v>
      </c>
      <c r="BE69" s="137">
        <v>35</v>
      </c>
      <c r="BF69" s="139">
        <v>81</v>
      </c>
      <c r="BG69" s="137">
        <v>4</v>
      </c>
      <c r="BH69" s="137">
        <v>6</v>
      </c>
      <c r="BI69" s="137">
        <v>24</v>
      </c>
      <c r="BJ69" s="137">
        <v>15</v>
      </c>
      <c r="BK69" s="137">
        <v>3</v>
      </c>
      <c r="BL69" s="137">
        <v>1</v>
      </c>
      <c r="BM69" s="137">
        <v>32</v>
      </c>
      <c r="BN69" s="137">
        <v>40</v>
      </c>
      <c r="BO69" s="137">
        <v>2</v>
      </c>
      <c r="BP69" s="137">
        <v>32</v>
      </c>
      <c r="BQ69" s="137">
        <v>35</v>
      </c>
      <c r="BR69" s="139">
        <v>27</v>
      </c>
      <c r="BS69" s="137">
        <v>10</v>
      </c>
      <c r="BT69" s="137">
        <v>221</v>
      </c>
      <c r="BU69" s="137">
        <v>65</v>
      </c>
      <c r="BV69" s="137">
        <v>106</v>
      </c>
      <c r="BW69" s="137">
        <v>45</v>
      </c>
      <c r="BX69" s="137">
        <v>120</v>
      </c>
      <c r="BY69" s="137">
        <v>55</v>
      </c>
      <c r="BZ69" s="137">
        <v>167</v>
      </c>
      <c r="CA69" s="137">
        <v>106</v>
      </c>
      <c r="CB69" s="139">
        <v>248</v>
      </c>
      <c r="CC69" s="137">
        <v>40</v>
      </c>
      <c r="CD69" s="137">
        <v>34</v>
      </c>
      <c r="CE69" s="137">
        <v>54</v>
      </c>
      <c r="CF69" s="137" t="s">
        <v>233</v>
      </c>
      <c r="CG69" s="137">
        <v>55</v>
      </c>
      <c r="CH69" s="137">
        <v>60</v>
      </c>
      <c r="CI69" s="137">
        <v>303</v>
      </c>
      <c r="CJ69" s="137">
        <v>426</v>
      </c>
      <c r="CK69" s="138">
        <v>146</v>
      </c>
      <c r="CL69" s="140">
        <f>3413-151</f>
        <v>3262</v>
      </c>
    </row>
    <row r="70" spans="1:90">
      <c r="A70" s="80">
        <f>ROWS($A$3:A68)</f>
        <v>66</v>
      </c>
      <c r="B70" s="92" t="s">
        <v>70</v>
      </c>
      <c r="C70" s="203"/>
      <c r="D70" s="254" t="s">
        <v>1</v>
      </c>
      <c r="E70" s="269"/>
      <c r="F70" s="116">
        <f>24448-52</f>
        <v>24396</v>
      </c>
      <c r="G70" s="137">
        <v>8701</v>
      </c>
      <c r="H70" s="137">
        <f>31538-58</f>
        <v>31480</v>
      </c>
      <c r="I70" s="138">
        <f>33215-42</f>
        <v>33173</v>
      </c>
      <c r="J70" s="141"/>
      <c r="K70" s="116">
        <f>BF70</f>
        <v>2376</v>
      </c>
      <c r="L70" s="137">
        <f>AY70</f>
        <v>3316</v>
      </c>
      <c r="M70" s="137">
        <f>BD70</f>
        <v>4988</v>
      </c>
      <c r="N70" s="137">
        <f>AW70</f>
        <v>2013</v>
      </c>
      <c r="O70" s="137">
        <f>BE70</f>
        <v>1652</v>
      </c>
      <c r="P70" s="137">
        <f>'2001'!AZ70+'2001'!BA70</f>
        <v>1086</v>
      </c>
      <c r="Q70" s="137">
        <f>'2001'!AU70</f>
        <v>763</v>
      </c>
      <c r="R70" s="137">
        <f>AT70+AX70</f>
        <v>1068</v>
      </c>
      <c r="S70" s="137">
        <f>AV70</f>
        <v>1102</v>
      </c>
      <c r="T70" s="137">
        <f t="shared" si="143"/>
        <v>2367</v>
      </c>
      <c r="U70" s="139">
        <f t="shared" si="143"/>
        <v>3678</v>
      </c>
      <c r="V70" s="137">
        <f>BG70+BJ70</f>
        <v>537</v>
      </c>
      <c r="W70" s="137">
        <f>BR70</f>
        <v>1069</v>
      </c>
      <c r="X70" s="137">
        <f>BH70+BI70</f>
        <v>1122</v>
      </c>
      <c r="Y70" s="137">
        <f>BN70</f>
        <v>1486</v>
      </c>
      <c r="Z70" s="137">
        <f>BM70</f>
        <v>1618</v>
      </c>
      <c r="AA70" s="137">
        <f>BQ70</f>
        <v>1720</v>
      </c>
      <c r="AB70" s="139">
        <f>BP70</f>
        <v>836</v>
      </c>
      <c r="AC70" s="137">
        <f>BX70</f>
        <v>3339</v>
      </c>
      <c r="AD70" s="137">
        <f>BU70</f>
        <v>1039</v>
      </c>
      <c r="AE70" s="137">
        <f>BS70+BT70</f>
        <v>5078</v>
      </c>
      <c r="AF70" s="137">
        <f>CA70</f>
        <v>2290</v>
      </c>
      <c r="AG70" s="137">
        <f>BV70</f>
        <v>1966</v>
      </c>
      <c r="AH70" s="137">
        <f>BZ70</f>
        <v>6367</v>
      </c>
      <c r="AI70" s="137">
        <f>BW70</f>
        <v>1593</v>
      </c>
      <c r="AJ70" s="137">
        <f>BY70</f>
        <v>3229</v>
      </c>
      <c r="AK70" s="139">
        <f>CB70</f>
        <v>6582</v>
      </c>
      <c r="AL70" s="137">
        <f>CE70</f>
        <v>2622</v>
      </c>
      <c r="AM70" s="137">
        <f>CH70</f>
        <v>1896</v>
      </c>
      <c r="AN70" s="137">
        <f>CJ70</f>
        <v>12098</v>
      </c>
      <c r="AO70" s="137">
        <f t="shared" si="144"/>
        <v>1310</v>
      </c>
      <c r="AP70" s="137">
        <f t="shared" si="144"/>
        <v>2356</v>
      </c>
      <c r="AQ70" s="137">
        <f>CK70</f>
        <v>4787</v>
      </c>
      <c r="AR70" s="137">
        <f>CI70</f>
        <v>6302</v>
      </c>
      <c r="AS70" s="138">
        <f>CG70</f>
        <v>1804</v>
      </c>
      <c r="AT70" s="137">
        <v>242</v>
      </c>
      <c r="AU70" s="141">
        <v>763</v>
      </c>
      <c r="AV70" s="141">
        <v>1102</v>
      </c>
      <c r="AW70" s="141">
        <v>2013</v>
      </c>
      <c r="AX70" s="141">
        <v>826</v>
      </c>
      <c r="AY70" s="137">
        <v>3316</v>
      </c>
      <c r="AZ70" s="137">
        <v>72</v>
      </c>
      <c r="BA70" s="137">
        <v>1014</v>
      </c>
      <c r="BB70" s="137">
        <v>2367</v>
      </c>
      <c r="BC70" s="137">
        <v>3678</v>
      </c>
      <c r="BD70" s="137">
        <v>4988</v>
      </c>
      <c r="BE70" s="137">
        <v>1652</v>
      </c>
      <c r="BF70" s="139">
        <v>2376</v>
      </c>
      <c r="BG70" s="137">
        <v>114</v>
      </c>
      <c r="BH70" s="137">
        <v>292</v>
      </c>
      <c r="BI70" s="137">
        <v>830</v>
      </c>
      <c r="BJ70" s="137">
        <v>423</v>
      </c>
      <c r="BK70" s="137">
        <v>33</v>
      </c>
      <c r="BL70" s="137" t="s">
        <v>233</v>
      </c>
      <c r="BM70" s="137">
        <v>1618</v>
      </c>
      <c r="BN70" s="137">
        <v>1486</v>
      </c>
      <c r="BO70" s="137" t="s">
        <v>233</v>
      </c>
      <c r="BP70" s="137">
        <v>836</v>
      </c>
      <c r="BQ70" s="137">
        <v>1720</v>
      </c>
      <c r="BR70" s="139">
        <v>1069</v>
      </c>
      <c r="BS70" s="137">
        <v>175</v>
      </c>
      <c r="BT70" s="137">
        <v>4903</v>
      </c>
      <c r="BU70" s="137">
        <v>1039</v>
      </c>
      <c r="BV70" s="137">
        <v>1966</v>
      </c>
      <c r="BW70" s="137">
        <v>1593</v>
      </c>
      <c r="BX70" s="137">
        <v>3339</v>
      </c>
      <c r="BY70" s="137">
        <v>3229</v>
      </c>
      <c r="BZ70" s="137">
        <v>6367</v>
      </c>
      <c r="CA70" s="137">
        <v>2290</v>
      </c>
      <c r="CB70" s="139">
        <v>6582</v>
      </c>
      <c r="CC70" s="137">
        <v>1310</v>
      </c>
      <c r="CD70" s="137">
        <v>2356</v>
      </c>
      <c r="CE70" s="137">
        <v>2622</v>
      </c>
      <c r="CF70" s="137" t="s">
        <v>233</v>
      </c>
      <c r="CG70" s="137">
        <v>1804</v>
      </c>
      <c r="CH70" s="137">
        <v>1896</v>
      </c>
      <c r="CI70" s="137">
        <v>6302</v>
      </c>
      <c r="CJ70" s="137">
        <v>12098</v>
      </c>
      <c r="CK70" s="138">
        <v>4787</v>
      </c>
      <c r="CL70" s="140">
        <f>97907-157</f>
        <v>97750</v>
      </c>
    </row>
    <row r="71" spans="1:90">
      <c r="A71" s="80">
        <f>ROWS($A$3:A69)</f>
        <v>67</v>
      </c>
      <c r="B71" s="54" t="s">
        <v>67</v>
      </c>
      <c r="C71" s="252"/>
      <c r="D71" s="254" t="s">
        <v>1</v>
      </c>
      <c r="E71" s="269"/>
      <c r="F71" s="167">
        <f>IF(OR(F69&lt;0.1,F70&lt;0.1),0,F70/F69)</f>
        <v>31.276923076923076</v>
      </c>
      <c r="G71" s="168">
        <f>IF(OR(G69&lt;0.1,G70&lt;0.1),0,G70/G69)</f>
        <v>39.371040723981899</v>
      </c>
      <c r="H71" s="168">
        <f>IF(OR(H69&lt;0.1,H70&lt;0.1),0,H70/H69)</f>
        <v>27.541557305336834</v>
      </c>
      <c r="I71" s="169">
        <f>IF(OR(I69&lt;0.1,I70&lt;0.1),0,I70/I69)</f>
        <v>29.671735241502684</v>
      </c>
      <c r="J71" s="173"/>
      <c r="K71" s="178">
        <f>BF71</f>
        <v>29.333333333333332</v>
      </c>
      <c r="L71" s="179">
        <f>AY71</f>
        <v>28.101694915254239</v>
      </c>
      <c r="M71" s="179">
        <f>BD71</f>
        <v>33.931972789115648</v>
      </c>
      <c r="N71" s="179">
        <f>AW71</f>
        <v>35.315789473684212</v>
      </c>
      <c r="O71" s="179">
        <f>BE71</f>
        <v>47.2</v>
      </c>
      <c r="P71" s="168">
        <f>IF(OR(P69&lt;0.1,P70&lt;0.1),0,P70/P69)</f>
        <v>22.163265306122447</v>
      </c>
      <c r="Q71" s="179">
        <f>'2001'!AU71</f>
        <v>30.52</v>
      </c>
      <c r="R71" s="168">
        <f>IF(OR(R69&lt;0.1,R70&lt;0.1),0,R70/R69)</f>
        <v>26.7</v>
      </c>
      <c r="S71" s="179">
        <f>AV71</f>
        <v>36.733333333333334</v>
      </c>
      <c r="T71" s="179">
        <f t="shared" si="143"/>
        <v>31.144736842105264</v>
      </c>
      <c r="U71" s="180">
        <f t="shared" si="143"/>
        <v>30.147540983606557</v>
      </c>
      <c r="V71" s="168">
        <f>IF(OR(V69&lt;0.1,V70&lt;0.1),0,V70/V69)</f>
        <v>28.263157894736842</v>
      </c>
      <c r="W71" s="179">
        <f>BR71</f>
        <v>39.592592592592595</v>
      </c>
      <c r="X71" s="168">
        <f>IF(OR(X69&lt;0.1,X70&lt;0.1),0,X70/X69)</f>
        <v>37.4</v>
      </c>
      <c r="Y71" s="168">
        <f>IF(OR(Y69&lt;0.1,Y70&lt;0.1),0,Y70/Y69)</f>
        <v>33.772727272727273</v>
      </c>
      <c r="Z71" s="179">
        <f>BM71</f>
        <v>50.5625</v>
      </c>
      <c r="AA71" s="168">
        <f>IF(OR(AA69&lt;0.1,AA70&lt;0.1),0,AA70/AA69)</f>
        <v>46.486486486486484</v>
      </c>
      <c r="AB71" s="180">
        <f>BP71</f>
        <v>26.125</v>
      </c>
      <c r="AC71" s="179">
        <f>BX71</f>
        <v>27.824999999999999</v>
      </c>
      <c r="AD71" s="179">
        <f>BU71</f>
        <v>15.984615384615385</v>
      </c>
      <c r="AE71" s="168">
        <f>IF(OR(AE69&lt;0.1,AE70&lt;0.1),0,AE70/AE69)</f>
        <v>21.982683982683984</v>
      </c>
      <c r="AF71" s="179">
        <f>CA71</f>
        <v>21.60377358490566</v>
      </c>
      <c r="AG71" s="179">
        <f>BV71</f>
        <v>18.547169811320753</v>
      </c>
      <c r="AH71" s="179">
        <f>BZ71</f>
        <v>38.125748502994014</v>
      </c>
      <c r="AI71" s="179">
        <f>BW71</f>
        <v>35.4</v>
      </c>
      <c r="AJ71" s="179">
        <f>BY71</f>
        <v>58.709090909090911</v>
      </c>
      <c r="AK71" s="180">
        <f>CB71</f>
        <v>26.54032258064516</v>
      </c>
      <c r="AL71" s="179">
        <f>CE71</f>
        <v>48.555555555555557</v>
      </c>
      <c r="AM71" s="179">
        <f>CH71</f>
        <v>31.6</v>
      </c>
      <c r="AN71" s="179">
        <f>CJ71</f>
        <v>28.399061032863848</v>
      </c>
      <c r="AO71" s="179">
        <f t="shared" si="144"/>
        <v>32.75</v>
      </c>
      <c r="AP71" s="179">
        <f t="shared" si="144"/>
        <v>69.294117647058826</v>
      </c>
      <c r="AQ71" s="179">
        <f>CK71</f>
        <v>32.787671232876711</v>
      </c>
      <c r="AR71" s="179">
        <f>CI71</f>
        <v>20.798679867986799</v>
      </c>
      <c r="AS71" s="169">
        <f t="shared" ref="AS71:BJ71" si="145">IF(OR(AS69&lt;0.1,AS70&lt;0.1),0,AS70/AS69)</f>
        <v>32.799999999999997</v>
      </c>
      <c r="AT71" s="168">
        <f t="shared" si="145"/>
        <v>40.333333333333336</v>
      </c>
      <c r="AU71" s="168">
        <f t="shared" si="145"/>
        <v>30.52</v>
      </c>
      <c r="AV71" s="168">
        <f t="shared" si="145"/>
        <v>36.733333333333334</v>
      </c>
      <c r="AW71" s="168">
        <f t="shared" si="145"/>
        <v>35.315789473684212</v>
      </c>
      <c r="AX71" s="168">
        <f t="shared" si="145"/>
        <v>24.294117647058822</v>
      </c>
      <c r="AY71" s="168">
        <f t="shared" si="145"/>
        <v>28.101694915254239</v>
      </c>
      <c r="AZ71" s="168">
        <f t="shared" si="145"/>
        <v>12</v>
      </c>
      <c r="BA71" s="168">
        <f t="shared" si="145"/>
        <v>23.581395348837209</v>
      </c>
      <c r="BB71" s="168">
        <f t="shared" si="145"/>
        <v>31.144736842105264</v>
      </c>
      <c r="BC71" s="168">
        <f t="shared" si="145"/>
        <v>30.147540983606557</v>
      </c>
      <c r="BD71" s="168">
        <f t="shared" si="145"/>
        <v>33.931972789115648</v>
      </c>
      <c r="BE71" s="168">
        <f t="shared" si="145"/>
        <v>47.2</v>
      </c>
      <c r="BF71" s="176">
        <f t="shared" si="145"/>
        <v>29.333333333333332</v>
      </c>
      <c r="BG71" s="168">
        <f t="shared" si="145"/>
        <v>28.5</v>
      </c>
      <c r="BH71" s="168">
        <f t="shared" si="145"/>
        <v>48.666666666666664</v>
      </c>
      <c r="BI71" s="168">
        <f t="shared" si="145"/>
        <v>34.583333333333336</v>
      </c>
      <c r="BJ71" s="168">
        <f t="shared" si="145"/>
        <v>28.2</v>
      </c>
      <c r="BK71" s="168">
        <v>0</v>
      </c>
      <c r="BL71" s="168" t="s">
        <v>233</v>
      </c>
      <c r="BM71" s="168">
        <f>IF(OR(BM69&lt;0.1,BM70&lt;0.1),0,BM70/BM69)</f>
        <v>50.5625</v>
      </c>
      <c r="BN71" s="168">
        <f>IF(OR(BN69&lt;0.1,BN70&lt;0.1),0,BN70/BN69)</f>
        <v>37.15</v>
      </c>
      <c r="BO71" s="168" t="s">
        <v>233</v>
      </c>
      <c r="BP71" s="168">
        <f t="shared" ref="BP71:CE71" si="146">IF(OR(BP69&lt;0.1,BP70&lt;0.1),0,BP70/BP69)</f>
        <v>26.125</v>
      </c>
      <c r="BQ71" s="168">
        <f t="shared" si="146"/>
        <v>49.142857142857146</v>
      </c>
      <c r="BR71" s="176">
        <f t="shared" si="146"/>
        <v>39.592592592592595</v>
      </c>
      <c r="BS71" s="168">
        <f t="shared" si="146"/>
        <v>17.5</v>
      </c>
      <c r="BT71" s="168">
        <f t="shared" si="146"/>
        <v>22.18552036199095</v>
      </c>
      <c r="BU71" s="168">
        <f t="shared" si="146"/>
        <v>15.984615384615385</v>
      </c>
      <c r="BV71" s="168">
        <f t="shared" si="146"/>
        <v>18.547169811320753</v>
      </c>
      <c r="BW71" s="168">
        <f t="shared" si="146"/>
        <v>35.4</v>
      </c>
      <c r="BX71" s="168">
        <f t="shared" si="146"/>
        <v>27.824999999999999</v>
      </c>
      <c r="BY71" s="168">
        <f t="shared" si="146"/>
        <v>58.709090909090911</v>
      </c>
      <c r="BZ71" s="168">
        <f t="shared" si="146"/>
        <v>38.125748502994014</v>
      </c>
      <c r="CA71" s="168">
        <f t="shared" si="146"/>
        <v>21.60377358490566</v>
      </c>
      <c r="CB71" s="176">
        <f t="shared" si="146"/>
        <v>26.54032258064516</v>
      </c>
      <c r="CC71" s="168">
        <f t="shared" si="146"/>
        <v>32.75</v>
      </c>
      <c r="CD71" s="168">
        <f t="shared" si="146"/>
        <v>69.294117647058826</v>
      </c>
      <c r="CE71" s="168">
        <f t="shared" si="146"/>
        <v>48.555555555555557</v>
      </c>
      <c r="CF71" s="168" t="s">
        <v>233</v>
      </c>
      <c r="CG71" s="168">
        <f t="shared" ref="CG71:CL71" si="147">IF(OR(CG69&lt;0.1,CG70&lt;0.1),0,CG70/CG69)</f>
        <v>32.799999999999997</v>
      </c>
      <c r="CH71" s="168">
        <f t="shared" si="147"/>
        <v>31.6</v>
      </c>
      <c r="CI71" s="168">
        <f t="shared" si="147"/>
        <v>20.798679867986799</v>
      </c>
      <c r="CJ71" s="168">
        <f t="shared" si="147"/>
        <v>28.399061032863848</v>
      </c>
      <c r="CK71" s="169">
        <f t="shared" si="147"/>
        <v>32.787671232876711</v>
      </c>
      <c r="CL71" s="177">
        <f t="shared" si="147"/>
        <v>29.966278356836298</v>
      </c>
    </row>
    <row r="72" spans="1:90">
      <c r="A72" s="80">
        <f>ROWS($A$3:A70)</f>
        <v>68</v>
      </c>
      <c r="B72" s="59" t="s">
        <v>83</v>
      </c>
      <c r="C72" s="203"/>
      <c r="D72" s="254"/>
      <c r="E72" s="269"/>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c r="A73" s="80">
        <f>ROWS($A$3:A71)</f>
        <v>69</v>
      </c>
      <c r="B73" s="92" t="s">
        <v>84</v>
      </c>
      <c r="C73" s="202">
        <v>1999</v>
      </c>
      <c r="D73" s="254" t="s">
        <v>13</v>
      </c>
      <c r="E73" s="269"/>
      <c r="F73" s="116">
        <v>5591</v>
      </c>
      <c r="G73" s="137">
        <v>3317</v>
      </c>
      <c r="H73" s="137">
        <v>3125</v>
      </c>
      <c r="I73" s="138">
        <v>4307</v>
      </c>
      <c r="J73" s="141"/>
      <c r="K73" s="116">
        <f t="shared" ref="K73:K78" si="148">BF73</f>
        <v>431</v>
      </c>
      <c r="L73" s="137">
        <f t="shared" ref="L73:L78" si="149">AY73</f>
        <v>228</v>
      </c>
      <c r="M73" s="137">
        <f t="shared" ref="M73:M78" si="150">BD73</f>
        <v>1289</v>
      </c>
      <c r="N73" s="137">
        <f t="shared" ref="N73:N78" si="151">AW73</f>
        <v>150</v>
      </c>
      <c r="O73" s="137">
        <f t="shared" ref="O73:O78" si="152">BE73</f>
        <v>226</v>
      </c>
      <c r="P73" s="137">
        <f>'2001'!AZ73+'2001'!BA73</f>
        <v>956</v>
      </c>
      <c r="Q73" s="137">
        <f>'2001'!AU73</f>
        <v>640</v>
      </c>
      <c r="R73" s="137">
        <f t="shared" ref="R73:R78" si="153">AT73+AX73</f>
        <v>658</v>
      </c>
      <c r="S73" s="137">
        <f t="shared" ref="S73:S78" si="154">AV73</f>
        <v>348</v>
      </c>
      <c r="T73" s="137">
        <f t="shared" ref="T73:U78" si="155">BB73</f>
        <v>414</v>
      </c>
      <c r="U73" s="139">
        <f t="shared" si="155"/>
        <v>251</v>
      </c>
      <c r="V73" s="137">
        <f t="shared" ref="V73:V78" si="156">BG73+BJ73</f>
        <v>261</v>
      </c>
      <c r="W73" s="137">
        <f t="shared" ref="W73:W78" si="157">BR73</f>
        <v>294</v>
      </c>
      <c r="X73" s="137">
        <f t="shared" ref="X73:X78" si="158">BH73+BI73</f>
        <v>723</v>
      </c>
      <c r="Y73" s="137">
        <f t="shared" ref="Y73:Y78" si="159">BK73+BL73+BN73</f>
        <v>781</v>
      </c>
      <c r="Z73" s="137">
        <f t="shared" ref="Z73:Z78" si="160">BM73</f>
        <v>681</v>
      </c>
      <c r="AA73" s="137">
        <f t="shared" ref="AA73:AA78" si="161">BO73+BQ73</f>
        <v>308</v>
      </c>
      <c r="AB73" s="139">
        <f t="shared" ref="AB73:AB78" si="162">BP73</f>
        <v>269</v>
      </c>
      <c r="AC73" s="137">
        <f t="shared" ref="AC73:AC78" si="163">BX73</f>
        <v>270</v>
      </c>
      <c r="AD73" s="137">
        <f t="shared" ref="AD73:AD78" si="164">BU73</f>
        <v>249</v>
      </c>
      <c r="AE73" s="137">
        <f t="shared" ref="AE73:AE78" si="165">BS73+BT73</f>
        <v>452</v>
      </c>
      <c r="AF73" s="137">
        <f t="shared" ref="AF73:AF78" si="166">CA73</f>
        <v>133</v>
      </c>
      <c r="AG73" s="137">
        <f t="shared" ref="AG73:AG78" si="167">BV73</f>
        <v>824</v>
      </c>
      <c r="AH73" s="137">
        <f t="shared" ref="AH73:AH78" si="168">BZ73</f>
        <v>385</v>
      </c>
      <c r="AI73" s="137">
        <f t="shared" ref="AI73:AI78" si="169">BW73</f>
        <v>413</v>
      </c>
      <c r="AJ73" s="137">
        <f t="shared" ref="AJ73:AJ78" si="170">BY73</f>
        <v>181</v>
      </c>
      <c r="AK73" s="139">
        <f t="shared" ref="AK73:AK78" si="171">CB73</f>
        <v>218</v>
      </c>
      <c r="AL73" s="137">
        <f t="shared" ref="AL73:AL78" si="172">CE73</f>
        <v>447</v>
      </c>
      <c r="AM73" s="137">
        <f t="shared" ref="AM73:AM78" si="173">CH73</f>
        <v>675</v>
      </c>
      <c r="AN73" s="137">
        <f t="shared" ref="AN73:AN78" si="174">CJ73</f>
        <v>162</v>
      </c>
      <c r="AO73" s="137">
        <f t="shared" ref="AO73:AP78" si="175">CC73</f>
        <v>583</v>
      </c>
      <c r="AP73" s="137">
        <f t="shared" si="175"/>
        <v>465</v>
      </c>
      <c r="AQ73" s="137">
        <f t="shared" ref="AQ73:AQ78" si="176">CK73</f>
        <v>706</v>
      </c>
      <c r="AR73" s="137">
        <f t="shared" ref="AR73:AR78" si="177">CI73</f>
        <v>203</v>
      </c>
      <c r="AS73" s="138">
        <f t="shared" ref="AS73:AS78" si="178">CF73+CG73</f>
        <v>1066</v>
      </c>
      <c r="AT73" s="137">
        <v>52</v>
      </c>
      <c r="AU73" s="137">
        <v>640</v>
      </c>
      <c r="AV73" s="137">
        <v>348</v>
      </c>
      <c r="AW73" s="141">
        <v>150</v>
      </c>
      <c r="AX73" s="137">
        <v>606</v>
      </c>
      <c r="AY73" s="137">
        <v>228</v>
      </c>
      <c r="AZ73" s="137">
        <v>93</v>
      </c>
      <c r="BA73" s="137">
        <v>863</v>
      </c>
      <c r="BB73" s="137">
        <v>414</v>
      </c>
      <c r="BC73" s="137">
        <v>251</v>
      </c>
      <c r="BD73" s="137">
        <v>1289</v>
      </c>
      <c r="BE73" s="137">
        <v>226</v>
      </c>
      <c r="BF73" s="139">
        <v>431</v>
      </c>
      <c r="BG73" s="137">
        <v>7</v>
      </c>
      <c r="BH73" s="137">
        <v>43</v>
      </c>
      <c r="BI73" s="137">
        <v>680</v>
      </c>
      <c r="BJ73" s="137">
        <v>254</v>
      </c>
      <c r="BK73" s="137">
        <v>36</v>
      </c>
      <c r="BL73" s="137">
        <v>78</v>
      </c>
      <c r="BM73" s="137">
        <v>681</v>
      </c>
      <c r="BN73" s="137">
        <v>667</v>
      </c>
      <c r="BO73" s="137">
        <v>10</v>
      </c>
      <c r="BP73" s="137">
        <v>269</v>
      </c>
      <c r="BQ73" s="137">
        <v>298</v>
      </c>
      <c r="BR73" s="139">
        <v>294</v>
      </c>
      <c r="BS73" s="137">
        <v>27</v>
      </c>
      <c r="BT73" s="137">
        <v>425</v>
      </c>
      <c r="BU73" s="137">
        <v>249</v>
      </c>
      <c r="BV73" s="137">
        <v>824</v>
      </c>
      <c r="BW73" s="137">
        <v>413</v>
      </c>
      <c r="BX73" s="137">
        <v>270</v>
      </c>
      <c r="BY73" s="137">
        <v>181</v>
      </c>
      <c r="BZ73" s="137">
        <v>385</v>
      </c>
      <c r="CA73" s="137">
        <v>133</v>
      </c>
      <c r="CB73" s="139">
        <v>218</v>
      </c>
      <c r="CC73" s="137">
        <v>583</v>
      </c>
      <c r="CD73" s="137">
        <v>465</v>
      </c>
      <c r="CE73" s="137">
        <v>447</v>
      </c>
      <c r="CF73" s="137">
        <v>76</v>
      </c>
      <c r="CG73" s="137">
        <v>990</v>
      </c>
      <c r="CH73" s="137">
        <v>675</v>
      </c>
      <c r="CI73" s="137">
        <v>203</v>
      </c>
      <c r="CJ73" s="137">
        <v>162</v>
      </c>
      <c r="CK73" s="138">
        <v>706</v>
      </c>
      <c r="CL73" s="140">
        <v>16340</v>
      </c>
    </row>
    <row r="74" spans="1:90">
      <c r="A74" s="80">
        <f>ROWS($A$3:A72)</f>
        <v>70</v>
      </c>
      <c r="B74" s="92" t="s">
        <v>85</v>
      </c>
      <c r="C74" s="203"/>
      <c r="D74" s="254" t="s">
        <v>13</v>
      </c>
      <c r="E74" s="269"/>
      <c r="F74" s="116">
        <v>813</v>
      </c>
      <c r="G74" s="137">
        <v>427</v>
      </c>
      <c r="H74" s="137">
        <v>557</v>
      </c>
      <c r="I74" s="138">
        <v>327</v>
      </c>
      <c r="J74" s="141"/>
      <c r="K74" s="116">
        <f t="shared" si="148"/>
        <v>77</v>
      </c>
      <c r="L74" s="137">
        <f t="shared" si="149"/>
        <v>137</v>
      </c>
      <c r="M74" s="137">
        <f t="shared" si="150"/>
        <v>27</v>
      </c>
      <c r="N74" s="137">
        <f t="shared" si="151"/>
        <v>55</v>
      </c>
      <c r="O74" s="137">
        <f t="shared" si="152"/>
        <v>24</v>
      </c>
      <c r="P74" s="137">
        <f>'2001'!AZ74+'2001'!BA74</f>
        <v>94</v>
      </c>
      <c r="Q74" s="137">
        <f>'2001'!AU74</f>
        <v>42</v>
      </c>
      <c r="R74" s="137">
        <f t="shared" si="153"/>
        <v>217</v>
      </c>
      <c r="S74" s="137">
        <f t="shared" si="154"/>
        <v>88</v>
      </c>
      <c r="T74" s="137">
        <f t="shared" si="155"/>
        <v>24</v>
      </c>
      <c r="U74" s="139">
        <f t="shared" si="155"/>
        <v>28</v>
      </c>
      <c r="V74" s="137">
        <f t="shared" si="156"/>
        <v>61</v>
      </c>
      <c r="W74" s="137">
        <f t="shared" si="157"/>
        <v>16</v>
      </c>
      <c r="X74" s="137">
        <f t="shared" si="158"/>
        <v>95</v>
      </c>
      <c r="Y74" s="137">
        <f t="shared" si="159"/>
        <v>146</v>
      </c>
      <c r="Z74" s="137">
        <f t="shared" si="160"/>
        <v>25</v>
      </c>
      <c r="AA74" s="137">
        <f t="shared" si="161"/>
        <v>45</v>
      </c>
      <c r="AB74" s="139">
        <f t="shared" si="162"/>
        <v>39</v>
      </c>
      <c r="AC74" s="137">
        <f t="shared" si="163"/>
        <v>19</v>
      </c>
      <c r="AD74" s="137">
        <f t="shared" si="164"/>
        <v>51</v>
      </c>
      <c r="AE74" s="137">
        <f t="shared" si="165"/>
        <v>85</v>
      </c>
      <c r="AF74" s="137">
        <f t="shared" si="166"/>
        <v>50</v>
      </c>
      <c r="AG74" s="137">
        <f t="shared" si="167"/>
        <v>94</v>
      </c>
      <c r="AH74" s="137">
        <f t="shared" si="168"/>
        <v>194</v>
      </c>
      <c r="AI74" s="137">
        <f t="shared" si="169"/>
        <v>22</v>
      </c>
      <c r="AJ74" s="137">
        <f t="shared" si="170"/>
        <v>12</v>
      </c>
      <c r="AK74" s="139">
        <f t="shared" si="171"/>
        <v>30</v>
      </c>
      <c r="AL74" s="137">
        <f t="shared" si="172"/>
        <v>37</v>
      </c>
      <c r="AM74" s="137">
        <f t="shared" si="173"/>
        <v>34</v>
      </c>
      <c r="AN74" s="137">
        <f t="shared" si="174"/>
        <v>53</v>
      </c>
      <c r="AO74" s="137">
        <f t="shared" si="175"/>
        <v>55</v>
      </c>
      <c r="AP74" s="137">
        <f t="shared" si="175"/>
        <v>35</v>
      </c>
      <c r="AQ74" s="137">
        <f t="shared" si="176"/>
        <v>26</v>
      </c>
      <c r="AR74" s="137">
        <f t="shared" si="177"/>
        <v>42</v>
      </c>
      <c r="AS74" s="138">
        <f t="shared" si="178"/>
        <v>45</v>
      </c>
      <c r="AT74" s="141">
        <v>74</v>
      </c>
      <c r="AU74" s="141">
        <v>42</v>
      </c>
      <c r="AV74" s="141">
        <v>88</v>
      </c>
      <c r="AW74" s="141">
        <v>55</v>
      </c>
      <c r="AX74" s="141">
        <v>143</v>
      </c>
      <c r="AY74" s="137">
        <v>137</v>
      </c>
      <c r="AZ74" s="137">
        <v>22</v>
      </c>
      <c r="BA74" s="137">
        <v>72</v>
      </c>
      <c r="BB74" s="137">
        <v>24</v>
      </c>
      <c r="BC74" s="137">
        <v>28</v>
      </c>
      <c r="BD74" s="137">
        <v>27</v>
      </c>
      <c r="BE74" s="137">
        <v>24</v>
      </c>
      <c r="BF74" s="139">
        <v>77</v>
      </c>
      <c r="BG74" s="137">
        <v>13</v>
      </c>
      <c r="BH74" s="137">
        <v>35</v>
      </c>
      <c r="BI74" s="137">
        <v>60</v>
      </c>
      <c r="BJ74" s="137">
        <v>48</v>
      </c>
      <c r="BK74" s="137">
        <v>41</v>
      </c>
      <c r="BL74" s="137">
        <v>27</v>
      </c>
      <c r="BM74" s="137">
        <v>25</v>
      </c>
      <c r="BN74" s="137">
        <v>78</v>
      </c>
      <c r="BO74" s="137">
        <v>14</v>
      </c>
      <c r="BP74" s="137">
        <v>39</v>
      </c>
      <c r="BQ74" s="137">
        <v>31</v>
      </c>
      <c r="BR74" s="139">
        <v>16</v>
      </c>
      <c r="BS74" s="137">
        <v>23</v>
      </c>
      <c r="BT74" s="137">
        <v>62</v>
      </c>
      <c r="BU74" s="137">
        <v>51</v>
      </c>
      <c r="BV74" s="137">
        <v>94</v>
      </c>
      <c r="BW74" s="137">
        <v>22</v>
      </c>
      <c r="BX74" s="137">
        <v>19</v>
      </c>
      <c r="BY74" s="137">
        <v>12</v>
      </c>
      <c r="BZ74" s="137">
        <v>194</v>
      </c>
      <c r="CA74" s="137">
        <v>50</v>
      </c>
      <c r="CB74" s="139">
        <v>30</v>
      </c>
      <c r="CC74" s="137">
        <v>55</v>
      </c>
      <c r="CD74" s="137">
        <v>35</v>
      </c>
      <c r="CE74" s="137">
        <v>37</v>
      </c>
      <c r="CF74" s="137">
        <v>20</v>
      </c>
      <c r="CG74" s="137">
        <v>25</v>
      </c>
      <c r="CH74" s="137">
        <v>34</v>
      </c>
      <c r="CI74" s="137">
        <v>42</v>
      </c>
      <c r="CJ74" s="137">
        <v>53</v>
      </c>
      <c r="CK74" s="138">
        <v>26</v>
      </c>
      <c r="CL74" s="140">
        <v>2124</v>
      </c>
    </row>
    <row r="75" spans="1:90">
      <c r="A75" s="80">
        <f>ROWS($A$3:A73)</f>
        <v>71</v>
      </c>
      <c r="B75" s="92" t="s">
        <v>86</v>
      </c>
      <c r="C75" s="203"/>
      <c r="D75" s="254" t="s">
        <v>13</v>
      </c>
      <c r="E75" s="269"/>
      <c r="F75" s="116">
        <v>6074</v>
      </c>
      <c r="G75" s="137">
        <v>1708</v>
      </c>
      <c r="H75" s="137">
        <v>7931</v>
      </c>
      <c r="I75" s="138">
        <v>1523</v>
      </c>
      <c r="J75" s="141"/>
      <c r="K75" s="116">
        <f t="shared" si="148"/>
        <v>23</v>
      </c>
      <c r="L75" s="137">
        <f t="shared" si="149"/>
        <v>858</v>
      </c>
      <c r="M75" s="137">
        <f t="shared" si="150"/>
        <v>406</v>
      </c>
      <c r="N75" s="137">
        <f t="shared" si="151"/>
        <v>60</v>
      </c>
      <c r="O75" s="137">
        <f t="shared" si="152"/>
        <v>14</v>
      </c>
      <c r="P75" s="137">
        <f>'2001'!AZ75+'2001'!BA75</f>
        <v>2449</v>
      </c>
      <c r="Q75" s="137">
        <f>'2001'!AU75</f>
        <v>102</v>
      </c>
      <c r="R75" s="137">
        <f t="shared" si="153"/>
        <v>1397</v>
      </c>
      <c r="S75" s="137">
        <f t="shared" si="154"/>
        <v>259</v>
      </c>
      <c r="T75" s="137">
        <f t="shared" si="155"/>
        <v>491</v>
      </c>
      <c r="U75" s="139">
        <f t="shared" si="155"/>
        <v>15</v>
      </c>
      <c r="V75" s="137">
        <f t="shared" si="156"/>
        <v>816</v>
      </c>
      <c r="W75" s="137">
        <f t="shared" si="157"/>
        <v>18</v>
      </c>
      <c r="X75" s="137">
        <f t="shared" si="158"/>
        <v>391</v>
      </c>
      <c r="Y75" s="137">
        <f t="shared" si="159"/>
        <v>359</v>
      </c>
      <c r="Z75" s="137">
        <f t="shared" si="160"/>
        <v>15</v>
      </c>
      <c r="AA75" s="137">
        <f t="shared" si="161"/>
        <v>103</v>
      </c>
      <c r="AB75" s="139">
        <f t="shared" si="162"/>
        <v>6</v>
      </c>
      <c r="AC75" s="137" t="str">
        <f t="shared" si="163"/>
        <v>-</v>
      </c>
      <c r="AD75" s="137">
        <f t="shared" si="164"/>
        <v>1467</v>
      </c>
      <c r="AE75" s="137">
        <f t="shared" si="165"/>
        <v>3100</v>
      </c>
      <c r="AF75" s="137">
        <f t="shared" si="166"/>
        <v>474</v>
      </c>
      <c r="AG75" s="137">
        <f t="shared" si="167"/>
        <v>2650</v>
      </c>
      <c r="AH75" s="137">
        <f t="shared" si="168"/>
        <v>156</v>
      </c>
      <c r="AI75" s="137">
        <f t="shared" si="169"/>
        <v>7</v>
      </c>
      <c r="AJ75" s="137">
        <f t="shared" si="170"/>
        <v>4</v>
      </c>
      <c r="AK75" s="139">
        <f t="shared" si="171"/>
        <v>73</v>
      </c>
      <c r="AL75" s="137">
        <f t="shared" si="172"/>
        <v>15</v>
      </c>
      <c r="AM75" s="137">
        <f t="shared" si="173"/>
        <v>13</v>
      </c>
      <c r="AN75" s="137">
        <f t="shared" si="174"/>
        <v>188</v>
      </c>
      <c r="AO75" s="137">
        <f t="shared" si="175"/>
        <v>65</v>
      </c>
      <c r="AP75" s="137">
        <f t="shared" si="175"/>
        <v>33</v>
      </c>
      <c r="AQ75" s="137">
        <f t="shared" si="176"/>
        <v>11</v>
      </c>
      <c r="AR75" s="137">
        <f t="shared" si="177"/>
        <v>1159</v>
      </c>
      <c r="AS75" s="138">
        <f t="shared" si="178"/>
        <v>39</v>
      </c>
      <c r="AT75" s="141">
        <v>145</v>
      </c>
      <c r="AU75" s="141">
        <v>102</v>
      </c>
      <c r="AV75" s="141">
        <v>259</v>
      </c>
      <c r="AW75" s="141">
        <v>60</v>
      </c>
      <c r="AX75" s="141">
        <v>1252</v>
      </c>
      <c r="AY75" s="137">
        <v>858</v>
      </c>
      <c r="AZ75" s="137">
        <v>139</v>
      </c>
      <c r="BA75" s="137">
        <v>2310</v>
      </c>
      <c r="BB75" s="137">
        <v>491</v>
      </c>
      <c r="BC75" s="137">
        <v>15</v>
      </c>
      <c r="BD75" s="137">
        <v>406</v>
      </c>
      <c r="BE75" s="137">
        <v>14</v>
      </c>
      <c r="BF75" s="139">
        <v>23</v>
      </c>
      <c r="BG75" s="137">
        <v>206</v>
      </c>
      <c r="BH75" s="137">
        <v>9</v>
      </c>
      <c r="BI75" s="137">
        <v>382</v>
      </c>
      <c r="BJ75" s="137">
        <v>610</v>
      </c>
      <c r="BK75" s="137">
        <v>19</v>
      </c>
      <c r="BL75" s="137">
        <v>3</v>
      </c>
      <c r="BM75" s="137">
        <v>15</v>
      </c>
      <c r="BN75" s="137">
        <v>337</v>
      </c>
      <c r="BO75" s="137">
        <v>1</v>
      </c>
      <c r="BP75" s="137">
        <v>6</v>
      </c>
      <c r="BQ75" s="137">
        <v>102</v>
      </c>
      <c r="BR75" s="139">
        <v>18</v>
      </c>
      <c r="BS75" s="137">
        <v>269</v>
      </c>
      <c r="BT75" s="137">
        <v>2831</v>
      </c>
      <c r="BU75" s="137">
        <v>1467</v>
      </c>
      <c r="BV75" s="137">
        <v>2650</v>
      </c>
      <c r="BW75" s="137">
        <v>7</v>
      </c>
      <c r="BX75" s="137" t="s">
        <v>58</v>
      </c>
      <c r="BY75" s="137">
        <v>4</v>
      </c>
      <c r="BZ75" s="137">
        <v>156</v>
      </c>
      <c r="CA75" s="137">
        <v>474</v>
      </c>
      <c r="CB75" s="139">
        <v>73</v>
      </c>
      <c r="CC75" s="137">
        <v>65</v>
      </c>
      <c r="CD75" s="137">
        <v>33</v>
      </c>
      <c r="CE75" s="137">
        <v>15</v>
      </c>
      <c r="CF75" s="137">
        <v>4</v>
      </c>
      <c r="CG75" s="137">
        <v>35</v>
      </c>
      <c r="CH75" s="137">
        <v>13</v>
      </c>
      <c r="CI75" s="137">
        <v>1159</v>
      </c>
      <c r="CJ75" s="137">
        <v>188</v>
      </c>
      <c r="CK75" s="138">
        <v>11</v>
      </c>
      <c r="CL75" s="140">
        <v>17236</v>
      </c>
    </row>
    <row r="76" spans="1:90">
      <c r="A76" s="80">
        <f>ROWS($A$3:A74)</f>
        <v>72</v>
      </c>
      <c r="B76" s="92" t="s">
        <v>87</v>
      </c>
      <c r="C76" s="203"/>
      <c r="D76" s="254" t="s">
        <v>13</v>
      </c>
      <c r="E76" s="269"/>
      <c r="F76" s="116">
        <v>7367</v>
      </c>
      <c r="G76" s="137">
        <v>2434</v>
      </c>
      <c r="H76" s="137">
        <v>6976</v>
      </c>
      <c r="I76" s="138">
        <v>9609</v>
      </c>
      <c r="J76" s="141"/>
      <c r="K76" s="116">
        <f t="shared" si="148"/>
        <v>1883</v>
      </c>
      <c r="L76" s="137">
        <f t="shared" si="149"/>
        <v>775</v>
      </c>
      <c r="M76" s="137">
        <f t="shared" si="150"/>
        <v>429</v>
      </c>
      <c r="N76" s="137">
        <f t="shared" si="151"/>
        <v>780</v>
      </c>
      <c r="O76" s="137">
        <f t="shared" si="152"/>
        <v>410</v>
      </c>
      <c r="P76" s="137">
        <f>'2001'!AZ76+'2001'!BA76</f>
        <v>246</v>
      </c>
      <c r="Q76" s="137">
        <f>'2001'!AU76</f>
        <v>215</v>
      </c>
      <c r="R76" s="137">
        <f t="shared" si="153"/>
        <v>215</v>
      </c>
      <c r="S76" s="137">
        <f t="shared" si="154"/>
        <v>410</v>
      </c>
      <c r="T76" s="137">
        <f t="shared" si="155"/>
        <v>535</v>
      </c>
      <c r="U76" s="139">
        <f t="shared" si="155"/>
        <v>1469</v>
      </c>
      <c r="V76" s="137">
        <f t="shared" si="156"/>
        <v>176</v>
      </c>
      <c r="W76" s="137">
        <f t="shared" si="157"/>
        <v>499</v>
      </c>
      <c r="X76" s="137">
        <f t="shared" si="158"/>
        <v>204</v>
      </c>
      <c r="Y76" s="137">
        <f t="shared" si="159"/>
        <v>303</v>
      </c>
      <c r="Z76" s="137">
        <f t="shared" si="160"/>
        <v>553</v>
      </c>
      <c r="AA76" s="137">
        <f t="shared" si="161"/>
        <v>213</v>
      </c>
      <c r="AB76" s="139">
        <f t="shared" si="162"/>
        <v>486</v>
      </c>
      <c r="AC76" s="137">
        <f t="shared" si="163"/>
        <v>959</v>
      </c>
      <c r="AD76" s="137">
        <f t="shared" si="164"/>
        <v>381</v>
      </c>
      <c r="AE76" s="137">
        <f t="shared" si="165"/>
        <v>1050</v>
      </c>
      <c r="AF76" s="137">
        <f t="shared" si="166"/>
        <v>733</v>
      </c>
      <c r="AG76" s="137">
        <f t="shared" si="167"/>
        <v>862</v>
      </c>
      <c r="AH76" s="137">
        <f t="shared" si="168"/>
        <v>552</v>
      </c>
      <c r="AI76" s="137">
        <f t="shared" si="169"/>
        <v>675</v>
      </c>
      <c r="AJ76" s="137">
        <f t="shared" si="170"/>
        <v>548</v>
      </c>
      <c r="AK76" s="139">
        <f t="shared" si="171"/>
        <v>1216</v>
      </c>
      <c r="AL76" s="137">
        <f t="shared" si="172"/>
        <v>784</v>
      </c>
      <c r="AM76" s="137">
        <f t="shared" si="173"/>
        <v>1747</v>
      </c>
      <c r="AN76" s="137">
        <f t="shared" si="174"/>
        <v>3112</v>
      </c>
      <c r="AO76" s="137">
        <f t="shared" si="175"/>
        <v>894</v>
      </c>
      <c r="AP76" s="137">
        <f t="shared" si="175"/>
        <v>215</v>
      </c>
      <c r="AQ76" s="137">
        <f t="shared" si="176"/>
        <v>964</v>
      </c>
      <c r="AR76" s="137">
        <f t="shared" si="177"/>
        <v>723</v>
      </c>
      <c r="AS76" s="138">
        <f t="shared" si="178"/>
        <v>1170</v>
      </c>
      <c r="AT76" s="141">
        <v>20</v>
      </c>
      <c r="AU76" s="141">
        <v>215</v>
      </c>
      <c r="AV76" s="141">
        <v>410</v>
      </c>
      <c r="AW76" s="141">
        <v>780</v>
      </c>
      <c r="AX76" s="141">
        <v>195</v>
      </c>
      <c r="AY76" s="137">
        <v>775</v>
      </c>
      <c r="AZ76" s="137">
        <v>4</v>
      </c>
      <c r="BA76" s="137">
        <v>242</v>
      </c>
      <c r="BB76" s="137">
        <v>535</v>
      </c>
      <c r="BC76" s="137">
        <v>1469</v>
      </c>
      <c r="BD76" s="137">
        <v>429</v>
      </c>
      <c r="BE76" s="137">
        <v>410</v>
      </c>
      <c r="BF76" s="139">
        <v>1883</v>
      </c>
      <c r="BG76" s="137">
        <v>31</v>
      </c>
      <c r="BH76" s="137">
        <v>22</v>
      </c>
      <c r="BI76" s="137">
        <v>182</v>
      </c>
      <c r="BJ76" s="137">
        <v>145</v>
      </c>
      <c r="BK76" s="137">
        <v>14</v>
      </c>
      <c r="BL76" s="137">
        <v>4</v>
      </c>
      <c r="BM76" s="137">
        <v>553</v>
      </c>
      <c r="BN76" s="137">
        <v>285</v>
      </c>
      <c r="BO76" s="137">
        <v>12</v>
      </c>
      <c r="BP76" s="137">
        <v>486</v>
      </c>
      <c r="BQ76" s="137">
        <v>201</v>
      </c>
      <c r="BR76" s="139">
        <v>499</v>
      </c>
      <c r="BS76" s="137">
        <v>23</v>
      </c>
      <c r="BT76" s="137">
        <v>1027</v>
      </c>
      <c r="BU76" s="137">
        <v>381</v>
      </c>
      <c r="BV76" s="137">
        <v>862</v>
      </c>
      <c r="BW76" s="137">
        <v>675</v>
      </c>
      <c r="BX76" s="137">
        <v>959</v>
      </c>
      <c r="BY76" s="137">
        <v>548</v>
      </c>
      <c r="BZ76" s="137">
        <v>552</v>
      </c>
      <c r="CA76" s="137">
        <v>733</v>
      </c>
      <c r="CB76" s="139">
        <v>1216</v>
      </c>
      <c r="CC76" s="137">
        <v>894</v>
      </c>
      <c r="CD76" s="137">
        <v>215</v>
      </c>
      <c r="CE76" s="137">
        <v>784</v>
      </c>
      <c r="CF76" s="137">
        <v>44</v>
      </c>
      <c r="CG76" s="137">
        <v>1126</v>
      </c>
      <c r="CH76" s="137">
        <v>1747</v>
      </c>
      <c r="CI76" s="137">
        <v>723</v>
      </c>
      <c r="CJ76" s="137">
        <v>3112</v>
      </c>
      <c r="CK76" s="138">
        <v>964</v>
      </c>
      <c r="CL76" s="140">
        <v>26386</v>
      </c>
    </row>
    <row r="77" spans="1:90">
      <c r="A77" s="80">
        <f>ROWS($A$3:A75)</f>
        <v>73</v>
      </c>
      <c r="B77" s="92" t="s">
        <v>88</v>
      </c>
      <c r="C77" s="203"/>
      <c r="D77" s="254" t="s">
        <v>13</v>
      </c>
      <c r="E77" s="269"/>
      <c r="F77" s="116">
        <v>1858</v>
      </c>
      <c r="G77" s="137">
        <v>197</v>
      </c>
      <c r="H77" s="137">
        <v>280</v>
      </c>
      <c r="I77" s="138">
        <v>1177</v>
      </c>
      <c r="J77" s="141"/>
      <c r="K77" s="116">
        <f t="shared" si="148"/>
        <v>198</v>
      </c>
      <c r="L77" s="137">
        <f t="shared" si="149"/>
        <v>35</v>
      </c>
      <c r="M77" s="137">
        <f t="shared" si="150"/>
        <v>207</v>
      </c>
      <c r="N77" s="137">
        <f t="shared" si="151"/>
        <v>47</v>
      </c>
      <c r="O77" s="137">
        <f t="shared" si="152"/>
        <v>88</v>
      </c>
      <c r="P77" s="137">
        <f>'2001'!AZ77+'2001'!BA77</f>
        <v>38</v>
      </c>
      <c r="Q77" s="137">
        <f>'2001'!AU77</f>
        <v>34</v>
      </c>
      <c r="R77" s="137">
        <f>AX77</f>
        <v>50</v>
      </c>
      <c r="S77" s="137">
        <f t="shared" si="154"/>
        <v>19</v>
      </c>
      <c r="T77" s="137">
        <f t="shared" si="155"/>
        <v>314</v>
      </c>
      <c r="U77" s="139">
        <f t="shared" si="155"/>
        <v>828</v>
      </c>
      <c r="V77" s="137">
        <f>BJ77</f>
        <v>4</v>
      </c>
      <c r="W77" s="137">
        <f t="shared" si="157"/>
        <v>22</v>
      </c>
      <c r="X77" s="137">
        <f t="shared" si="158"/>
        <v>21</v>
      </c>
      <c r="Y77" s="137">
        <f t="shared" si="159"/>
        <v>63</v>
      </c>
      <c r="Z77" s="137">
        <f t="shared" si="160"/>
        <v>60</v>
      </c>
      <c r="AA77" s="137">
        <f>BQ77</f>
        <v>12</v>
      </c>
      <c r="AB77" s="139">
        <f t="shared" si="162"/>
        <v>15</v>
      </c>
      <c r="AC77" s="137">
        <f t="shared" si="163"/>
        <v>42</v>
      </c>
      <c r="AD77" s="137">
        <f t="shared" si="164"/>
        <v>21</v>
      </c>
      <c r="AE77" s="137">
        <f t="shared" si="165"/>
        <v>27</v>
      </c>
      <c r="AF77" s="137">
        <f t="shared" si="166"/>
        <v>9</v>
      </c>
      <c r="AG77" s="137">
        <f t="shared" si="167"/>
        <v>43</v>
      </c>
      <c r="AH77" s="137">
        <f t="shared" si="168"/>
        <v>41</v>
      </c>
      <c r="AI77" s="137">
        <f t="shared" si="169"/>
        <v>46</v>
      </c>
      <c r="AJ77" s="137">
        <f t="shared" si="170"/>
        <v>11</v>
      </c>
      <c r="AK77" s="139">
        <f t="shared" si="171"/>
        <v>40</v>
      </c>
      <c r="AL77" s="137">
        <f t="shared" si="172"/>
        <v>13</v>
      </c>
      <c r="AM77" s="137">
        <f t="shared" si="173"/>
        <v>302</v>
      </c>
      <c r="AN77" s="137">
        <f t="shared" si="174"/>
        <v>106</v>
      </c>
      <c r="AO77" s="137">
        <f t="shared" si="175"/>
        <v>59</v>
      </c>
      <c r="AP77" s="137">
        <f t="shared" si="175"/>
        <v>14</v>
      </c>
      <c r="AQ77" s="137">
        <f t="shared" si="176"/>
        <v>172</v>
      </c>
      <c r="AR77" s="137">
        <f t="shared" si="177"/>
        <v>33</v>
      </c>
      <c r="AS77" s="138">
        <f t="shared" si="178"/>
        <v>478</v>
      </c>
      <c r="AT77" s="141" t="s">
        <v>58</v>
      </c>
      <c r="AU77" s="141">
        <v>34</v>
      </c>
      <c r="AV77" s="141">
        <v>19</v>
      </c>
      <c r="AW77" s="141">
        <v>47</v>
      </c>
      <c r="AX77" s="141">
        <v>50</v>
      </c>
      <c r="AY77" s="137">
        <v>35</v>
      </c>
      <c r="AZ77" s="137">
        <v>1</v>
      </c>
      <c r="BA77" s="137">
        <v>37</v>
      </c>
      <c r="BB77" s="137">
        <v>314</v>
      </c>
      <c r="BC77" s="137">
        <v>828</v>
      </c>
      <c r="BD77" s="137">
        <v>207</v>
      </c>
      <c r="BE77" s="137">
        <v>88</v>
      </c>
      <c r="BF77" s="139">
        <v>198</v>
      </c>
      <c r="BG77" s="137" t="s">
        <v>58</v>
      </c>
      <c r="BH77" s="137">
        <v>3</v>
      </c>
      <c r="BI77" s="137">
        <v>18</v>
      </c>
      <c r="BJ77" s="137">
        <v>4</v>
      </c>
      <c r="BK77" s="137">
        <v>2</v>
      </c>
      <c r="BL77" s="137">
        <v>1</v>
      </c>
      <c r="BM77" s="137">
        <v>60</v>
      </c>
      <c r="BN77" s="137">
        <v>60</v>
      </c>
      <c r="BO77" s="137" t="s">
        <v>58</v>
      </c>
      <c r="BP77" s="137">
        <v>15</v>
      </c>
      <c r="BQ77" s="137">
        <v>12</v>
      </c>
      <c r="BR77" s="139">
        <v>22</v>
      </c>
      <c r="BS77" s="137">
        <v>1</v>
      </c>
      <c r="BT77" s="137">
        <v>26</v>
      </c>
      <c r="BU77" s="137">
        <v>21</v>
      </c>
      <c r="BV77" s="137">
        <v>43</v>
      </c>
      <c r="BW77" s="137">
        <v>46</v>
      </c>
      <c r="BX77" s="137">
        <v>42</v>
      </c>
      <c r="BY77" s="137">
        <v>11</v>
      </c>
      <c r="BZ77" s="137">
        <v>41</v>
      </c>
      <c r="CA77" s="137">
        <v>9</v>
      </c>
      <c r="CB77" s="139">
        <v>40</v>
      </c>
      <c r="CC77" s="137">
        <v>59</v>
      </c>
      <c r="CD77" s="137">
        <v>14</v>
      </c>
      <c r="CE77" s="137">
        <v>13</v>
      </c>
      <c r="CF77" s="137">
        <v>22</v>
      </c>
      <c r="CG77" s="137">
        <v>456</v>
      </c>
      <c r="CH77" s="137">
        <v>302</v>
      </c>
      <c r="CI77" s="137">
        <v>33</v>
      </c>
      <c r="CJ77" s="137">
        <v>106</v>
      </c>
      <c r="CK77" s="138">
        <v>172</v>
      </c>
      <c r="CL77" s="140">
        <v>3512</v>
      </c>
    </row>
    <row r="78" spans="1:90">
      <c r="A78" s="80">
        <f>ROWS($A$3:A76)</f>
        <v>74</v>
      </c>
      <c r="B78" s="92" t="s">
        <v>89</v>
      </c>
      <c r="C78" s="203"/>
      <c r="D78" s="254" t="s">
        <v>13</v>
      </c>
      <c r="E78" s="269"/>
      <c r="F78" s="116">
        <v>2840</v>
      </c>
      <c r="G78" s="137">
        <v>976</v>
      </c>
      <c r="H78" s="137">
        <f>982+3718</f>
        <v>4700</v>
      </c>
      <c r="I78" s="138">
        <f>1250+486</f>
        <v>1736</v>
      </c>
      <c r="J78" s="141"/>
      <c r="K78" s="116">
        <f t="shared" si="148"/>
        <v>477</v>
      </c>
      <c r="L78" s="137">
        <f t="shared" si="149"/>
        <v>348</v>
      </c>
      <c r="M78" s="137">
        <f t="shared" si="150"/>
        <v>301</v>
      </c>
      <c r="N78" s="137">
        <f t="shared" si="151"/>
        <v>128</v>
      </c>
      <c r="O78" s="137">
        <f t="shared" si="152"/>
        <v>84</v>
      </c>
      <c r="P78" s="137">
        <f>'2001'!AZ78+'2001'!BA78</f>
        <v>208</v>
      </c>
      <c r="Q78" s="137">
        <f>'2001'!AU78</f>
        <v>61</v>
      </c>
      <c r="R78" s="137">
        <f t="shared" si="153"/>
        <v>169</v>
      </c>
      <c r="S78" s="137">
        <f t="shared" si="154"/>
        <v>111</v>
      </c>
      <c r="T78" s="137">
        <f t="shared" si="155"/>
        <v>296</v>
      </c>
      <c r="U78" s="139">
        <f t="shared" si="155"/>
        <v>657</v>
      </c>
      <c r="V78" s="137">
        <f t="shared" si="156"/>
        <v>70</v>
      </c>
      <c r="W78" s="137">
        <f t="shared" si="157"/>
        <v>270</v>
      </c>
      <c r="X78" s="137">
        <f t="shared" si="158"/>
        <v>60</v>
      </c>
      <c r="Y78" s="137">
        <f t="shared" si="159"/>
        <v>115</v>
      </c>
      <c r="Z78" s="137">
        <f t="shared" si="160"/>
        <v>207</v>
      </c>
      <c r="AA78" s="137">
        <f t="shared" si="161"/>
        <v>67</v>
      </c>
      <c r="AB78" s="139">
        <f t="shared" si="162"/>
        <v>187</v>
      </c>
      <c r="AC78" s="137">
        <f t="shared" si="163"/>
        <v>395</v>
      </c>
      <c r="AD78" s="137">
        <f t="shared" si="164"/>
        <v>558</v>
      </c>
      <c r="AE78" s="137">
        <f t="shared" si="165"/>
        <v>573</v>
      </c>
      <c r="AF78" s="137">
        <f t="shared" si="166"/>
        <v>372</v>
      </c>
      <c r="AG78" s="137">
        <f t="shared" si="167"/>
        <v>1532</v>
      </c>
      <c r="AH78" s="137">
        <f t="shared" si="168"/>
        <v>127</v>
      </c>
      <c r="AI78" s="137">
        <f t="shared" si="169"/>
        <v>368</v>
      </c>
      <c r="AJ78" s="137">
        <f t="shared" si="170"/>
        <v>103</v>
      </c>
      <c r="AK78" s="139">
        <f t="shared" si="171"/>
        <v>672</v>
      </c>
      <c r="AL78" s="137">
        <f t="shared" si="172"/>
        <v>124</v>
      </c>
      <c r="AM78" s="137">
        <f t="shared" si="173"/>
        <v>216</v>
      </c>
      <c r="AN78" s="137">
        <f t="shared" si="174"/>
        <v>258</v>
      </c>
      <c r="AO78" s="137">
        <f t="shared" si="175"/>
        <v>199</v>
      </c>
      <c r="AP78" s="137">
        <f t="shared" si="175"/>
        <v>72</v>
      </c>
      <c r="AQ78" s="137">
        <f t="shared" si="176"/>
        <v>296</v>
      </c>
      <c r="AR78" s="137">
        <f t="shared" si="177"/>
        <v>194</v>
      </c>
      <c r="AS78" s="138">
        <f t="shared" si="178"/>
        <v>377</v>
      </c>
      <c r="AT78" s="141">
        <v>22</v>
      </c>
      <c r="AU78" s="141">
        <v>61</v>
      </c>
      <c r="AV78" s="141">
        <v>111</v>
      </c>
      <c r="AW78" s="141">
        <v>128</v>
      </c>
      <c r="AX78" s="141">
        <v>147</v>
      </c>
      <c r="AY78" s="137">
        <v>348</v>
      </c>
      <c r="AZ78" s="137">
        <v>6</v>
      </c>
      <c r="BA78" s="137">
        <v>202</v>
      </c>
      <c r="BB78" s="137">
        <v>296</v>
      </c>
      <c r="BC78" s="137">
        <v>657</v>
      </c>
      <c r="BD78" s="137">
        <v>301</v>
      </c>
      <c r="BE78" s="137">
        <v>84</v>
      </c>
      <c r="BF78" s="139">
        <v>477</v>
      </c>
      <c r="BG78" s="137">
        <v>9</v>
      </c>
      <c r="BH78" s="137">
        <v>6</v>
      </c>
      <c r="BI78" s="137">
        <v>54</v>
      </c>
      <c r="BJ78" s="137">
        <v>61</v>
      </c>
      <c r="BK78" s="137">
        <v>7</v>
      </c>
      <c r="BL78" s="137">
        <v>1</v>
      </c>
      <c r="BM78" s="137">
        <v>207</v>
      </c>
      <c r="BN78" s="137">
        <v>107</v>
      </c>
      <c r="BO78" s="137">
        <v>8</v>
      </c>
      <c r="BP78" s="137">
        <v>187</v>
      </c>
      <c r="BQ78" s="137">
        <v>59</v>
      </c>
      <c r="BR78" s="139">
        <v>270</v>
      </c>
      <c r="BS78" s="137">
        <v>20</v>
      </c>
      <c r="BT78" s="137">
        <v>553</v>
      </c>
      <c r="BU78" s="137">
        <v>558</v>
      </c>
      <c r="BV78" s="137">
        <f>199+1333</f>
        <v>1532</v>
      </c>
      <c r="BW78" s="137">
        <f>119+249</f>
        <v>368</v>
      </c>
      <c r="BX78" s="137">
        <v>395</v>
      </c>
      <c r="BY78" s="137">
        <v>103</v>
      </c>
      <c r="BZ78" s="137">
        <v>127</v>
      </c>
      <c r="CA78" s="137">
        <f>104+268</f>
        <v>372</v>
      </c>
      <c r="CB78" s="139">
        <f>136+536</f>
        <v>672</v>
      </c>
      <c r="CC78" s="137">
        <v>199</v>
      </c>
      <c r="CD78" s="137">
        <v>72</v>
      </c>
      <c r="CE78" s="137">
        <v>124</v>
      </c>
      <c r="CF78" s="137">
        <v>16</v>
      </c>
      <c r="CG78" s="137">
        <v>361</v>
      </c>
      <c r="CH78" s="137">
        <v>216</v>
      </c>
      <c r="CI78" s="137">
        <v>194</v>
      </c>
      <c r="CJ78" s="137">
        <v>258</v>
      </c>
      <c r="CK78" s="138">
        <v>296</v>
      </c>
      <c r="CL78" s="140">
        <f>4477+5775</f>
        <v>10252</v>
      </c>
    </row>
    <row r="79" spans="1:90">
      <c r="A79" s="80">
        <f>ROWS($A$3:A77)</f>
        <v>75</v>
      </c>
      <c r="B79" s="59" t="s">
        <v>79</v>
      </c>
      <c r="C79" s="202"/>
      <c r="D79" s="254"/>
      <c r="E79" s="269"/>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c r="A80" s="80">
        <f>ROWS($A$3:A78)</f>
        <v>76</v>
      </c>
      <c r="B80" s="92" t="s">
        <v>90</v>
      </c>
      <c r="C80" s="205">
        <v>2002</v>
      </c>
      <c r="D80" s="254" t="s">
        <v>13</v>
      </c>
      <c r="E80" s="273">
        <v>40876</v>
      </c>
      <c r="F80" s="304">
        <f>SUM(AT80:BF80)</f>
        <v>18751</v>
      </c>
      <c r="G80" s="305">
        <f>SUM(BG80:BR80)</f>
        <v>7556</v>
      </c>
      <c r="H80" s="305">
        <f>SUM(BS80:CB80)</f>
        <v>17562</v>
      </c>
      <c r="I80" s="306">
        <f>SUM(CC80:CK80)</f>
        <v>15765</v>
      </c>
      <c r="J80" s="141"/>
      <c r="K80" s="116">
        <f>BF80</f>
        <v>2998</v>
      </c>
      <c r="L80" s="137">
        <f>AY80</f>
        <v>1675</v>
      </c>
      <c r="M80" s="137">
        <f>BD80</f>
        <v>2453</v>
      </c>
      <c r="N80" s="137">
        <f>AW80</f>
        <v>1050</v>
      </c>
      <c r="O80" s="137">
        <f>BE80</f>
        <v>798</v>
      </c>
      <c r="P80" s="137">
        <f>'2001'!AZ80+'2001'!BA80</f>
        <v>2523</v>
      </c>
      <c r="Q80" s="137">
        <f>'2001'!AU80</f>
        <v>856</v>
      </c>
      <c r="R80" s="137">
        <f>AT80+AX80</f>
        <v>1235</v>
      </c>
      <c r="S80" s="137">
        <f>AV80</f>
        <v>676</v>
      </c>
      <c r="T80" s="137">
        <f>BB80</f>
        <v>1643</v>
      </c>
      <c r="U80" s="139">
        <f>BC80</f>
        <v>2844</v>
      </c>
      <c r="V80" s="137">
        <f>BG80+BJ80</f>
        <v>722</v>
      </c>
      <c r="W80" s="137">
        <f>BR80</f>
        <v>1237</v>
      </c>
      <c r="X80" s="137">
        <f>BH80+BI80</f>
        <v>1089</v>
      </c>
      <c r="Y80" s="137">
        <f>BK80+BL80+BN80</f>
        <v>1281</v>
      </c>
      <c r="Z80" s="137">
        <f>BM80</f>
        <v>1626</v>
      </c>
      <c r="AA80" s="137">
        <f>BO80+BQ80</f>
        <v>648</v>
      </c>
      <c r="AB80" s="139">
        <f>BP80</f>
        <v>953</v>
      </c>
      <c r="AC80" s="137">
        <f>BX80</f>
        <v>1736</v>
      </c>
      <c r="AD80" s="137">
        <f>BU80</f>
        <v>1669</v>
      </c>
      <c r="AE80" s="137">
        <f>BS80+BT80</f>
        <v>3011</v>
      </c>
      <c r="AF80" s="137">
        <f>CA80</f>
        <v>1338</v>
      </c>
      <c r="AG80" s="137">
        <f>BV80</f>
        <v>4329</v>
      </c>
      <c r="AH80" s="137">
        <f>BZ80</f>
        <v>1177</v>
      </c>
      <c r="AI80" s="137">
        <f>BW80</f>
        <v>1463</v>
      </c>
      <c r="AJ80" s="137">
        <f>BY80</f>
        <v>734</v>
      </c>
      <c r="AK80" s="139">
        <f>CB80</f>
        <v>2105</v>
      </c>
      <c r="AL80" s="137">
        <f>CE80</f>
        <v>1205</v>
      </c>
      <c r="AM80" s="137">
        <f>CH80</f>
        <v>2880</v>
      </c>
      <c r="AN80" s="137">
        <f>CJ80</f>
        <v>3619</v>
      </c>
      <c r="AO80" s="137">
        <f>CC80</f>
        <v>1555</v>
      </c>
      <c r="AP80" s="137">
        <f>CD80</f>
        <v>477</v>
      </c>
      <c r="AQ80" s="137">
        <f>CK80</f>
        <v>1769</v>
      </c>
      <c r="AR80" s="137">
        <f>CI80</f>
        <v>1630</v>
      </c>
      <c r="AS80" s="138">
        <f>CF80+CG80</f>
        <v>2630</v>
      </c>
      <c r="AT80" s="141">
        <v>168</v>
      </c>
      <c r="AU80" s="141">
        <v>856</v>
      </c>
      <c r="AV80" s="141">
        <v>676</v>
      </c>
      <c r="AW80" s="141">
        <v>1050</v>
      </c>
      <c r="AX80" s="141">
        <v>1067</v>
      </c>
      <c r="AY80" s="137">
        <v>1675</v>
      </c>
      <c r="AZ80" s="137">
        <v>304</v>
      </c>
      <c r="BA80" s="137">
        <v>2219</v>
      </c>
      <c r="BB80" s="137">
        <v>1643</v>
      </c>
      <c r="BC80" s="137">
        <v>2844</v>
      </c>
      <c r="BD80" s="137">
        <v>2453</v>
      </c>
      <c r="BE80" s="137">
        <v>798</v>
      </c>
      <c r="BF80" s="139">
        <v>2998</v>
      </c>
      <c r="BG80" s="137">
        <v>184</v>
      </c>
      <c r="BH80" s="137">
        <v>75</v>
      </c>
      <c r="BI80" s="137">
        <v>1014</v>
      </c>
      <c r="BJ80" s="137">
        <v>538</v>
      </c>
      <c r="BK80" s="137">
        <v>153</v>
      </c>
      <c r="BL80" s="137">
        <v>87</v>
      </c>
      <c r="BM80" s="137">
        <v>1626</v>
      </c>
      <c r="BN80" s="137">
        <v>1041</v>
      </c>
      <c r="BO80" s="137">
        <v>41</v>
      </c>
      <c r="BP80" s="137">
        <v>953</v>
      </c>
      <c r="BQ80" s="137">
        <v>607</v>
      </c>
      <c r="BR80" s="139">
        <v>1237</v>
      </c>
      <c r="BS80" s="137">
        <v>382</v>
      </c>
      <c r="BT80" s="137">
        <v>2629</v>
      </c>
      <c r="BU80" s="137">
        <v>1669</v>
      </c>
      <c r="BV80" s="137">
        <v>4329</v>
      </c>
      <c r="BW80" s="137">
        <v>1463</v>
      </c>
      <c r="BX80" s="137">
        <v>1736</v>
      </c>
      <c r="BY80" s="137">
        <v>734</v>
      </c>
      <c r="BZ80" s="137">
        <v>1177</v>
      </c>
      <c r="CA80" s="137">
        <v>1338</v>
      </c>
      <c r="CB80" s="139">
        <v>2105</v>
      </c>
      <c r="CC80" s="137">
        <v>1555</v>
      </c>
      <c r="CD80" s="137">
        <v>477</v>
      </c>
      <c r="CE80" s="137">
        <v>1205</v>
      </c>
      <c r="CF80" s="137">
        <v>201</v>
      </c>
      <c r="CG80" s="137">
        <v>2429</v>
      </c>
      <c r="CH80" s="137">
        <v>2880</v>
      </c>
      <c r="CI80" s="137">
        <v>1630</v>
      </c>
      <c r="CJ80" s="137">
        <v>3619</v>
      </c>
      <c r="CK80" s="138">
        <v>1769</v>
      </c>
      <c r="CL80" s="258">
        <v>59634</v>
      </c>
    </row>
    <row r="81" spans="1:90">
      <c r="A81" s="80">
        <f>ROWS($A$3:A79)</f>
        <v>77</v>
      </c>
      <c r="B81" s="602" t="s">
        <v>365</v>
      </c>
      <c r="C81" s="590">
        <v>2001</v>
      </c>
      <c r="D81" s="603" t="s">
        <v>13</v>
      </c>
      <c r="E81" s="522">
        <v>43320</v>
      </c>
      <c r="F81" s="154">
        <f>SUM(AT81:BF81)</f>
        <v>0</v>
      </c>
      <c r="G81" s="155">
        <f>SUM(BG81:BR81)</f>
        <v>0</v>
      </c>
      <c r="H81" s="155">
        <f>SUM(BS81:CB81)</f>
        <v>0</v>
      </c>
      <c r="I81" s="156">
        <f>SUM(CC81:CK81)</f>
        <v>0</v>
      </c>
      <c r="J81" s="141"/>
      <c r="K81" s="154">
        <f>BF81</f>
        <v>0</v>
      </c>
      <c r="L81" s="155">
        <f>AY81</f>
        <v>0</v>
      </c>
      <c r="M81" s="155">
        <f>BD81</f>
        <v>0</v>
      </c>
      <c r="N81" s="155">
        <f>AW81</f>
        <v>0</v>
      </c>
      <c r="O81" s="155">
        <f>BE81</f>
        <v>0</v>
      </c>
      <c r="P81" s="155">
        <f>AZ81+BA81</f>
        <v>0</v>
      </c>
      <c r="Q81" s="155">
        <f>AU81</f>
        <v>0</v>
      </c>
      <c r="R81" s="155">
        <f>AT81+AX81</f>
        <v>0</v>
      </c>
      <c r="S81" s="155">
        <f>AV81</f>
        <v>0</v>
      </c>
      <c r="T81" s="155">
        <f>BB81</f>
        <v>0</v>
      </c>
      <c r="U81" s="552">
        <f>BC81</f>
        <v>0</v>
      </c>
      <c r="V81" s="155">
        <f>BG81+BJ81</f>
        <v>0</v>
      </c>
      <c r="W81" s="155">
        <f>BR81</f>
        <v>0</v>
      </c>
      <c r="X81" s="155">
        <f>BH81+BI81</f>
        <v>0</v>
      </c>
      <c r="Y81" s="155">
        <f>BK81+BL81+BN81</f>
        <v>0</v>
      </c>
      <c r="Z81" s="155">
        <f>BM81</f>
        <v>0</v>
      </c>
      <c r="AA81" s="155">
        <f>BO81+BQ81</f>
        <v>0</v>
      </c>
      <c r="AB81" s="552">
        <f>BP81</f>
        <v>0</v>
      </c>
      <c r="AC81" s="155">
        <f>BX81</f>
        <v>0</v>
      </c>
      <c r="AD81" s="155">
        <f>BU81</f>
        <v>0</v>
      </c>
      <c r="AE81" s="155">
        <f>BS81+BT81</f>
        <v>0</v>
      </c>
      <c r="AF81" s="155">
        <f>CA81</f>
        <v>0</v>
      </c>
      <c r="AG81" s="155">
        <f>BV81</f>
        <v>0</v>
      </c>
      <c r="AH81" s="155">
        <f>BZ81</f>
        <v>0</v>
      </c>
      <c r="AI81" s="155">
        <f>BW81</f>
        <v>0</v>
      </c>
      <c r="AJ81" s="155">
        <f>BY81</f>
        <v>0</v>
      </c>
      <c r="AK81" s="552">
        <f>CB81</f>
        <v>0</v>
      </c>
      <c r="AL81" s="155">
        <f>CE81</f>
        <v>0</v>
      </c>
      <c r="AM81" s="155">
        <f>CH81</f>
        <v>0</v>
      </c>
      <c r="AN81" s="155">
        <f>CJ81</f>
        <v>0</v>
      </c>
      <c r="AO81" s="155">
        <f>CC81</f>
        <v>0</v>
      </c>
      <c r="AP81" s="155">
        <f>CD81</f>
        <v>0</v>
      </c>
      <c r="AQ81" s="155">
        <f>CK81</f>
        <v>0</v>
      </c>
      <c r="AR81" s="155">
        <f>CI81</f>
        <v>0</v>
      </c>
      <c r="AS81" s="156">
        <f>CF81+CG81</f>
        <v>0</v>
      </c>
      <c r="AT81" s="155"/>
      <c r="AU81" s="155"/>
      <c r="AV81" s="155"/>
      <c r="AW81" s="155"/>
      <c r="AX81" s="155"/>
      <c r="AY81" s="155"/>
      <c r="AZ81" s="155"/>
      <c r="BA81" s="155"/>
      <c r="BB81" s="155"/>
      <c r="BC81" s="155"/>
      <c r="BD81" s="155"/>
      <c r="BE81" s="155"/>
      <c r="BF81" s="552"/>
      <c r="BG81" s="155"/>
      <c r="BH81" s="155"/>
      <c r="BI81" s="155"/>
      <c r="BJ81" s="155"/>
      <c r="BK81" s="155"/>
      <c r="BL81" s="155"/>
      <c r="BM81" s="155"/>
      <c r="BN81" s="155"/>
      <c r="BO81" s="155"/>
      <c r="BP81" s="155"/>
      <c r="BQ81" s="155"/>
      <c r="BR81" s="552"/>
      <c r="BS81" s="155"/>
      <c r="BT81" s="155"/>
      <c r="BU81" s="155"/>
      <c r="BV81" s="155"/>
      <c r="BW81" s="155"/>
      <c r="BX81" s="155"/>
      <c r="BY81" s="155"/>
      <c r="BZ81" s="155"/>
      <c r="CA81" s="155"/>
      <c r="CB81" s="552"/>
      <c r="CC81" s="155"/>
      <c r="CD81" s="155"/>
      <c r="CE81" s="155"/>
      <c r="CF81" s="155"/>
      <c r="CG81" s="155"/>
      <c r="CH81" s="155"/>
      <c r="CI81" s="155"/>
      <c r="CJ81" s="155"/>
      <c r="CK81" s="156"/>
      <c r="CL81" s="553">
        <f>SUM(AT81:CK81)</f>
        <v>0</v>
      </c>
    </row>
    <row r="82" spans="1:90">
      <c r="A82" s="80">
        <f>ROWS($A$3:A80)</f>
        <v>78</v>
      </c>
      <c r="B82" s="610" t="s">
        <v>367</v>
      </c>
      <c r="C82" s="587">
        <v>2001</v>
      </c>
      <c r="D82" s="603" t="s">
        <v>13</v>
      </c>
      <c r="E82" s="522">
        <v>43320</v>
      </c>
      <c r="F82" s="530">
        <f t="shared" ref="F82:AQ82" si="179">F81/F80</f>
        <v>0</v>
      </c>
      <c r="G82" s="531">
        <f t="shared" si="179"/>
        <v>0</v>
      </c>
      <c r="H82" s="531">
        <f t="shared" si="179"/>
        <v>0</v>
      </c>
      <c r="I82" s="532">
        <f t="shared" si="179"/>
        <v>0</v>
      </c>
      <c r="J82" s="141"/>
      <c r="K82" s="530">
        <f t="shared" si="179"/>
        <v>0</v>
      </c>
      <c r="L82" s="531">
        <f t="shared" si="179"/>
        <v>0</v>
      </c>
      <c r="M82" s="531">
        <f t="shared" si="179"/>
        <v>0</v>
      </c>
      <c r="N82" s="531">
        <f t="shared" si="179"/>
        <v>0</v>
      </c>
      <c r="O82" s="531">
        <f t="shared" si="179"/>
        <v>0</v>
      </c>
      <c r="P82" s="531">
        <f t="shared" si="179"/>
        <v>0</v>
      </c>
      <c r="Q82" s="531">
        <f t="shared" si="179"/>
        <v>0</v>
      </c>
      <c r="R82" s="531">
        <f t="shared" si="179"/>
        <v>0</v>
      </c>
      <c r="S82" s="531">
        <f t="shared" si="179"/>
        <v>0</v>
      </c>
      <c r="T82" s="531">
        <f t="shared" si="179"/>
        <v>0</v>
      </c>
      <c r="U82" s="555">
        <f t="shared" si="179"/>
        <v>0</v>
      </c>
      <c r="V82" s="531">
        <f t="shared" si="179"/>
        <v>0</v>
      </c>
      <c r="W82" s="531">
        <f t="shared" si="179"/>
        <v>0</v>
      </c>
      <c r="X82" s="531">
        <f t="shared" si="179"/>
        <v>0</v>
      </c>
      <c r="Y82" s="531">
        <f t="shared" si="179"/>
        <v>0</v>
      </c>
      <c r="Z82" s="531">
        <f t="shared" si="179"/>
        <v>0</v>
      </c>
      <c r="AA82" s="531">
        <f t="shared" si="179"/>
        <v>0</v>
      </c>
      <c r="AB82" s="555">
        <f t="shared" si="179"/>
        <v>0</v>
      </c>
      <c r="AC82" s="531">
        <f t="shared" si="179"/>
        <v>0</v>
      </c>
      <c r="AD82" s="531">
        <f t="shared" si="179"/>
        <v>0</v>
      </c>
      <c r="AE82" s="531">
        <f t="shared" si="179"/>
        <v>0</v>
      </c>
      <c r="AF82" s="531">
        <f t="shared" si="179"/>
        <v>0</v>
      </c>
      <c r="AG82" s="531">
        <f t="shared" si="179"/>
        <v>0</v>
      </c>
      <c r="AH82" s="531">
        <f t="shared" si="179"/>
        <v>0</v>
      </c>
      <c r="AI82" s="531">
        <f t="shared" si="179"/>
        <v>0</v>
      </c>
      <c r="AJ82" s="531">
        <f t="shared" si="179"/>
        <v>0</v>
      </c>
      <c r="AK82" s="555">
        <f t="shared" si="179"/>
        <v>0</v>
      </c>
      <c r="AL82" s="531">
        <f t="shared" si="179"/>
        <v>0</v>
      </c>
      <c r="AM82" s="531">
        <f t="shared" si="179"/>
        <v>0</v>
      </c>
      <c r="AN82" s="531">
        <f t="shared" si="179"/>
        <v>0</v>
      </c>
      <c r="AO82" s="531">
        <f t="shared" si="179"/>
        <v>0</v>
      </c>
      <c r="AP82" s="531">
        <f t="shared" si="179"/>
        <v>0</v>
      </c>
      <c r="AQ82" s="531">
        <f t="shared" si="179"/>
        <v>0</v>
      </c>
      <c r="AR82" s="531">
        <f>AR81/AR80</f>
        <v>0</v>
      </c>
      <c r="AS82" s="532">
        <f>AS81/AS80</f>
        <v>0</v>
      </c>
      <c r="AT82" s="531">
        <f>IF(OR(AT80&lt;0.1,AT81&lt;0.1),0,AT81/AT80)</f>
        <v>0</v>
      </c>
      <c r="AU82" s="531">
        <f>IF(OR(AU80&lt;0.1,AU81&lt;0.1),0,AU81/AU80)</f>
        <v>0</v>
      </c>
      <c r="AV82" s="531">
        <f t="shared" ref="AV82:CK82" si="180">IF(OR(AV80&lt;0.1,AV81&lt;0.1),0,AV81/AV80)</f>
        <v>0</v>
      </c>
      <c r="AW82" s="531">
        <f t="shared" si="180"/>
        <v>0</v>
      </c>
      <c r="AX82" s="531">
        <f>IF(OR(AX80&lt;0.1,AX81&lt;0.1),0,AX81/AX80)</f>
        <v>0</v>
      </c>
      <c r="AY82" s="531">
        <f t="shared" si="180"/>
        <v>0</v>
      </c>
      <c r="AZ82" s="531">
        <f t="shared" si="180"/>
        <v>0</v>
      </c>
      <c r="BA82" s="531">
        <f t="shared" si="180"/>
        <v>0</v>
      </c>
      <c r="BB82" s="531">
        <f t="shared" si="180"/>
        <v>0</v>
      </c>
      <c r="BC82" s="531">
        <f t="shared" si="180"/>
        <v>0</v>
      </c>
      <c r="BD82" s="531">
        <f t="shared" si="180"/>
        <v>0</v>
      </c>
      <c r="BE82" s="531">
        <f t="shared" si="180"/>
        <v>0</v>
      </c>
      <c r="BF82" s="555">
        <f t="shared" si="180"/>
        <v>0</v>
      </c>
      <c r="BG82" s="531">
        <f t="shared" si="180"/>
        <v>0</v>
      </c>
      <c r="BH82" s="531">
        <f>IF(OR(BH80&lt;0.1,BH81&lt;0.1),0,BH81/BH80)</f>
        <v>0</v>
      </c>
      <c r="BI82" s="531">
        <f>IF(OR(BI80&lt;0.1,BI81&lt;0.1),0,BI81/BI80)</f>
        <v>0</v>
      </c>
      <c r="BJ82" s="531">
        <f>IF(OR(BJ80&lt;0.1,BJ81&lt;0.1),0,BJ81/BJ80)</f>
        <v>0</v>
      </c>
      <c r="BK82" s="531">
        <f t="shared" si="180"/>
        <v>0</v>
      </c>
      <c r="BL82" s="531">
        <f t="shared" si="180"/>
        <v>0</v>
      </c>
      <c r="BM82" s="531">
        <f>IF(OR(BM80&lt;0.1,BM81&lt;0.1),0,BM81/BM80)</f>
        <v>0</v>
      </c>
      <c r="BN82" s="531">
        <f t="shared" si="180"/>
        <v>0</v>
      </c>
      <c r="BO82" s="531">
        <f t="shared" si="180"/>
        <v>0</v>
      </c>
      <c r="BP82" s="531">
        <f t="shared" si="180"/>
        <v>0</v>
      </c>
      <c r="BQ82" s="531">
        <f>IF(OR(BQ80&lt;0.1,BQ81&lt;0.1),0,BQ81/BQ80)</f>
        <v>0</v>
      </c>
      <c r="BR82" s="555">
        <f t="shared" si="180"/>
        <v>0</v>
      </c>
      <c r="BS82" s="531">
        <f t="shared" si="180"/>
        <v>0</v>
      </c>
      <c r="BT82" s="531">
        <f t="shared" si="180"/>
        <v>0</v>
      </c>
      <c r="BU82" s="531">
        <f t="shared" si="180"/>
        <v>0</v>
      </c>
      <c r="BV82" s="531">
        <f t="shared" si="180"/>
        <v>0</v>
      </c>
      <c r="BW82" s="531">
        <f t="shared" si="180"/>
        <v>0</v>
      </c>
      <c r="BX82" s="531">
        <f t="shared" si="180"/>
        <v>0</v>
      </c>
      <c r="BY82" s="531">
        <f t="shared" si="180"/>
        <v>0</v>
      </c>
      <c r="BZ82" s="531">
        <f t="shared" si="180"/>
        <v>0</v>
      </c>
      <c r="CA82" s="531">
        <f t="shared" si="180"/>
        <v>0</v>
      </c>
      <c r="CB82" s="555">
        <f t="shared" si="180"/>
        <v>0</v>
      </c>
      <c r="CC82" s="531">
        <f t="shared" si="180"/>
        <v>0</v>
      </c>
      <c r="CD82" s="531">
        <f t="shared" si="180"/>
        <v>0</v>
      </c>
      <c r="CE82" s="531">
        <f t="shared" si="180"/>
        <v>0</v>
      </c>
      <c r="CF82" s="531">
        <f t="shared" si="180"/>
        <v>0</v>
      </c>
      <c r="CG82" s="531">
        <f t="shared" si="180"/>
        <v>0</v>
      </c>
      <c r="CH82" s="531">
        <f t="shared" si="180"/>
        <v>0</v>
      </c>
      <c r="CI82" s="531">
        <f t="shared" si="180"/>
        <v>0</v>
      </c>
      <c r="CJ82" s="531">
        <f t="shared" si="180"/>
        <v>0</v>
      </c>
      <c r="CK82" s="532">
        <f t="shared" si="180"/>
        <v>0</v>
      </c>
      <c r="CL82" s="556">
        <f>IF(OR(CL80&lt;0.1,CL81&lt;0.1),0,CL81/CL80)</f>
        <v>0</v>
      </c>
    </row>
    <row r="83" spans="1:90">
      <c r="A83" s="80">
        <f>ROWS($A$3:A81)</f>
        <v>79</v>
      </c>
      <c r="B83" s="602" t="s">
        <v>366</v>
      </c>
      <c r="C83" s="590">
        <v>2001</v>
      </c>
      <c r="D83" s="603" t="s">
        <v>13</v>
      </c>
      <c r="E83" s="522">
        <v>43320</v>
      </c>
      <c r="F83" s="154">
        <f>SUM(AT83:BF83)</f>
        <v>0</v>
      </c>
      <c r="G83" s="155">
        <f>SUM(BG83:BR83)</f>
        <v>0</v>
      </c>
      <c r="H83" s="155">
        <f>SUM(BS83:CB83)</f>
        <v>0</v>
      </c>
      <c r="I83" s="156">
        <f>SUM(CC83:CK83)</f>
        <v>0</v>
      </c>
      <c r="J83" s="122"/>
      <c r="K83" s="154">
        <f>BF83</f>
        <v>0</v>
      </c>
      <c r="L83" s="155">
        <f>AY83</f>
        <v>0</v>
      </c>
      <c r="M83" s="155">
        <f>BD83</f>
        <v>0</v>
      </c>
      <c r="N83" s="155">
        <f>AW83</f>
        <v>0</v>
      </c>
      <c r="O83" s="155">
        <f>BE83</f>
        <v>0</v>
      </c>
      <c r="P83" s="155">
        <f>AZ83+BA83</f>
        <v>0</v>
      </c>
      <c r="Q83" s="155">
        <f>AU83</f>
        <v>0</v>
      </c>
      <c r="R83" s="155">
        <f>AT83+AX83</f>
        <v>0</v>
      </c>
      <c r="S83" s="155">
        <f>AV83</f>
        <v>0</v>
      </c>
      <c r="T83" s="155">
        <f>BB83</f>
        <v>0</v>
      </c>
      <c r="U83" s="552">
        <f>BC83</f>
        <v>0</v>
      </c>
      <c r="V83" s="155">
        <f>BG83+BJ83</f>
        <v>0</v>
      </c>
      <c r="W83" s="155">
        <f>BR83</f>
        <v>0</v>
      </c>
      <c r="X83" s="155">
        <f>BH83+BI83</f>
        <v>0</v>
      </c>
      <c r="Y83" s="155">
        <f>BK83+BL83+BN83</f>
        <v>0</v>
      </c>
      <c r="Z83" s="155">
        <f>BM83</f>
        <v>0</v>
      </c>
      <c r="AA83" s="155">
        <f>BO83+BQ83</f>
        <v>0</v>
      </c>
      <c r="AB83" s="552">
        <f>BP83</f>
        <v>0</v>
      </c>
      <c r="AC83" s="155">
        <f>BX83</f>
        <v>0</v>
      </c>
      <c r="AD83" s="155">
        <f>BU83</f>
        <v>0</v>
      </c>
      <c r="AE83" s="155">
        <f>BS83+BT83</f>
        <v>0</v>
      </c>
      <c r="AF83" s="155">
        <f>CA83</f>
        <v>0</v>
      </c>
      <c r="AG83" s="155">
        <f>BV83</f>
        <v>0</v>
      </c>
      <c r="AH83" s="155">
        <f>BZ83</f>
        <v>0</v>
      </c>
      <c r="AI83" s="155">
        <f>BW83</f>
        <v>0</v>
      </c>
      <c r="AJ83" s="155">
        <f>BY83</f>
        <v>0</v>
      </c>
      <c r="AK83" s="552">
        <f>CB83</f>
        <v>0</v>
      </c>
      <c r="AL83" s="155">
        <f>CE83</f>
        <v>0</v>
      </c>
      <c r="AM83" s="155">
        <f>CH83</f>
        <v>0</v>
      </c>
      <c r="AN83" s="155">
        <f>CJ83</f>
        <v>0</v>
      </c>
      <c r="AO83" s="155">
        <f>CC83</f>
        <v>0</v>
      </c>
      <c r="AP83" s="155">
        <f>CD83</f>
        <v>0</v>
      </c>
      <c r="AQ83" s="155">
        <f>CK83</f>
        <v>0</v>
      </c>
      <c r="AR83" s="155">
        <f>CI83</f>
        <v>0</v>
      </c>
      <c r="AS83" s="156">
        <f>CF83+CG83</f>
        <v>0</v>
      </c>
      <c r="AT83" s="155"/>
      <c r="AU83" s="155"/>
      <c r="AV83" s="155"/>
      <c r="AW83" s="155"/>
      <c r="AX83" s="155"/>
      <c r="AY83" s="155"/>
      <c r="AZ83" s="155"/>
      <c r="BA83" s="155"/>
      <c r="BB83" s="155"/>
      <c r="BC83" s="155"/>
      <c r="BD83" s="155"/>
      <c r="BE83" s="155"/>
      <c r="BF83" s="552"/>
      <c r="BG83" s="155"/>
      <c r="BH83" s="155"/>
      <c r="BI83" s="155"/>
      <c r="BJ83" s="155"/>
      <c r="BK83" s="155"/>
      <c r="BL83" s="155"/>
      <c r="BM83" s="155"/>
      <c r="BN83" s="155"/>
      <c r="BO83" s="155"/>
      <c r="BP83" s="155"/>
      <c r="BQ83" s="155"/>
      <c r="BR83" s="552"/>
      <c r="BS83" s="155"/>
      <c r="BT83" s="155"/>
      <c r="BU83" s="155"/>
      <c r="BV83" s="155"/>
      <c r="BW83" s="155"/>
      <c r="BX83" s="155"/>
      <c r="BY83" s="155"/>
      <c r="BZ83" s="155"/>
      <c r="CA83" s="155"/>
      <c r="CB83" s="552"/>
      <c r="CC83" s="155"/>
      <c r="CD83" s="155"/>
      <c r="CE83" s="155"/>
      <c r="CF83" s="155"/>
      <c r="CG83" s="155"/>
      <c r="CH83" s="155"/>
      <c r="CI83" s="155"/>
      <c r="CJ83" s="155"/>
      <c r="CK83" s="156"/>
      <c r="CL83" s="320">
        <f>SUM(AT83:CK83)</f>
        <v>0</v>
      </c>
    </row>
    <row r="84" spans="1:90">
      <c r="A84" s="80">
        <f>ROWS($A$3:A82)</f>
        <v>80</v>
      </c>
      <c r="B84" s="610" t="s">
        <v>368</v>
      </c>
      <c r="C84" s="590">
        <v>2001</v>
      </c>
      <c r="D84" s="603" t="s">
        <v>13</v>
      </c>
      <c r="E84" s="522">
        <v>43320</v>
      </c>
      <c r="F84" s="530">
        <f>F83/F80</f>
        <v>0</v>
      </c>
      <c r="G84" s="531">
        <f>G83/G80</f>
        <v>0</v>
      </c>
      <c r="H84" s="531">
        <f>H83/H80</f>
        <v>0</v>
      </c>
      <c r="I84" s="532">
        <f>I83/I80</f>
        <v>0</v>
      </c>
      <c r="J84" s="122"/>
      <c r="K84" s="530">
        <f t="shared" ref="K84:BV84" si="181">K83/K80</f>
        <v>0</v>
      </c>
      <c r="L84" s="531">
        <f t="shared" si="181"/>
        <v>0</v>
      </c>
      <c r="M84" s="531">
        <f t="shared" si="181"/>
        <v>0</v>
      </c>
      <c r="N84" s="531">
        <f t="shared" si="181"/>
        <v>0</v>
      </c>
      <c r="O84" s="531">
        <f t="shared" si="181"/>
        <v>0</v>
      </c>
      <c r="P84" s="531">
        <f t="shared" si="181"/>
        <v>0</v>
      </c>
      <c r="Q84" s="531">
        <f t="shared" si="181"/>
        <v>0</v>
      </c>
      <c r="R84" s="531">
        <f t="shared" si="181"/>
        <v>0</v>
      </c>
      <c r="S84" s="531">
        <f t="shared" si="181"/>
        <v>0</v>
      </c>
      <c r="T84" s="531">
        <f t="shared" si="181"/>
        <v>0</v>
      </c>
      <c r="U84" s="555">
        <f t="shared" si="181"/>
        <v>0</v>
      </c>
      <c r="V84" s="531">
        <f t="shared" si="181"/>
        <v>0</v>
      </c>
      <c r="W84" s="531">
        <f t="shared" si="181"/>
        <v>0</v>
      </c>
      <c r="X84" s="531">
        <f t="shared" si="181"/>
        <v>0</v>
      </c>
      <c r="Y84" s="531">
        <f t="shared" si="181"/>
        <v>0</v>
      </c>
      <c r="Z84" s="531">
        <f t="shared" si="181"/>
        <v>0</v>
      </c>
      <c r="AA84" s="531">
        <f t="shared" si="181"/>
        <v>0</v>
      </c>
      <c r="AB84" s="555">
        <f t="shared" si="181"/>
        <v>0</v>
      </c>
      <c r="AC84" s="531">
        <f t="shared" si="181"/>
        <v>0</v>
      </c>
      <c r="AD84" s="531">
        <f t="shared" si="181"/>
        <v>0</v>
      </c>
      <c r="AE84" s="531">
        <f t="shared" si="181"/>
        <v>0</v>
      </c>
      <c r="AF84" s="531">
        <f t="shared" si="181"/>
        <v>0</v>
      </c>
      <c r="AG84" s="531">
        <f t="shared" si="181"/>
        <v>0</v>
      </c>
      <c r="AH84" s="531">
        <f t="shared" si="181"/>
        <v>0</v>
      </c>
      <c r="AI84" s="531">
        <f t="shared" si="181"/>
        <v>0</v>
      </c>
      <c r="AJ84" s="531">
        <f t="shared" si="181"/>
        <v>0</v>
      </c>
      <c r="AK84" s="555">
        <f t="shared" si="181"/>
        <v>0</v>
      </c>
      <c r="AL84" s="531">
        <f t="shared" si="181"/>
        <v>0</v>
      </c>
      <c r="AM84" s="531">
        <f t="shared" si="181"/>
        <v>0</v>
      </c>
      <c r="AN84" s="531">
        <f t="shared" si="181"/>
        <v>0</v>
      </c>
      <c r="AO84" s="531">
        <f t="shared" si="181"/>
        <v>0</v>
      </c>
      <c r="AP84" s="531">
        <f t="shared" si="181"/>
        <v>0</v>
      </c>
      <c r="AQ84" s="531">
        <f t="shared" si="181"/>
        <v>0</v>
      </c>
      <c r="AR84" s="531">
        <f t="shared" si="181"/>
        <v>0</v>
      </c>
      <c r="AS84" s="532">
        <f t="shared" si="181"/>
        <v>0</v>
      </c>
      <c r="AT84" s="531">
        <f t="shared" si="181"/>
        <v>0</v>
      </c>
      <c r="AU84" s="531">
        <f t="shared" si="181"/>
        <v>0</v>
      </c>
      <c r="AV84" s="531">
        <f t="shared" si="181"/>
        <v>0</v>
      </c>
      <c r="AW84" s="531">
        <f t="shared" si="181"/>
        <v>0</v>
      </c>
      <c r="AX84" s="531">
        <f t="shared" si="181"/>
        <v>0</v>
      </c>
      <c r="AY84" s="531">
        <f t="shared" si="181"/>
        <v>0</v>
      </c>
      <c r="AZ84" s="531">
        <f t="shared" si="181"/>
        <v>0</v>
      </c>
      <c r="BA84" s="531">
        <f t="shared" si="181"/>
        <v>0</v>
      </c>
      <c r="BB84" s="531">
        <f t="shared" si="181"/>
        <v>0</v>
      </c>
      <c r="BC84" s="531">
        <f t="shared" si="181"/>
        <v>0</v>
      </c>
      <c r="BD84" s="531">
        <f t="shared" si="181"/>
        <v>0</v>
      </c>
      <c r="BE84" s="531">
        <f t="shared" si="181"/>
        <v>0</v>
      </c>
      <c r="BF84" s="555">
        <f t="shared" si="181"/>
        <v>0</v>
      </c>
      <c r="BG84" s="531">
        <f t="shared" si="181"/>
        <v>0</v>
      </c>
      <c r="BH84" s="531">
        <f t="shared" si="181"/>
        <v>0</v>
      </c>
      <c r="BI84" s="531">
        <f t="shared" si="181"/>
        <v>0</v>
      </c>
      <c r="BJ84" s="531">
        <f t="shared" si="181"/>
        <v>0</v>
      </c>
      <c r="BK84" s="531">
        <f t="shared" si="181"/>
        <v>0</v>
      </c>
      <c r="BL84" s="531">
        <f t="shared" si="181"/>
        <v>0</v>
      </c>
      <c r="BM84" s="531">
        <f t="shared" si="181"/>
        <v>0</v>
      </c>
      <c r="BN84" s="531">
        <f t="shared" si="181"/>
        <v>0</v>
      </c>
      <c r="BO84" s="531">
        <f t="shared" si="181"/>
        <v>0</v>
      </c>
      <c r="BP84" s="531">
        <f t="shared" si="181"/>
        <v>0</v>
      </c>
      <c r="BQ84" s="531">
        <f t="shared" si="181"/>
        <v>0</v>
      </c>
      <c r="BR84" s="555">
        <f t="shared" si="181"/>
        <v>0</v>
      </c>
      <c r="BS84" s="531">
        <f t="shared" si="181"/>
        <v>0</v>
      </c>
      <c r="BT84" s="531">
        <f t="shared" si="181"/>
        <v>0</v>
      </c>
      <c r="BU84" s="531">
        <f t="shared" si="181"/>
        <v>0</v>
      </c>
      <c r="BV84" s="531">
        <f t="shared" si="181"/>
        <v>0</v>
      </c>
      <c r="BW84" s="531">
        <f t="shared" ref="BW84:CL84" si="182">BW83/BW80</f>
        <v>0</v>
      </c>
      <c r="BX84" s="531">
        <f t="shared" si="182"/>
        <v>0</v>
      </c>
      <c r="BY84" s="531">
        <f t="shared" si="182"/>
        <v>0</v>
      </c>
      <c r="BZ84" s="531">
        <f t="shared" si="182"/>
        <v>0</v>
      </c>
      <c r="CA84" s="531">
        <f t="shared" si="182"/>
        <v>0</v>
      </c>
      <c r="CB84" s="555">
        <f t="shared" si="182"/>
        <v>0</v>
      </c>
      <c r="CC84" s="531">
        <f t="shared" si="182"/>
        <v>0</v>
      </c>
      <c r="CD84" s="531">
        <f t="shared" si="182"/>
        <v>0</v>
      </c>
      <c r="CE84" s="531">
        <f t="shared" si="182"/>
        <v>0</v>
      </c>
      <c r="CF84" s="531">
        <f t="shared" si="182"/>
        <v>0</v>
      </c>
      <c r="CG84" s="531">
        <f t="shared" si="182"/>
        <v>0</v>
      </c>
      <c r="CH84" s="531">
        <f t="shared" si="182"/>
        <v>0</v>
      </c>
      <c r="CI84" s="531">
        <f t="shared" si="182"/>
        <v>0</v>
      </c>
      <c r="CJ84" s="531">
        <f t="shared" si="182"/>
        <v>0</v>
      </c>
      <c r="CK84" s="532">
        <f t="shared" si="182"/>
        <v>0</v>
      </c>
      <c r="CL84" s="556">
        <f t="shared" si="182"/>
        <v>0</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2">
        <v>2001</v>
      </c>
      <c r="D86" s="254"/>
      <c r="E86" s="269"/>
      <c r="F86" s="116"/>
      <c r="G86" s="137"/>
      <c r="H86" s="137"/>
      <c r="I86" s="138"/>
      <c r="J86" s="141"/>
      <c r="K86" s="116"/>
      <c r="L86" s="137"/>
      <c r="M86" s="137"/>
      <c r="N86" s="137"/>
      <c r="O86" s="137"/>
      <c r="P86" s="137"/>
      <c r="Q86" s="137"/>
      <c r="R86" s="141"/>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41"/>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c r="A87" s="80">
        <f>ROWS($A$3:A85)</f>
        <v>83</v>
      </c>
      <c r="B87" s="54" t="s">
        <v>292</v>
      </c>
      <c r="C87" s="266"/>
      <c r="D87" s="254" t="s">
        <v>188</v>
      </c>
      <c r="E87" s="256">
        <v>40694</v>
      </c>
      <c r="F87" s="151">
        <v>23986</v>
      </c>
      <c r="G87" s="151">
        <v>18292</v>
      </c>
      <c r="H87" s="151">
        <v>13822</v>
      </c>
      <c r="I87" s="152">
        <v>17321</v>
      </c>
      <c r="J87" s="280"/>
      <c r="K87" s="116">
        <f>BF87</f>
        <v>16340</v>
      </c>
      <c r="L87" s="137">
        <f>AY87</f>
        <v>24677</v>
      </c>
      <c r="M87" s="137">
        <f>BD87</f>
        <v>11486</v>
      </c>
      <c r="N87" s="137">
        <f>AW87</f>
        <v>22352</v>
      </c>
      <c r="O87" s="137">
        <f>BE87</f>
        <v>17734</v>
      </c>
      <c r="P87" s="143">
        <f>(AZ101*AZ87+BA101*BA87)/(AZ101+BA101)</f>
        <v>26919.850877192981</v>
      </c>
      <c r="Q87" s="137">
        <f>'2008'!AU87</f>
        <v>31866</v>
      </c>
      <c r="R87" s="143">
        <f>(AT101*AT87+AX101*AX87)/(AT101+AX101)</f>
        <v>49850.720588235294</v>
      </c>
      <c r="S87" s="137">
        <f>AV87</f>
        <v>34498</v>
      </c>
      <c r="T87" s="137">
        <f>BB87</f>
        <v>22918</v>
      </c>
      <c r="U87" s="139">
        <f>BC87</f>
        <v>17884</v>
      </c>
      <c r="V87" s="143">
        <f>(BG101*BG87+BJ101*BJ87)/(BG101+BJ101)</f>
        <v>24981.589285714286</v>
      </c>
      <c r="W87" s="137">
        <f>BR87</f>
        <v>9860</v>
      </c>
      <c r="X87" s="143">
        <f>(BH101*BH87+BI101*BI87)/(BH101+BI101)</f>
        <v>20223.251497005989</v>
      </c>
      <c r="Y87" s="143">
        <f>(BN101*BN87)/(BK101+BL101+BN101)</f>
        <v>23007.467391304348</v>
      </c>
      <c r="Z87" s="137">
        <f>BM87</f>
        <v>11165</v>
      </c>
      <c r="AA87" s="143">
        <f>(BO101*BO87+BQ101*BQ87)/(BO101+BQ101)</f>
        <v>21039.245901639344</v>
      </c>
      <c r="AB87" s="139">
        <f>BP87</f>
        <v>13177</v>
      </c>
      <c r="AC87" s="137">
        <f>BX87</f>
        <v>11848</v>
      </c>
      <c r="AD87" s="137">
        <f>BU87</f>
        <v>22423</v>
      </c>
      <c r="AE87" s="143">
        <f>(BS101*BS87+BT101*BT87)/(BS101+BT101)</f>
        <v>16515.463768115944</v>
      </c>
      <c r="AF87" s="137">
        <f>CA87</f>
        <v>15848</v>
      </c>
      <c r="AG87" s="137">
        <f>BV87</f>
        <v>18219</v>
      </c>
      <c r="AH87" s="137">
        <f>BZ87</f>
        <v>13900</v>
      </c>
      <c r="AI87" s="137">
        <f>BW87</f>
        <v>11384</v>
      </c>
      <c r="AJ87" s="137">
        <f>BY87</f>
        <v>9412</v>
      </c>
      <c r="AK87" s="139">
        <f>CB87</f>
        <v>9605</v>
      </c>
      <c r="AL87" s="137">
        <f>CE87</f>
        <v>10020</v>
      </c>
      <c r="AM87" s="137">
        <f>CH87</f>
        <v>19400</v>
      </c>
      <c r="AN87" s="137">
        <f>CJ87</f>
        <v>13725</v>
      </c>
      <c r="AO87" s="137">
        <f>CC87</f>
        <v>13704</v>
      </c>
      <c r="AP87" s="137">
        <f>CD87</f>
        <v>21749</v>
      </c>
      <c r="AQ87" s="137">
        <f>CK87</f>
        <v>11815</v>
      </c>
      <c r="AR87" s="137">
        <f>CI87</f>
        <v>26491</v>
      </c>
      <c r="AS87" s="144">
        <f>(CG101*CG87)/(CF101+CG101)</f>
        <v>23022.029032258066</v>
      </c>
      <c r="AT87" s="141">
        <v>144808</v>
      </c>
      <c r="AU87" s="151">
        <v>32065</v>
      </c>
      <c r="AV87" s="151">
        <v>34498</v>
      </c>
      <c r="AW87" s="151">
        <v>22352</v>
      </c>
      <c r="AX87" s="151">
        <v>44698</v>
      </c>
      <c r="AY87" s="151">
        <v>24677</v>
      </c>
      <c r="AZ87" s="151">
        <v>47431</v>
      </c>
      <c r="BA87" s="151">
        <v>25578</v>
      </c>
      <c r="BB87" s="151">
        <v>22918</v>
      </c>
      <c r="BC87" s="151">
        <v>17884</v>
      </c>
      <c r="BD87" s="151">
        <v>11486</v>
      </c>
      <c r="BE87" s="151">
        <v>17734</v>
      </c>
      <c r="BF87" s="153">
        <v>16340</v>
      </c>
      <c r="BG87" s="151">
        <v>42124</v>
      </c>
      <c r="BH87" s="151">
        <v>26946</v>
      </c>
      <c r="BI87" s="151">
        <v>19885</v>
      </c>
      <c r="BJ87" s="151">
        <v>21699</v>
      </c>
      <c r="BK87" s="151" t="s">
        <v>233</v>
      </c>
      <c r="BL87" s="151" t="s">
        <v>233</v>
      </c>
      <c r="BM87" s="151">
        <v>11165</v>
      </c>
      <c r="BN87" s="151">
        <v>23783</v>
      </c>
      <c r="BO87" s="151">
        <v>37052</v>
      </c>
      <c r="BP87" s="151">
        <v>13177</v>
      </c>
      <c r="BQ87" s="151">
        <v>20211</v>
      </c>
      <c r="BR87" s="153">
        <v>9860</v>
      </c>
      <c r="BS87" s="151">
        <v>22123</v>
      </c>
      <c r="BT87" s="151">
        <v>16433</v>
      </c>
      <c r="BU87" s="151">
        <v>22423</v>
      </c>
      <c r="BV87" s="151">
        <v>18219</v>
      </c>
      <c r="BW87" s="151">
        <v>11384</v>
      </c>
      <c r="BX87" s="151">
        <v>11848</v>
      </c>
      <c r="BY87" s="151">
        <v>9412</v>
      </c>
      <c r="BZ87" s="151">
        <v>13900</v>
      </c>
      <c r="CA87" s="151">
        <v>15848</v>
      </c>
      <c r="CB87" s="153">
        <v>9605</v>
      </c>
      <c r="CC87" s="151">
        <v>13704</v>
      </c>
      <c r="CD87" s="151">
        <v>21749</v>
      </c>
      <c r="CE87" s="151">
        <v>10020</v>
      </c>
      <c r="CF87" s="151" t="s">
        <v>233</v>
      </c>
      <c r="CG87" s="151">
        <v>23247</v>
      </c>
      <c r="CH87" s="151">
        <v>19400</v>
      </c>
      <c r="CI87" s="151">
        <v>26491</v>
      </c>
      <c r="CJ87" s="151">
        <v>13725</v>
      </c>
      <c r="CK87" s="151">
        <v>11815</v>
      </c>
      <c r="CL87" s="140">
        <v>19239</v>
      </c>
    </row>
    <row r="88" spans="1:90">
      <c r="A88" s="80">
        <f>ROWS($A$3:A86)</f>
        <v>84</v>
      </c>
      <c r="B88" s="59" t="s">
        <v>190</v>
      </c>
      <c r="C88" s="202">
        <v>2001</v>
      </c>
      <c r="D88" s="254"/>
      <c r="E88" s="270"/>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c r="A89" s="80">
        <f>ROWS($A$3:A87)</f>
        <v>85</v>
      </c>
      <c r="B89" s="92" t="str">
        <f>'2012'!B89</f>
        <v>Winterweizen (einschl. Dinkel u. Einkorn)</v>
      </c>
      <c r="C89" s="205"/>
      <c r="D89" s="254" t="s">
        <v>192</v>
      </c>
      <c r="E89" s="278">
        <v>41499</v>
      </c>
      <c r="F89" s="170">
        <v>70.7</v>
      </c>
      <c r="G89" s="173">
        <v>64.8</v>
      </c>
      <c r="H89" s="173">
        <v>65.2</v>
      </c>
      <c r="I89" s="174">
        <v>75</v>
      </c>
      <c r="J89" s="173"/>
      <c r="K89" s="170">
        <f>BF89</f>
        <v>67.7</v>
      </c>
      <c r="L89" s="171">
        <f>AY89</f>
        <v>63.7</v>
      </c>
      <c r="M89" s="171">
        <f>BD89</f>
        <v>70.900000000000006</v>
      </c>
      <c r="N89" s="171">
        <f>AW89</f>
        <v>65.7</v>
      </c>
      <c r="O89" s="171">
        <f>BE89</f>
        <v>71</v>
      </c>
      <c r="P89" s="171">
        <f>'2001'!BA89</f>
        <v>70.3</v>
      </c>
      <c r="Q89" s="171">
        <f>'2001'!AU89</f>
        <v>76.3</v>
      </c>
      <c r="R89" s="171">
        <f>AX89</f>
        <v>74.7</v>
      </c>
      <c r="S89" s="171">
        <f>AV89</f>
        <v>64.5</v>
      </c>
      <c r="T89" s="171">
        <f t="shared" ref="T89:U93" si="183">BB89</f>
        <v>72.2</v>
      </c>
      <c r="U89" s="172">
        <f t="shared" si="183"/>
        <v>71</v>
      </c>
      <c r="V89" s="171">
        <f>BJ89</f>
        <v>57.4</v>
      </c>
      <c r="W89" s="171">
        <f>BR89</f>
        <v>72.599999999999994</v>
      </c>
      <c r="X89" s="171">
        <f>BI89</f>
        <v>61.5</v>
      </c>
      <c r="Y89" s="171">
        <f>BN89</f>
        <v>65.400000000000006</v>
      </c>
      <c r="Z89" s="171">
        <f>BM89</f>
        <v>67.3</v>
      </c>
      <c r="AA89" s="171">
        <f>BQ89</f>
        <v>65.599999999999994</v>
      </c>
      <c r="AB89" s="172">
        <f>BP89</f>
        <v>62.4</v>
      </c>
      <c r="AC89" s="171">
        <f>BX89</f>
        <v>68.7</v>
      </c>
      <c r="AD89" s="171">
        <f>BU89</f>
        <v>60.3</v>
      </c>
      <c r="AE89" s="171">
        <f>BT89</f>
        <v>64.099999999999994</v>
      </c>
      <c r="AF89" s="171">
        <f>CA89</f>
        <v>54.6</v>
      </c>
      <c r="AG89" s="171">
        <f>BV89</f>
        <v>57.9</v>
      </c>
      <c r="AH89" s="171">
        <f>BZ89</f>
        <v>69.8</v>
      </c>
      <c r="AI89" s="171">
        <f>BW89</f>
        <v>72.5</v>
      </c>
      <c r="AJ89" s="171">
        <f>BY89</f>
        <v>64.099999999999994</v>
      </c>
      <c r="AK89" s="172">
        <f>CB89</f>
        <v>61.1</v>
      </c>
      <c r="AL89" s="171">
        <f>CE89</f>
        <v>65.8</v>
      </c>
      <c r="AM89" s="171">
        <f>CH89</f>
        <v>77.8</v>
      </c>
      <c r="AN89" s="171">
        <f>CJ89</f>
        <v>74.5</v>
      </c>
      <c r="AO89" s="171">
        <f t="shared" ref="AO89:AP93" si="184">CC89</f>
        <v>69.099999999999994</v>
      </c>
      <c r="AP89" s="171">
        <f t="shared" si="184"/>
        <v>72</v>
      </c>
      <c r="AQ89" s="171">
        <f>CK89</f>
        <v>75.8</v>
      </c>
      <c r="AR89" s="171">
        <f>CI89</f>
        <v>70.2</v>
      </c>
      <c r="AS89" s="174">
        <f>CG89</f>
        <v>77.099999999999994</v>
      </c>
      <c r="AT89" s="173">
        <v>60.5</v>
      </c>
      <c r="AU89" s="173">
        <v>76.3</v>
      </c>
      <c r="AV89" s="173">
        <v>64.5</v>
      </c>
      <c r="AW89" s="173">
        <v>65.7</v>
      </c>
      <c r="AX89" s="173">
        <v>74.7</v>
      </c>
      <c r="AY89" s="173">
        <v>63.7</v>
      </c>
      <c r="AZ89" s="171" t="s">
        <v>233</v>
      </c>
      <c r="BA89" s="173">
        <v>70.3</v>
      </c>
      <c r="BB89" s="173">
        <v>72.2</v>
      </c>
      <c r="BC89" s="173">
        <v>71</v>
      </c>
      <c r="BD89" s="173">
        <v>70.900000000000006</v>
      </c>
      <c r="BE89" s="173">
        <v>71</v>
      </c>
      <c r="BF89" s="172">
        <v>67.7</v>
      </c>
      <c r="BG89" s="171" t="s">
        <v>233</v>
      </c>
      <c r="BH89" s="171" t="s">
        <v>233</v>
      </c>
      <c r="BI89" s="173">
        <v>61.5</v>
      </c>
      <c r="BJ89" s="173">
        <v>57.4</v>
      </c>
      <c r="BK89" s="171" t="s">
        <v>233</v>
      </c>
      <c r="BL89" s="173" t="s">
        <v>233</v>
      </c>
      <c r="BM89" s="173">
        <v>67.3</v>
      </c>
      <c r="BN89" s="173">
        <v>65.400000000000006</v>
      </c>
      <c r="BO89" s="171" t="s">
        <v>233</v>
      </c>
      <c r="BP89" s="173">
        <v>62.4</v>
      </c>
      <c r="BQ89" s="173">
        <v>65.599999999999994</v>
      </c>
      <c r="BR89" s="172">
        <v>72.599999999999994</v>
      </c>
      <c r="BS89" s="171" t="s">
        <v>233</v>
      </c>
      <c r="BT89" s="173">
        <v>64.099999999999994</v>
      </c>
      <c r="BU89" s="173">
        <v>60.3</v>
      </c>
      <c r="BV89" s="173">
        <v>57.9</v>
      </c>
      <c r="BW89" s="173">
        <v>72.5</v>
      </c>
      <c r="BX89" s="173">
        <v>68.7</v>
      </c>
      <c r="BY89" s="173">
        <v>64.099999999999994</v>
      </c>
      <c r="BZ89" s="173">
        <v>69.8</v>
      </c>
      <c r="CA89" s="173">
        <v>54.6</v>
      </c>
      <c r="CB89" s="172">
        <v>61.1</v>
      </c>
      <c r="CC89" s="173">
        <v>69.099999999999994</v>
      </c>
      <c r="CD89" s="173">
        <v>72</v>
      </c>
      <c r="CE89" s="173">
        <v>65.8</v>
      </c>
      <c r="CF89" s="171">
        <v>79.400000000000006</v>
      </c>
      <c r="CG89" s="173">
        <v>77.099999999999994</v>
      </c>
      <c r="CH89" s="173">
        <v>77.8</v>
      </c>
      <c r="CI89" s="173">
        <v>70.2</v>
      </c>
      <c r="CJ89" s="173">
        <v>74.5</v>
      </c>
      <c r="CK89" s="174">
        <v>75.8</v>
      </c>
      <c r="CL89" s="175">
        <v>70.2</v>
      </c>
    </row>
    <row r="90" spans="1:90">
      <c r="A90" s="80">
        <f>ROWS($A$3:A88)</f>
        <v>86</v>
      </c>
      <c r="B90" s="92" t="s">
        <v>193</v>
      </c>
      <c r="C90" s="203"/>
      <c r="D90" s="254" t="s">
        <v>192</v>
      </c>
      <c r="E90" s="273"/>
      <c r="F90" s="170">
        <v>598.1</v>
      </c>
      <c r="G90" s="173">
        <v>549.4</v>
      </c>
      <c r="H90" s="173">
        <v>560.9</v>
      </c>
      <c r="I90" s="174">
        <v>601.5</v>
      </c>
      <c r="J90" s="173"/>
      <c r="K90" s="170" t="str">
        <f>BF90</f>
        <v>*</v>
      </c>
      <c r="L90" s="171">
        <f>AY90</f>
        <v>575.20000000000005</v>
      </c>
      <c r="M90" s="171">
        <f>BD90</f>
        <v>580.70000000000005</v>
      </c>
      <c r="N90" s="171" t="str">
        <f>AW90</f>
        <v>*</v>
      </c>
      <c r="O90" s="171">
        <f>BE90</f>
        <v>610.9</v>
      </c>
      <c r="P90" s="171">
        <f>'2001'!BA90</f>
        <v>596.20000000000005</v>
      </c>
      <c r="Q90" s="171">
        <f>'2001'!AU90</f>
        <v>563.79999999999995</v>
      </c>
      <c r="R90" s="171">
        <f>AX90</f>
        <v>605</v>
      </c>
      <c r="S90" s="171">
        <f>AV90</f>
        <v>564.29999999999995</v>
      </c>
      <c r="T90" s="171">
        <f t="shared" si="183"/>
        <v>600</v>
      </c>
      <c r="U90" s="172">
        <f t="shared" si="183"/>
        <v>576.9</v>
      </c>
      <c r="V90" s="171" t="str">
        <f>BJ90</f>
        <v>-</v>
      </c>
      <c r="W90" s="171" t="str">
        <f>BR90</f>
        <v>-</v>
      </c>
      <c r="X90" s="171">
        <f>BI90</f>
        <v>539.70000000000005</v>
      </c>
      <c r="Y90" s="171">
        <f>BN90</f>
        <v>552.20000000000005</v>
      </c>
      <c r="Z90" s="171">
        <f>BM90</f>
        <v>569.79999999999995</v>
      </c>
      <c r="AA90" s="171">
        <f>BQ90</f>
        <v>561</v>
      </c>
      <c r="AB90" s="172" t="str">
        <f>BP90</f>
        <v>*</v>
      </c>
      <c r="AC90" s="171" t="str">
        <f>BX90</f>
        <v>*</v>
      </c>
      <c r="AD90" s="171">
        <f>BU90</f>
        <v>582.5</v>
      </c>
      <c r="AE90" s="171">
        <f>BT90</f>
        <v>567.79999999999995</v>
      </c>
      <c r="AF90" s="171" t="str">
        <f>CA90</f>
        <v>*</v>
      </c>
      <c r="AG90" s="171" t="str">
        <f>BV90</f>
        <v>*</v>
      </c>
      <c r="AH90" s="171" t="str">
        <f>BZ90</f>
        <v>*</v>
      </c>
      <c r="AI90" s="171" t="str">
        <f>BW90</f>
        <v>*</v>
      </c>
      <c r="AJ90" s="171" t="str">
        <f>BY90</f>
        <v>-</v>
      </c>
      <c r="AK90" s="172" t="str">
        <f>CB90</f>
        <v>*</v>
      </c>
      <c r="AL90" s="171" t="str">
        <f>CE90</f>
        <v>*</v>
      </c>
      <c r="AM90" s="171">
        <f>CH90</f>
        <v>622.1</v>
      </c>
      <c r="AN90" s="171" t="str">
        <f>CJ90</f>
        <v>*</v>
      </c>
      <c r="AO90" s="171" t="str">
        <f t="shared" si="184"/>
        <v>*</v>
      </c>
      <c r="AP90" s="171" t="str">
        <f t="shared" si="184"/>
        <v>*</v>
      </c>
      <c r="AQ90" s="171" t="str">
        <f>CK90</f>
        <v>*</v>
      </c>
      <c r="AR90" s="171">
        <f>CI90</f>
        <v>593.6</v>
      </c>
      <c r="AS90" s="174">
        <f>CG90</f>
        <v>589.20000000000005</v>
      </c>
      <c r="AT90" s="173">
        <v>565.79999999999995</v>
      </c>
      <c r="AU90" s="173">
        <v>563.79999999999995</v>
      </c>
      <c r="AV90" s="173">
        <v>564.29999999999995</v>
      </c>
      <c r="AW90" s="173" t="s">
        <v>233</v>
      </c>
      <c r="AX90" s="173">
        <v>605</v>
      </c>
      <c r="AY90" s="173">
        <v>575.20000000000005</v>
      </c>
      <c r="AZ90" s="171" t="s">
        <v>233</v>
      </c>
      <c r="BA90" s="173">
        <v>596.20000000000005</v>
      </c>
      <c r="BB90" s="173">
        <v>600</v>
      </c>
      <c r="BC90" s="173">
        <v>576.9</v>
      </c>
      <c r="BD90" s="173">
        <v>580.70000000000005</v>
      </c>
      <c r="BE90" s="171">
        <v>610.9</v>
      </c>
      <c r="BF90" s="172" t="s">
        <v>233</v>
      </c>
      <c r="BG90" s="171" t="s">
        <v>58</v>
      </c>
      <c r="BH90" s="171" t="s">
        <v>233</v>
      </c>
      <c r="BI90" s="173">
        <v>539.70000000000005</v>
      </c>
      <c r="BJ90" s="173" t="s">
        <v>58</v>
      </c>
      <c r="BK90" s="171" t="s">
        <v>233</v>
      </c>
      <c r="BL90" s="173" t="s">
        <v>233</v>
      </c>
      <c r="BM90" s="173">
        <v>569.79999999999995</v>
      </c>
      <c r="BN90" s="173">
        <v>552.20000000000005</v>
      </c>
      <c r="BO90" s="171" t="s">
        <v>58</v>
      </c>
      <c r="BP90" s="171" t="s">
        <v>233</v>
      </c>
      <c r="BQ90" s="171">
        <v>561</v>
      </c>
      <c r="BR90" s="172" t="s">
        <v>58</v>
      </c>
      <c r="BS90" s="171" t="s">
        <v>233</v>
      </c>
      <c r="BT90" s="173">
        <v>567.79999999999995</v>
      </c>
      <c r="BU90" s="173">
        <v>582.5</v>
      </c>
      <c r="BV90" s="173" t="s">
        <v>233</v>
      </c>
      <c r="BW90" s="173" t="s">
        <v>233</v>
      </c>
      <c r="BX90" s="173" t="s">
        <v>233</v>
      </c>
      <c r="BY90" s="173" t="s">
        <v>58</v>
      </c>
      <c r="BZ90" s="173" t="s">
        <v>233</v>
      </c>
      <c r="CA90" s="173" t="s">
        <v>233</v>
      </c>
      <c r="CB90" s="250" t="s">
        <v>233</v>
      </c>
      <c r="CC90" s="173" t="s">
        <v>233</v>
      </c>
      <c r="CD90" s="173" t="s">
        <v>233</v>
      </c>
      <c r="CE90" s="173" t="s">
        <v>233</v>
      </c>
      <c r="CF90" s="173" t="s">
        <v>233</v>
      </c>
      <c r="CG90" s="173">
        <v>589.20000000000005</v>
      </c>
      <c r="CH90" s="173">
        <v>622.1</v>
      </c>
      <c r="CI90" s="171">
        <v>593.6</v>
      </c>
      <c r="CJ90" s="173" t="s">
        <v>233</v>
      </c>
      <c r="CK90" s="174" t="s">
        <v>233</v>
      </c>
      <c r="CL90" s="189">
        <v>585.70000000000005</v>
      </c>
    </row>
    <row r="91" spans="1:90">
      <c r="A91" s="80">
        <f>ROWS($A$3:A89)</f>
        <v>87</v>
      </c>
      <c r="B91" s="92" t="s">
        <v>194</v>
      </c>
      <c r="C91" s="203"/>
      <c r="D91" s="254" t="s">
        <v>192</v>
      </c>
      <c r="E91" s="273"/>
      <c r="F91" s="170">
        <v>34.6</v>
      </c>
      <c r="G91" s="171">
        <v>32.700000000000003</v>
      </c>
      <c r="H91" s="171">
        <v>35.4</v>
      </c>
      <c r="I91" s="174">
        <v>35.1</v>
      </c>
      <c r="J91" s="173"/>
      <c r="K91" s="170">
        <f>BF91</f>
        <v>35.200000000000003</v>
      </c>
      <c r="L91" s="171">
        <f>AY91</f>
        <v>34.1</v>
      </c>
      <c r="M91" s="171">
        <f>BD91</f>
        <v>33.6</v>
      </c>
      <c r="N91" s="171">
        <f>AW91</f>
        <v>37.1</v>
      </c>
      <c r="O91" s="171">
        <f>BE91</f>
        <v>37.700000000000003</v>
      </c>
      <c r="P91" s="171">
        <f>'2001'!BA91</f>
        <v>33.299999999999997</v>
      </c>
      <c r="Q91" s="171">
        <f>'2001'!AU91</f>
        <v>37.799999999999997</v>
      </c>
      <c r="R91" s="171">
        <f>AX91</f>
        <v>36.6</v>
      </c>
      <c r="S91" s="171">
        <f>AV91</f>
        <v>34.4</v>
      </c>
      <c r="T91" s="171">
        <f t="shared" si="183"/>
        <v>33.5</v>
      </c>
      <c r="U91" s="172">
        <f t="shared" si="183"/>
        <v>33.700000000000003</v>
      </c>
      <c r="V91" s="171">
        <f>BJ91</f>
        <v>29.9</v>
      </c>
      <c r="W91" s="171">
        <f>BR91</f>
        <v>37.5</v>
      </c>
      <c r="X91" s="171">
        <f>BI91</f>
        <v>31.6</v>
      </c>
      <c r="Y91" s="171">
        <f>BN91</f>
        <v>32.799999999999997</v>
      </c>
      <c r="Z91" s="171">
        <f>BM91</f>
        <v>31.2</v>
      </c>
      <c r="AA91" s="171">
        <f>BQ91</f>
        <v>33.9</v>
      </c>
      <c r="AB91" s="172">
        <f>BP91</f>
        <v>36.200000000000003</v>
      </c>
      <c r="AC91" s="171">
        <f>BX91</f>
        <v>36.200000000000003</v>
      </c>
      <c r="AD91" s="171" t="str">
        <f>BU91</f>
        <v>*</v>
      </c>
      <c r="AE91" s="171">
        <f>BT91</f>
        <v>30.5</v>
      </c>
      <c r="AF91" s="171">
        <f>CA91</f>
        <v>31.2</v>
      </c>
      <c r="AG91" s="171">
        <f>BV91</f>
        <v>25.4</v>
      </c>
      <c r="AH91" s="171">
        <f>BZ91</f>
        <v>32.200000000000003</v>
      </c>
      <c r="AI91" s="171">
        <f>BW91</f>
        <v>38.1</v>
      </c>
      <c r="AJ91" s="171">
        <f>BY91</f>
        <v>34.6</v>
      </c>
      <c r="AK91" s="172">
        <f>CB91</f>
        <v>37</v>
      </c>
      <c r="AL91" s="171">
        <f>CE91</f>
        <v>35.5</v>
      </c>
      <c r="AM91" s="171">
        <f>CH91</f>
        <v>37</v>
      </c>
      <c r="AN91" s="171">
        <f>CJ91</f>
        <v>36.700000000000003</v>
      </c>
      <c r="AO91" s="171">
        <f t="shared" si="184"/>
        <v>35.5</v>
      </c>
      <c r="AP91" s="171">
        <f t="shared" si="184"/>
        <v>38.799999999999997</v>
      </c>
      <c r="AQ91" s="171">
        <f>CK91</f>
        <v>36</v>
      </c>
      <c r="AR91" s="171">
        <f>CI91</f>
        <v>36.4</v>
      </c>
      <c r="AS91" s="174">
        <f>CG91</f>
        <v>37.200000000000003</v>
      </c>
      <c r="AT91" s="173" t="s">
        <v>233</v>
      </c>
      <c r="AU91" s="173">
        <v>37.799999999999997</v>
      </c>
      <c r="AV91" s="173">
        <v>34.4</v>
      </c>
      <c r="AW91" s="173">
        <v>37.1</v>
      </c>
      <c r="AX91" s="171">
        <v>36.6</v>
      </c>
      <c r="AY91" s="173">
        <v>34.1</v>
      </c>
      <c r="AZ91" s="171" t="s">
        <v>233</v>
      </c>
      <c r="BA91" s="173">
        <v>33.299999999999997</v>
      </c>
      <c r="BB91" s="173">
        <v>33.5</v>
      </c>
      <c r="BC91" s="173">
        <v>33.700000000000003</v>
      </c>
      <c r="BD91" s="173">
        <v>33.6</v>
      </c>
      <c r="BE91" s="173">
        <v>37.700000000000003</v>
      </c>
      <c r="BF91" s="172">
        <v>35.200000000000003</v>
      </c>
      <c r="BG91" s="171" t="s">
        <v>233</v>
      </c>
      <c r="BH91" s="171" t="s">
        <v>233</v>
      </c>
      <c r="BI91" s="173">
        <v>31.6</v>
      </c>
      <c r="BJ91" s="173">
        <v>29.9</v>
      </c>
      <c r="BK91" s="171" t="s">
        <v>233</v>
      </c>
      <c r="BL91" s="173" t="s">
        <v>233</v>
      </c>
      <c r="BM91" s="171">
        <v>31.2</v>
      </c>
      <c r="BN91" s="171">
        <v>32.799999999999997</v>
      </c>
      <c r="BO91" s="171" t="s">
        <v>233</v>
      </c>
      <c r="BP91" s="173">
        <v>36.200000000000003</v>
      </c>
      <c r="BQ91" s="171">
        <v>33.9</v>
      </c>
      <c r="BR91" s="172">
        <v>37.5</v>
      </c>
      <c r="BS91" s="171" t="s">
        <v>233</v>
      </c>
      <c r="BT91" s="173">
        <v>30.5</v>
      </c>
      <c r="BU91" s="171" t="s">
        <v>233</v>
      </c>
      <c r="BV91" s="173">
        <v>25.4</v>
      </c>
      <c r="BW91" s="173">
        <v>38.1</v>
      </c>
      <c r="BX91" s="173">
        <v>36.200000000000003</v>
      </c>
      <c r="BY91" s="173">
        <v>34.6</v>
      </c>
      <c r="BZ91" s="173">
        <v>32.200000000000003</v>
      </c>
      <c r="CA91" s="171">
        <v>31.2</v>
      </c>
      <c r="CB91" s="172">
        <v>37</v>
      </c>
      <c r="CC91" s="173">
        <v>35.5</v>
      </c>
      <c r="CD91" s="173">
        <v>38.799999999999997</v>
      </c>
      <c r="CE91" s="173">
        <v>35.5</v>
      </c>
      <c r="CF91" s="171">
        <v>36.5</v>
      </c>
      <c r="CG91" s="173">
        <v>37.200000000000003</v>
      </c>
      <c r="CH91" s="173">
        <v>37</v>
      </c>
      <c r="CI91" s="173">
        <v>36.4</v>
      </c>
      <c r="CJ91" s="173">
        <v>36.700000000000003</v>
      </c>
      <c r="CK91" s="174">
        <v>36</v>
      </c>
      <c r="CL91" s="189">
        <v>35.1</v>
      </c>
    </row>
    <row r="92" spans="1:90">
      <c r="A92" s="80">
        <f>ROWS($A$3:A90)</f>
        <v>88</v>
      </c>
      <c r="B92" s="92" t="s">
        <v>195</v>
      </c>
      <c r="C92" s="203"/>
      <c r="D92" s="254" t="s">
        <v>192</v>
      </c>
      <c r="E92" s="273"/>
      <c r="F92" s="170">
        <v>445.7</v>
      </c>
      <c r="G92" s="173">
        <v>429</v>
      </c>
      <c r="H92" s="173">
        <v>442.6</v>
      </c>
      <c r="I92" s="174">
        <v>445.5</v>
      </c>
      <c r="J92" s="173"/>
      <c r="K92" s="170">
        <f>BF92</f>
        <v>442.7</v>
      </c>
      <c r="L92" s="171">
        <f>AY92</f>
        <v>439.8</v>
      </c>
      <c r="M92" s="171">
        <f>BD92</f>
        <v>459.9</v>
      </c>
      <c r="N92" s="171">
        <f>AW92</f>
        <v>436.4</v>
      </c>
      <c r="O92" s="171">
        <f>BE92</f>
        <v>450.7</v>
      </c>
      <c r="P92" s="171">
        <f>'2001'!BA92</f>
        <v>448.4</v>
      </c>
      <c r="Q92" s="171">
        <f>'2001'!AU92</f>
        <v>471.3</v>
      </c>
      <c r="R92" s="171">
        <f>AX92</f>
        <v>471.6</v>
      </c>
      <c r="S92" s="171">
        <f>AV92</f>
        <v>455.4</v>
      </c>
      <c r="T92" s="171">
        <f t="shared" si="183"/>
        <v>450.4</v>
      </c>
      <c r="U92" s="172">
        <f t="shared" si="183"/>
        <v>426</v>
      </c>
      <c r="V92" s="171">
        <f>BJ92</f>
        <v>449.7</v>
      </c>
      <c r="W92" s="171">
        <f>BR92</f>
        <v>424.6</v>
      </c>
      <c r="X92" s="171">
        <f>BI92</f>
        <v>443.3</v>
      </c>
      <c r="Y92" s="171">
        <f>BN92</f>
        <v>439.6</v>
      </c>
      <c r="Z92" s="171">
        <f>BM92</f>
        <v>404.3</v>
      </c>
      <c r="AA92" s="171">
        <f>BQ92</f>
        <v>465.3</v>
      </c>
      <c r="AB92" s="172">
        <f>BP92</f>
        <v>405.2</v>
      </c>
      <c r="AC92" s="171">
        <f>BX92</f>
        <v>443.9</v>
      </c>
      <c r="AD92" s="171">
        <f>BU92</f>
        <v>434.3</v>
      </c>
      <c r="AE92" s="171">
        <f>BT92</f>
        <v>445.3</v>
      </c>
      <c r="AF92" s="171">
        <f>CA92</f>
        <v>498.5</v>
      </c>
      <c r="AG92" s="171">
        <f>BV92</f>
        <v>442.4</v>
      </c>
      <c r="AH92" s="171">
        <f>BZ92</f>
        <v>432.2</v>
      </c>
      <c r="AI92" s="171">
        <f>BW92</f>
        <v>418.6</v>
      </c>
      <c r="AJ92" s="171">
        <f>BY92</f>
        <v>430.9</v>
      </c>
      <c r="AK92" s="172">
        <f>CB92</f>
        <v>443.9</v>
      </c>
      <c r="AL92" s="171">
        <f>CE92</f>
        <v>448.7</v>
      </c>
      <c r="AM92" s="171">
        <f>CH92</f>
        <v>458.5</v>
      </c>
      <c r="AN92" s="171">
        <f>CJ92</f>
        <v>441.9</v>
      </c>
      <c r="AO92" s="171">
        <f t="shared" si="184"/>
        <v>413.7</v>
      </c>
      <c r="AP92" s="171">
        <f t="shared" si="184"/>
        <v>419.6</v>
      </c>
      <c r="AQ92" s="171">
        <f>CK92</f>
        <v>447.3</v>
      </c>
      <c r="AR92" s="171">
        <f>CI92</f>
        <v>451.1</v>
      </c>
      <c r="AS92" s="174">
        <f>CG92</f>
        <v>463.1</v>
      </c>
      <c r="AT92" s="173" t="s">
        <v>233</v>
      </c>
      <c r="AU92" s="173">
        <v>471.3</v>
      </c>
      <c r="AV92" s="173">
        <v>455.4</v>
      </c>
      <c r="AW92" s="173">
        <v>436.4</v>
      </c>
      <c r="AX92" s="173">
        <v>471.6</v>
      </c>
      <c r="AY92" s="173">
        <v>439.8</v>
      </c>
      <c r="AZ92" s="171" t="s">
        <v>233</v>
      </c>
      <c r="BA92" s="173">
        <v>448.4</v>
      </c>
      <c r="BB92" s="173">
        <v>450.4</v>
      </c>
      <c r="BC92" s="173">
        <v>426</v>
      </c>
      <c r="BD92" s="173">
        <v>459.9</v>
      </c>
      <c r="BE92" s="173">
        <v>450.7</v>
      </c>
      <c r="BF92" s="172">
        <v>442.7</v>
      </c>
      <c r="BG92" s="171" t="s">
        <v>233</v>
      </c>
      <c r="BH92" s="171" t="s">
        <v>233</v>
      </c>
      <c r="BI92" s="173">
        <v>443.3</v>
      </c>
      <c r="BJ92" s="173">
        <v>449.7</v>
      </c>
      <c r="BK92" s="171" t="s">
        <v>233</v>
      </c>
      <c r="BL92" s="173" t="s">
        <v>233</v>
      </c>
      <c r="BM92" s="173">
        <v>404.3</v>
      </c>
      <c r="BN92" s="173">
        <v>439.6</v>
      </c>
      <c r="BO92" s="171" t="s">
        <v>233</v>
      </c>
      <c r="BP92" s="173">
        <v>405.2</v>
      </c>
      <c r="BQ92" s="173">
        <v>465.3</v>
      </c>
      <c r="BR92" s="172">
        <v>424.6</v>
      </c>
      <c r="BS92" s="171" t="s">
        <v>233</v>
      </c>
      <c r="BT92" s="173">
        <v>445.3</v>
      </c>
      <c r="BU92" s="171">
        <v>434.3</v>
      </c>
      <c r="BV92" s="173">
        <v>442.4</v>
      </c>
      <c r="BW92" s="173">
        <v>418.6</v>
      </c>
      <c r="BX92" s="173">
        <v>443.9</v>
      </c>
      <c r="BY92" s="173">
        <v>430.9</v>
      </c>
      <c r="BZ92" s="173">
        <v>432.2</v>
      </c>
      <c r="CA92" s="173">
        <v>498.5</v>
      </c>
      <c r="CB92" s="172">
        <v>443.9</v>
      </c>
      <c r="CC92" s="173">
        <v>413.7</v>
      </c>
      <c r="CD92" s="173">
        <v>419.6</v>
      </c>
      <c r="CE92" s="173">
        <v>448.7</v>
      </c>
      <c r="CF92" s="171" t="s">
        <v>233</v>
      </c>
      <c r="CG92" s="173">
        <v>463.1</v>
      </c>
      <c r="CH92" s="173">
        <v>458.5</v>
      </c>
      <c r="CI92" s="173">
        <v>451.1</v>
      </c>
      <c r="CJ92" s="173">
        <v>441.9</v>
      </c>
      <c r="CK92" s="174">
        <v>447.3</v>
      </c>
      <c r="CL92" s="189">
        <v>445.5</v>
      </c>
    </row>
    <row r="93" spans="1:90">
      <c r="A93" s="80">
        <f>ROWS($A$3:A91)</f>
        <v>89</v>
      </c>
      <c r="B93" s="197" t="s">
        <v>94</v>
      </c>
      <c r="C93" s="249">
        <v>2001</v>
      </c>
      <c r="D93" s="271" t="s">
        <v>3</v>
      </c>
      <c r="E93" s="272"/>
      <c r="F93" s="116">
        <v>62.1</v>
      </c>
      <c r="G93" s="137">
        <v>41.3</v>
      </c>
      <c r="H93" s="137">
        <v>71.8</v>
      </c>
      <c r="I93" s="138">
        <v>57.1</v>
      </c>
      <c r="J93" s="141"/>
      <c r="K93" s="116">
        <f>BF93</f>
        <v>96.1</v>
      </c>
      <c r="L93" s="137">
        <f>AY93</f>
        <v>69.599999999999994</v>
      </c>
      <c r="M93" s="137">
        <f>BD93</f>
        <v>69.400000000000006</v>
      </c>
      <c r="N93" s="137">
        <f>AW93</f>
        <v>73.8</v>
      </c>
      <c r="O93" s="137">
        <f>BE93</f>
        <v>55.2</v>
      </c>
      <c r="P93" s="143">
        <f>(AZ35*AZ93+BA35*BA93)/P35</f>
        <v>9.2381446404069472</v>
      </c>
      <c r="Q93" s="137">
        <f>'2001'!AU93</f>
        <v>52</v>
      </c>
      <c r="R93" s="143">
        <f>(AT35*AT93+AX35*AX93)/R35</f>
        <v>0.74456304202801871</v>
      </c>
      <c r="S93" s="137">
        <f>AV93</f>
        <v>61.8</v>
      </c>
      <c r="T93" s="137">
        <f t="shared" si="183"/>
        <v>57</v>
      </c>
      <c r="U93" s="139">
        <f t="shared" si="183"/>
        <v>93.9</v>
      </c>
      <c r="V93" s="143">
        <f>(BG35*BG93+BJ35*BJ93)/V35</f>
        <v>22.321993670886076</v>
      </c>
      <c r="W93" s="137">
        <f>BR93</f>
        <v>85.9</v>
      </c>
      <c r="X93" s="143">
        <f>(BH35*BH93+BI35*BI93)/X35</f>
        <v>4.957810955111726</v>
      </c>
      <c r="Y93" s="143">
        <f>(BK35*BK93+BL35*BL93+BN35*BN93)/Y35</f>
        <v>9.0331577500916076</v>
      </c>
      <c r="Z93" s="137">
        <f>BM93</f>
        <v>67.599999999999994</v>
      </c>
      <c r="AA93" s="143">
        <f>(BO35*BO93+BQ35*BQ93)/AA35</f>
        <v>39.920586363858845</v>
      </c>
      <c r="AB93" s="139">
        <f>BP93</f>
        <v>77</v>
      </c>
      <c r="AC93" s="137">
        <f>BX93</f>
        <v>100</v>
      </c>
      <c r="AD93" s="137">
        <f>BU93</f>
        <v>48.4</v>
      </c>
      <c r="AE93" s="143">
        <f>(BS35*BS93+BT35*BT93)/AE35</f>
        <v>46.844407576138039</v>
      </c>
      <c r="AF93" s="137">
        <f>CA93</f>
        <v>60.4</v>
      </c>
      <c r="AG93" s="137">
        <f>BV93</f>
        <v>45.6</v>
      </c>
      <c r="AH93" s="137">
        <f>BZ93</f>
        <v>62.1</v>
      </c>
      <c r="AI93" s="137">
        <f>BW93</f>
        <v>100</v>
      </c>
      <c r="AJ93" s="137">
        <f>BY93</f>
        <v>100</v>
      </c>
      <c r="AK93" s="139">
        <f>CB93</f>
        <v>99.7</v>
      </c>
      <c r="AL93" s="137">
        <f>CE93</f>
        <v>99.5</v>
      </c>
      <c r="AM93" s="137">
        <f>CH93</f>
        <v>21.4</v>
      </c>
      <c r="AN93" s="137">
        <f>CJ93</f>
        <v>61.4</v>
      </c>
      <c r="AO93" s="137">
        <f t="shared" si="184"/>
        <v>97.8</v>
      </c>
      <c r="AP93" s="137">
        <f t="shared" si="184"/>
        <v>54.7</v>
      </c>
      <c r="AQ93" s="137">
        <f>CK93</f>
        <v>76.5</v>
      </c>
      <c r="AR93" s="137">
        <f>CI93</f>
        <v>29.5</v>
      </c>
      <c r="AS93" s="144">
        <f>(CF35*CF93+CG35*CG93)/AS35</f>
        <v>44.295503459824182</v>
      </c>
      <c r="AT93" s="141">
        <v>0</v>
      </c>
      <c r="AU93" s="141">
        <v>52</v>
      </c>
      <c r="AV93" s="141">
        <v>61.8</v>
      </c>
      <c r="AW93" s="141">
        <v>73.8</v>
      </c>
      <c r="AX93" s="137">
        <v>0.8</v>
      </c>
      <c r="AY93" s="137">
        <v>69.599999999999994</v>
      </c>
      <c r="AZ93" s="137">
        <v>0</v>
      </c>
      <c r="BA93" s="137">
        <v>10</v>
      </c>
      <c r="BB93" s="137">
        <v>57</v>
      </c>
      <c r="BC93" s="137">
        <v>93.9</v>
      </c>
      <c r="BD93" s="137">
        <v>69.400000000000006</v>
      </c>
      <c r="BE93" s="137">
        <v>55.2</v>
      </c>
      <c r="BF93" s="139">
        <v>96.1</v>
      </c>
      <c r="BG93" s="137">
        <v>0</v>
      </c>
      <c r="BH93" s="137">
        <v>0</v>
      </c>
      <c r="BI93" s="137">
        <v>5.3</v>
      </c>
      <c r="BJ93" s="137">
        <v>24.7</v>
      </c>
      <c r="BK93" s="137">
        <v>0</v>
      </c>
      <c r="BL93" s="137">
        <v>0</v>
      </c>
      <c r="BM93" s="137">
        <v>67.599999999999994</v>
      </c>
      <c r="BN93" s="137">
        <v>10.199999999999999</v>
      </c>
      <c r="BO93" s="137">
        <v>0</v>
      </c>
      <c r="BP93" s="137">
        <v>77</v>
      </c>
      <c r="BQ93" s="137">
        <v>42.5</v>
      </c>
      <c r="BR93" s="139">
        <v>85.9</v>
      </c>
      <c r="BS93" s="137">
        <v>0</v>
      </c>
      <c r="BT93" s="137">
        <v>50.1</v>
      </c>
      <c r="BU93" s="137">
        <v>48.4</v>
      </c>
      <c r="BV93" s="137">
        <v>45.6</v>
      </c>
      <c r="BW93" s="137">
        <v>100</v>
      </c>
      <c r="BX93" s="137">
        <v>100</v>
      </c>
      <c r="BY93" s="137">
        <v>100</v>
      </c>
      <c r="BZ93" s="137">
        <v>62.1</v>
      </c>
      <c r="CA93" s="137">
        <v>60.4</v>
      </c>
      <c r="CB93" s="139">
        <v>99.7</v>
      </c>
      <c r="CC93" s="137">
        <v>97.8</v>
      </c>
      <c r="CD93" s="137">
        <v>54.7</v>
      </c>
      <c r="CE93" s="137">
        <v>99.5</v>
      </c>
      <c r="CF93" s="137">
        <v>0</v>
      </c>
      <c r="CG93" s="137">
        <v>47.1</v>
      </c>
      <c r="CH93" s="137">
        <v>21.4</v>
      </c>
      <c r="CI93" s="137">
        <v>29.5</v>
      </c>
      <c r="CJ93" s="137">
        <v>61.4</v>
      </c>
      <c r="CK93" s="138">
        <v>76.5</v>
      </c>
      <c r="CL93" s="140">
        <v>60.1</v>
      </c>
    </row>
    <row r="94" spans="1:90">
      <c r="A94" s="80">
        <f>ROWS($A$3:A92)</f>
        <v>90</v>
      </c>
      <c r="B94" s="59" t="s">
        <v>247</v>
      </c>
      <c r="C94" s="203"/>
      <c r="D94" s="254"/>
      <c r="E94" s="273"/>
      <c r="F94" s="116"/>
      <c r="G94" s="137"/>
      <c r="H94" s="137"/>
      <c r="I94" s="138"/>
      <c r="J94" s="141"/>
      <c r="K94" s="116">
        <f t="shared" ref="K94:AS94" si="185">$C$95</f>
        <v>2001</v>
      </c>
      <c r="L94" s="137">
        <f t="shared" si="185"/>
        <v>2001</v>
      </c>
      <c r="M94" s="137">
        <f t="shared" si="185"/>
        <v>2001</v>
      </c>
      <c r="N94" s="137">
        <f t="shared" si="185"/>
        <v>2001</v>
      </c>
      <c r="O94" s="137">
        <f t="shared" si="185"/>
        <v>2001</v>
      </c>
      <c r="P94" s="137">
        <f t="shared" si="185"/>
        <v>2001</v>
      </c>
      <c r="Q94" s="137">
        <f t="shared" si="185"/>
        <v>2001</v>
      </c>
      <c r="R94" s="137">
        <f t="shared" si="185"/>
        <v>2001</v>
      </c>
      <c r="S94" s="137">
        <f t="shared" si="185"/>
        <v>2001</v>
      </c>
      <c r="T94" s="137">
        <f t="shared" si="185"/>
        <v>2001</v>
      </c>
      <c r="U94" s="139">
        <f t="shared" si="185"/>
        <v>2001</v>
      </c>
      <c r="V94" s="137">
        <f t="shared" si="185"/>
        <v>2001</v>
      </c>
      <c r="W94" s="137">
        <f t="shared" si="185"/>
        <v>2001</v>
      </c>
      <c r="X94" s="137">
        <f t="shared" si="185"/>
        <v>2001</v>
      </c>
      <c r="Y94" s="137">
        <f t="shared" si="185"/>
        <v>2001</v>
      </c>
      <c r="Z94" s="137">
        <f t="shared" si="185"/>
        <v>2001</v>
      </c>
      <c r="AA94" s="137">
        <f t="shared" si="185"/>
        <v>2001</v>
      </c>
      <c r="AB94" s="139">
        <f t="shared" si="185"/>
        <v>2001</v>
      </c>
      <c r="AC94" s="137">
        <f t="shared" si="185"/>
        <v>2001</v>
      </c>
      <c r="AD94" s="137">
        <f t="shared" si="185"/>
        <v>2001</v>
      </c>
      <c r="AE94" s="137">
        <f t="shared" si="185"/>
        <v>2001</v>
      </c>
      <c r="AF94" s="137">
        <f t="shared" si="185"/>
        <v>2001</v>
      </c>
      <c r="AG94" s="137">
        <f t="shared" si="185"/>
        <v>2001</v>
      </c>
      <c r="AH94" s="137">
        <f t="shared" si="185"/>
        <v>2001</v>
      </c>
      <c r="AI94" s="137">
        <f t="shared" si="185"/>
        <v>2001</v>
      </c>
      <c r="AJ94" s="137">
        <f t="shared" si="185"/>
        <v>2001</v>
      </c>
      <c r="AK94" s="139">
        <f t="shared" si="185"/>
        <v>2001</v>
      </c>
      <c r="AL94" s="137">
        <f t="shared" si="185"/>
        <v>2001</v>
      </c>
      <c r="AM94" s="137">
        <f t="shared" si="185"/>
        <v>2001</v>
      </c>
      <c r="AN94" s="137">
        <f t="shared" si="185"/>
        <v>2001</v>
      </c>
      <c r="AO94" s="137">
        <f t="shared" si="185"/>
        <v>2001</v>
      </c>
      <c r="AP94" s="137">
        <f t="shared" si="185"/>
        <v>2001</v>
      </c>
      <c r="AQ94" s="137">
        <f t="shared" si="185"/>
        <v>2001</v>
      </c>
      <c r="AR94" s="137">
        <f t="shared" si="185"/>
        <v>2001</v>
      </c>
      <c r="AS94" s="138">
        <f t="shared" si="185"/>
        <v>2001</v>
      </c>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c r="A95" s="80">
        <f>ROWS($A$3:A93)</f>
        <v>91</v>
      </c>
      <c r="B95" s="92" t="s">
        <v>77</v>
      </c>
      <c r="C95" s="202">
        <v>2001</v>
      </c>
      <c r="D95" s="254" t="s">
        <v>13</v>
      </c>
      <c r="E95" s="256"/>
      <c r="F95" s="116">
        <v>122737</v>
      </c>
      <c r="G95" s="137">
        <v>30239</v>
      </c>
      <c r="H95" s="137">
        <v>82089</v>
      </c>
      <c r="I95" s="138">
        <v>186831</v>
      </c>
      <c r="J95" s="141"/>
      <c r="K95" s="116">
        <f>BF95</f>
        <v>29042</v>
      </c>
      <c r="L95" s="137">
        <f>AY95</f>
        <v>8671</v>
      </c>
      <c r="M95" s="137">
        <f>BD95</f>
        <v>9647</v>
      </c>
      <c r="N95" s="137">
        <f>AW95</f>
        <v>12155</v>
      </c>
      <c r="O95" s="137">
        <f>BE95</f>
        <v>8882</v>
      </c>
      <c r="P95" s="137">
        <f>AZ95+BA95</f>
        <v>6730</v>
      </c>
      <c r="Q95" s="137">
        <f>'2001'!AU95</f>
        <v>3596</v>
      </c>
      <c r="R95" s="137">
        <f>AX95</f>
        <v>5871</v>
      </c>
      <c r="S95" s="137">
        <f>AV95</f>
        <v>3597</v>
      </c>
      <c r="T95" s="137">
        <f t="shared" ref="T95:U99" si="186">BB95</f>
        <v>9048</v>
      </c>
      <c r="U95" s="139">
        <f t="shared" si="186"/>
        <v>25010</v>
      </c>
      <c r="V95" s="137">
        <f>BJ95</f>
        <v>733</v>
      </c>
      <c r="W95" s="137">
        <f>BR95</f>
        <v>4744</v>
      </c>
      <c r="X95" s="137">
        <f>BH95+BI95</f>
        <v>2102</v>
      </c>
      <c r="Y95" s="137">
        <f>BK95+BL95+BN95</f>
        <v>5175</v>
      </c>
      <c r="Z95" s="137">
        <f>BM95</f>
        <v>9713</v>
      </c>
      <c r="AA95" s="137">
        <f>BO95+BQ95</f>
        <v>3302</v>
      </c>
      <c r="AB95" s="139">
        <f>BP95</f>
        <v>4470</v>
      </c>
      <c r="AC95" s="137">
        <f>BX95</f>
        <v>13714</v>
      </c>
      <c r="AD95" s="137">
        <f>BU95</f>
        <v>4577</v>
      </c>
      <c r="AE95" s="137">
        <f>BT95</f>
        <v>12575</v>
      </c>
      <c r="AF95" s="137">
        <f>CA95</f>
        <v>5079</v>
      </c>
      <c r="AG95" s="137">
        <f>BV95</f>
        <v>11376</v>
      </c>
      <c r="AH95" s="137">
        <f>BZ95</f>
        <v>10288</v>
      </c>
      <c r="AI95" s="137">
        <f>BW95</f>
        <v>6966</v>
      </c>
      <c r="AJ95" s="137">
        <f>BY95</f>
        <v>5669</v>
      </c>
      <c r="AK95" s="139">
        <f>CB95</f>
        <v>11846</v>
      </c>
      <c r="AL95" s="137">
        <f>CE95</f>
        <v>3682</v>
      </c>
      <c r="AM95" s="137">
        <f>CH95</f>
        <v>40047</v>
      </c>
      <c r="AN95" s="137">
        <f>CJ95</f>
        <v>77867</v>
      </c>
      <c r="AO95" s="137">
        <f t="shared" ref="AO95:AP99" si="187">CC95</f>
        <v>10463</v>
      </c>
      <c r="AP95" s="137">
        <f t="shared" si="187"/>
        <v>2188</v>
      </c>
      <c r="AQ95" s="137">
        <f>CK95</f>
        <v>16050</v>
      </c>
      <c r="AR95" s="137">
        <f>CI95</f>
        <v>13238</v>
      </c>
      <c r="AS95" s="138">
        <f>CF95+CG95</f>
        <v>23297</v>
      </c>
      <c r="AT95" s="141">
        <v>488</v>
      </c>
      <c r="AU95" s="141">
        <v>3596</v>
      </c>
      <c r="AV95" s="141">
        <v>3597</v>
      </c>
      <c r="AW95" s="141">
        <v>12155</v>
      </c>
      <c r="AX95" s="137">
        <v>5871</v>
      </c>
      <c r="AY95" s="137">
        <v>8671</v>
      </c>
      <c r="AZ95" s="137">
        <v>266</v>
      </c>
      <c r="BA95" s="137">
        <v>6464</v>
      </c>
      <c r="BB95" s="137">
        <v>9048</v>
      </c>
      <c r="BC95" s="137">
        <v>25010</v>
      </c>
      <c r="BD95" s="137">
        <v>9647</v>
      </c>
      <c r="BE95" s="137">
        <v>8882</v>
      </c>
      <c r="BF95" s="139">
        <v>29042</v>
      </c>
      <c r="BG95" s="137" t="s">
        <v>58</v>
      </c>
      <c r="BH95" s="137">
        <v>113</v>
      </c>
      <c r="BI95" s="137">
        <v>1989</v>
      </c>
      <c r="BJ95" s="137">
        <v>733</v>
      </c>
      <c r="BK95" s="137">
        <v>256</v>
      </c>
      <c r="BL95" s="137">
        <v>39</v>
      </c>
      <c r="BM95" s="137">
        <v>9713</v>
      </c>
      <c r="BN95" s="137">
        <v>4880</v>
      </c>
      <c r="BO95" s="137">
        <v>113</v>
      </c>
      <c r="BP95" s="137">
        <v>4470</v>
      </c>
      <c r="BQ95" s="137">
        <v>3189</v>
      </c>
      <c r="BR95" s="139">
        <v>4744</v>
      </c>
      <c r="BS95" s="137" t="s">
        <v>58</v>
      </c>
      <c r="BT95" s="137">
        <v>12575</v>
      </c>
      <c r="BU95" s="137">
        <v>4577</v>
      </c>
      <c r="BV95" s="137">
        <v>11376</v>
      </c>
      <c r="BW95" s="137">
        <v>6966</v>
      </c>
      <c r="BX95" s="137">
        <v>13714</v>
      </c>
      <c r="BY95" s="137">
        <v>5669</v>
      </c>
      <c r="BZ95" s="137">
        <v>10288</v>
      </c>
      <c r="CA95" s="137">
        <v>5079</v>
      </c>
      <c r="CB95" s="139">
        <v>11846</v>
      </c>
      <c r="CC95" s="137">
        <v>10463</v>
      </c>
      <c r="CD95" s="137">
        <v>2188</v>
      </c>
      <c r="CE95" s="137">
        <v>3682</v>
      </c>
      <c r="CF95" s="137">
        <v>1002</v>
      </c>
      <c r="CG95" s="137">
        <v>22295</v>
      </c>
      <c r="CH95" s="137">
        <v>40047</v>
      </c>
      <c r="CI95" s="137">
        <v>13238</v>
      </c>
      <c r="CJ95" s="137">
        <v>77867</v>
      </c>
      <c r="CK95" s="138">
        <v>16050</v>
      </c>
      <c r="CL95" s="140">
        <v>421896</v>
      </c>
    </row>
    <row r="96" spans="1:90">
      <c r="A96" s="80">
        <f>ROWS($A$3:A94)</f>
        <v>92</v>
      </c>
      <c r="B96" s="92" t="s">
        <v>95</v>
      </c>
      <c r="C96" s="203">
        <f>C95</f>
        <v>2001</v>
      </c>
      <c r="D96" s="254" t="s">
        <v>10</v>
      </c>
      <c r="E96" s="256"/>
      <c r="F96" s="116">
        <v>664795</v>
      </c>
      <c r="G96" s="137">
        <v>156949</v>
      </c>
      <c r="H96" s="137">
        <v>397121</v>
      </c>
      <c r="I96" s="138">
        <v>1062659</v>
      </c>
      <c r="J96" s="141"/>
      <c r="K96" s="116">
        <f>BF96</f>
        <v>161530</v>
      </c>
      <c r="L96" s="137">
        <f>AY96</f>
        <v>46114</v>
      </c>
      <c r="M96" s="137">
        <f>BD96</f>
        <v>49632</v>
      </c>
      <c r="N96" s="137">
        <f>AW96</f>
        <v>62116</v>
      </c>
      <c r="O96" s="137">
        <f>BE96</f>
        <v>45338</v>
      </c>
      <c r="P96" s="137">
        <f>AZ96+BA96</f>
        <v>36867</v>
      </c>
      <c r="Q96" s="137">
        <f>'2001'!AU96</f>
        <v>19783</v>
      </c>
      <c r="R96" s="137">
        <f>AX96</f>
        <v>31703</v>
      </c>
      <c r="S96" s="137">
        <f>AV96</f>
        <v>15934</v>
      </c>
      <c r="T96" s="137">
        <f t="shared" si="186"/>
        <v>48417</v>
      </c>
      <c r="U96" s="139">
        <f t="shared" si="186"/>
        <v>145036</v>
      </c>
      <c r="V96" s="137">
        <f>BJ96</f>
        <v>3011</v>
      </c>
      <c r="W96" s="137">
        <f>BR96</f>
        <v>23335</v>
      </c>
      <c r="X96" s="137">
        <f>BH96+BI96</f>
        <v>9370</v>
      </c>
      <c r="Y96" s="137">
        <f>BK96+BL96+BN96</f>
        <v>27236</v>
      </c>
      <c r="Z96" s="137">
        <f>BM96</f>
        <v>54272</v>
      </c>
      <c r="AA96" s="137">
        <f>BO96+BQ96</f>
        <v>17061</v>
      </c>
      <c r="AB96" s="139">
        <f>BP96</f>
        <v>22664</v>
      </c>
      <c r="AC96" s="137">
        <f>BX96</f>
        <v>66784</v>
      </c>
      <c r="AD96" s="137">
        <f>BU96</f>
        <v>21224</v>
      </c>
      <c r="AE96" s="137">
        <f>BT96</f>
        <v>59899</v>
      </c>
      <c r="AF96" s="137">
        <f>CA96</f>
        <v>21976</v>
      </c>
      <c r="AG96" s="137">
        <f>BV96</f>
        <v>48870</v>
      </c>
      <c r="AH96" s="137">
        <f>BZ96</f>
        <v>57217</v>
      </c>
      <c r="AI96" s="137">
        <f>BW96</f>
        <v>32064</v>
      </c>
      <c r="AJ96" s="137">
        <f>BY96</f>
        <v>30588</v>
      </c>
      <c r="AK96" s="139">
        <f>CB96</f>
        <v>58499</v>
      </c>
      <c r="AL96" s="137">
        <f>CE96</f>
        <v>20089</v>
      </c>
      <c r="AM96" s="137">
        <f>CH96</f>
        <v>231386</v>
      </c>
      <c r="AN96" s="137">
        <f>CJ96</f>
        <v>459350</v>
      </c>
      <c r="AO96" s="137">
        <f t="shared" si="187"/>
        <v>55082</v>
      </c>
      <c r="AP96" s="137">
        <f t="shared" si="187"/>
        <v>10088</v>
      </c>
      <c r="AQ96" s="137">
        <f>CK96</f>
        <v>84860</v>
      </c>
      <c r="AR96" s="137">
        <f>CI96</f>
        <v>75394</v>
      </c>
      <c r="AS96" s="138">
        <f>CF96+CG96</f>
        <v>126410</v>
      </c>
      <c r="AT96" s="141">
        <v>2325</v>
      </c>
      <c r="AU96" s="141">
        <v>19783</v>
      </c>
      <c r="AV96" s="141">
        <v>15934</v>
      </c>
      <c r="AW96" s="141">
        <v>62116</v>
      </c>
      <c r="AX96" s="137">
        <v>31703</v>
      </c>
      <c r="AY96" s="137">
        <v>46114</v>
      </c>
      <c r="AZ96" s="137">
        <v>937</v>
      </c>
      <c r="BA96" s="137">
        <v>35930</v>
      </c>
      <c r="BB96" s="137">
        <v>48417</v>
      </c>
      <c r="BC96" s="137">
        <v>145036</v>
      </c>
      <c r="BD96" s="137">
        <v>49632</v>
      </c>
      <c r="BE96" s="137">
        <v>45338</v>
      </c>
      <c r="BF96" s="139">
        <v>161530</v>
      </c>
      <c r="BG96" s="137" t="s">
        <v>233</v>
      </c>
      <c r="BH96" s="137">
        <v>531</v>
      </c>
      <c r="BI96" s="137">
        <v>8839</v>
      </c>
      <c r="BJ96" s="137">
        <v>3011</v>
      </c>
      <c r="BK96" s="137">
        <v>1727</v>
      </c>
      <c r="BL96" s="137">
        <v>174</v>
      </c>
      <c r="BM96" s="137">
        <v>54272</v>
      </c>
      <c r="BN96" s="137">
        <v>25335</v>
      </c>
      <c r="BO96" s="137">
        <v>508</v>
      </c>
      <c r="BP96" s="137">
        <v>22664</v>
      </c>
      <c r="BQ96" s="137">
        <v>16553</v>
      </c>
      <c r="BR96" s="139">
        <v>23335</v>
      </c>
      <c r="BS96" s="137" t="s">
        <v>233</v>
      </c>
      <c r="BT96" s="137">
        <v>59899</v>
      </c>
      <c r="BU96" s="137">
        <v>21224</v>
      </c>
      <c r="BV96" s="137">
        <v>48870</v>
      </c>
      <c r="BW96" s="137">
        <v>32064</v>
      </c>
      <c r="BX96" s="137">
        <v>66784</v>
      </c>
      <c r="BY96" s="137">
        <v>30588</v>
      </c>
      <c r="BZ96" s="137">
        <v>57217</v>
      </c>
      <c r="CA96" s="137">
        <v>21976</v>
      </c>
      <c r="CB96" s="139">
        <v>58499</v>
      </c>
      <c r="CC96" s="137">
        <v>55082</v>
      </c>
      <c r="CD96" s="137">
        <v>10088</v>
      </c>
      <c r="CE96" s="137">
        <v>20089</v>
      </c>
      <c r="CF96" s="137">
        <v>6447</v>
      </c>
      <c r="CG96" s="137">
        <v>119963</v>
      </c>
      <c r="CH96" s="137">
        <v>231386</v>
      </c>
      <c r="CI96" s="137">
        <v>75394</v>
      </c>
      <c r="CJ96" s="137">
        <v>459350</v>
      </c>
      <c r="CK96" s="138">
        <v>84860</v>
      </c>
      <c r="CL96" s="140">
        <v>2281524</v>
      </c>
    </row>
    <row r="97" spans="1:90">
      <c r="A97" s="80">
        <f>ROWS($A$3:A95)</f>
        <v>93</v>
      </c>
      <c r="B97" s="92" t="s">
        <v>96</v>
      </c>
      <c r="C97" s="198">
        <f>C95</f>
        <v>2001</v>
      </c>
      <c r="D97" s="254" t="s">
        <v>10</v>
      </c>
      <c r="E97" s="256"/>
      <c r="F97" s="116">
        <v>618865</v>
      </c>
      <c r="G97" s="137">
        <v>149025</v>
      </c>
      <c r="H97" s="137">
        <v>366598</v>
      </c>
      <c r="I97" s="138">
        <v>1009287</v>
      </c>
      <c r="J97" s="141"/>
      <c r="K97" s="116">
        <f>BF97</f>
        <v>150712</v>
      </c>
      <c r="L97" s="137">
        <f>AY97</f>
        <v>42810</v>
      </c>
      <c r="M97" s="137">
        <f>BD97</f>
        <v>45971</v>
      </c>
      <c r="N97" s="137">
        <f>AW97</f>
        <v>57752</v>
      </c>
      <c r="O97" s="137">
        <f>BE97</f>
        <v>42099</v>
      </c>
      <c r="P97" s="137">
        <f>AZ97+BA97</f>
        <v>34324</v>
      </c>
      <c r="Q97" s="137">
        <f>'2001'!AU97</f>
        <v>18437</v>
      </c>
      <c r="R97" s="137">
        <f>AX97</f>
        <v>29537</v>
      </c>
      <c r="S97" s="137">
        <f>AV97</f>
        <v>14642</v>
      </c>
      <c r="T97" s="137">
        <f t="shared" si="186"/>
        <v>45007</v>
      </c>
      <c r="U97" s="139">
        <f t="shared" si="186"/>
        <v>135411</v>
      </c>
      <c r="V97" s="137">
        <f>BJ97</f>
        <v>2815</v>
      </c>
      <c r="W97" s="137">
        <f>BR97</f>
        <v>22064</v>
      </c>
      <c r="X97" s="137">
        <f>BH97+BI97</f>
        <v>8816</v>
      </c>
      <c r="Y97" s="137">
        <f>BK97+BL97+BN97</f>
        <v>25904</v>
      </c>
      <c r="Z97" s="137">
        <f>BM97</f>
        <v>51750</v>
      </c>
      <c r="AA97" s="137">
        <f>BO97+BQ97</f>
        <v>16216</v>
      </c>
      <c r="AB97" s="139">
        <f>BP97</f>
        <v>21460</v>
      </c>
      <c r="AC97" s="137">
        <f>BX97</f>
        <v>61788</v>
      </c>
      <c r="AD97" s="137">
        <f>BU97</f>
        <v>19448</v>
      </c>
      <c r="AE97" s="137">
        <f>BT97</f>
        <v>55233</v>
      </c>
      <c r="AF97" s="137">
        <f>CA97</f>
        <v>19955</v>
      </c>
      <c r="AG97" s="137">
        <f>BV97</f>
        <v>44544</v>
      </c>
      <c r="AH97" s="137">
        <f>BZ97</f>
        <v>53603</v>
      </c>
      <c r="AI97" s="137">
        <f>BW97</f>
        <v>29404</v>
      </c>
      <c r="AJ97" s="137">
        <f>BY97</f>
        <v>28518</v>
      </c>
      <c r="AK97" s="139">
        <f>CB97</f>
        <v>54105</v>
      </c>
      <c r="AL97" s="137">
        <f>CE97</f>
        <v>19008</v>
      </c>
      <c r="AM97" s="137">
        <f>CH97</f>
        <v>219991</v>
      </c>
      <c r="AN97" s="137">
        <f>CJ97</f>
        <v>437632</v>
      </c>
      <c r="AO97" s="137">
        <f t="shared" si="187"/>
        <v>51966</v>
      </c>
      <c r="AP97" s="137">
        <f t="shared" si="187"/>
        <v>9443</v>
      </c>
      <c r="AQ97" s="137">
        <f>CK97</f>
        <v>80123</v>
      </c>
      <c r="AR97" s="137">
        <f>CI97</f>
        <v>71575</v>
      </c>
      <c r="AS97" s="138">
        <f>CF97+CG97</f>
        <v>119549</v>
      </c>
      <c r="AT97" s="141">
        <v>2163</v>
      </c>
      <c r="AU97" s="141">
        <v>18437</v>
      </c>
      <c r="AV97" s="141">
        <v>14642</v>
      </c>
      <c r="AW97" s="141">
        <v>57752</v>
      </c>
      <c r="AX97" s="137">
        <v>29537</v>
      </c>
      <c r="AY97" s="137">
        <v>42810</v>
      </c>
      <c r="AZ97" s="137">
        <v>832</v>
      </c>
      <c r="BA97" s="137">
        <v>33492</v>
      </c>
      <c r="BB97" s="137">
        <v>45007</v>
      </c>
      <c r="BC97" s="137">
        <v>135411</v>
      </c>
      <c r="BD97" s="137">
        <v>45971</v>
      </c>
      <c r="BE97" s="137">
        <v>42099</v>
      </c>
      <c r="BF97" s="139">
        <v>150712</v>
      </c>
      <c r="BG97" s="141" t="s">
        <v>233</v>
      </c>
      <c r="BH97" s="137">
        <v>500</v>
      </c>
      <c r="BI97" s="137">
        <v>8316</v>
      </c>
      <c r="BJ97" s="137">
        <v>2815</v>
      </c>
      <c r="BK97" s="137">
        <v>1657</v>
      </c>
      <c r="BL97" s="137">
        <v>163</v>
      </c>
      <c r="BM97" s="137">
        <v>51750</v>
      </c>
      <c r="BN97" s="137">
        <v>24084</v>
      </c>
      <c r="BO97" s="137">
        <v>477</v>
      </c>
      <c r="BP97" s="137">
        <v>21460</v>
      </c>
      <c r="BQ97" s="137">
        <v>15739</v>
      </c>
      <c r="BR97" s="139">
        <v>22064</v>
      </c>
      <c r="BS97" s="137" t="s">
        <v>233</v>
      </c>
      <c r="BT97" s="137">
        <v>55233</v>
      </c>
      <c r="BU97" s="137">
        <v>19448</v>
      </c>
      <c r="BV97" s="137">
        <v>44544</v>
      </c>
      <c r="BW97" s="137">
        <v>29404</v>
      </c>
      <c r="BX97" s="137">
        <v>61788</v>
      </c>
      <c r="BY97" s="137">
        <v>28518</v>
      </c>
      <c r="BZ97" s="137">
        <v>53603</v>
      </c>
      <c r="CA97" s="137">
        <v>19955</v>
      </c>
      <c r="CB97" s="139">
        <v>54105</v>
      </c>
      <c r="CC97" s="137">
        <v>51966</v>
      </c>
      <c r="CD97" s="137">
        <v>9443</v>
      </c>
      <c r="CE97" s="137">
        <v>19008</v>
      </c>
      <c r="CF97" s="137">
        <v>6155</v>
      </c>
      <c r="CG97" s="137">
        <v>113394</v>
      </c>
      <c r="CH97" s="137">
        <v>219991</v>
      </c>
      <c r="CI97" s="137">
        <v>71575</v>
      </c>
      <c r="CJ97" s="137">
        <v>437632</v>
      </c>
      <c r="CK97" s="138">
        <v>80123</v>
      </c>
      <c r="CL97" s="140">
        <v>2143775</v>
      </c>
    </row>
    <row r="98" spans="1:90">
      <c r="A98" s="80">
        <f>ROWS($A$3:A96)</f>
        <v>94</v>
      </c>
      <c r="B98" s="55" t="s">
        <v>77</v>
      </c>
      <c r="C98" s="202">
        <v>1991</v>
      </c>
      <c r="D98" s="254" t="s">
        <v>13</v>
      </c>
      <c r="E98" s="256"/>
      <c r="F98" s="154">
        <v>172068</v>
      </c>
      <c r="G98" s="155">
        <v>44734</v>
      </c>
      <c r="H98" s="155">
        <v>118717</v>
      </c>
      <c r="I98" s="156">
        <v>240399</v>
      </c>
      <c r="J98" s="281"/>
      <c r="K98" s="157">
        <f>BF98</f>
        <v>38616</v>
      </c>
      <c r="L98" s="113">
        <f>AY98</f>
        <v>12459</v>
      </c>
      <c r="M98" s="113">
        <f>BD98</f>
        <v>14308</v>
      </c>
      <c r="N98" s="113">
        <f>AW98</f>
        <v>15970</v>
      </c>
      <c r="O98" s="113">
        <f>BE98</f>
        <v>11675</v>
      </c>
      <c r="P98" s="137">
        <f>AZ98+BA98</f>
        <v>10860</v>
      </c>
      <c r="Q98" s="113">
        <f>'2001'!AU98</f>
        <v>5187</v>
      </c>
      <c r="R98" s="113">
        <f>AT98+AX98</f>
        <v>9803</v>
      </c>
      <c r="S98" s="113">
        <f>AV98</f>
        <v>5728</v>
      </c>
      <c r="T98" s="113">
        <f t="shared" si="186"/>
        <v>12974</v>
      </c>
      <c r="U98" s="112">
        <f t="shared" si="186"/>
        <v>34488</v>
      </c>
      <c r="V98" s="113">
        <f>BJ98</f>
        <v>1361</v>
      </c>
      <c r="W98" s="113">
        <f>BR98</f>
        <v>7035</v>
      </c>
      <c r="X98" s="137">
        <f>BH98+BI98</f>
        <v>3587</v>
      </c>
      <c r="Y98" s="137">
        <f>BK98+BL98+BN98</f>
        <v>7856</v>
      </c>
      <c r="Z98" s="113">
        <f>BM98</f>
        <v>13673</v>
      </c>
      <c r="AA98" s="137">
        <f>BO98+BQ98</f>
        <v>4605</v>
      </c>
      <c r="AB98" s="112">
        <f>BP98</f>
        <v>6617</v>
      </c>
      <c r="AC98" s="113">
        <f>BX98</f>
        <v>18640</v>
      </c>
      <c r="AD98" s="113">
        <f>BU98</f>
        <v>7666</v>
      </c>
      <c r="AE98" s="113">
        <f>BT98</f>
        <v>16839</v>
      </c>
      <c r="AF98" s="113">
        <f>CA98</f>
        <v>8473</v>
      </c>
      <c r="AG98" s="113">
        <f>BV98</f>
        <v>18007</v>
      </c>
      <c r="AH98" s="113">
        <f>BZ98</f>
        <v>13925</v>
      </c>
      <c r="AI98" s="113">
        <f>BW98</f>
        <v>10890</v>
      </c>
      <c r="AJ98" s="113">
        <f>BY98</f>
        <v>7434</v>
      </c>
      <c r="AK98" s="112">
        <f>CB98</f>
        <v>16843</v>
      </c>
      <c r="AL98" s="113">
        <f>CE98</f>
        <v>5394</v>
      </c>
      <c r="AM98" s="113">
        <f>CH98</f>
        <v>50367</v>
      </c>
      <c r="AN98" s="113">
        <f>CJ98</f>
        <v>91335</v>
      </c>
      <c r="AO98" s="113">
        <f t="shared" si="187"/>
        <v>14740</v>
      </c>
      <c r="AP98" s="113">
        <f t="shared" si="187"/>
        <v>3227</v>
      </c>
      <c r="AQ98" s="113">
        <f>CK98</f>
        <v>23254</v>
      </c>
      <c r="AR98" s="113">
        <f>CI98</f>
        <v>18662</v>
      </c>
      <c r="AS98" s="138">
        <f>CF98+CG98</f>
        <v>33420</v>
      </c>
      <c r="AT98" s="113">
        <v>669</v>
      </c>
      <c r="AU98" s="113">
        <v>5187</v>
      </c>
      <c r="AV98" s="113">
        <v>5728</v>
      </c>
      <c r="AW98" s="113">
        <v>15970</v>
      </c>
      <c r="AX98" s="113">
        <v>9134</v>
      </c>
      <c r="AY98" s="113">
        <v>12459</v>
      </c>
      <c r="AZ98" s="113">
        <v>579</v>
      </c>
      <c r="BA98" s="113">
        <v>10281</v>
      </c>
      <c r="BB98" s="113">
        <v>12974</v>
      </c>
      <c r="BC98" s="113">
        <v>34488</v>
      </c>
      <c r="BD98" s="113">
        <v>14308</v>
      </c>
      <c r="BE98" s="113">
        <v>11675</v>
      </c>
      <c r="BF98" s="112">
        <v>38616</v>
      </c>
      <c r="BG98" s="159" t="s">
        <v>233</v>
      </c>
      <c r="BH98" s="113">
        <v>268</v>
      </c>
      <c r="BI98" s="113">
        <v>3319</v>
      </c>
      <c r="BJ98" s="113">
        <v>1361</v>
      </c>
      <c r="BK98" s="113">
        <v>329</v>
      </c>
      <c r="BL98" s="113">
        <v>80</v>
      </c>
      <c r="BM98" s="113">
        <v>13673</v>
      </c>
      <c r="BN98" s="113">
        <v>7447</v>
      </c>
      <c r="BO98" s="159">
        <v>174</v>
      </c>
      <c r="BP98" s="113">
        <v>6617</v>
      </c>
      <c r="BQ98" s="113">
        <v>4431</v>
      </c>
      <c r="BR98" s="112">
        <v>7035</v>
      </c>
      <c r="BS98" s="159" t="s">
        <v>233</v>
      </c>
      <c r="BT98" s="113">
        <v>16839</v>
      </c>
      <c r="BU98" s="113">
        <v>7666</v>
      </c>
      <c r="BV98" s="113">
        <v>18007</v>
      </c>
      <c r="BW98" s="113">
        <v>10890</v>
      </c>
      <c r="BX98" s="113">
        <v>18640</v>
      </c>
      <c r="BY98" s="113">
        <v>7434</v>
      </c>
      <c r="BZ98" s="113">
        <v>13925</v>
      </c>
      <c r="CA98" s="113">
        <v>8473</v>
      </c>
      <c r="CB98" s="112">
        <v>16843</v>
      </c>
      <c r="CC98" s="113">
        <v>14740</v>
      </c>
      <c r="CD98" s="113">
        <v>3227</v>
      </c>
      <c r="CE98" s="113">
        <v>5394</v>
      </c>
      <c r="CF98" s="113">
        <v>1622</v>
      </c>
      <c r="CG98" s="113">
        <v>31798</v>
      </c>
      <c r="CH98" s="113">
        <v>50367</v>
      </c>
      <c r="CI98" s="113">
        <v>18662</v>
      </c>
      <c r="CJ98" s="113">
        <v>91335</v>
      </c>
      <c r="CK98" s="158">
        <v>23254</v>
      </c>
      <c r="CL98" s="123">
        <v>575918</v>
      </c>
    </row>
    <row r="99" spans="1:90">
      <c r="A99" s="80">
        <f>ROWS($A$3:A97)</f>
        <v>95</v>
      </c>
      <c r="B99" s="55" t="s">
        <v>357</v>
      </c>
      <c r="C99" s="205">
        <f>C98</f>
        <v>1991</v>
      </c>
      <c r="D99" s="254" t="s">
        <v>10</v>
      </c>
      <c r="E99" s="256">
        <v>42919</v>
      </c>
      <c r="F99" s="381">
        <v>710.81399999999996</v>
      </c>
      <c r="G99" s="384">
        <v>187.92599999999999</v>
      </c>
      <c r="H99" s="384">
        <v>459.07799999999997</v>
      </c>
      <c r="I99" s="383">
        <v>1110.1400000000001</v>
      </c>
      <c r="J99" s="382"/>
      <c r="K99" s="516">
        <f>BF99</f>
        <v>164.89</v>
      </c>
      <c r="L99" s="251">
        <f>AY99</f>
        <v>52.677999999999997</v>
      </c>
      <c r="M99" s="251">
        <f>BD99</f>
        <v>58.311999999999998</v>
      </c>
      <c r="N99" s="251">
        <f>AW99</f>
        <v>61.271000000000001</v>
      </c>
      <c r="O99" s="251">
        <f>BE99</f>
        <v>49.344000000000001</v>
      </c>
      <c r="P99" s="171">
        <f>AZ99+BA99</f>
        <v>48.554000000000002</v>
      </c>
      <c r="Q99" s="251">
        <f>'2001'!AU99</f>
        <v>21.977</v>
      </c>
      <c r="R99" s="251">
        <f>AT99+AX99</f>
        <v>40.706999999999994</v>
      </c>
      <c r="S99" s="251">
        <f>AV99</f>
        <v>20.87</v>
      </c>
      <c r="T99" s="251">
        <f t="shared" si="186"/>
        <v>56.683</v>
      </c>
      <c r="U99" s="517">
        <f t="shared" si="186"/>
        <v>135.52799999999999</v>
      </c>
      <c r="V99" s="251">
        <f>BJ99</f>
        <v>5.6319999999999997</v>
      </c>
      <c r="W99" s="251">
        <f>BR99</f>
        <v>24.904</v>
      </c>
      <c r="X99" s="171">
        <f>BH99+BI99</f>
        <v>15.452</v>
      </c>
      <c r="Y99" s="171">
        <f>BK99+BL99+BN99</f>
        <v>36.476999999999997</v>
      </c>
      <c r="Z99" s="251">
        <f>BM99</f>
        <v>63.402999999999999</v>
      </c>
      <c r="AA99" s="171">
        <f>BO99+BQ99</f>
        <v>18.420000000000002</v>
      </c>
      <c r="AB99" s="517">
        <f>BP99</f>
        <v>23.638000000000002</v>
      </c>
      <c r="AC99" s="251">
        <f>BX99</f>
        <v>70.036000000000001</v>
      </c>
      <c r="AD99" s="251">
        <f>BU99</f>
        <v>32.713999999999999</v>
      </c>
      <c r="AE99" s="251">
        <f>BT99</f>
        <v>65.724000000000004</v>
      </c>
      <c r="AF99" s="251">
        <f>CA99</f>
        <v>31.084</v>
      </c>
      <c r="AG99" s="251">
        <f>BV99</f>
        <v>65.576999999999998</v>
      </c>
      <c r="AH99" s="251">
        <f>BZ99</f>
        <v>60.073</v>
      </c>
      <c r="AI99" s="251">
        <f>BW99</f>
        <v>40.417999999999999</v>
      </c>
      <c r="AJ99" s="251">
        <f>BY99</f>
        <v>31.626000000000001</v>
      </c>
      <c r="AK99" s="517">
        <f>CB99</f>
        <v>61.826000000000001</v>
      </c>
      <c r="AL99" s="251">
        <f>CE99</f>
        <v>21.562000000000001</v>
      </c>
      <c r="AM99" s="251">
        <f>CH99</f>
        <v>244.18</v>
      </c>
      <c r="AN99" s="251">
        <f>CJ99</f>
        <v>444.36700000000002</v>
      </c>
      <c r="AO99" s="251">
        <f t="shared" si="187"/>
        <v>63.170999999999999</v>
      </c>
      <c r="AP99" s="251">
        <f t="shared" si="187"/>
        <v>13.31</v>
      </c>
      <c r="AQ99" s="251">
        <f>CK99</f>
        <v>97.369</v>
      </c>
      <c r="AR99" s="251">
        <f>CI99</f>
        <v>82.073999999999998</v>
      </c>
      <c r="AS99" s="174">
        <f>CF99+CG99</f>
        <v>144.107</v>
      </c>
      <c r="AT99" s="251">
        <v>2.9220000000000002</v>
      </c>
      <c r="AU99" s="251">
        <v>21.977</v>
      </c>
      <c r="AV99" s="251">
        <v>20.87</v>
      </c>
      <c r="AW99" s="251">
        <v>61.271000000000001</v>
      </c>
      <c r="AX99" s="251">
        <v>37.784999999999997</v>
      </c>
      <c r="AY99" s="251">
        <v>52.677999999999997</v>
      </c>
      <c r="AZ99" s="251">
        <v>0</v>
      </c>
      <c r="BA99" s="251">
        <f>2.487+46.067</f>
        <v>48.554000000000002</v>
      </c>
      <c r="BB99" s="251">
        <v>56.683</v>
      </c>
      <c r="BC99" s="251">
        <v>135.52799999999999</v>
      </c>
      <c r="BD99" s="251">
        <v>58.311999999999998</v>
      </c>
      <c r="BE99" s="251">
        <v>49.344000000000001</v>
      </c>
      <c r="BF99" s="517">
        <v>164.89</v>
      </c>
      <c r="BG99" s="518">
        <v>0</v>
      </c>
      <c r="BH99" s="251">
        <v>0</v>
      </c>
      <c r="BI99" s="251">
        <f>1.14+14.312</f>
        <v>15.452</v>
      </c>
      <c r="BJ99" s="251">
        <v>5.6319999999999997</v>
      </c>
      <c r="BK99" s="251">
        <v>0</v>
      </c>
      <c r="BL99" s="251">
        <v>0</v>
      </c>
      <c r="BM99" s="251">
        <v>63.402999999999999</v>
      </c>
      <c r="BN99" s="251">
        <f>1.519+0.414+34.544</f>
        <v>36.476999999999997</v>
      </c>
      <c r="BO99" s="518">
        <v>0</v>
      </c>
      <c r="BP99" s="251">
        <v>23.638000000000002</v>
      </c>
      <c r="BQ99" s="251">
        <f>0.742+17.678</f>
        <v>18.420000000000002</v>
      </c>
      <c r="BR99" s="517">
        <v>24.904</v>
      </c>
      <c r="BS99" s="518">
        <v>0</v>
      </c>
      <c r="BT99" s="251">
        <v>65.724000000000004</v>
      </c>
      <c r="BU99" s="251">
        <v>32.713999999999999</v>
      </c>
      <c r="BV99" s="251">
        <v>65.576999999999998</v>
      </c>
      <c r="BW99" s="251">
        <v>40.417999999999999</v>
      </c>
      <c r="BX99" s="251">
        <v>70.036000000000001</v>
      </c>
      <c r="BY99" s="251">
        <v>31.626000000000001</v>
      </c>
      <c r="BZ99" s="251">
        <v>60.073</v>
      </c>
      <c r="CA99" s="251">
        <v>31.084</v>
      </c>
      <c r="CB99" s="517">
        <v>61.826000000000001</v>
      </c>
      <c r="CC99" s="251">
        <v>63.170999999999999</v>
      </c>
      <c r="CD99" s="251">
        <v>13.31</v>
      </c>
      <c r="CE99" s="251">
        <v>21.562000000000001</v>
      </c>
      <c r="CF99" s="251">
        <v>0</v>
      </c>
      <c r="CG99" s="251">
        <f>7.837+136.27</f>
        <v>144.107</v>
      </c>
      <c r="CH99" s="251">
        <v>244.18</v>
      </c>
      <c r="CI99" s="251">
        <v>82.073999999999998</v>
      </c>
      <c r="CJ99" s="251">
        <v>444.36700000000002</v>
      </c>
      <c r="CK99" s="519">
        <v>97.369</v>
      </c>
      <c r="CL99" s="520">
        <v>2467.9580000000001</v>
      </c>
    </row>
    <row r="100" spans="1:90">
      <c r="A100" s="80">
        <f>ROWS($A$3:A98)</f>
        <v>96</v>
      </c>
      <c r="B100" s="55"/>
      <c r="C100" s="203"/>
      <c r="D100" s="254"/>
      <c r="E100" s="269"/>
      <c r="F100" s="154" t="s">
        <v>228</v>
      </c>
      <c r="G100" s="155" t="s">
        <v>228</v>
      </c>
      <c r="H100" s="155" t="s">
        <v>228</v>
      </c>
      <c r="I100" s="156" t="s">
        <v>228</v>
      </c>
      <c r="J100" s="281"/>
      <c r="K100" s="157" t="s">
        <v>228</v>
      </c>
      <c r="L100" s="113" t="s">
        <v>228</v>
      </c>
      <c r="M100" s="113" t="s">
        <v>228</v>
      </c>
      <c r="N100" s="113" t="s">
        <v>228</v>
      </c>
      <c r="O100" s="113" t="s">
        <v>228</v>
      </c>
      <c r="P100" s="113" t="s">
        <v>212</v>
      </c>
      <c r="Q100" s="113" t="s">
        <v>228</v>
      </c>
      <c r="R100" s="113" t="s">
        <v>213</v>
      </c>
      <c r="S100" s="113" t="s">
        <v>228</v>
      </c>
      <c r="T100" s="113" t="s">
        <v>228</v>
      </c>
      <c r="U100" s="112" t="s">
        <v>228</v>
      </c>
      <c r="V100" s="113" t="s">
        <v>214</v>
      </c>
      <c r="W100" s="113" t="s">
        <v>228</v>
      </c>
      <c r="X100" s="113" t="s">
        <v>215</v>
      </c>
      <c r="Y100" s="113" t="s">
        <v>216</v>
      </c>
      <c r="Z100" s="113" t="s">
        <v>228</v>
      </c>
      <c r="AA100" s="113" t="s">
        <v>217</v>
      </c>
      <c r="AB100" s="112" t="s">
        <v>228</v>
      </c>
      <c r="AC100" s="113" t="s">
        <v>228</v>
      </c>
      <c r="AD100" s="113" t="s">
        <v>228</v>
      </c>
      <c r="AE100" s="113" t="s">
        <v>218</v>
      </c>
      <c r="AF100" s="113" t="s">
        <v>228</v>
      </c>
      <c r="AG100" s="113" t="s">
        <v>228</v>
      </c>
      <c r="AH100" s="113" t="s">
        <v>228</v>
      </c>
      <c r="AI100" s="113" t="s">
        <v>228</v>
      </c>
      <c r="AJ100" s="113" t="s">
        <v>228</v>
      </c>
      <c r="AK100" s="112" t="s">
        <v>228</v>
      </c>
      <c r="AL100" s="113" t="s">
        <v>228</v>
      </c>
      <c r="AM100" s="113" t="s">
        <v>228</v>
      </c>
      <c r="AN100" s="113" t="s">
        <v>228</v>
      </c>
      <c r="AO100" s="113" t="s">
        <v>228</v>
      </c>
      <c r="AP100" s="113" t="s">
        <v>228</v>
      </c>
      <c r="AQ100" s="113" t="s">
        <v>228</v>
      </c>
      <c r="AR100" s="113" t="s">
        <v>228</v>
      </c>
      <c r="AS100" s="158" t="s">
        <v>219</v>
      </c>
      <c r="AT100" s="113"/>
      <c r="AU100" s="113"/>
      <c r="AV100" s="113"/>
      <c r="AW100" s="113"/>
      <c r="AX100" s="113"/>
      <c r="AY100" s="113"/>
      <c r="AZ100" s="113"/>
      <c r="BA100" s="113"/>
      <c r="BB100" s="113"/>
      <c r="BC100" s="113"/>
      <c r="BD100" s="113"/>
      <c r="BE100" s="113"/>
      <c r="BF100" s="112"/>
      <c r="BG100" s="159"/>
      <c r="BH100" s="113"/>
      <c r="BI100" s="113"/>
      <c r="BJ100" s="113"/>
      <c r="BK100" s="113"/>
      <c r="BL100" s="113"/>
      <c r="BM100" s="113"/>
      <c r="BN100" s="113"/>
      <c r="BO100" s="159"/>
      <c r="BP100" s="113"/>
      <c r="BQ100" s="113"/>
      <c r="BR100" s="112"/>
      <c r="BS100" s="159"/>
      <c r="BT100" s="113"/>
      <c r="BU100" s="113"/>
      <c r="BV100" s="113"/>
      <c r="BW100" s="113"/>
      <c r="BX100" s="113"/>
      <c r="BY100" s="113"/>
      <c r="BZ100" s="113"/>
      <c r="CA100" s="113"/>
      <c r="CB100" s="112"/>
      <c r="CC100" s="113"/>
      <c r="CD100" s="113"/>
      <c r="CE100" s="113"/>
      <c r="CF100" s="113"/>
      <c r="CG100" s="113"/>
      <c r="CH100" s="113"/>
      <c r="CI100" s="113"/>
      <c r="CJ100" s="113"/>
      <c r="CK100" s="158"/>
      <c r="CL100" s="123"/>
    </row>
    <row r="101" spans="1:90">
      <c r="A101" s="80">
        <f>ROWS($A$3:A99)</f>
        <v>97</v>
      </c>
      <c r="B101" s="55" t="s">
        <v>255</v>
      </c>
      <c r="C101" s="203">
        <f>C86</f>
        <v>2001</v>
      </c>
      <c r="D101" s="254" t="s">
        <v>13</v>
      </c>
      <c r="E101" s="256">
        <v>40694</v>
      </c>
      <c r="F101" s="154"/>
      <c r="G101" s="155"/>
      <c r="H101" s="155"/>
      <c r="I101" s="156"/>
      <c r="J101" s="281"/>
      <c r="K101" s="157">
        <f t="shared" ref="K101:K107" si="188">BF101</f>
        <v>211</v>
      </c>
      <c r="L101" s="113">
        <f t="shared" ref="L101:L107" si="189">AY101</f>
        <v>71</v>
      </c>
      <c r="M101" s="113">
        <f t="shared" ref="M101:M107" si="190">BD101</f>
        <v>175</v>
      </c>
      <c r="N101" s="113">
        <f t="shared" ref="N101:N107" si="191">AW101</f>
        <v>101</v>
      </c>
      <c r="O101" s="113">
        <f t="shared" ref="O101:O107" si="192">BE101</f>
        <v>92</v>
      </c>
      <c r="P101" s="113">
        <f>'2001'!AZ101+'2001'!BA101</f>
        <v>228</v>
      </c>
      <c r="Q101" s="113">
        <f>'2001'!AU101</f>
        <v>110</v>
      </c>
      <c r="R101" s="113">
        <f t="shared" ref="R101:R107" si="193">AT101+AX101</f>
        <v>136</v>
      </c>
      <c r="S101" s="113">
        <f t="shared" ref="S101:S107" si="194">AV101</f>
        <v>113</v>
      </c>
      <c r="T101" s="113">
        <f t="shared" ref="T101:U107" si="195">BB101</f>
        <v>211</v>
      </c>
      <c r="U101" s="112">
        <f t="shared" si="195"/>
        <v>249</v>
      </c>
      <c r="V101" s="113">
        <f t="shared" ref="V101:V107" si="196">BG101+BJ101</f>
        <v>56</v>
      </c>
      <c r="W101" s="113">
        <f t="shared" ref="W101:W107" si="197">BR101</f>
        <v>56</v>
      </c>
      <c r="X101" s="113">
        <f t="shared" ref="X101:X107" si="198">BH101+BI101</f>
        <v>167</v>
      </c>
      <c r="Y101" s="113">
        <f t="shared" ref="Y101:Y107" si="199">BK101+BL101+BN101</f>
        <v>92</v>
      </c>
      <c r="Z101" s="113">
        <f t="shared" ref="Z101:Z107" si="200">BM101</f>
        <v>110</v>
      </c>
      <c r="AA101" s="113">
        <f t="shared" ref="AA101:AA107" si="201">BO101+BQ101</f>
        <v>61</v>
      </c>
      <c r="AB101" s="112">
        <f t="shared" ref="AB101:AB107" si="202">BP101</f>
        <v>35</v>
      </c>
      <c r="AC101" s="113">
        <f t="shared" ref="AC101:AC107" si="203">BX101</f>
        <v>117</v>
      </c>
      <c r="AD101" s="113">
        <f t="shared" ref="AD101:AD107" si="204">BU101</f>
        <v>33</v>
      </c>
      <c r="AE101" s="113">
        <f t="shared" ref="AE101:AE107" si="205">BS101+BT101</f>
        <v>138</v>
      </c>
      <c r="AF101" s="113">
        <f t="shared" ref="AF101:AF107" si="206">CA101</f>
        <v>66</v>
      </c>
      <c r="AG101" s="113">
        <f t="shared" ref="AG101:AG107" si="207">BV101</f>
        <v>133</v>
      </c>
      <c r="AH101" s="113">
        <f t="shared" ref="AH101:AH107" si="208">BZ101</f>
        <v>100</v>
      </c>
      <c r="AI101" s="113">
        <f t="shared" ref="AI101:AI107" si="209">BW101</f>
        <v>110</v>
      </c>
      <c r="AJ101" s="113">
        <f t="shared" ref="AJ101:AJ107" si="210">BY101</f>
        <v>75</v>
      </c>
      <c r="AK101" s="112">
        <f t="shared" ref="AK101:AK107" si="211">CB101</f>
        <v>131</v>
      </c>
      <c r="AL101" s="113">
        <f t="shared" ref="AL101:AL107" si="212">CE101</f>
        <v>115</v>
      </c>
      <c r="AM101" s="113">
        <f t="shared" ref="AM101:AM107" si="213">CH101</f>
        <v>268</v>
      </c>
      <c r="AN101" s="113">
        <f t="shared" ref="AN101:AN107" si="214">CJ101</f>
        <v>154</v>
      </c>
      <c r="AO101" s="113">
        <f t="shared" ref="AO101:AP107" si="215">CC101</f>
        <v>164</v>
      </c>
      <c r="AP101" s="113">
        <f t="shared" si="215"/>
        <v>97</v>
      </c>
      <c r="AQ101" s="113">
        <f t="shared" ref="AQ101:AQ107" si="216">CK101</f>
        <v>227</v>
      </c>
      <c r="AR101" s="113">
        <f t="shared" ref="AR101:AR107" si="217">CI101</f>
        <v>35</v>
      </c>
      <c r="AS101" s="158">
        <f t="shared" ref="AS101:AS107" si="218">CF101+CG101</f>
        <v>310</v>
      </c>
      <c r="AT101" s="113">
        <v>7</v>
      </c>
      <c r="AU101" s="113">
        <v>110</v>
      </c>
      <c r="AV101" s="113">
        <v>113</v>
      </c>
      <c r="AW101" s="113">
        <v>101</v>
      </c>
      <c r="AX101" s="113">
        <v>129</v>
      </c>
      <c r="AY101" s="113">
        <v>71</v>
      </c>
      <c r="AZ101" s="113">
        <v>14</v>
      </c>
      <c r="BA101" s="113">
        <v>214</v>
      </c>
      <c r="BB101" s="113">
        <v>211</v>
      </c>
      <c r="BC101" s="113">
        <v>249</v>
      </c>
      <c r="BD101" s="113">
        <v>175</v>
      </c>
      <c r="BE101" s="113">
        <v>92</v>
      </c>
      <c r="BF101" s="112">
        <v>211</v>
      </c>
      <c r="BG101" s="159">
        <v>9</v>
      </c>
      <c r="BH101" s="113">
        <v>8</v>
      </c>
      <c r="BI101" s="113">
        <v>159</v>
      </c>
      <c r="BJ101" s="113">
        <v>47</v>
      </c>
      <c r="BK101" s="113">
        <v>1</v>
      </c>
      <c r="BL101" s="113">
        <v>2</v>
      </c>
      <c r="BM101" s="113">
        <v>110</v>
      </c>
      <c r="BN101" s="113">
        <v>89</v>
      </c>
      <c r="BO101" s="159">
        <v>3</v>
      </c>
      <c r="BP101" s="113">
        <v>35</v>
      </c>
      <c r="BQ101" s="113">
        <v>58</v>
      </c>
      <c r="BR101" s="112">
        <v>56</v>
      </c>
      <c r="BS101" s="159">
        <v>2</v>
      </c>
      <c r="BT101" s="113">
        <v>136</v>
      </c>
      <c r="BU101" s="113">
        <v>33</v>
      </c>
      <c r="BV101" s="113">
        <v>133</v>
      </c>
      <c r="BW101" s="113">
        <v>110</v>
      </c>
      <c r="BX101" s="113">
        <v>117</v>
      </c>
      <c r="BY101" s="113">
        <v>75</v>
      </c>
      <c r="BZ101" s="113">
        <v>100</v>
      </c>
      <c r="CA101" s="113">
        <v>66</v>
      </c>
      <c r="CB101" s="112">
        <v>131</v>
      </c>
      <c r="CC101" s="113">
        <v>164</v>
      </c>
      <c r="CD101" s="113">
        <v>97</v>
      </c>
      <c r="CE101" s="113">
        <v>115</v>
      </c>
      <c r="CF101" s="113">
        <v>3</v>
      </c>
      <c r="CG101" s="113">
        <v>307</v>
      </c>
      <c r="CH101" s="113">
        <v>268</v>
      </c>
      <c r="CI101" s="113">
        <v>35</v>
      </c>
      <c r="CJ101" s="113">
        <v>154</v>
      </c>
      <c r="CK101" s="158">
        <v>227</v>
      </c>
      <c r="CL101" s="123">
        <v>4546</v>
      </c>
    </row>
    <row r="102" spans="1:90">
      <c r="A102" s="80">
        <f>ROWS($A$3:A100)</f>
        <v>98</v>
      </c>
      <c r="B102" s="55"/>
      <c r="C102" s="203"/>
      <c r="D102" s="254"/>
      <c r="E102" s="269"/>
      <c r="F102" s="154"/>
      <c r="G102" s="155"/>
      <c r="H102" s="155"/>
      <c r="I102" s="156"/>
      <c r="J102" s="281"/>
      <c r="K102" s="157">
        <f t="shared" si="188"/>
        <v>0</v>
      </c>
      <c r="L102" s="113">
        <f t="shared" si="189"/>
        <v>0</v>
      </c>
      <c r="M102" s="113">
        <f t="shared" si="190"/>
        <v>0</v>
      </c>
      <c r="N102" s="113">
        <f t="shared" si="191"/>
        <v>0</v>
      </c>
      <c r="O102" s="113">
        <f t="shared" si="192"/>
        <v>0</v>
      </c>
      <c r="P102" s="113">
        <f>'2001'!AZ102+'2001'!BA102</f>
        <v>0</v>
      </c>
      <c r="Q102" s="113">
        <f>'2001'!AU102</f>
        <v>0</v>
      </c>
      <c r="R102" s="113">
        <f t="shared" si="193"/>
        <v>0</v>
      </c>
      <c r="S102" s="113">
        <f t="shared" si="194"/>
        <v>0</v>
      </c>
      <c r="T102" s="113">
        <f t="shared" si="195"/>
        <v>0</v>
      </c>
      <c r="U102" s="112">
        <f t="shared" si="195"/>
        <v>0</v>
      </c>
      <c r="V102" s="113">
        <f t="shared" si="196"/>
        <v>0</v>
      </c>
      <c r="W102" s="113">
        <f t="shared" si="197"/>
        <v>0</v>
      </c>
      <c r="X102" s="113">
        <f t="shared" si="198"/>
        <v>0</v>
      </c>
      <c r="Y102" s="113">
        <f t="shared" si="199"/>
        <v>0</v>
      </c>
      <c r="Z102" s="113">
        <f t="shared" si="200"/>
        <v>0</v>
      </c>
      <c r="AA102" s="113">
        <f t="shared" si="201"/>
        <v>0</v>
      </c>
      <c r="AB102" s="112">
        <f t="shared" si="202"/>
        <v>0</v>
      </c>
      <c r="AC102" s="113">
        <f t="shared" si="203"/>
        <v>0</v>
      </c>
      <c r="AD102" s="113">
        <f t="shared" si="204"/>
        <v>0</v>
      </c>
      <c r="AE102" s="113">
        <f t="shared" si="205"/>
        <v>0</v>
      </c>
      <c r="AF102" s="113">
        <f t="shared" si="206"/>
        <v>0</v>
      </c>
      <c r="AG102" s="113">
        <f t="shared" si="207"/>
        <v>0</v>
      </c>
      <c r="AH102" s="113">
        <f t="shared" si="208"/>
        <v>0</v>
      </c>
      <c r="AI102" s="113">
        <f t="shared" si="209"/>
        <v>0</v>
      </c>
      <c r="AJ102" s="113">
        <f t="shared" si="210"/>
        <v>0</v>
      </c>
      <c r="AK102" s="112">
        <f t="shared" si="211"/>
        <v>0</v>
      </c>
      <c r="AL102" s="113">
        <f t="shared" si="212"/>
        <v>0</v>
      </c>
      <c r="AM102" s="113">
        <f t="shared" si="213"/>
        <v>0</v>
      </c>
      <c r="AN102" s="113">
        <f t="shared" si="214"/>
        <v>0</v>
      </c>
      <c r="AO102" s="113">
        <f t="shared" si="215"/>
        <v>0</v>
      </c>
      <c r="AP102" s="113">
        <f t="shared" si="215"/>
        <v>0</v>
      </c>
      <c r="AQ102" s="113">
        <f t="shared" si="216"/>
        <v>0</v>
      </c>
      <c r="AR102" s="113">
        <f t="shared" si="217"/>
        <v>0</v>
      </c>
      <c r="AS102" s="158">
        <f t="shared" si="218"/>
        <v>0</v>
      </c>
      <c r="AT102" s="113">
        <v>0</v>
      </c>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90">
      <c r="A103" s="80">
        <f>ROWS($A$3:A101)</f>
        <v>99</v>
      </c>
      <c r="B103" s="55"/>
      <c r="C103" s="203"/>
      <c r="D103" s="254"/>
      <c r="E103" s="269"/>
      <c r="F103" s="154"/>
      <c r="G103" s="155"/>
      <c r="H103" s="155"/>
      <c r="I103" s="156"/>
      <c r="J103" s="281"/>
      <c r="K103" s="157">
        <f t="shared" si="188"/>
        <v>0</v>
      </c>
      <c r="L103" s="113">
        <f t="shared" si="189"/>
        <v>0</v>
      </c>
      <c r="M103" s="113">
        <f t="shared" si="190"/>
        <v>0</v>
      </c>
      <c r="N103" s="113">
        <f t="shared" si="191"/>
        <v>0</v>
      </c>
      <c r="O103" s="113">
        <f t="shared" si="192"/>
        <v>0</v>
      </c>
      <c r="P103" s="113">
        <f>'2001'!AZ103+'2001'!BA103</f>
        <v>0</v>
      </c>
      <c r="Q103" s="113">
        <f>'2001'!AU103</f>
        <v>0</v>
      </c>
      <c r="R103" s="113">
        <f t="shared" si="193"/>
        <v>0</v>
      </c>
      <c r="S103" s="113">
        <f t="shared" si="194"/>
        <v>0</v>
      </c>
      <c r="T103" s="113">
        <f t="shared" si="195"/>
        <v>0</v>
      </c>
      <c r="U103" s="112">
        <f t="shared" si="195"/>
        <v>0</v>
      </c>
      <c r="V103" s="113">
        <f t="shared" si="196"/>
        <v>0</v>
      </c>
      <c r="W103" s="113">
        <f t="shared" si="197"/>
        <v>0</v>
      </c>
      <c r="X103" s="113">
        <f t="shared" si="198"/>
        <v>0</v>
      </c>
      <c r="Y103" s="113">
        <f t="shared" si="199"/>
        <v>0</v>
      </c>
      <c r="Z103" s="113">
        <f t="shared" si="200"/>
        <v>0</v>
      </c>
      <c r="AA103" s="113">
        <f t="shared" si="201"/>
        <v>0</v>
      </c>
      <c r="AB103" s="112">
        <f t="shared" si="202"/>
        <v>0</v>
      </c>
      <c r="AC103" s="113">
        <f t="shared" si="203"/>
        <v>0</v>
      </c>
      <c r="AD103" s="113">
        <f t="shared" si="204"/>
        <v>0</v>
      </c>
      <c r="AE103" s="113">
        <f t="shared" si="205"/>
        <v>0</v>
      </c>
      <c r="AF103" s="113">
        <f t="shared" si="206"/>
        <v>0</v>
      </c>
      <c r="AG103" s="113">
        <f t="shared" si="207"/>
        <v>0</v>
      </c>
      <c r="AH103" s="113">
        <f t="shared" si="208"/>
        <v>0</v>
      </c>
      <c r="AI103" s="113">
        <f t="shared" si="209"/>
        <v>0</v>
      </c>
      <c r="AJ103" s="113">
        <f t="shared" si="210"/>
        <v>0</v>
      </c>
      <c r="AK103" s="112">
        <f t="shared" si="211"/>
        <v>0</v>
      </c>
      <c r="AL103" s="113">
        <f t="shared" si="212"/>
        <v>0</v>
      </c>
      <c r="AM103" s="113">
        <f t="shared" si="213"/>
        <v>0</v>
      </c>
      <c r="AN103" s="113">
        <f t="shared" si="214"/>
        <v>0</v>
      </c>
      <c r="AO103" s="113">
        <f t="shared" si="215"/>
        <v>0</v>
      </c>
      <c r="AP103" s="113">
        <f t="shared" si="215"/>
        <v>0</v>
      </c>
      <c r="AQ103" s="113">
        <f t="shared" si="216"/>
        <v>0</v>
      </c>
      <c r="AR103" s="113">
        <f t="shared" si="217"/>
        <v>0</v>
      </c>
      <c r="AS103" s="158">
        <f t="shared" si="218"/>
        <v>0</v>
      </c>
      <c r="AT103" s="113">
        <v>0</v>
      </c>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c r="A104" s="80">
        <f>ROWS($A$3:A102)</f>
        <v>100</v>
      </c>
      <c r="B104" s="55"/>
      <c r="C104" s="203"/>
      <c r="D104" s="254"/>
      <c r="E104" s="269"/>
      <c r="F104" s="154"/>
      <c r="G104" s="155"/>
      <c r="H104" s="155"/>
      <c r="I104" s="156"/>
      <c r="J104" s="155"/>
      <c r="K104" s="157">
        <f t="shared" si="188"/>
        <v>0</v>
      </c>
      <c r="L104" s="113">
        <f t="shared" si="189"/>
        <v>0</v>
      </c>
      <c r="M104" s="113">
        <f t="shared" si="190"/>
        <v>0</v>
      </c>
      <c r="N104" s="113">
        <f t="shared" si="191"/>
        <v>0</v>
      </c>
      <c r="O104" s="113">
        <f t="shared" si="192"/>
        <v>0</v>
      </c>
      <c r="P104" s="113">
        <f>'2001'!AZ104+'2001'!BA104</f>
        <v>0</v>
      </c>
      <c r="Q104" s="113">
        <f>'2001'!AU104</f>
        <v>0</v>
      </c>
      <c r="R104" s="113">
        <f t="shared" si="193"/>
        <v>0</v>
      </c>
      <c r="S104" s="113">
        <f t="shared" si="194"/>
        <v>0</v>
      </c>
      <c r="T104" s="113">
        <f t="shared" si="195"/>
        <v>0</v>
      </c>
      <c r="U104" s="112">
        <f t="shared" si="195"/>
        <v>0</v>
      </c>
      <c r="V104" s="113">
        <f t="shared" si="196"/>
        <v>0</v>
      </c>
      <c r="W104" s="113">
        <f t="shared" si="197"/>
        <v>0</v>
      </c>
      <c r="X104" s="113">
        <f t="shared" si="198"/>
        <v>0</v>
      </c>
      <c r="Y104" s="113">
        <f t="shared" si="199"/>
        <v>0</v>
      </c>
      <c r="Z104" s="113">
        <f t="shared" si="200"/>
        <v>0</v>
      </c>
      <c r="AA104" s="113">
        <f t="shared" si="201"/>
        <v>0</v>
      </c>
      <c r="AB104" s="112">
        <f t="shared" si="202"/>
        <v>0</v>
      </c>
      <c r="AC104" s="113">
        <f t="shared" si="203"/>
        <v>0</v>
      </c>
      <c r="AD104" s="113">
        <f t="shared" si="204"/>
        <v>0</v>
      </c>
      <c r="AE104" s="113">
        <f t="shared" si="205"/>
        <v>0</v>
      </c>
      <c r="AF104" s="113">
        <f t="shared" si="206"/>
        <v>0</v>
      </c>
      <c r="AG104" s="113">
        <f t="shared" si="207"/>
        <v>0</v>
      </c>
      <c r="AH104" s="113">
        <f t="shared" si="208"/>
        <v>0</v>
      </c>
      <c r="AI104" s="113">
        <f t="shared" si="209"/>
        <v>0</v>
      </c>
      <c r="AJ104" s="113">
        <f t="shared" si="210"/>
        <v>0</v>
      </c>
      <c r="AK104" s="112">
        <f t="shared" si="211"/>
        <v>0</v>
      </c>
      <c r="AL104" s="113">
        <f t="shared" si="212"/>
        <v>0</v>
      </c>
      <c r="AM104" s="113">
        <f t="shared" si="213"/>
        <v>0</v>
      </c>
      <c r="AN104" s="113">
        <f t="shared" si="214"/>
        <v>0</v>
      </c>
      <c r="AO104" s="113">
        <f t="shared" si="215"/>
        <v>0</v>
      </c>
      <c r="AP104" s="113">
        <f t="shared" si="215"/>
        <v>0</v>
      </c>
      <c r="AQ104" s="113">
        <f t="shared" si="216"/>
        <v>0</v>
      </c>
      <c r="AR104" s="113">
        <f t="shared" si="217"/>
        <v>0</v>
      </c>
      <c r="AS104" s="158">
        <f t="shared" si="218"/>
        <v>0</v>
      </c>
      <c r="AT104" s="113">
        <v>0</v>
      </c>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c r="A105" s="80">
        <f>ROWS($A$3:A103)</f>
        <v>101</v>
      </c>
      <c r="B105" s="55"/>
      <c r="C105" s="203"/>
      <c r="D105" s="254"/>
      <c r="E105" s="269"/>
      <c r="F105" s="154"/>
      <c r="G105" s="155"/>
      <c r="H105" s="155"/>
      <c r="I105" s="156"/>
      <c r="J105" s="155"/>
      <c r="K105" s="157">
        <f t="shared" si="188"/>
        <v>0</v>
      </c>
      <c r="L105" s="113">
        <f t="shared" si="189"/>
        <v>0</v>
      </c>
      <c r="M105" s="113">
        <f t="shared" si="190"/>
        <v>0</v>
      </c>
      <c r="N105" s="113">
        <f t="shared" si="191"/>
        <v>0</v>
      </c>
      <c r="O105" s="113">
        <f t="shared" si="192"/>
        <v>0</v>
      </c>
      <c r="P105" s="113">
        <f>'2001'!AZ105+'2001'!BA105</f>
        <v>0</v>
      </c>
      <c r="Q105" s="113">
        <f>'2001'!AU105</f>
        <v>0</v>
      </c>
      <c r="R105" s="113">
        <f t="shared" si="193"/>
        <v>0</v>
      </c>
      <c r="S105" s="113">
        <f t="shared" si="194"/>
        <v>0</v>
      </c>
      <c r="T105" s="113">
        <f t="shared" si="195"/>
        <v>0</v>
      </c>
      <c r="U105" s="112">
        <f t="shared" si="195"/>
        <v>0</v>
      </c>
      <c r="V105" s="113">
        <f t="shared" si="196"/>
        <v>0</v>
      </c>
      <c r="W105" s="113">
        <f t="shared" si="197"/>
        <v>0</v>
      </c>
      <c r="X105" s="113">
        <f t="shared" si="198"/>
        <v>0</v>
      </c>
      <c r="Y105" s="113">
        <f t="shared" si="199"/>
        <v>0</v>
      </c>
      <c r="Z105" s="113">
        <f t="shared" si="200"/>
        <v>0</v>
      </c>
      <c r="AA105" s="113">
        <f t="shared" si="201"/>
        <v>0</v>
      </c>
      <c r="AB105" s="112">
        <f t="shared" si="202"/>
        <v>0</v>
      </c>
      <c r="AC105" s="113">
        <f t="shared" si="203"/>
        <v>0</v>
      </c>
      <c r="AD105" s="113">
        <f t="shared" si="204"/>
        <v>0</v>
      </c>
      <c r="AE105" s="113">
        <f t="shared" si="205"/>
        <v>0</v>
      </c>
      <c r="AF105" s="113">
        <f t="shared" si="206"/>
        <v>0</v>
      </c>
      <c r="AG105" s="113">
        <f t="shared" si="207"/>
        <v>0</v>
      </c>
      <c r="AH105" s="113">
        <f t="shared" si="208"/>
        <v>0</v>
      </c>
      <c r="AI105" s="113">
        <f t="shared" si="209"/>
        <v>0</v>
      </c>
      <c r="AJ105" s="113">
        <f t="shared" si="210"/>
        <v>0</v>
      </c>
      <c r="AK105" s="112">
        <f t="shared" si="211"/>
        <v>0</v>
      </c>
      <c r="AL105" s="113">
        <f t="shared" si="212"/>
        <v>0</v>
      </c>
      <c r="AM105" s="113">
        <f t="shared" si="213"/>
        <v>0</v>
      </c>
      <c r="AN105" s="113">
        <f t="shared" si="214"/>
        <v>0</v>
      </c>
      <c r="AO105" s="113">
        <f t="shared" si="215"/>
        <v>0</v>
      </c>
      <c r="AP105" s="113">
        <f t="shared" si="215"/>
        <v>0</v>
      </c>
      <c r="AQ105" s="113">
        <f t="shared" si="216"/>
        <v>0</v>
      </c>
      <c r="AR105" s="113">
        <f t="shared" si="217"/>
        <v>0</v>
      </c>
      <c r="AS105" s="158">
        <f t="shared" si="218"/>
        <v>0</v>
      </c>
      <c r="AT105" s="113">
        <v>0</v>
      </c>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c r="A106" s="80">
        <f>ROWS($A$3:A104)</f>
        <v>102</v>
      </c>
      <c r="B106" s="55"/>
      <c r="C106" s="203"/>
      <c r="D106" s="254"/>
      <c r="E106" s="269"/>
      <c r="F106" s="154"/>
      <c r="G106" s="155"/>
      <c r="H106" s="155"/>
      <c r="I106" s="156"/>
      <c r="J106" s="155"/>
      <c r="K106" s="157">
        <f t="shared" si="188"/>
        <v>0</v>
      </c>
      <c r="L106" s="113">
        <f t="shared" si="189"/>
        <v>0</v>
      </c>
      <c r="M106" s="113">
        <f t="shared" si="190"/>
        <v>0</v>
      </c>
      <c r="N106" s="113">
        <f t="shared" si="191"/>
        <v>0</v>
      </c>
      <c r="O106" s="113">
        <f t="shared" si="192"/>
        <v>0</v>
      </c>
      <c r="P106" s="113">
        <f>'2001'!AZ106+'2001'!BA106</f>
        <v>0</v>
      </c>
      <c r="Q106" s="113">
        <f>'2001'!AU106</f>
        <v>0</v>
      </c>
      <c r="R106" s="113">
        <f t="shared" si="193"/>
        <v>0</v>
      </c>
      <c r="S106" s="113">
        <f t="shared" si="194"/>
        <v>0</v>
      </c>
      <c r="T106" s="113">
        <f t="shared" si="195"/>
        <v>0</v>
      </c>
      <c r="U106" s="112">
        <f t="shared" si="195"/>
        <v>0</v>
      </c>
      <c r="V106" s="113">
        <f t="shared" si="196"/>
        <v>0</v>
      </c>
      <c r="W106" s="113">
        <f t="shared" si="197"/>
        <v>0</v>
      </c>
      <c r="X106" s="113">
        <f t="shared" si="198"/>
        <v>0</v>
      </c>
      <c r="Y106" s="113">
        <f t="shared" si="199"/>
        <v>0</v>
      </c>
      <c r="Z106" s="113">
        <f t="shared" si="200"/>
        <v>0</v>
      </c>
      <c r="AA106" s="113">
        <f t="shared" si="201"/>
        <v>0</v>
      </c>
      <c r="AB106" s="112">
        <f t="shared" si="202"/>
        <v>0</v>
      </c>
      <c r="AC106" s="113">
        <f t="shared" si="203"/>
        <v>0</v>
      </c>
      <c r="AD106" s="113">
        <f t="shared" si="204"/>
        <v>0</v>
      </c>
      <c r="AE106" s="113">
        <f t="shared" si="205"/>
        <v>0</v>
      </c>
      <c r="AF106" s="113">
        <f t="shared" si="206"/>
        <v>0</v>
      </c>
      <c r="AG106" s="113">
        <f t="shared" si="207"/>
        <v>0</v>
      </c>
      <c r="AH106" s="113">
        <f t="shared" si="208"/>
        <v>0</v>
      </c>
      <c r="AI106" s="113">
        <f t="shared" si="209"/>
        <v>0</v>
      </c>
      <c r="AJ106" s="113">
        <f t="shared" si="210"/>
        <v>0</v>
      </c>
      <c r="AK106" s="112">
        <f t="shared" si="211"/>
        <v>0</v>
      </c>
      <c r="AL106" s="113">
        <f t="shared" si="212"/>
        <v>0</v>
      </c>
      <c r="AM106" s="113">
        <f t="shared" si="213"/>
        <v>0</v>
      </c>
      <c r="AN106" s="113">
        <f t="shared" si="214"/>
        <v>0</v>
      </c>
      <c r="AO106" s="113">
        <f t="shared" si="215"/>
        <v>0</v>
      </c>
      <c r="AP106" s="113">
        <f t="shared" si="215"/>
        <v>0</v>
      </c>
      <c r="AQ106" s="113">
        <f t="shared" si="216"/>
        <v>0</v>
      </c>
      <c r="AR106" s="113">
        <f t="shared" si="217"/>
        <v>0</v>
      </c>
      <c r="AS106" s="158">
        <f t="shared" si="218"/>
        <v>0</v>
      </c>
      <c r="AT106" s="113">
        <v>0</v>
      </c>
      <c r="AU106" s="113"/>
      <c r="AV106" s="113"/>
      <c r="AW106" s="113"/>
      <c r="AX106" s="113"/>
      <c r="AY106" s="113"/>
      <c r="AZ106" s="113"/>
      <c r="BA106" s="113"/>
      <c r="BB106" s="113"/>
      <c r="BC106" s="113"/>
      <c r="BD106" s="113"/>
      <c r="BE106" s="113"/>
      <c r="BF106" s="112"/>
      <c r="BG106" s="159"/>
      <c r="BH106" s="113"/>
      <c r="BI106" s="113"/>
      <c r="BJ106" s="113"/>
      <c r="BK106" s="113"/>
      <c r="BL106" s="113"/>
      <c r="BM106" s="113"/>
      <c r="BN106" s="113"/>
      <c r="BO106" s="159"/>
      <c r="BP106" s="113"/>
      <c r="BQ106" s="113"/>
      <c r="BR106" s="112"/>
      <c r="BS106" s="159"/>
      <c r="BT106" s="113"/>
      <c r="BU106" s="113"/>
      <c r="BV106" s="113"/>
      <c r="BW106" s="113"/>
      <c r="BX106" s="113"/>
      <c r="BY106" s="113"/>
      <c r="BZ106" s="113"/>
      <c r="CA106" s="113"/>
      <c r="CB106" s="112"/>
      <c r="CC106" s="113"/>
      <c r="CD106" s="113"/>
      <c r="CE106" s="113"/>
      <c r="CF106" s="113"/>
      <c r="CG106" s="113"/>
      <c r="CH106" s="113"/>
      <c r="CI106" s="113"/>
      <c r="CJ106" s="113"/>
      <c r="CK106" s="158"/>
      <c r="CL106" s="123"/>
    </row>
    <row r="107" spans="1:90" ht="13.5" thickBot="1">
      <c r="A107" s="80">
        <f>ROWS($A$3:A105)</f>
        <v>103</v>
      </c>
      <c r="B107" s="56"/>
      <c r="C107" s="206"/>
      <c r="D107" s="274"/>
      <c r="E107" s="275"/>
      <c r="F107" s="160"/>
      <c r="G107" s="161"/>
      <c r="H107" s="161"/>
      <c r="I107" s="162"/>
      <c r="J107" s="161"/>
      <c r="K107" s="163">
        <f t="shared" si="188"/>
        <v>0</v>
      </c>
      <c r="L107" s="164">
        <f t="shared" si="189"/>
        <v>0</v>
      </c>
      <c r="M107" s="164">
        <f t="shared" si="190"/>
        <v>0</v>
      </c>
      <c r="N107" s="164">
        <f t="shared" si="191"/>
        <v>0</v>
      </c>
      <c r="O107" s="164">
        <f t="shared" si="192"/>
        <v>0</v>
      </c>
      <c r="P107" s="164">
        <f>'2001'!AZ107+'2001'!BA107</f>
        <v>0</v>
      </c>
      <c r="Q107" s="164">
        <f>'2001'!AU107</f>
        <v>0</v>
      </c>
      <c r="R107" s="164">
        <f t="shared" si="193"/>
        <v>0</v>
      </c>
      <c r="S107" s="164">
        <f t="shared" si="194"/>
        <v>0</v>
      </c>
      <c r="T107" s="164">
        <f t="shared" si="195"/>
        <v>0</v>
      </c>
      <c r="U107" s="114">
        <f t="shared" si="195"/>
        <v>0</v>
      </c>
      <c r="V107" s="164">
        <f t="shared" si="196"/>
        <v>0</v>
      </c>
      <c r="W107" s="164">
        <f t="shared" si="197"/>
        <v>0</v>
      </c>
      <c r="X107" s="164">
        <f t="shared" si="198"/>
        <v>0</v>
      </c>
      <c r="Y107" s="164">
        <f t="shared" si="199"/>
        <v>0</v>
      </c>
      <c r="Z107" s="164">
        <f t="shared" si="200"/>
        <v>0</v>
      </c>
      <c r="AA107" s="164">
        <f t="shared" si="201"/>
        <v>0</v>
      </c>
      <c r="AB107" s="114">
        <f t="shared" si="202"/>
        <v>0</v>
      </c>
      <c r="AC107" s="164">
        <f t="shared" si="203"/>
        <v>0</v>
      </c>
      <c r="AD107" s="164">
        <f t="shared" si="204"/>
        <v>0</v>
      </c>
      <c r="AE107" s="164">
        <f t="shared" si="205"/>
        <v>0</v>
      </c>
      <c r="AF107" s="164">
        <f t="shared" si="206"/>
        <v>0</v>
      </c>
      <c r="AG107" s="164">
        <f t="shared" si="207"/>
        <v>0</v>
      </c>
      <c r="AH107" s="164">
        <f t="shared" si="208"/>
        <v>0</v>
      </c>
      <c r="AI107" s="164">
        <f t="shared" si="209"/>
        <v>0</v>
      </c>
      <c r="AJ107" s="164">
        <f t="shared" si="210"/>
        <v>0</v>
      </c>
      <c r="AK107" s="114">
        <f t="shared" si="211"/>
        <v>0</v>
      </c>
      <c r="AL107" s="164">
        <f t="shared" si="212"/>
        <v>0</v>
      </c>
      <c r="AM107" s="164">
        <f t="shared" si="213"/>
        <v>0</v>
      </c>
      <c r="AN107" s="164">
        <f t="shared" si="214"/>
        <v>0</v>
      </c>
      <c r="AO107" s="164">
        <f t="shared" si="215"/>
        <v>0</v>
      </c>
      <c r="AP107" s="164">
        <f t="shared" si="215"/>
        <v>0</v>
      </c>
      <c r="AQ107" s="164">
        <f t="shared" si="216"/>
        <v>0</v>
      </c>
      <c r="AR107" s="164">
        <f t="shared" si="217"/>
        <v>0</v>
      </c>
      <c r="AS107" s="165">
        <f t="shared" si="218"/>
        <v>0</v>
      </c>
      <c r="AT107" s="164">
        <v>0</v>
      </c>
      <c r="AU107" s="164"/>
      <c r="AV107" s="164"/>
      <c r="AW107" s="164"/>
      <c r="AX107" s="164"/>
      <c r="AY107" s="164"/>
      <c r="AZ107" s="164"/>
      <c r="BA107" s="164"/>
      <c r="BB107" s="164"/>
      <c r="BC107" s="164"/>
      <c r="BD107" s="164"/>
      <c r="BE107" s="164"/>
      <c r="BF107" s="114"/>
      <c r="BG107" s="166"/>
      <c r="BH107" s="164"/>
      <c r="BI107" s="164"/>
      <c r="BJ107" s="164"/>
      <c r="BK107" s="164"/>
      <c r="BL107" s="164"/>
      <c r="BM107" s="164"/>
      <c r="BN107" s="164"/>
      <c r="BO107" s="166"/>
      <c r="BP107" s="164"/>
      <c r="BQ107" s="164"/>
      <c r="BR107" s="114"/>
      <c r="BS107" s="166"/>
      <c r="BT107" s="164"/>
      <c r="BU107" s="164"/>
      <c r="BV107" s="164"/>
      <c r="BW107" s="164"/>
      <c r="BX107" s="164"/>
      <c r="BY107" s="164"/>
      <c r="BZ107" s="164"/>
      <c r="CA107" s="164"/>
      <c r="CB107" s="114"/>
      <c r="CC107" s="164"/>
      <c r="CD107" s="164"/>
      <c r="CE107" s="164"/>
      <c r="CF107" s="164"/>
      <c r="CG107" s="164"/>
      <c r="CH107" s="164"/>
      <c r="CI107" s="164"/>
      <c r="CJ107" s="164"/>
      <c r="CK107" s="165"/>
      <c r="CL107" s="124"/>
    </row>
    <row r="108" spans="1:90">
      <c r="B108" s="57"/>
      <c r="C108" s="203"/>
      <c r="D108" s="48"/>
      <c r="E108" s="69"/>
      <c r="F108" s="155"/>
      <c r="G108" s="155"/>
      <c r="H108" s="155"/>
      <c r="I108" s="155"/>
      <c r="J108" s="155"/>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59"/>
      <c r="BH108" s="113"/>
      <c r="BI108" s="113"/>
      <c r="BJ108" s="113"/>
      <c r="BK108" s="113"/>
      <c r="BL108" s="113"/>
      <c r="BM108" s="113"/>
      <c r="BN108" s="113"/>
      <c r="BO108" s="159"/>
      <c r="BP108" s="113"/>
      <c r="BQ108" s="113"/>
      <c r="BR108" s="113"/>
      <c r="BS108" s="159"/>
      <c r="BT108" s="113"/>
      <c r="BU108" s="113"/>
      <c r="BV108" s="113"/>
      <c r="BW108" s="113"/>
      <c r="BX108" s="113"/>
      <c r="BY108" s="113"/>
      <c r="BZ108" s="113"/>
      <c r="CA108" s="113"/>
      <c r="CB108" s="113"/>
      <c r="CC108" s="113"/>
      <c r="CD108" s="113"/>
      <c r="CE108" s="113"/>
      <c r="CF108" s="113"/>
      <c r="CG108" s="113"/>
      <c r="CH108" s="113"/>
      <c r="CI108" s="113"/>
      <c r="CJ108" s="113"/>
      <c r="CK108" s="113"/>
      <c r="CL108" s="125"/>
    </row>
    <row r="109" spans="1:90">
      <c r="B109" s="71" t="s">
        <v>209</v>
      </c>
    </row>
    <row r="110" spans="1:90">
      <c r="B110" s="73" t="s">
        <v>282</v>
      </c>
    </row>
    <row r="111" spans="1:90">
      <c r="B111" s="73" t="s">
        <v>205</v>
      </c>
    </row>
    <row r="112" spans="1:90">
      <c r="B112" s="73" t="s">
        <v>206</v>
      </c>
    </row>
    <row r="113" spans="1:90">
      <c r="B113" s="72"/>
    </row>
    <row r="114" spans="1:90">
      <c r="B114" s="73" t="s">
        <v>78</v>
      </c>
    </row>
    <row r="115" spans="1:90">
      <c r="B115" s="73" t="s">
        <v>207</v>
      </c>
    </row>
    <row r="116" spans="1:90">
      <c r="B116" s="73" t="s">
        <v>211</v>
      </c>
    </row>
    <row r="118" spans="1:90" s="69" customFormat="1" ht="11.25">
      <c r="A118" s="327"/>
      <c r="B118" s="328" t="s">
        <v>63</v>
      </c>
      <c r="C118" s="322"/>
      <c r="D118" s="329" t="s">
        <v>11</v>
      </c>
      <c r="E118" s="330"/>
      <c r="F118" s="323">
        <v>39222</v>
      </c>
      <c r="G118" s="323">
        <v>17145</v>
      </c>
      <c r="H118" s="323">
        <v>31481</v>
      </c>
      <c r="I118" s="323">
        <v>25320</v>
      </c>
      <c r="J118" s="324"/>
      <c r="K118" s="323">
        <f>BF118</f>
        <v>4169</v>
      </c>
      <c r="L118" s="323">
        <f>AY118</f>
        <v>4151</v>
      </c>
      <c r="M118" s="323">
        <f>BD118</f>
        <v>3083</v>
      </c>
      <c r="N118" s="323">
        <f>AW118</f>
        <v>1799</v>
      </c>
      <c r="O118" s="323">
        <f>BE118</f>
        <v>1225</v>
      </c>
      <c r="P118" s="323">
        <f>AZ118+BA118</f>
        <v>6451</v>
      </c>
      <c r="Q118" s="323">
        <f>'2001'!AU118</f>
        <v>1978</v>
      </c>
      <c r="R118" s="323">
        <f>AT118+AX118</f>
        <v>6896</v>
      </c>
      <c r="S118" s="323">
        <f>AV118</f>
        <v>2773</v>
      </c>
      <c r="T118" s="323">
        <f>BB118</f>
        <v>2772</v>
      </c>
      <c r="U118" s="323">
        <f>BC118</f>
        <v>3926</v>
      </c>
      <c r="V118" s="323">
        <f>BG118+BJ118</f>
        <v>2662</v>
      </c>
      <c r="W118" s="323">
        <f>BR118</f>
        <v>1618</v>
      </c>
      <c r="X118" s="323">
        <f>BH118+BI118</f>
        <v>3423</v>
      </c>
      <c r="Y118" s="323">
        <f>BK118+BL118+BN118</f>
        <v>4134</v>
      </c>
      <c r="Z118" s="323">
        <f>BM118</f>
        <v>1984</v>
      </c>
      <c r="AA118" s="323">
        <f>BO118+BQ118</f>
        <v>1641</v>
      </c>
      <c r="AB118" s="323">
        <f>BP118</f>
        <v>1684</v>
      </c>
      <c r="AC118" s="323">
        <f>BX118</f>
        <v>2235</v>
      </c>
      <c r="AD118" s="323">
        <f>BU118</f>
        <v>3382</v>
      </c>
      <c r="AE118" s="323">
        <f>BS118+BT118</f>
        <v>6970</v>
      </c>
      <c r="AF118" s="323">
        <f>CA118</f>
        <v>2453</v>
      </c>
      <c r="AG118" s="323">
        <f>BV118</f>
        <v>7891</v>
      </c>
      <c r="AH118" s="323">
        <f>BZ118</f>
        <v>2889</v>
      </c>
      <c r="AI118" s="323">
        <f>BW118</f>
        <v>1827</v>
      </c>
      <c r="AJ118" s="323">
        <f>BY118</f>
        <v>1065</v>
      </c>
      <c r="AK118" s="323">
        <f>CB118</f>
        <v>2769</v>
      </c>
      <c r="AL118" s="323">
        <f>CE118</f>
        <v>1982</v>
      </c>
      <c r="AM118" s="323">
        <f>CH118</f>
        <v>3707</v>
      </c>
      <c r="AN118" s="323">
        <f>CJ118</f>
        <v>5040</v>
      </c>
      <c r="AO118" s="323">
        <f>CC118</f>
        <v>2992</v>
      </c>
      <c r="AP118" s="323">
        <f>CD118</f>
        <v>1346</v>
      </c>
      <c r="AQ118" s="323">
        <f>CK118</f>
        <v>2771</v>
      </c>
      <c r="AR118" s="323">
        <f>CI118</f>
        <v>3531</v>
      </c>
      <c r="AS118" s="323">
        <f>CF118+CG118</f>
        <v>3951</v>
      </c>
      <c r="AT118" s="324">
        <v>1928</v>
      </c>
      <c r="AU118" s="324">
        <v>1978</v>
      </c>
      <c r="AV118" s="324">
        <v>2773</v>
      </c>
      <c r="AW118" s="324">
        <v>1799</v>
      </c>
      <c r="AX118" s="324">
        <v>4968</v>
      </c>
      <c r="AY118" s="323">
        <v>4151</v>
      </c>
      <c r="AZ118" s="323">
        <v>679</v>
      </c>
      <c r="BA118" s="323">
        <v>5772</v>
      </c>
      <c r="BB118" s="323">
        <v>2772</v>
      </c>
      <c r="BC118" s="323">
        <v>3926</v>
      </c>
      <c r="BD118" s="323">
        <v>3083</v>
      </c>
      <c r="BE118" s="323">
        <v>1225</v>
      </c>
      <c r="BF118" s="323">
        <v>4169</v>
      </c>
      <c r="BG118" s="323">
        <v>656</v>
      </c>
      <c r="BH118" s="323">
        <v>607</v>
      </c>
      <c r="BI118" s="323">
        <v>2816</v>
      </c>
      <c r="BJ118" s="323">
        <v>2006</v>
      </c>
      <c r="BK118" s="323">
        <v>457</v>
      </c>
      <c r="BL118" s="323">
        <v>728</v>
      </c>
      <c r="BM118" s="323">
        <v>1984</v>
      </c>
      <c r="BN118" s="323">
        <v>2949</v>
      </c>
      <c r="BO118" s="323">
        <v>339</v>
      </c>
      <c r="BP118" s="323">
        <v>1684</v>
      </c>
      <c r="BQ118" s="323">
        <v>1302</v>
      </c>
      <c r="BR118" s="323">
        <v>1618</v>
      </c>
      <c r="BS118" s="323">
        <v>736</v>
      </c>
      <c r="BT118" s="323">
        <v>6234</v>
      </c>
      <c r="BU118" s="323">
        <v>3382</v>
      </c>
      <c r="BV118" s="323">
        <v>7891</v>
      </c>
      <c r="BW118" s="323">
        <v>1827</v>
      </c>
      <c r="BX118" s="323">
        <v>2235</v>
      </c>
      <c r="BY118" s="323">
        <v>1065</v>
      </c>
      <c r="BZ118" s="323">
        <v>2889</v>
      </c>
      <c r="CA118" s="323">
        <v>2453</v>
      </c>
      <c r="CB118" s="323">
        <v>2769</v>
      </c>
      <c r="CC118" s="323">
        <v>2992</v>
      </c>
      <c r="CD118" s="323">
        <v>1346</v>
      </c>
      <c r="CE118" s="323">
        <v>1982</v>
      </c>
      <c r="CF118" s="323">
        <v>484</v>
      </c>
      <c r="CG118" s="323">
        <v>3467</v>
      </c>
      <c r="CH118" s="323">
        <v>3707</v>
      </c>
      <c r="CI118" s="323">
        <v>3531</v>
      </c>
      <c r="CJ118" s="323">
        <v>5040</v>
      </c>
      <c r="CK118" s="323">
        <v>2771</v>
      </c>
      <c r="CL118" s="323">
        <v>113168</v>
      </c>
    </row>
    <row r="119" spans="1:90" s="69" customFormat="1" ht="11.25">
      <c r="A119" s="327"/>
      <c r="B119" s="331" t="s">
        <v>271</v>
      </c>
      <c r="C119" s="325">
        <v>2001</v>
      </c>
      <c r="D119" s="329" t="s">
        <v>285</v>
      </c>
      <c r="E119" s="329"/>
      <c r="F119" s="324">
        <v>1053</v>
      </c>
      <c r="G119" s="324">
        <v>469</v>
      </c>
      <c r="H119" s="324">
        <v>658</v>
      </c>
      <c r="I119" s="324">
        <v>670</v>
      </c>
      <c r="J119" s="324"/>
      <c r="K119" s="323">
        <f>BF119</f>
        <v>121</v>
      </c>
      <c r="L119" s="324">
        <f>AY119</f>
        <v>93</v>
      </c>
      <c r="M119" s="324">
        <f>BD119</f>
        <v>92</v>
      </c>
      <c r="N119" s="324">
        <f>AW119</f>
        <v>46</v>
      </c>
      <c r="O119" s="324">
        <f>BE119</f>
        <v>44</v>
      </c>
      <c r="P119" s="423">
        <f>AZ119+BA119</f>
        <v>156</v>
      </c>
      <c r="Q119" s="323">
        <f>AU119</f>
        <v>48</v>
      </c>
      <c r="R119" s="423">
        <f>AT119+AX119</f>
        <v>168</v>
      </c>
      <c r="S119" s="324">
        <f>AV119</f>
        <v>66</v>
      </c>
      <c r="T119" s="324">
        <f>BB119</f>
        <v>86</v>
      </c>
      <c r="U119" s="323">
        <f>BC119</f>
        <v>134</v>
      </c>
      <c r="V119" s="423">
        <f>BG119+BJ119</f>
        <v>55</v>
      </c>
      <c r="W119" s="324">
        <f>BR119</f>
        <v>40</v>
      </c>
      <c r="X119" s="423">
        <f>BH119+BI119</f>
        <v>91</v>
      </c>
      <c r="Y119" s="423">
        <f>BK119+BL119+BN119</f>
        <v>129</v>
      </c>
      <c r="Z119" s="324">
        <f>BM119</f>
        <v>62</v>
      </c>
      <c r="AA119" s="423">
        <f>BO119+BQ119</f>
        <v>44</v>
      </c>
      <c r="AB119" s="323">
        <f>BP119</f>
        <v>49</v>
      </c>
      <c r="AC119" s="324">
        <f>BX119</f>
        <v>53</v>
      </c>
      <c r="AD119" s="324">
        <f>BU119</f>
        <v>56</v>
      </c>
      <c r="AE119" s="423">
        <f>BS119+BT119</f>
        <v>143</v>
      </c>
      <c r="AF119" s="324">
        <f>CA119</f>
        <v>43</v>
      </c>
      <c r="AG119" s="324">
        <f>BV119</f>
        <v>145</v>
      </c>
      <c r="AH119" s="324">
        <f>BZ119</f>
        <v>93</v>
      </c>
      <c r="AI119" s="324">
        <f>BW119</f>
        <v>42</v>
      </c>
      <c r="AJ119" s="324">
        <f>BY119</f>
        <v>32</v>
      </c>
      <c r="AK119" s="323">
        <f>CB119</f>
        <v>50</v>
      </c>
      <c r="AL119" s="324">
        <f>CE119</f>
        <v>42</v>
      </c>
      <c r="AM119" s="324">
        <f>CH119</f>
        <v>116</v>
      </c>
      <c r="AN119" s="324">
        <f>CJ119</f>
        <v>152</v>
      </c>
      <c r="AO119" s="324">
        <f>CC119</f>
        <v>63</v>
      </c>
      <c r="AP119" s="324">
        <f>CD119</f>
        <v>31</v>
      </c>
      <c r="AQ119" s="324">
        <f>CK119</f>
        <v>69</v>
      </c>
      <c r="AR119" s="324">
        <f>CI119</f>
        <v>88</v>
      </c>
      <c r="AS119" s="423">
        <f>CF119+CG119</f>
        <v>109</v>
      </c>
      <c r="AT119" s="324">
        <v>52</v>
      </c>
      <c r="AU119" s="324">
        <v>48</v>
      </c>
      <c r="AV119" s="324">
        <v>66</v>
      </c>
      <c r="AW119" s="324">
        <v>46</v>
      </c>
      <c r="AX119" s="324">
        <v>116</v>
      </c>
      <c r="AY119" s="324">
        <v>93</v>
      </c>
      <c r="AZ119" s="324">
        <v>22</v>
      </c>
      <c r="BA119" s="324">
        <v>134</v>
      </c>
      <c r="BB119" s="324">
        <v>86</v>
      </c>
      <c r="BC119" s="324">
        <v>134</v>
      </c>
      <c r="BD119" s="324">
        <v>92</v>
      </c>
      <c r="BE119" s="324">
        <v>44</v>
      </c>
      <c r="BF119" s="324">
        <v>121</v>
      </c>
      <c r="BG119" s="324">
        <v>12</v>
      </c>
      <c r="BH119" s="324">
        <v>18</v>
      </c>
      <c r="BI119" s="324">
        <v>73</v>
      </c>
      <c r="BJ119" s="324">
        <v>43</v>
      </c>
      <c r="BK119" s="324">
        <v>16</v>
      </c>
      <c r="BL119" s="324">
        <v>24</v>
      </c>
      <c r="BM119" s="324">
        <v>62</v>
      </c>
      <c r="BN119" s="324">
        <v>89</v>
      </c>
      <c r="BO119" s="324">
        <v>10</v>
      </c>
      <c r="BP119" s="324">
        <v>49</v>
      </c>
      <c r="BQ119" s="324">
        <v>34</v>
      </c>
      <c r="BR119" s="324">
        <v>40</v>
      </c>
      <c r="BS119" s="324">
        <v>22</v>
      </c>
      <c r="BT119" s="324">
        <v>121</v>
      </c>
      <c r="BU119" s="324">
        <v>56</v>
      </c>
      <c r="BV119" s="324">
        <v>145</v>
      </c>
      <c r="BW119" s="324">
        <v>42</v>
      </c>
      <c r="BX119" s="324">
        <v>53</v>
      </c>
      <c r="BY119" s="324">
        <v>32</v>
      </c>
      <c r="BZ119" s="324">
        <v>93</v>
      </c>
      <c r="CA119" s="324">
        <v>43</v>
      </c>
      <c r="CB119" s="324">
        <v>50</v>
      </c>
      <c r="CC119" s="324">
        <v>63</v>
      </c>
      <c r="CD119" s="324">
        <v>31</v>
      </c>
      <c r="CE119" s="324">
        <v>42</v>
      </c>
      <c r="CF119" s="324">
        <v>15</v>
      </c>
      <c r="CG119" s="324">
        <v>94</v>
      </c>
      <c r="CH119" s="324">
        <v>116</v>
      </c>
      <c r="CI119" s="324">
        <v>88</v>
      </c>
      <c r="CJ119" s="324">
        <v>152</v>
      </c>
      <c r="CK119" s="324">
        <v>69</v>
      </c>
      <c r="CL119" s="324">
        <v>2850</v>
      </c>
    </row>
    <row r="120" spans="1:90" s="69" customFormat="1" ht="11.25">
      <c r="B120" s="328" t="s">
        <v>55</v>
      </c>
      <c r="C120" s="322">
        <v>2010</v>
      </c>
      <c r="D120" s="69" t="s">
        <v>13</v>
      </c>
      <c r="E120" s="332">
        <v>40441</v>
      </c>
      <c r="F120" s="323">
        <v>586</v>
      </c>
      <c r="G120" s="323">
        <v>290</v>
      </c>
      <c r="H120" s="323">
        <v>242</v>
      </c>
      <c r="I120" s="323">
        <v>334</v>
      </c>
      <c r="J120" s="323"/>
      <c r="K120" s="323">
        <v>56</v>
      </c>
      <c r="L120" s="323">
        <v>61</v>
      </c>
      <c r="M120" s="323">
        <v>14</v>
      </c>
      <c r="N120" s="323">
        <v>36</v>
      </c>
      <c r="O120" s="323">
        <v>75</v>
      </c>
      <c r="P120" s="323">
        <v>66</v>
      </c>
      <c r="Q120" s="323">
        <v>41</v>
      </c>
      <c r="R120" s="323">
        <v>97</v>
      </c>
      <c r="S120" s="323">
        <v>53</v>
      </c>
      <c r="T120" s="323">
        <v>19</v>
      </c>
      <c r="U120" s="323">
        <v>71</v>
      </c>
      <c r="V120" s="323">
        <v>32</v>
      </c>
      <c r="W120" s="323">
        <v>41</v>
      </c>
      <c r="X120" s="323">
        <v>81</v>
      </c>
      <c r="Y120" s="323">
        <v>56</v>
      </c>
      <c r="Z120" s="323">
        <v>26</v>
      </c>
      <c r="AA120" s="323">
        <v>44</v>
      </c>
      <c r="AB120" s="323">
        <v>21</v>
      </c>
      <c r="AC120" s="323">
        <v>24</v>
      </c>
      <c r="AD120" s="323">
        <v>20</v>
      </c>
      <c r="AE120" s="323">
        <v>42</v>
      </c>
      <c r="AF120" s="323">
        <v>19</v>
      </c>
      <c r="AG120" s="323">
        <v>23</v>
      </c>
      <c r="AH120" s="323">
        <v>16</v>
      </c>
      <c r="AI120" s="323">
        <v>40</v>
      </c>
      <c r="AJ120" s="323">
        <v>39</v>
      </c>
      <c r="AK120" s="323">
        <v>25</v>
      </c>
      <c r="AL120" s="323">
        <v>18</v>
      </c>
      <c r="AM120" s="323">
        <v>34</v>
      </c>
      <c r="AN120" s="323">
        <v>53</v>
      </c>
      <c r="AO120" s="323">
        <v>95</v>
      </c>
      <c r="AP120" s="323">
        <v>21</v>
      </c>
      <c r="AQ120" s="323">
        <v>28</v>
      </c>
      <c r="AR120" s="323">
        <v>27</v>
      </c>
      <c r="AS120" s="323">
        <v>59</v>
      </c>
      <c r="AT120" s="323"/>
      <c r="AU120" s="323">
        <v>41</v>
      </c>
      <c r="AV120" s="323">
        <v>53</v>
      </c>
      <c r="AW120" s="323">
        <v>36</v>
      </c>
      <c r="AX120" s="323">
        <v>70</v>
      </c>
      <c r="AY120" s="323">
        <v>61</v>
      </c>
      <c r="AZ120" s="323">
        <v>15</v>
      </c>
      <c r="BA120" s="323">
        <v>51</v>
      </c>
      <c r="BB120" s="323">
        <v>19</v>
      </c>
      <c r="BC120" s="323">
        <v>71</v>
      </c>
      <c r="BD120" s="323">
        <v>14</v>
      </c>
      <c r="BE120" s="323">
        <v>75</v>
      </c>
      <c r="BF120" s="323">
        <v>56</v>
      </c>
      <c r="BG120" s="323">
        <v>5</v>
      </c>
      <c r="BH120" s="323">
        <v>19</v>
      </c>
      <c r="BI120" s="323">
        <v>62</v>
      </c>
      <c r="BJ120" s="323">
        <v>27</v>
      </c>
      <c r="BK120" s="323">
        <v>2</v>
      </c>
      <c r="BL120" s="323">
        <v>16</v>
      </c>
      <c r="BM120" s="323">
        <v>26</v>
      </c>
      <c r="BN120" s="323">
        <v>38</v>
      </c>
      <c r="BO120" s="323">
        <v>5</v>
      </c>
      <c r="BP120" s="323">
        <v>21</v>
      </c>
      <c r="BQ120" s="323">
        <v>39</v>
      </c>
      <c r="BR120" s="323">
        <v>41</v>
      </c>
      <c r="BS120" s="323">
        <v>8</v>
      </c>
      <c r="BT120" s="323">
        <v>34</v>
      </c>
      <c r="BU120" s="323">
        <v>20</v>
      </c>
      <c r="BV120" s="323">
        <v>23</v>
      </c>
      <c r="BW120" s="323">
        <v>40</v>
      </c>
      <c r="BX120" s="323">
        <v>24</v>
      </c>
      <c r="BY120" s="323">
        <v>39</v>
      </c>
      <c r="BZ120" s="323">
        <v>16</v>
      </c>
      <c r="CA120" s="323">
        <v>19</v>
      </c>
      <c r="CB120" s="323">
        <v>25</v>
      </c>
      <c r="CC120" s="323">
        <v>95</v>
      </c>
      <c r="CD120" s="323">
        <v>21</v>
      </c>
      <c r="CE120" s="323">
        <v>18</v>
      </c>
      <c r="CF120" s="323">
        <v>12</v>
      </c>
      <c r="CG120" s="323">
        <v>47</v>
      </c>
      <c r="CH120" s="323">
        <v>34</v>
      </c>
      <c r="CI120" s="323">
        <v>27</v>
      </c>
      <c r="CJ120" s="323">
        <v>53</v>
      </c>
      <c r="CK120" s="323">
        <v>28</v>
      </c>
      <c r="CL120" s="323">
        <v>1452</v>
      </c>
    </row>
    <row r="121" spans="1:90" s="69" customFormat="1" ht="11.25">
      <c r="B121" s="328"/>
      <c r="C121" s="322"/>
      <c r="D121" s="69" t="s">
        <v>1</v>
      </c>
      <c r="F121" s="323">
        <v>232107.36</v>
      </c>
      <c r="G121" s="323">
        <v>184654.69</v>
      </c>
      <c r="H121" s="323">
        <v>174810.37</v>
      </c>
      <c r="I121" s="323">
        <v>202711.95</v>
      </c>
      <c r="J121" s="323"/>
      <c r="K121" s="323">
        <v>18203.28</v>
      </c>
      <c r="L121" s="323">
        <v>29257.74</v>
      </c>
      <c r="M121" s="323">
        <v>26747.8</v>
      </c>
      <c r="N121" s="323">
        <v>15760.74</v>
      </c>
      <c r="O121" s="323">
        <v>7776.37</v>
      </c>
      <c r="P121" s="323">
        <v>14670.77</v>
      </c>
      <c r="Q121" s="323">
        <v>20995.78</v>
      </c>
      <c r="R121" s="323">
        <v>33590.68</v>
      </c>
      <c r="S121" s="323">
        <v>28171.93</v>
      </c>
      <c r="T121" s="323">
        <v>12926.83</v>
      </c>
      <c r="U121" s="323">
        <v>24005.43</v>
      </c>
      <c r="V121" s="323">
        <v>31773.06</v>
      </c>
      <c r="W121" s="323">
        <v>11941.64</v>
      </c>
      <c r="X121" s="323">
        <v>32421.03</v>
      </c>
      <c r="Y121" s="323">
        <v>49804.35</v>
      </c>
      <c r="Z121" s="323">
        <v>15546.89</v>
      </c>
      <c r="AA121" s="323">
        <v>18158.240000000002</v>
      </c>
      <c r="AB121" s="323">
        <v>25000.47</v>
      </c>
      <c r="AC121" s="323">
        <v>8787.24</v>
      </c>
      <c r="AD121" s="323">
        <v>10687.19</v>
      </c>
      <c r="AE121" s="323">
        <v>72340.58</v>
      </c>
      <c r="AF121" s="323">
        <v>5894.01</v>
      </c>
      <c r="AG121" s="323">
        <v>14323.86</v>
      </c>
      <c r="AH121" s="323">
        <v>20871.22</v>
      </c>
      <c r="AI121" s="323">
        <v>6983.96</v>
      </c>
      <c r="AJ121" s="323">
        <v>7057.98</v>
      </c>
      <c r="AK121" s="323">
        <v>27864.33</v>
      </c>
      <c r="AL121" s="323">
        <v>31057.48</v>
      </c>
      <c r="AM121" s="323">
        <v>29330.19</v>
      </c>
      <c r="AN121" s="323">
        <v>29782.37</v>
      </c>
      <c r="AO121" s="323">
        <v>24341.94</v>
      </c>
      <c r="AP121" s="323">
        <v>20088.61</v>
      </c>
      <c r="AQ121" s="323">
        <v>10922.03</v>
      </c>
      <c r="AR121" s="323">
        <v>9362.69</v>
      </c>
      <c r="AS121" s="323">
        <v>47826.65</v>
      </c>
      <c r="AT121" s="323"/>
      <c r="AU121" s="323">
        <v>20995.78</v>
      </c>
      <c r="AV121" s="323">
        <v>28171.93</v>
      </c>
      <c r="AW121" s="323">
        <v>15760.74</v>
      </c>
      <c r="AX121" s="323">
        <v>26900.82</v>
      </c>
      <c r="AY121" s="323">
        <v>29257.74</v>
      </c>
      <c r="AZ121" s="323">
        <v>2301.91</v>
      </c>
      <c r="BA121" s="323">
        <v>12368.86</v>
      </c>
      <c r="BB121" s="323">
        <v>12926.83</v>
      </c>
      <c r="BC121" s="323">
        <v>24005.43</v>
      </c>
      <c r="BD121" s="323">
        <v>26747.8</v>
      </c>
      <c r="BE121" s="323">
        <v>7776.37</v>
      </c>
      <c r="BF121" s="323">
        <v>18203.28</v>
      </c>
      <c r="BG121" s="323">
        <v>8855.68</v>
      </c>
      <c r="BH121" s="323">
        <v>5712.45</v>
      </c>
      <c r="BI121" s="323">
        <v>26708.58</v>
      </c>
      <c r="BJ121" s="323">
        <v>22917.38</v>
      </c>
      <c r="BK121" s="323">
        <v>4996</v>
      </c>
      <c r="BL121" s="323">
        <v>4092.46</v>
      </c>
      <c r="BM121" s="323">
        <v>15546.89</v>
      </c>
      <c r="BN121" s="323">
        <v>40715.89</v>
      </c>
      <c r="BO121" s="323">
        <v>5897.54</v>
      </c>
      <c r="BP121" s="323">
        <v>25000.47</v>
      </c>
      <c r="BQ121" s="323">
        <v>12260.7</v>
      </c>
      <c r="BR121" s="323">
        <v>11941.64</v>
      </c>
      <c r="BS121" s="323">
        <v>6992.51</v>
      </c>
      <c r="BT121" s="323">
        <v>65348.07</v>
      </c>
      <c r="BU121" s="323">
        <v>10687.19</v>
      </c>
      <c r="BV121" s="323">
        <v>14323.86</v>
      </c>
      <c r="BW121" s="323">
        <v>6983.96</v>
      </c>
      <c r="BX121" s="323">
        <v>8787.24</v>
      </c>
      <c r="BY121" s="323">
        <v>7057.98</v>
      </c>
      <c r="BZ121" s="323">
        <v>20871.22</v>
      </c>
      <c r="CA121" s="323">
        <v>5894.01</v>
      </c>
      <c r="CB121" s="323">
        <v>27864.33</v>
      </c>
      <c r="CC121" s="323">
        <v>24341.94</v>
      </c>
      <c r="CD121" s="323">
        <v>20088.61</v>
      </c>
      <c r="CE121" s="323">
        <v>31057.48</v>
      </c>
      <c r="CF121" s="323">
        <v>3508.14</v>
      </c>
      <c r="CG121" s="323">
        <v>44318.51</v>
      </c>
      <c r="CH121" s="323">
        <v>29330.19</v>
      </c>
      <c r="CI121" s="323">
        <v>9362.69</v>
      </c>
      <c r="CJ121" s="323">
        <v>29782.37</v>
      </c>
      <c r="CK121" s="323">
        <v>10922.03</v>
      </c>
      <c r="CL121" s="323">
        <v>813936.7</v>
      </c>
    </row>
    <row r="122" spans="1:90" s="69" customFormat="1" ht="11.25">
      <c r="B122" s="328" t="s">
        <v>197</v>
      </c>
      <c r="C122" s="322">
        <v>2010</v>
      </c>
      <c r="D122" s="69" t="s">
        <v>13</v>
      </c>
      <c r="E122" s="332">
        <v>40441</v>
      </c>
      <c r="F122" s="323">
        <v>4143</v>
      </c>
      <c r="G122" s="323">
        <v>308</v>
      </c>
      <c r="H122" s="323">
        <v>509</v>
      </c>
      <c r="I122" s="323">
        <v>1271</v>
      </c>
      <c r="J122" s="323"/>
      <c r="K122" s="323">
        <v>398</v>
      </c>
      <c r="L122" s="323">
        <v>596</v>
      </c>
      <c r="M122" s="323">
        <v>282</v>
      </c>
      <c r="N122" s="323">
        <v>246</v>
      </c>
      <c r="O122" s="323">
        <v>239</v>
      </c>
      <c r="P122" s="323">
        <v>184</v>
      </c>
      <c r="Q122" s="323">
        <v>396</v>
      </c>
      <c r="R122" s="323">
        <v>538</v>
      </c>
      <c r="S122" s="323">
        <v>404</v>
      </c>
      <c r="T122" s="323">
        <v>132</v>
      </c>
      <c r="U122" s="323">
        <v>732</v>
      </c>
      <c r="V122" s="323">
        <v>40</v>
      </c>
      <c r="W122" s="323">
        <v>16</v>
      </c>
      <c r="X122" s="323">
        <v>155</v>
      </c>
      <c r="Y122" s="323">
        <v>61</v>
      </c>
      <c r="Z122" s="323">
        <v>23</v>
      </c>
      <c r="AA122" s="323">
        <v>16</v>
      </c>
      <c r="AB122" s="323" t="s">
        <v>58</v>
      </c>
      <c r="AC122" s="323">
        <v>48</v>
      </c>
      <c r="AD122" s="323">
        <v>21</v>
      </c>
      <c r="AE122" s="323">
        <v>55</v>
      </c>
      <c r="AF122" s="323">
        <v>38</v>
      </c>
      <c r="AG122" s="323">
        <v>98</v>
      </c>
      <c r="AH122" s="323">
        <v>68</v>
      </c>
      <c r="AI122" s="323">
        <v>21</v>
      </c>
      <c r="AJ122" s="323">
        <v>81</v>
      </c>
      <c r="AK122" s="323">
        <v>79</v>
      </c>
      <c r="AL122" s="323">
        <v>29</v>
      </c>
      <c r="AM122" s="323">
        <v>7</v>
      </c>
      <c r="AN122" s="323">
        <v>493</v>
      </c>
      <c r="AO122" s="323">
        <v>203</v>
      </c>
      <c r="AP122" s="323">
        <v>17</v>
      </c>
      <c r="AQ122" s="323">
        <v>124</v>
      </c>
      <c r="AR122" s="323">
        <v>28</v>
      </c>
      <c r="AS122" s="323">
        <v>371</v>
      </c>
      <c r="AT122" s="323"/>
      <c r="AU122" s="323">
        <v>396</v>
      </c>
      <c r="AV122" s="323">
        <v>404</v>
      </c>
      <c r="AW122" s="323">
        <v>246</v>
      </c>
      <c r="AX122" s="323">
        <v>526</v>
      </c>
      <c r="AY122" s="323">
        <v>596</v>
      </c>
      <c r="AZ122" s="323">
        <v>8</v>
      </c>
      <c r="BA122" s="323">
        <v>176</v>
      </c>
      <c r="BB122" s="323">
        <v>132</v>
      </c>
      <c r="BC122" s="323">
        <v>732</v>
      </c>
      <c r="BD122" s="323">
        <v>282</v>
      </c>
      <c r="BE122" s="323">
        <v>239</v>
      </c>
      <c r="BF122" s="323">
        <v>398</v>
      </c>
      <c r="BG122" s="323">
        <v>9</v>
      </c>
      <c r="BH122" s="323">
        <v>3</v>
      </c>
      <c r="BI122" s="323">
        <v>152</v>
      </c>
      <c r="BJ122" s="323">
        <v>31</v>
      </c>
      <c r="BK122" s="323">
        <v>9</v>
      </c>
      <c r="BL122" s="323">
        <v>2</v>
      </c>
      <c r="BM122" s="323">
        <v>23</v>
      </c>
      <c r="BN122" s="323">
        <v>50</v>
      </c>
      <c r="BO122" s="323">
        <v>1</v>
      </c>
      <c r="BP122" s="323" t="s">
        <v>58</v>
      </c>
      <c r="BQ122" s="323">
        <v>15</v>
      </c>
      <c r="BR122" s="323">
        <v>16</v>
      </c>
      <c r="BS122" s="323">
        <v>7</v>
      </c>
      <c r="BT122" s="323">
        <v>48</v>
      </c>
      <c r="BU122" s="323">
        <v>21</v>
      </c>
      <c r="BV122" s="323">
        <v>98</v>
      </c>
      <c r="BW122" s="323">
        <v>21</v>
      </c>
      <c r="BX122" s="323">
        <v>48</v>
      </c>
      <c r="BY122" s="323">
        <v>81</v>
      </c>
      <c r="BZ122" s="323">
        <v>68</v>
      </c>
      <c r="CA122" s="323">
        <v>38</v>
      </c>
      <c r="CB122" s="323">
        <v>79</v>
      </c>
      <c r="CC122" s="323">
        <v>203</v>
      </c>
      <c r="CD122" s="323">
        <v>17</v>
      </c>
      <c r="CE122" s="323">
        <v>29</v>
      </c>
      <c r="CF122" s="323">
        <v>9</v>
      </c>
      <c r="CG122" s="323">
        <v>362</v>
      </c>
      <c r="CH122" s="323">
        <v>7</v>
      </c>
      <c r="CI122" s="323">
        <v>28</v>
      </c>
      <c r="CJ122" s="323">
        <v>493</v>
      </c>
      <c r="CK122" s="323">
        <v>124</v>
      </c>
      <c r="CL122" s="323">
        <v>6231</v>
      </c>
    </row>
    <row r="123" spans="1:90" s="69" customFormat="1" ht="11.25">
      <c r="B123" s="328"/>
      <c r="C123" s="322"/>
      <c r="D123" s="69" t="s">
        <v>1</v>
      </c>
      <c r="F123" s="323">
        <v>4170.09</v>
      </c>
      <c r="G123" s="323">
        <v>541.74</v>
      </c>
      <c r="H123" s="323">
        <v>587.17999999999995</v>
      </c>
      <c r="I123" s="323">
        <v>1151.67</v>
      </c>
      <c r="J123" s="323"/>
      <c r="K123" s="323">
        <v>359.48</v>
      </c>
      <c r="L123" s="323">
        <v>528.95000000000005</v>
      </c>
      <c r="M123" s="323">
        <v>290.68</v>
      </c>
      <c r="N123" s="323">
        <v>310.51</v>
      </c>
      <c r="O123" s="323">
        <v>119.56</v>
      </c>
      <c r="P123" s="323">
        <v>180.21</v>
      </c>
      <c r="Q123" s="323">
        <v>604.95000000000005</v>
      </c>
      <c r="R123" s="323">
        <v>582.64</v>
      </c>
      <c r="S123" s="323">
        <v>556.91</v>
      </c>
      <c r="T123" s="323">
        <v>74.989999999999995</v>
      </c>
      <c r="U123" s="323">
        <v>561.22</v>
      </c>
      <c r="V123" s="323">
        <v>79.45</v>
      </c>
      <c r="W123" s="323">
        <v>39.14</v>
      </c>
      <c r="X123" s="323">
        <v>280.74</v>
      </c>
      <c r="Y123" s="323">
        <v>77.97</v>
      </c>
      <c r="Z123" s="323">
        <v>54.51</v>
      </c>
      <c r="AA123" s="323">
        <v>9.93</v>
      </c>
      <c r="AB123" s="323" t="s">
        <v>58</v>
      </c>
      <c r="AC123" s="323">
        <v>65.58</v>
      </c>
      <c r="AD123" s="323">
        <v>29.81</v>
      </c>
      <c r="AE123" s="323">
        <v>68.790000000000006</v>
      </c>
      <c r="AF123" s="323">
        <v>36.619999999999997</v>
      </c>
      <c r="AG123" s="323">
        <v>45.79</v>
      </c>
      <c r="AH123" s="323">
        <v>151.69</v>
      </c>
      <c r="AI123" s="323">
        <v>42.2</v>
      </c>
      <c r="AJ123" s="323">
        <v>77.03</v>
      </c>
      <c r="AK123" s="323">
        <v>69.67</v>
      </c>
      <c r="AL123" s="323">
        <v>65.63</v>
      </c>
      <c r="AM123" s="323">
        <v>10.07</v>
      </c>
      <c r="AN123" s="323">
        <v>440.02</v>
      </c>
      <c r="AO123" s="323">
        <v>198.6</v>
      </c>
      <c r="AP123" s="323">
        <v>28.92</v>
      </c>
      <c r="AQ123" s="323">
        <v>42.68</v>
      </c>
      <c r="AR123" s="323">
        <v>40.46</v>
      </c>
      <c r="AS123" s="323">
        <v>325.3</v>
      </c>
      <c r="AT123" s="323"/>
      <c r="AU123" s="323">
        <v>604.95000000000005</v>
      </c>
      <c r="AV123" s="323">
        <v>556.91</v>
      </c>
      <c r="AW123" s="323">
        <v>310.51</v>
      </c>
      <c r="AX123" s="323">
        <v>578.1</v>
      </c>
      <c r="AY123" s="323">
        <v>528.95000000000005</v>
      </c>
      <c r="AZ123" s="323">
        <v>11.52</v>
      </c>
      <c r="BA123" s="323">
        <v>168.69</v>
      </c>
      <c r="BB123" s="323">
        <v>74.989999999999995</v>
      </c>
      <c r="BC123" s="323">
        <v>561.22</v>
      </c>
      <c r="BD123" s="323">
        <v>290.68</v>
      </c>
      <c r="BE123" s="323">
        <v>119.56</v>
      </c>
      <c r="BF123" s="323">
        <v>359.48</v>
      </c>
      <c r="BG123" s="323">
        <v>19.5</v>
      </c>
      <c r="BH123" s="323">
        <v>3.6</v>
      </c>
      <c r="BI123" s="323">
        <v>277.14</v>
      </c>
      <c r="BJ123" s="323">
        <v>59.95</v>
      </c>
      <c r="BK123" s="323">
        <v>16.16</v>
      </c>
      <c r="BL123" s="323">
        <v>1.1599999999999999</v>
      </c>
      <c r="BM123" s="323">
        <v>54.51</v>
      </c>
      <c r="BN123" s="323">
        <v>60.65</v>
      </c>
      <c r="BO123" s="323">
        <v>3.9</v>
      </c>
      <c r="BP123" s="323" t="s">
        <v>58</v>
      </c>
      <c r="BQ123" s="323">
        <v>6.03</v>
      </c>
      <c r="BR123" s="323">
        <v>39.14</v>
      </c>
      <c r="BS123" s="323">
        <v>6.83</v>
      </c>
      <c r="BT123" s="323">
        <v>61.96</v>
      </c>
      <c r="BU123" s="323">
        <v>29.81</v>
      </c>
      <c r="BV123" s="323">
        <v>45.79</v>
      </c>
      <c r="BW123" s="323">
        <v>42.2</v>
      </c>
      <c r="BX123" s="323">
        <v>65.58</v>
      </c>
      <c r="BY123" s="323">
        <v>77.03</v>
      </c>
      <c r="BZ123" s="323">
        <v>151.69</v>
      </c>
      <c r="CA123" s="323">
        <v>36.619999999999997</v>
      </c>
      <c r="CB123" s="323">
        <v>69.67</v>
      </c>
      <c r="CC123" s="323">
        <v>198.6</v>
      </c>
      <c r="CD123" s="323">
        <v>28.92</v>
      </c>
      <c r="CE123" s="323">
        <v>65.63</v>
      </c>
      <c r="CF123" s="323">
        <v>19.27</v>
      </c>
      <c r="CG123" s="323">
        <v>306.02999999999997</v>
      </c>
      <c r="CH123" s="323">
        <v>10.07</v>
      </c>
      <c r="CI123" s="323">
        <v>40.46</v>
      </c>
      <c r="CJ123" s="323">
        <v>440.02</v>
      </c>
      <c r="CK123" s="323">
        <v>42.68</v>
      </c>
      <c r="CL123" s="323">
        <v>6476.71</v>
      </c>
    </row>
    <row r="124" spans="1:90" s="69" customFormat="1" ht="11.25">
      <c r="B124" s="328" t="s">
        <v>235</v>
      </c>
      <c r="C124" s="322">
        <v>2010</v>
      </c>
      <c r="D124" s="69" t="s">
        <v>13</v>
      </c>
      <c r="E124" s="332">
        <v>40648</v>
      </c>
      <c r="F124" s="323">
        <v>3148</v>
      </c>
      <c r="G124" s="323">
        <v>681</v>
      </c>
      <c r="H124" s="323">
        <v>2722</v>
      </c>
      <c r="I124" s="323">
        <v>4220</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89</v>
      </c>
      <c r="AV124" s="323">
        <v>96</v>
      </c>
      <c r="AW124" s="323">
        <v>309</v>
      </c>
      <c r="AX124" s="323">
        <v>140</v>
      </c>
      <c r="AY124" s="323">
        <v>242</v>
      </c>
      <c r="AZ124" s="323">
        <v>4</v>
      </c>
      <c r="BA124" s="323">
        <v>125</v>
      </c>
      <c r="BB124" s="323">
        <v>226</v>
      </c>
      <c r="BC124" s="323">
        <v>693</v>
      </c>
      <c r="BD124" s="323">
        <v>254</v>
      </c>
      <c r="BE124" s="323">
        <v>210</v>
      </c>
      <c r="BF124" s="323">
        <v>746</v>
      </c>
      <c r="BG124" s="323" t="s">
        <v>58</v>
      </c>
      <c r="BH124" s="323" t="s">
        <v>233</v>
      </c>
      <c r="BI124" s="323">
        <v>31</v>
      </c>
      <c r="BJ124" s="323">
        <v>19</v>
      </c>
      <c r="BK124" s="323" t="s">
        <v>233</v>
      </c>
      <c r="BL124" s="323" t="s">
        <v>233</v>
      </c>
      <c r="BM124" s="323">
        <v>213</v>
      </c>
      <c r="BN124" s="323">
        <v>90</v>
      </c>
      <c r="BO124" s="323" t="s">
        <v>233</v>
      </c>
      <c r="BP124" s="323">
        <v>123</v>
      </c>
      <c r="BQ124" s="323">
        <v>65</v>
      </c>
      <c r="BR124" s="323">
        <v>130</v>
      </c>
      <c r="BS124" s="323">
        <v>5</v>
      </c>
      <c r="BT124" s="323">
        <v>443</v>
      </c>
      <c r="BU124" s="323">
        <v>183</v>
      </c>
      <c r="BV124" s="323">
        <v>479</v>
      </c>
      <c r="BW124" s="323">
        <v>221</v>
      </c>
      <c r="BX124" s="323">
        <v>466</v>
      </c>
      <c r="BY124" s="323">
        <v>139</v>
      </c>
      <c r="BZ124" s="323">
        <v>233</v>
      </c>
      <c r="CA124" s="323">
        <v>182</v>
      </c>
      <c r="CB124" s="323">
        <v>371</v>
      </c>
      <c r="CC124" s="323">
        <v>247</v>
      </c>
      <c r="CD124" s="323">
        <v>40</v>
      </c>
      <c r="CE124" s="323">
        <v>82</v>
      </c>
      <c r="CF124" s="323">
        <v>21</v>
      </c>
      <c r="CG124" s="323">
        <v>569</v>
      </c>
      <c r="CH124" s="323">
        <v>886</v>
      </c>
      <c r="CI124" s="323">
        <v>338</v>
      </c>
      <c r="CJ124" s="323">
        <v>1662</v>
      </c>
      <c r="CK124" s="323">
        <v>375</v>
      </c>
      <c r="CL124" s="323">
        <v>10771</v>
      </c>
    </row>
    <row r="125" spans="1:90" s="69" customFormat="1" ht="11.25">
      <c r="B125" s="328" t="s">
        <v>236</v>
      </c>
      <c r="C125" s="322">
        <v>2001</v>
      </c>
      <c r="D125" s="69" t="s">
        <v>13</v>
      </c>
      <c r="E125" s="332">
        <v>40652</v>
      </c>
      <c r="F125" s="323">
        <f>6290-2941</f>
        <v>3349</v>
      </c>
      <c r="G125" s="323">
        <f>1787-311</f>
        <v>1476</v>
      </c>
      <c r="H125" s="323">
        <f>5450-868</f>
        <v>4582</v>
      </c>
      <c r="I125" s="323">
        <f>5614-2059</f>
        <v>3555</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v>6</v>
      </c>
      <c r="AU125" s="323">
        <f>184-47</f>
        <v>137</v>
      </c>
      <c r="AV125" s="323">
        <f>146-10</f>
        <v>136</v>
      </c>
      <c r="AW125" s="323">
        <f>285-89</f>
        <v>196</v>
      </c>
      <c r="AX125" s="323">
        <f>242-68</f>
        <v>174</v>
      </c>
      <c r="AY125" s="323">
        <f>303-57</f>
        <v>246</v>
      </c>
      <c r="AZ125" s="323">
        <v>3</v>
      </c>
      <c r="BA125" s="323">
        <v>222</v>
      </c>
      <c r="BB125" s="323">
        <f>752-451</f>
        <v>301</v>
      </c>
      <c r="BC125" s="323">
        <f>1721-1148</f>
        <v>573</v>
      </c>
      <c r="BD125" s="323">
        <f>975-479</f>
        <v>496</v>
      </c>
      <c r="BE125" s="323">
        <f>345-133</f>
        <v>212</v>
      </c>
      <c r="BF125" s="323">
        <f>1002-355</f>
        <v>647</v>
      </c>
      <c r="BG125" s="323">
        <v>4</v>
      </c>
      <c r="BH125" s="323">
        <v>8</v>
      </c>
      <c r="BI125" s="323">
        <f>191-35</f>
        <v>156</v>
      </c>
      <c r="BJ125" s="323">
        <v>78</v>
      </c>
      <c r="BK125" s="323">
        <v>15</v>
      </c>
      <c r="BL125" s="323">
        <v>16</v>
      </c>
      <c r="BM125" s="323">
        <f>523-109</f>
        <v>414</v>
      </c>
      <c r="BN125" s="323">
        <f>282-73</f>
        <v>209</v>
      </c>
      <c r="BO125" s="323">
        <v>5</v>
      </c>
      <c r="BP125" s="323">
        <f>254-25</f>
        <v>229</v>
      </c>
      <c r="BQ125" s="323">
        <f>128-16</f>
        <v>112</v>
      </c>
      <c r="BR125" s="323">
        <f>263-33</f>
        <v>230</v>
      </c>
      <c r="BS125" s="323">
        <v>22</v>
      </c>
      <c r="BT125" s="323">
        <f>755-117</f>
        <v>638</v>
      </c>
      <c r="BU125" s="323">
        <f>540-95</f>
        <v>445</v>
      </c>
      <c r="BV125" s="323">
        <f>1476-253</f>
        <v>1223</v>
      </c>
      <c r="BW125" s="323">
        <f>582-75</f>
        <v>507</v>
      </c>
      <c r="BX125" s="323">
        <f>579-117</f>
        <v>462</v>
      </c>
      <c r="BY125" s="323">
        <f>254-36</f>
        <v>218</v>
      </c>
      <c r="BZ125" s="323">
        <f>324-69</f>
        <v>255</v>
      </c>
      <c r="CA125" s="323">
        <f>302-21</f>
        <v>281</v>
      </c>
      <c r="CB125" s="323">
        <f>612-81</f>
        <v>531</v>
      </c>
      <c r="CC125" s="323">
        <f>595-126</f>
        <v>469</v>
      </c>
      <c r="CD125" s="323">
        <f>180-29</f>
        <v>151</v>
      </c>
      <c r="CE125" s="323">
        <f>236-32</f>
        <v>204</v>
      </c>
      <c r="CF125" s="323">
        <f>63-27</f>
        <v>36</v>
      </c>
      <c r="CG125" s="323">
        <f>1521-727</f>
        <v>794</v>
      </c>
      <c r="CH125" s="323">
        <f>1150-491</f>
        <v>659</v>
      </c>
      <c r="CI125" s="323">
        <f>312-68</f>
        <v>244</v>
      </c>
      <c r="CJ125" s="323">
        <f>614-237</f>
        <v>377</v>
      </c>
      <c r="CK125" s="323">
        <f>943-322</f>
        <v>621</v>
      </c>
      <c r="CL125" s="323">
        <f>19141-6179</f>
        <v>12962</v>
      </c>
    </row>
    <row r="126" spans="1:90" s="69" customFormat="1" ht="11.25">
      <c r="B126" s="328" t="s">
        <v>237</v>
      </c>
      <c r="C126" s="322">
        <v>2001</v>
      </c>
      <c r="D126" s="69" t="s">
        <v>13</v>
      </c>
      <c r="E126" s="332">
        <v>40652</v>
      </c>
      <c r="F126" s="323">
        <v>269314</v>
      </c>
      <c r="G126" s="323">
        <v>51869</v>
      </c>
      <c r="H126" s="323">
        <v>75431</v>
      </c>
      <c r="I126" s="323">
        <v>226471</v>
      </c>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v>281</v>
      </c>
      <c r="AU126" s="323">
        <v>8753</v>
      </c>
      <c r="AV126" s="323">
        <v>3510</v>
      </c>
      <c r="AW126" s="323">
        <v>9892</v>
      </c>
      <c r="AX126" s="323">
        <v>19205</v>
      </c>
      <c r="AY126" s="323">
        <v>8003</v>
      </c>
      <c r="AZ126" s="323">
        <v>796</v>
      </c>
      <c r="BA126" s="323">
        <v>16625</v>
      </c>
      <c r="BB126" s="323">
        <v>43594</v>
      </c>
      <c r="BC126" s="323">
        <v>88604</v>
      </c>
      <c r="BD126" s="323">
        <v>28116</v>
      </c>
      <c r="BE126" s="323">
        <v>17760</v>
      </c>
      <c r="BF126" s="323">
        <v>24175</v>
      </c>
      <c r="BG126" s="323" t="s">
        <v>233</v>
      </c>
      <c r="BH126" s="323">
        <v>634</v>
      </c>
      <c r="BI126" s="323">
        <v>6255</v>
      </c>
      <c r="BJ126" s="323">
        <v>3413</v>
      </c>
      <c r="BK126" s="323">
        <v>817</v>
      </c>
      <c r="BL126" s="323">
        <v>1106</v>
      </c>
      <c r="BM126" s="323">
        <v>14691</v>
      </c>
      <c r="BN126" s="323">
        <v>11980</v>
      </c>
      <c r="BO126" s="323" t="s">
        <v>233</v>
      </c>
      <c r="BP126" s="323">
        <v>3246</v>
      </c>
      <c r="BQ126" s="323">
        <v>4162</v>
      </c>
      <c r="BR126" s="323">
        <v>5176</v>
      </c>
      <c r="BS126" s="323">
        <v>281</v>
      </c>
      <c r="BT126" s="323">
        <v>5396</v>
      </c>
      <c r="BU126" s="323">
        <v>4183</v>
      </c>
      <c r="BV126" s="323">
        <v>14519</v>
      </c>
      <c r="BW126" s="323">
        <v>14970</v>
      </c>
      <c r="BX126" s="323">
        <v>9248</v>
      </c>
      <c r="BY126" s="323">
        <v>5554</v>
      </c>
      <c r="BZ126" s="323">
        <v>11590</v>
      </c>
      <c r="CA126" s="323">
        <v>3473</v>
      </c>
      <c r="CB126" s="323">
        <v>6217</v>
      </c>
      <c r="CC126" s="323">
        <v>11320</v>
      </c>
      <c r="CD126" s="323">
        <v>5515</v>
      </c>
      <c r="CE126" s="323">
        <v>6208</v>
      </c>
      <c r="CF126" s="323">
        <v>7262</v>
      </c>
      <c r="CG126" s="323">
        <v>77976</v>
      </c>
      <c r="CH126" s="323">
        <v>52455</v>
      </c>
      <c r="CI126" s="323">
        <v>11074</v>
      </c>
      <c r="CJ126" s="323">
        <v>20829</v>
      </c>
      <c r="CK126" s="323">
        <v>33832</v>
      </c>
      <c r="CL126" s="323">
        <v>623085</v>
      </c>
    </row>
    <row r="127" spans="1:90" s="69" customFormat="1" ht="11.25">
      <c r="B127" s="328" t="s">
        <v>257</v>
      </c>
      <c r="C127" s="322">
        <v>1991</v>
      </c>
      <c r="D127" s="69" t="s">
        <v>13</v>
      </c>
      <c r="E127" s="332">
        <v>40694</v>
      </c>
      <c r="F127" s="323">
        <f>35614-4168-5038-5588</f>
        <v>20820</v>
      </c>
      <c r="G127" s="323">
        <f>15599-1702-3491-3585</f>
        <v>6821</v>
      </c>
      <c r="H127" s="323">
        <f>32550-3860-5508-7332</f>
        <v>15850</v>
      </c>
      <c r="I127" s="323">
        <f>27487-861-3110-4420</f>
        <v>19096</v>
      </c>
      <c r="J127" s="323"/>
      <c r="K127" s="333">
        <f>BF127</f>
        <v>3304</v>
      </c>
      <c r="L127" s="333">
        <f>AY127</f>
        <v>1471</v>
      </c>
      <c r="M127" s="333">
        <f>BD127</f>
        <v>2747</v>
      </c>
      <c r="N127" s="333">
        <f>AW127</f>
        <v>1189</v>
      </c>
      <c r="O127" s="333">
        <f>BE127</f>
        <v>918</v>
      </c>
      <c r="P127" s="333">
        <f>'2001'!AZ127+'2001'!BA127</f>
        <v>2473</v>
      </c>
      <c r="Q127" s="333">
        <f>'2001'!AU127</f>
        <v>879</v>
      </c>
      <c r="R127" s="333">
        <f>AT127+AX127</f>
        <v>1496</v>
      </c>
      <c r="S127" s="333">
        <f>AV127</f>
        <v>836</v>
      </c>
      <c r="T127" s="333">
        <f>BB127</f>
        <v>1946</v>
      </c>
      <c r="U127" s="333">
        <f>BC127</f>
        <v>3561</v>
      </c>
      <c r="V127" s="333">
        <f>BG127+BJ127</f>
        <v>412</v>
      </c>
      <c r="W127" s="333">
        <f>BR127</f>
        <v>872</v>
      </c>
      <c r="X127" s="333">
        <f>BH127+BI127</f>
        <v>1004</v>
      </c>
      <c r="Y127" s="333">
        <f>BK127+BL127+BN127</f>
        <v>1426</v>
      </c>
      <c r="Z127" s="333">
        <f>BM127</f>
        <v>1720</v>
      </c>
      <c r="AA127" s="333">
        <f>BO127+BQ127</f>
        <v>588</v>
      </c>
      <c r="AB127" s="333">
        <f>BP127</f>
        <v>799</v>
      </c>
      <c r="AC127" s="333">
        <f>BX127</f>
        <v>1710</v>
      </c>
      <c r="AD127" s="333">
        <f>BU127</f>
        <v>1283</v>
      </c>
      <c r="AE127" s="333">
        <f>BS127+BT127</f>
        <v>2641</v>
      </c>
      <c r="AF127" s="333">
        <f>CA127</f>
        <v>1279</v>
      </c>
      <c r="AG127" s="333">
        <f>BV127</f>
        <v>3191</v>
      </c>
      <c r="AH127" s="333">
        <f>BZ127</f>
        <v>1360</v>
      </c>
      <c r="AI127" s="333">
        <f>BW127</f>
        <v>1420</v>
      </c>
      <c r="AJ127" s="333">
        <f>BY127</f>
        <v>904</v>
      </c>
      <c r="AK127" s="333">
        <f>CB127</f>
        <v>2062</v>
      </c>
      <c r="AL127" s="333">
        <f>CE127</f>
        <v>1207</v>
      </c>
      <c r="AM127" s="333">
        <f>CH127</f>
        <v>3480</v>
      </c>
      <c r="AN127" s="333">
        <f>CJ127</f>
        <v>4145</v>
      </c>
      <c r="AO127" s="333">
        <f>CC127</f>
        <v>1717</v>
      </c>
      <c r="AP127" s="333">
        <f>CD127</f>
        <v>662</v>
      </c>
      <c r="AQ127" s="333">
        <f>CK127</f>
        <v>2473</v>
      </c>
      <c r="AR127" s="333">
        <f>CI127</f>
        <v>1905</v>
      </c>
      <c r="AS127" s="333">
        <f>CF127+CG127</f>
        <v>3507</v>
      </c>
      <c r="AT127" s="323">
        <f>430-140-66-109</f>
        <v>115</v>
      </c>
      <c r="AU127" s="323">
        <f>1732-117-329-407</f>
        <v>879</v>
      </c>
      <c r="AV127" s="323">
        <f>2197-267-584-510</f>
        <v>836</v>
      </c>
      <c r="AW127" s="323">
        <f>1740-95-213-243</f>
        <v>1189</v>
      </c>
      <c r="AX127" s="323">
        <f>3087-881-475-350</f>
        <v>1381</v>
      </c>
      <c r="AY127" s="323">
        <f>3513-494-764-784</f>
        <v>1471</v>
      </c>
      <c r="AZ127" s="323">
        <f>352-54-25-61</f>
        <v>212</v>
      </c>
      <c r="BA127" s="323">
        <f>4903-1269-685-688</f>
        <v>2261</v>
      </c>
      <c r="BB127" s="323">
        <f>2943-245-328-424</f>
        <v>1946</v>
      </c>
      <c r="BC127" s="323">
        <f>4798-128-454-655</f>
        <v>3561</v>
      </c>
      <c r="BD127" s="323">
        <f>4134-285-501-601</f>
        <v>2747</v>
      </c>
      <c r="BE127" s="323">
        <f>1185-62-102-103</f>
        <v>918</v>
      </c>
      <c r="BF127" s="323">
        <f>4600-131-512-653</f>
        <v>3304</v>
      </c>
      <c r="BG127" s="323">
        <f>375-185-101-53</f>
        <v>36</v>
      </c>
      <c r="BH127" s="323">
        <f>198-37-47-33</f>
        <v>81</v>
      </c>
      <c r="BI127" s="323">
        <f>2580-408-708-541</f>
        <v>923</v>
      </c>
      <c r="BJ127" s="323">
        <f>1730-361-570-423</f>
        <v>376</v>
      </c>
      <c r="BK127" s="323">
        <f>148-26-26-29</f>
        <v>67</v>
      </c>
      <c r="BL127" s="323">
        <f>157-35-11-11</f>
        <v>100</v>
      </c>
      <c r="BM127" s="323">
        <f>2629-53-348-508</f>
        <v>1720</v>
      </c>
      <c r="BN127" s="323">
        <f>2295-403-300-333</f>
        <v>1259</v>
      </c>
      <c r="BO127" s="323">
        <f>87-19-21-20</f>
        <v>27</v>
      </c>
      <c r="BP127" s="323">
        <f>1990-44-499-648</f>
        <v>799</v>
      </c>
      <c r="BQ127" s="323">
        <f>1249-85-304-299</f>
        <v>561</v>
      </c>
      <c r="BR127" s="323">
        <f>2161-46-556-687</f>
        <v>872</v>
      </c>
      <c r="BS127" s="323">
        <f>455-125-103-85</f>
        <v>142</v>
      </c>
      <c r="BT127" s="323">
        <f>6083-1520-964-1100</f>
        <v>2499</v>
      </c>
      <c r="BU127" s="323">
        <f>3630-863-706-778</f>
        <v>1283</v>
      </c>
      <c r="BV127" s="323">
        <f>8092-736-1856-2309</f>
        <v>3191</v>
      </c>
      <c r="BW127" s="323">
        <f>2437-42-350-625</f>
        <v>1420</v>
      </c>
      <c r="BX127" s="323">
        <f>2407-26-234-437</f>
        <v>1710</v>
      </c>
      <c r="BY127" s="323">
        <f>1498-29-217-348</f>
        <v>904</v>
      </c>
      <c r="BZ127" s="323">
        <f>2261-214-322-365</f>
        <v>1360</v>
      </c>
      <c r="CA127" s="323">
        <f>2412-240-342-551</f>
        <v>1279</v>
      </c>
      <c r="CB127" s="323">
        <f>3275-65-414-734</f>
        <v>2062</v>
      </c>
      <c r="CC127" s="323">
        <f>2996-110-514-655</f>
        <v>1717</v>
      </c>
      <c r="CD127" s="323">
        <f>1666-61-461-482</f>
        <v>662</v>
      </c>
      <c r="CE127" s="323">
        <f>2552-36-545-764</f>
        <v>1207</v>
      </c>
      <c r="CF127" s="323">
        <f>259-14-18-33</f>
        <v>194</v>
      </c>
      <c r="CG127" s="323">
        <f>4146-99-270-464</f>
        <v>3313</v>
      </c>
      <c r="CH127" s="323">
        <f>4484-130-314-560</f>
        <v>3480</v>
      </c>
      <c r="CI127" s="323">
        <f>2942-181-339-517</f>
        <v>1905</v>
      </c>
      <c r="CJ127" s="323">
        <f>5194-170-349-530</f>
        <v>4145</v>
      </c>
      <c r="CK127" s="323">
        <f>3248-60-300-415</f>
        <v>2473</v>
      </c>
      <c r="CL127" s="323">
        <f>111250-10591-17147-20925</f>
        <v>62587</v>
      </c>
    </row>
    <row r="129" spans="2:90">
      <c r="B129" s="58" t="s">
        <v>234</v>
      </c>
      <c r="D129" t="s">
        <v>7</v>
      </c>
      <c r="F129" s="126">
        <v>17670</v>
      </c>
      <c r="G129" s="126">
        <v>8259</v>
      </c>
      <c r="H129" s="126">
        <v>26057</v>
      </c>
      <c r="I129" s="126">
        <v>13337</v>
      </c>
      <c r="K129" s="126">
        <v>4521</v>
      </c>
      <c r="L129" s="126">
        <v>1838</v>
      </c>
      <c r="M129" s="126">
        <v>1029</v>
      </c>
      <c r="N129" s="126">
        <v>1762</v>
      </c>
      <c r="O129" s="126">
        <v>686</v>
      </c>
      <c r="P129" s="126">
        <v>675</v>
      </c>
      <c r="Q129" s="126">
        <v>640</v>
      </c>
      <c r="R129" s="126">
        <v>323</v>
      </c>
      <c r="S129" s="126">
        <v>1047</v>
      </c>
      <c r="T129" s="126">
        <v>1311</v>
      </c>
      <c r="U129" s="126">
        <v>3809</v>
      </c>
      <c r="V129" s="126">
        <v>556</v>
      </c>
      <c r="W129" s="126">
        <v>1318</v>
      </c>
      <c r="X129" s="126">
        <v>719</v>
      </c>
      <c r="Y129" s="126">
        <v>1415</v>
      </c>
      <c r="Z129" s="126">
        <v>1723</v>
      </c>
      <c r="AA129" s="126">
        <v>1044</v>
      </c>
      <c r="AB129" s="126">
        <v>1292</v>
      </c>
      <c r="AC129" s="126">
        <v>2742</v>
      </c>
      <c r="AD129" s="126">
        <v>2787</v>
      </c>
      <c r="AE129" s="126">
        <v>3607</v>
      </c>
      <c r="AF129" s="126">
        <v>2671</v>
      </c>
      <c r="AG129" s="126">
        <v>4498</v>
      </c>
      <c r="AH129" s="126">
        <v>1383</v>
      </c>
      <c r="AI129" s="126">
        <v>2140</v>
      </c>
      <c r="AJ129" s="126">
        <v>1541</v>
      </c>
      <c r="AK129" s="126">
        <v>4688</v>
      </c>
      <c r="AL129" s="126">
        <v>1763</v>
      </c>
      <c r="AM129" s="126">
        <v>2143</v>
      </c>
      <c r="AN129" s="126">
        <v>1983</v>
      </c>
      <c r="AO129" s="126">
        <v>1579</v>
      </c>
      <c r="AP129" s="126">
        <v>501</v>
      </c>
      <c r="AQ129" s="126">
        <v>2494</v>
      </c>
      <c r="AR129" s="126">
        <v>1100</v>
      </c>
      <c r="AS129" s="126">
        <v>1746</v>
      </c>
      <c r="AT129" s="126">
        <v>11</v>
      </c>
      <c r="AU129" s="126">
        <v>640</v>
      </c>
      <c r="AV129" s="126">
        <v>1047</v>
      </c>
      <c r="AW129" s="126">
        <v>1762</v>
      </c>
      <c r="AX129" s="126">
        <v>312</v>
      </c>
      <c r="AY129" s="126">
        <v>1838</v>
      </c>
      <c r="AZ129" s="126">
        <v>29</v>
      </c>
      <c r="BA129" s="126">
        <v>675</v>
      </c>
      <c r="BB129" s="126">
        <v>1311</v>
      </c>
      <c r="BC129" s="126">
        <v>3809</v>
      </c>
      <c r="BD129" s="126">
        <v>1029</v>
      </c>
      <c r="BE129" s="126">
        <v>686</v>
      </c>
      <c r="BF129" s="126">
        <v>4521</v>
      </c>
      <c r="BG129" s="126">
        <v>76</v>
      </c>
      <c r="BH129" s="126">
        <v>22</v>
      </c>
      <c r="BI129" s="126">
        <v>719</v>
      </c>
      <c r="BJ129" s="126">
        <v>480</v>
      </c>
      <c r="BK129" s="126">
        <v>123</v>
      </c>
      <c r="BL129" s="126" t="s">
        <v>233</v>
      </c>
      <c r="BM129" s="126">
        <v>1723</v>
      </c>
      <c r="BN129" s="126">
        <v>1415</v>
      </c>
      <c r="BO129" s="126" t="s">
        <v>233</v>
      </c>
      <c r="BP129" s="126">
        <v>1292</v>
      </c>
      <c r="BQ129" s="126">
        <v>1044</v>
      </c>
      <c r="BR129" s="126">
        <v>1318</v>
      </c>
      <c r="BS129" s="126">
        <v>80</v>
      </c>
      <c r="BT129" s="126">
        <v>3527</v>
      </c>
      <c r="BU129" s="126">
        <v>2787</v>
      </c>
      <c r="BV129" s="126">
        <v>4498</v>
      </c>
      <c r="BW129" s="126">
        <v>2140</v>
      </c>
      <c r="BX129" s="126">
        <v>2742</v>
      </c>
      <c r="BY129" s="126">
        <v>1541</v>
      </c>
      <c r="BZ129" s="126">
        <v>1383</v>
      </c>
      <c r="CA129" s="126">
        <v>2671</v>
      </c>
      <c r="CB129" s="126">
        <v>4688</v>
      </c>
      <c r="CC129" s="126">
        <v>1579</v>
      </c>
      <c r="CD129" s="126">
        <v>501</v>
      </c>
      <c r="CE129" s="126">
        <v>1763</v>
      </c>
      <c r="CF129" s="126">
        <v>28</v>
      </c>
      <c r="CG129" s="126">
        <v>1746</v>
      </c>
      <c r="CH129" s="126">
        <v>2143</v>
      </c>
      <c r="CI129" s="126">
        <v>1100</v>
      </c>
      <c r="CJ129" s="126">
        <v>1983</v>
      </c>
      <c r="CK129" s="126">
        <v>2494</v>
      </c>
      <c r="CL129" s="126">
        <v>65323</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9" min="1" max="8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CX154"/>
  <sheetViews>
    <sheetView zoomScaleNormal="100" workbookViewId="0">
      <pane xSplit="5" ySplit="4" topLeftCell="F5" activePane="bottomRight" state="frozen"/>
      <selection activeCell="P47" sqref="P47"/>
      <selection pane="topRight" activeCell="P47" sqref="P47"/>
      <selection pane="bottomLeft" activeCell="P47" sqref="P47"/>
      <selection pane="bottomRight" activeCell="A20" sqref="A20:XFD21"/>
    </sheetView>
  </sheetViews>
  <sheetFormatPr baseColWidth="10" defaultRowHeight="12.75"/>
  <cols>
    <col min="1" max="1" width="4" customWidth="1"/>
    <col min="2" max="2" width="39" style="58" customWidth="1"/>
    <col min="3" max="3" width="6.85546875" style="198" customWidth="1"/>
    <col min="4" max="4" width="12.5703125" customWidth="1"/>
    <col min="5" max="5" width="8.7109375" style="457" customWidth="1"/>
    <col min="6" max="87" width="11.42578125" style="126" customWidth="1"/>
    <col min="88" max="88" width="13.5703125" style="126" customWidth="1"/>
    <col min="89" max="89" width="11.42578125" style="126" customWidth="1"/>
    <col min="90" max="90" width="17.85546875" style="126" customWidth="1"/>
  </cols>
  <sheetData>
    <row r="1" spans="1:95" ht="13.5" thickBot="1">
      <c r="B1" s="70" t="s">
        <v>187</v>
      </c>
      <c r="E1" s="809" t="s">
        <v>482</v>
      </c>
    </row>
    <row r="2" spans="1:95">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5">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5">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5">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5">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5">
      <c r="A7" s="80">
        <f>ROWS($A$3:A5)</f>
        <v>3</v>
      </c>
      <c r="B7" s="92" t="s">
        <v>60</v>
      </c>
      <c r="C7" s="584">
        <v>2021</v>
      </c>
      <c r="D7" s="259" t="s">
        <v>1</v>
      </c>
      <c r="E7" s="483">
        <v>44851</v>
      </c>
      <c r="F7" s="154">
        <f t="shared" ref="F7:F13" si="0">SUM(AT7:BF7)</f>
        <v>1055684</v>
      </c>
      <c r="G7" s="155">
        <f t="shared" ref="G7:G13" si="1">SUM(BG7:BR7)</f>
        <v>691760</v>
      </c>
      <c r="H7" s="155">
        <f t="shared" ref="H7:H13" si="2">SUM(BS7:CB7)</f>
        <v>935638</v>
      </c>
      <c r="I7" s="156">
        <f t="shared" ref="I7:I13" si="3">SUM(CC7:CK7)</f>
        <v>891701</v>
      </c>
      <c r="J7" s="155"/>
      <c r="K7" s="154">
        <f t="shared" ref="K7:K20" si="4">BF7</f>
        <v>151139</v>
      </c>
      <c r="L7" s="155">
        <f t="shared" ref="L7:L20" si="5">AY7</f>
        <v>85808</v>
      </c>
      <c r="M7" s="155">
        <f t="shared" ref="M7:M20" si="6">BD7</f>
        <v>130412</v>
      </c>
      <c r="N7" s="155">
        <f t="shared" ref="N7:N20" si="7">AW7</f>
        <v>64234</v>
      </c>
      <c r="O7" s="155">
        <f t="shared" ref="O7:O20" si="8">BE7</f>
        <v>62714</v>
      </c>
      <c r="P7" s="155">
        <f>'2022'!AZ7+'2022'!BA7</f>
        <v>119980</v>
      </c>
      <c r="Q7" s="155">
        <f>'2022'!AU7</f>
        <v>61776</v>
      </c>
      <c r="R7" s="155">
        <f>AT7+AX7</f>
        <v>89410</v>
      </c>
      <c r="S7" s="155">
        <f t="shared" ref="S7:S20" si="9">AV7</f>
        <v>64128</v>
      </c>
      <c r="T7" s="155">
        <f t="shared" ref="T7:U20" si="10">BB7</f>
        <v>77676</v>
      </c>
      <c r="U7" s="552">
        <f t="shared" si="10"/>
        <v>148407</v>
      </c>
      <c r="V7" s="155">
        <f t="shared" ref="V7:V13" si="11">BG7+BJ7</f>
        <v>87862</v>
      </c>
      <c r="W7" s="155">
        <f t="shared" ref="W7:W20" si="12">BR7</f>
        <v>87040</v>
      </c>
      <c r="X7" s="155">
        <f t="shared" ref="X7:X13" si="13">BH7+BI7</f>
        <v>125840</v>
      </c>
      <c r="Y7" s="155">
        <f t="shared" ref="Y7:Y13" si="14">BK7+BL7+BN7</f>
        <v>131535</v>
      </c>
      <c r="Z7" s="155">
        <f t="shared" ref="Z7:Z20" si="15">BM7</f>
        <v>112595</v>
      </c>
      <c r="AA7" s="155">
        <f t="shared" ref="AA7:AA12" si="16">BO7+BQ7</f>
        <v>67159</v>
      </c>
      <c r="AB7" s="552">
        <f t="shared" ref="AB7:AB20" si="17">BP7</f>
        <v>79729</v>
      </c>
      <c r="AC7" s="155">
        <f t="shared" ref="AC7:AC20" si="18">BX7</f>
        <v>102534</v>
      </c>
      <c r="AD7" s="155">
        <f t="shared" ref="AD7:AD20" si="19">BU7</f>
        <v>67980</v>
      </c>
      <c r="AE7" s="155">
        <f t="shared" ref="AE7:AE13" si="20">BS7+BT7</f>
        <v>153136</v>
      </c>
      <c r="AF7" s="155">
        <f t="shared" ref="AF7:AF20" si="21">CA7</f>
        <v>80666</v>
      </c>
      <c r="AG7" s="155">
        <f t="shared" ref="AG7:AG20" si="22">BV7</f>
        <v>186029</v>
      </c>
      <c r="AH7" s="155">
        <f t="shared" ref="AH7:AH20" si="23">BZ7</f>
        <v>81798</v>
      </c>
      <c r="AI7" s="155">
        <f t="shared" ref="AI7:AI20" si="24">BW7</f>
        <v>76942</v>
      </c>
      <c r="AJ7" s="155">
        <f t="shared" ref="AJ7:AJ20" si="25">BY7</f>
        <v>73438</v>
      </c>
      <c r="AK7" s="552">
        <f t="shared" ref="AK7:AK20" si="26">CB7</f>
        <v>113115</v>
      </c>
      <c r="AL7" s="155">
        <f t="shared" ref="AL7:AL20" si="27">CE7</f>
        <v>91758</v>
      </c>
      <c r="AM7" s="155">
        <f t="shared" ref="AM7:AM20" si="28">CH7</f>
        <v>140953</v>
      </c>
      <c r="AN7" s="155">
        <f t="shared" ref="AN7:AN20" si="29">CJ7</f>
        <v>163208</v>
      </c>
      <c r="AO7" s="155">
        <f t="shared" ref="AO7:AP20" si="30">CC7</f>
        <v>109248</v>
      </c>
      <c r="AP7" s="155">
        <f t="shared" si="30"/>
        <v>51911</v>
      </c>
      <c r="AQ7" s="155">
        <f t="shared" ref="AQ7:AQ20" si="31">CK7</f>
        <v>120423</v>
      </c>
      <c r="AR7" s="155">
        <f t="shared" ref="AR7:AR20" si="32">CI7</f>
        <v>66477</v>
      </c>
      <c r="AS7" s="156">
        <f t="shared" ref="AS7:AS13" si="33">CF7+CG7</f>
        <v>147723</v>
      </c>
      <c r="AT7" s="829">
        <v>20733</v>
      </c>
      <c r="AU7" s="832">
        <v>61776</v>
      </c>
      <c r="AV7" s="831">
        <v>64128</v>
      </c>
      <c r="AW7" s="831">
        <v>64234</v>
      </c>
      <c r="AX7" s="831">
        <v>68677</v>
      </c>
      <c r="AY7" s="831">
        <v>85808</v>
      </c>
      <c r="AZ7" s="831">
        <v>9989</v>
      </c>
      <c r="BA7" s="831">
        <v>109991</v>
      </c>
      <c r="BB7" s="831">
        <v>77676</v>
      </c>
      <c r="BC7" s="831">
        <v>148407</v>
      </c>
      <c r="BD7" s="831">
        <v>130412</v>
      </c>
      <c r="BE7" s="831">
        <v>62714</v>
      </c>
      <c r="BF7" s="831">
        <v>151139</v>
      </c>
      <c r="BG7" s="831">
        <v>14019</v>
      </c>
      <c r="BH7" s="831">
        <v>17342</v>
      </c>
      <c r="BI7" s="831">
        <v>108498</v>
      </c>
      <c r="BJ7" s="831">
        <v>73843</v>
      </c>
      <c r="BK7" s="831">
        <v>10883</v>
      </c>
      <c r="BL7" s="831">
        <v>14497</v>
      </c>
      <c r="BM7" s="831">
        <v>112595</v>
      </c>
      <c r="BN7" s="831">
        <v>106155</v>
      </c>
      <c r="BO7" s="831">
        <v>9799</v>
      </c>
      <c r="BP7" s="831">
        <v>79729</v>
      </c>
      <c r="BQ7" s="831">
        <v>57360</v>
      </c>
      <c r="BR7" s="831">
        <v>87040</v>
      </c>
      <c r="BS7" s="831">
        <v>15304</v>
      </c>
      <c r="BT7" s="831">
        <v>137832</v>
      </c>
      <c r="BU7" s="831">
        <v>67980</v>
      </c>
      <c r="BV7" s="831">
        <v>186029</v>
      </c>
      <c r="BW7" s="831">
        <v>76942</v>
      </c>
      <c r="BX7" s="831">
        <v>102534</v>
      </c>
      <c r="BY7" s="831">
        <v>73438</v>
      </c>
      <c r="BZ7" s="831">
        <v>81798</v>
      </c>
      <c r="CA7" s="831">
        <v>80666</v>
      </c>
      <c r="CB7" s="831">
        <v>113115</v>
      </c>
      <c r="CC7" s="831">
        <v>109248</v>
      </c>
      <c r="CD7" s="831">
        <v>51911</v>
      </c>
      <c r="CE7" s="831">
        <v>91758</v>
      </c>
      <c r="CF7" s="831">
        <v>11868</v>
      </c>
      <c r="CG7" s="831">
        <v>135855</v>
      </c>
      <c r="CH7" s="831">
        <v>140953</v>
      </c>
      <c r="CI7" s="831">
        <v>66477</v>
      </c>
      <c r="CJ7" s="831">
        <v>163208</v>
      </c>
      <c r="CK7" s="831">
        <v>120423</v>
      </c>
      <c r="CL7" s="831">
        <v>3574785</v>
      </c>
      <c r="CM7" s="101"/>
    </row>
    <row r="8" spans="1:95" ht="14.25">
      <c r="A8" s="80">
        <f>ROWS($A$3:A6)</f>
        <v>4</v>
      </c>
      <c r="B8" s="92" t="s">
        <v>387</v>
      </c>
      <c r="C8" s="203"/>
      <c r="D8" s="259" t="s">
        <v>1</v>
      </c>
      <c r="E8" s="483">
        <v>44851</v>
      </c>
      <c r="F8" s="154">
        <f t="shared" si="0"/>
        <v>179257</v>
      </c>
      <c r="G8" s="155">
        <f t="shared" si="1"/>
        <v>117069</v>
      </c>
      <c r="H8" s="155">
        <f t="shared" si="2"/>
        <v>116838</v>
      </c>
      <c r="I8" s="156">
        <f t="shared" si="3"/>
        <v>114787</v>
      </c>
      <c r="J8" s="155"/>
      <c r="K8" s="154">
        <f t="shared" si="4"/>
        <v>20140</v>
      </c>
      <c r="L8" s="155">
        <f t="shared" si="5"/>
        <v>15488</v>
      </c>
      <c r="M8" s="155">
        <f t="shared" si="6"/>
        <v>14407</v>
      </c>
      <c r="N8" s="155">
        <f t="shared" si="7"/>
        <v>10832</v>
      </c>
      <c r="O8" s="155">
        <f t="shared" si="8"/>
        <v>8191</v>
      </c>
      <c r="P8" s="155">
        <f>'2022'!AZ8+'2022'!BA8</f>
        <v>23336</v>
      </c>
      <c r="Q8" s="155">
        <f>'2022'!AU8</f>
        <v>14304</v>
      </c>
      <c r="R8" s="155">
        <f>AT8+AX8</f>
        <v>27951</v>
      </c>
      <c r="S8" s="155">
        <f t="shared" si="9"/>
        <v>16049</v>
      </c>
      <c r="T8" s="155">
        <f t="shared" si="10"/>
        <v>10583</v>
      </c>
      <c r="U8" s="552">
        <f t="shared" si="10"/>
        <v>17976</v>
      </c>
      <c r="V8" s="155">
        <f t="shared" si="11"/>
        <v>12789</v>
      </c>
      <c r="W8" s="155">
        <f t="shared" si="12"/>
        <v>8656</v>
      </c>
      <c r="X8" s="155">
        <f t="shared" si="13"/>
        <v>28246</v>
      </c>
      <c r="Y8" s="155">
        <f t="shared" si="14"/>
        <v>33113</v>
      </c>
      <c r="Z8" s="155">
        <f t="shared" si="15"/>
        <v>12411</v>
      </c>
      <c r="AA8" s="155">
        <f t="shared" si="16"/>
        <v>12620</v>
      </c>
      <c r="AB8" s="552">
        <f t="shared" si="17"/>
        <v>9234</v>
      </c>
      <c r="AC8" s="155">
        <f t="shared" si="18"/>
        <v>12116</v>
      </c>
      <c r="AD8" s="155">
        <f t="shared" si="19"/>
        <v>7784</v>
      </c>
      <c r="AE8" s="155">
        <f t="shared" si="20"/>
        <v>19758</v>
      </c>
      <c r="AF8" s="155">
        <f t="shared" si="21"/>
        <v>10549</v>
      </c>
      <c r="AG8" s="155">
        <f t="shared" si="22"/>
        <v>22594</v>
      </c>
      <c r="AH8" s="155">
        <f t="shared" si="23"/>
        <v>13024</v>
      </c>
      <c r="AI8" s="155">
        <f t="shared" si="24"/>
        <v>10230</v>
      </c>
      <c r="AJ8" s="155">
        <f t="shared" si="25"/>
        <v>8905</v>
      </c>
      <c r="AK8" s="552">
        <f t="shared" si="26"/>
        <v>11878</v>
      </c>
      <c r="AL8" s="155">
        <f t="shared" si="27"/>
        <v>12676</v>
      </c>
      <c r="AM8" s="155">
        <f t="shared" si="28"/>
        <v>17229</v>
      </c>
      <c r="AN8" s="155">
        <f t="shared" si="29"/>
        <v>17894</v>
      </c>
      <c r="AO8" s="155">
        <f t="shared" si="30"/>
        <v>14703</v>
      </c>
      <c r="AP8" s="155">
        <f t="shared" si="30"/>
        <v>9518</v>
      </c>
      <c r="AQ8" s="155">
        <f t="shared" si="31"/>
        <v>12371</v>
      </c>
      <c r="AR8" s="155">
        <f t="shared" si="32"/>
        <v>10103</v>
      </c>
      <c r="AS8" s="156">
        <f t="shared" si="33"/>
        <v>20293</v>
      </c>
      <c r="AT8" s="829">
        <v>10732</v>
      </c>
      <c r="AU8" s="832">
        <v>14304</v>
      </c>
      <c r="AV8" s="831">
        <v>16049</v>
      </c>
      <c r="AW8" s="831">
        <v>10832</v>
      </c>
      <c r="AX8" s="831">
        <v>17219</v>
      </c>
      <c r="AY8" s="831">
        <v>15488</v>
      </c>
      <c r="AZ8" s="831">
        <v>3621</v>
      </c>
      <c r="BA8" s="831">
        <v>19715</v>
      </c>
      <c r="BB8" s="831">
        <v>10583</v>
      </c>
      <c r="BC8" s="831">
        <v>17976</v>
      </c>
      <c r="BD8" s="831">
        <v>14407</v>
      </c>
      <c r="BE8" s="831">
        <v>8191</v>
      </c>
      <c r="BF8" s="831">
        <v>20140</v>
      </c>
      <c r="BG8" s="831">
        <v>2084</v>
      </c>
      <c r="BH8" s="831">
        <v>8114</v>
      </c>
      <c r="BI8" s="831">
        <v>20132</v>
      </c>
      <c r="BJ8" s="831">
        <v>10705</v>
      </c>
      <c r="BK8" s="831">
        <v>3316</v>
      </c>
      <c r="BL8" s="831">
        <v>8436</v>
      </c>
      <c r="BM8" s="831">
        <v>12411</v>
      </c>
      <c r="BN8" s="831">
        <v>21361</v>
      </c>
      <c r="BO8" s="831">
        <v>3150</v>
      </c>
      <c r="BP8" s="831">
        <v>9234</v>
      </c>
      <c r="BQ8" s="831">
        <v>9470</v>
      </c>
      <c r="BR8" s="831">
        <v>8656</v>
      </c>
      <c r="BS8" s="831">
        <v>4933</v>
      </c>
      <c r="BT8" s="831">
        <v>14825</v>
      </c>
      <c r="BU8" s="831">
        <v>7784</v>
      </c>
      <c r="BV8" s="831">
        <v>22594</v>
      </c>
      <c r="BW8" s="831">
        <v>10230</v>
      </c>
      <c r="BX8" s="831">
        <v>12116</v>
      </c>
      <c r="BY8" s="831">
        <v>8905</v>
      </c>
      <c r="BZ8" s="831">
        <v>13024</v>
      </c>
      <c r="CA8" s="831">
        <v>10549</v>
      </c>
      <c r="CB8" s="831">
        <v>11878</v>
      </c>
      <c r="CC8" s="831">
        <v>14703</v>
      </c>
      <c r="CD8" s="831">
        <v>9518</v>
      </c>
      <c r="CE8" s="831">
        <v>12676</v>
      </c>
      <c r="CF8" s="831">
        <v>3958</v>
      </c>
      <c r="CG8" s="831">
        <v>16335</v>
      </c>
      <c r="CH8" s="831">
        <v>17229</v>
      </c>
      <c r="CI8" s="831">
        <v>10103</v>
      </c>
      <c r="CJ8" s="831">
        <v>17894</v>
      </c>
      <c r="CK8" s="831">
        <v>12371</v>
      </c>
      <c r="CL8" s="831">
        <v>527954</v>
      </c>
    </row>
    <row r="9" spans="1:95">
      <c r="A9" s="80">
        <f>ROWS($A$3:A7)</f>
        <v>5</v>
      </c>
      <c r="B9" s="92" t="s">
        <v>0</v>
      </c>
      <c r="C9" s="203"/>
      <c r="D9" s="259" t="s">
        <v>1</v>
      </c>
      <c r="E9" s="483">
        <v>44851</v>
      </c>
      <c r="F9" s="154">
        <f t="shared" si="0"/>
        <v>523728</v>
      </c>
      <c r="G9" s="155">
        <f t="shared" si="1"/>
        <v>248293</v>
      </c>
      <c r="H9" s="155">
        <f t="shared" si="2"/>
        <v>366652</v>
      </c>
      <c r="I9" s="156">
        <f t="shared" si="3"/>
        <v>467377</v>
      </c>
      <c r="J9" s="155"/>
      <c r="K9" s="154">
        <f t="shared" si="4"/>
        <v>69845</v>
      </c>
      <c r="L9" s="155">
        <f t="shared" si="5"/>
        <v>35647</v>
      </c>
      <c r="M9" s="155">
        <f t="shared" si="6"/>
        <v>75043</v>
      </c>
      <c r="N9" s="155">
        <f t="shared" si="7"/>
        <v>31877</v>
      </c>
      <c r="O9" s="155">
        <f t="shared" si="8"/>
        <v>26373</v>
      </c>
      <c r="P9" s="155">
        <f>'2022'!AZ9+'2022'!BA9</f>
        <v>64915</v>
      </c>
      <c r="Q9" s="155">
        <f>'2022'!AU9</f>
        <v>25279</v>
      </c>
      <c r="R9" s="155">
        <f t="shared" ref="R9:R16" si="34">AT9+AX9</f>
        <v>41962</v>
      </c>
      <c r="S9" s="155">
        <f t="shared" si="9"/>
        <v>28211</v>
      </c>
      <c r="T9" s="155">
        <f t="shared" si="10"/>
        <v>43708</v>
      </c>
      <c r="U9" s="552">
        <f t="shared" si="10"/>
        <v>80868</v>
      </c>
      <c r="V9" s="155">
        <f t="shared" si="11"/>
        <v>25532</v>
      </c>
      <c r="W9" s="155">
        <f t="shared" si="12"/>
        <v>22570</v>
      </c>
      <c r="X9" s="155">
        <f t="shared" si="13"/>
        <v>51731</v>
      </c>
      <c r="Y9" s="155">
        <f t="shared" si="14"/>
        <v>50319</v>
      </c>
      <c r="Z9" s="155">
        <f t="shared" si="15"/>
        <v>51148</v>
      </c>
      <c r="AA9" s="155">
        <f t="shared" si="16"/>
        <v>26616</v>
      </c>
      <c r="AB9" s="552">
        <f t="shared" si="17"/>
        <v>20377</v>
      </c>
      <c r="AC9" s="155">
        <f t="shared" si="18"/>
        <v>42067</v>
      </c>
      <c r="AD9" s="155">
        <f t="shared" si="19"/>
        <v>27200</v>
      </c>
      <c r="AE9" s="155">
        <f t="shared" si="20"/>
        <v>57531</v>
      </c>
      <c r="AF9" s="155">
        <f t="shared" si="21"/>
        <v>27246</v>
      </c>
      <c r="AG9" s="155">
        <f t="shared" si="22"/>
        <v>69761</v>
      </c>
      <c r="AH9" s="155">
        <f t="shared" si="23"/>
        <v>39863</v>
      </c>
      <c r="AI9" s="155">
        <f t="shared" si="24"/>
        <v>32462</v>
      </c>
      <c r="AJ9" s="155">
        <f t="shared" si="25"/>
        <v>26925</v>
      </c>
      <c r="AK9" s="552">
        <f t="shared" si="26"/>
        <v>43597</v>
      </c>
      <c r="AL9" s="155">
        <f t="shared" si="27"/>
        <v>40250</v>
      </c>
      <c r="AM9" s="155">
        <f t="shared" si="28"/>
        <v>80908</v>
      </c>
      <c r="AN9" s="155">
        <f t="shared" si="29"/>
        <v>93751</v>
      </c>
      <c r="AO9" s="155">
        <f t="shared" si="30"/>
        <v>51470</v>
      </c>
      <c r="AP9" s="155">
        <f t="shared" si="30"/>
        <v>23551</v>
      </c>
      <c r="AQ9" s="155">
        <f t="shared" si="31"/>
        <v>59067</v>
      </c>
      <c r="AR9" s="155">
        <f t="shared" si="32"/>
        <v>36589</v>
      </c>
      <c r="AS9" s="156">
        <f t="shared" si="33"/>
        <v>81791</v>
      </c>
      <c r="AT9" s="829">
        <v>4706</v>
      </c>
      <c r="AU9" s="832">
        <v>25279</v>
      </c>
      <c r="AV9" s="831">
        <v>28211</v>
      </c>
      <c r="AW9" s="831">
        <v>31877</v>
      </c>
      <c r="AX9" s="831">
        <v>37256</v>
      </c>
      <c r="AY9" s="831">
        <v>35647</v>
      </c>
      <c r="AZ9" s="831">
        <v>4637</v>
      </c>
      <c r="BA9" s="831">
        <v>60278</v>
      </c>
      <c r="BB9" s="831">
        <v>43708</v>
      </c>
      <c r="BC9" s="831">
        <v>80868</v>
      </c>
      <c r="BD9" s="831">
        <v>75043</v>
      </c>
      <c r="BE9" s="831">
        <v>26373</v>
      </c>
      <c r="BF9" s="831">
        <v>69845</v>
      </c>
      <c r="BG9" s="831">
        <v>3091</v>
      </c>
      <c r="BH9" s="831">
        <v>3899</v>
      </c>
      <c r="BI9" s="831">
        <v>47832</v>
      </c>
      <c r="BJ9" s="831">
        <v>22441</v>
      </c>
      <c r="BK9" s="831">
        <v>2862</v>
      </c>
      <c r="BL9" s="831">
        <v>3447</v>
      </c>
      <c r="BM9" s="831">
        <v>51148</v>
      </c>
      <c r="BN9" s="831">
        <v>44010</v>
      </c>
      <c r="BO9" s="831">
        <v>1530</v>
      </c>
      <c r="BP9" s="831">
        <v>20377</v>
      </c>
      <c r="BQ9" s="831">
        <v>25086</v>
      </c>
      <c r="BR9" s="831">
        <v>22570</v>
      </c>
      <c r="BS9" s="831">
        <v>3451</v>
      </c>
      <c r="BT9" s="831">
        <v>54080</v>
      </c>
      <c r="BU9" s="831">
        <v>27200</v>
      </c>
      <c r="BV9" s="831">
        <v>69761</v>
      </c>
      <c r="BW9" s="831">
        <v>32462</v>
      </c>
      <c r="BX9" s="831">
        <v>42067</v>
      </c>
      <c r="BY9" s="831">
        <v>26925</v>
      </c>
      <c r="BZ9" s="831">
        <v>39863</v>
      </c>
      <c r="CA9" s="831">
        <v>27246</v>
      </c>
      <c r="CB9" s="831">
        <v>43597</v>
      </c>
      <c r="CC9" s="831">
        <v>51470</v>
      </c>
      <c r="CD9" s="831">
        <v>23551</v>
      </c>
      <c r="CE9" s="831">
        <v>40250</v>
      </c>
      <c r="CF9" s="831">
        <v>5319</v>
      </c>
      <c r="CG9" s="831">
        <v>76472</v>
      </c>
      <c r="CH9" s="831">
        <v>80908</v>
      </c>
      <c r="CI9" s="831">
        <v>36589</v>
      </c>
      <c r="CJ9" s="831">
        <v>93751</v>
      </c>
      <c r="CK9" s="831">
        <v>59067</v>
      </c>
      <c r="CL9" s="831">
        <v>1606052</v>
      </c>
      <c r="CM9" s="422"/>
    </row>
    <row r="10" spans="1:95">
      <c r="A10" s="80">
        <f>ROWS($A$3:A8)</f>
        <v>6</v>
      </c>
      <c r="B10" s="92" t="s">
        <v>202</v>
      </c>
      <c r="C10" s="203"/>
      <c r="D10" s="259" t="s">
        <v>1</v>
      </c>
      <c r="E10" s="483">
        <v>44851</v>
      </c>
      <c r="F10" s="154">
        <f t="shared" si="0"/>
        <v>331434</v>
      </c>
      <c r="G10" s="155">
        <f t="shared" si="1"/>
        <v>306862</v>
      </c>
      <c r="H10" s="155">
        <f t="shared" si="2"/>
        <v>427624</v>
      </c>
      <c r="I10" s="156">
        <f t="shared" si="3"/>
        <v>287125</v>
      </c>
      <c r="J10" s="155"/>
      <c r="K10" s="154">
        <f t="shared" si="4"/>
        <v>58573</v>
      </c>
      <c r="L10" s="155">
        <f t="shared" si="5"/>
        <v>33523</v>
      </c>
      <c r="M10" s="155">
        <f t="shared" si="6"/>
        <v>38037</v>
      </c>
      <c r="N10" s="155">
        <f t="shared" si="7"/>
        <v>20423</v>
      </c>
      <c r="O10" s="155">
        <f t="shared" si="8"/>
        <v>26876</v>
      </c>
      <c r="P10" s="155">
        <f>'2022'!AZ10+'2022'!BA10</f>
        <v>29139</v>
      </c>
      <c r="Q10" s="155">
        <f>'2022'!AU10</f>
        <v>21164</v>
      </c>
      <c r="R10" s="155">
        <f t="shared" si="34"/>
        <v>17234</v>
      </c>
      <c r="S10" s="155">
        <f t="shared" si="9"/>
        <v>18573</v>
      </c>
      <c r="T10" s="155">
        <f t="shared" si="10"/>
        <v>21272</v>
      </c>
      <c r="U10" s="552">
        <f t="shared" si="10"/>
        <v>46620</v>
      </c>
      <c r="V10" s="155">
        <f t="shared" si="11"/>
        <v>45548</v>
      </c>
      <c r="W10" s="155">
        <f t="shared" si="12"/>
        <v>54162</v>
      </c>
      <c r="X10" s="155">
        <f t="shared" si="13"/>
        <v>40776</v>
      </c>
      <c r="Y10" s="155">
        <f t="shared" si="14"/>
        <v>43742</v>
      </c>
      <c r="Z10" s="155">
        <f t="shared" si="15"/>
        <v>46880</v>
      </c>
      <c r="AA10" s="155">
        <f t="shared" si="16"/>
        <v>26823</v>
      </c>
      <c r="AB10" s="552">
        <f t="shared" si="17"/>
        <v>48931</v>
      </c>
      <c r="AC10" s="155">
        <f t="shared" si="18"/>
        <v>46700</v>
      </c>
      <c r="AD10" s="155">
        <f t="shared" si="19"/>
        <v>30952</v>
      </c>
      <c r="AE10" s="155">
        <f t="shared" si="20"/>
        <v>71300</v>
      </c>
      <c r="AF10" s="155">
        <f t="shared" si="21"/>
        <v>40596</v>
      </c>
      <c r="AG10" s="155">
        <f t="shared" si="22"/>
        <v>87431</v>
      </c>
      <c r="AH10" s="155">
        <f t="shared" si="23"/>
        <v>26780</v>
      </c>
      <c r="AI10" s="155">
        <f t="shared" si="24"/>
        <v>32700</v>
      </c>
      <c r="AJ10" s="155">
        <f t="shared" si="25"/>
        <v>36516</v>
      </c>
      <c r="AK10" s="552">
        <f t="shared" si="26"/>
        <v>54649</v>
      </c>
      <c r="AL10" s="155">
        <f t="shared" si="27"/>
        <v>37097</v>
      </c>
      <c r="AM10" s="155">
        <f t="shared" si="28"/>
        <v>39443</v>
      </c>
      <c r="AN10" s="155">
        <f t="shared" si="29"/>
        <v>45486</v>
      </c>
      <c r="AO10" s="155">
        <f t="shared" si="30"/>
        <v>40536</v>
      </c>
      <c r="AP10" s="155">
        <f t="shared" si="30"/>
        <v>17762</v>
      </c>
      <c r="AQ10" s="155">
        <f t="shared" si="31"/>
        <v>46216</v>
      </c>
      <c r="AR10" s="155">
        <f t="shared" si="32"/>
        <v>18493</v>
      </c>
      <c r="AS10" s="156">
        <f t="shared" si="33"/>
        <v>42092</v>
      </c>
      <c r="AT10" s="829">
        <v>4877</v>
      </c>
      <c r="AU10" s="832">
        <v>21164</v>
      </c>
      <c r="AV10" s="831">
        <v>18573</v>
      </c>
      <c r="AW10" s="831">
        <v>20423</v>
      </c>
      <c r="AX10" s="831">
        <v>12357</v>
      </c>
      <c r="AY10" s="831">
        <v>33523</v>
      </c>
      <c r="AZ10" s="831">
        <v>1381</v>
      </c>
      <c r="BA10" s="831">
        <v>27758</v>
      </c>
      <c r="BB10" s="831">
        <v>21272</v>
      </c>
      <c r="BC10" s="831">
        <v>46620</v>
      </c>
      <c r="BD10" s="831">
        <v>38037</v>
      </c>
      <c r="BE10" s="831">
        <v>26876</v>
      </c>
      <c r="BF10" s="831">
        <v>58573</v>
      </c>
      <c r="BG10" s="831">
        <v>8525</v>
      </c>
      <c r="BH10" s="831">
        <v>4446</v>
      </c>
      <c r="BI10" s="831">
        <v>36330</v>
      </c>
      <c r="BJ10" s="831">
        <v>37023</v>
      </c>
      <c r="BK10" s="831">
        <v>4384</v>
      </c>
      <c r="BL10" s="831">
        <v>1735</v>
      </c>
      <c r="BM10" s="831">
        <v>46880</v>
      </c>
      <c r="BN10" s="831">
        <v>37623</v>
      </c>
      <c r="BO10" s="831">
        <v>5005</v>
      </c>
      <c r="BP10" s="831">
        <v>48931</v>
      </c>
      <c r="BQ10" s="831">
        <v>21818</v>
      </c>
      <c r="BR10" s="831">
        <v>54162</v>
      </c>
      <c r="BS10" s="831">
        <v>6526</v>
      </c>
      <c r="BT10" s="831">
        <v>64774</v>
      </c>
      <c r="BU10" s="831">
        <v>30952</v>
      </c>
      <c r="BV10" s="831">
        <v>87431</v>
      </c>
      <c r="BW10" s="831">
        <v>32700</v>
      </c>
      <c r="BX10" s="831">
        <v>46700</v>
      </c>
      <c r="BY10" s="831">
        <v>36516</v>
      </c>
      <c r="BZ10" s="831">
        <v>26780</v>
      </c>
      <c r="CA10" s="831">
        <v>40596</v>
      </c>
      <c r="CB10" s="831">
        <v>54649</v>
      </c>
      <c r="CC10" s="831">
        <v>40536</v>
      </c>
      <c r="CD10" s="831">
        <v>17762</v>
      </c>
      <c r="CE10" s="831">
        <v>37097</v>
      </c>
      <c r="CF10" s="831">
        <v>2229</v>
      </c>
      <c r="CG10" s="831">
        <v>39863</v>
      </c>
      <c r="CH10" s="831">
        <v>39443</v>
      </c>
      <c r="CI10" s="831">
        <v>18493</v>
      </c>
      <c r="CJ10" s="831">
        <v>45486</v>
      </c>
      <c r="CK10" s="831">
        <v>46216</v>
      </c>
      <c r="CL10" s="831">
        <v>1353043</v>
      </c>
      <c r="CM10" s="422"/>
    </row>
    <row r="11" spans="1:95">
      <c r="A11" s="80">
        <f>ROWS($A$3:A9)</f>
        <v>7</v>
      </c>
      <c r="B11" s="92" t="s">
        <v>2</v>
      </c>
      <c r="C11" s="203"/>
      <c r="D11" s="259" t="s">
        <v>1</v>
      </c>
      <c r="E11" s="483">
        <v>44851</v>
      </c>
      <c r="F11" s="154">
        <f t="shared" si="0"/>
        <v>9150</v>
      </c>
      <c r="G11" s="155">
        <f t="shared" si="1"/>
        <v>10186</v>
      </c>
      <c r="H11" s="155">
        <f t="shared" si="2"/>
        <v>11931</v>
      </c>
      <c r="I11" s="156">
        <f t="shared" si="3"/>
        <v>8019</v>
      </c>
      <c r="J11" s="155"/>
      <c r="K11" s="154">
        <f t="shared" si="4"/>
        <v>1171</v>
      </c>
      <c r="L11" s="155">
        <f t="shared" si="5"/>
        <v>540</v>
      </c>
      <c r="M11" s="155">
        <f t="shared" si="6"/>
        <v>1070</v>
      </c>
      <c r="N11" s="155">
        <f t="shared" si="7"/>
        <v>297</v>
      </c>
      <c r="O11" s="155">
        <f t="shared" si="8"/>
        <v>258</v>
      </c>
      <c r="P11" s="155">
        <f>'2022'!AZ11+'2022'!BA11</f>
        <v>1484</v>
      </c>
      <c r="Q11" s="155">
        <f>'2022'!AU11</f>
        <v>268</v>
      </c>
      <c r="R11" s="155">
        <f t="shared" si="34"/>
        <v>1205</v>
      </c>
      <c r="S11" s="155">
        <f t="shared" si="9"/>
        <v>612</v>
      </c>
      <c r="T11" s="155">
        <f t="shared" si="10"/>
        <v>845</v>
      </c>
      <c r="U11" s="552">
        <f t="shared" si="10"/>
        <v>1400</v>
      </c>
      <c r="V11" s="155">
        <f t="shared" si="11"/>
        <v>2360</v>
      </c>
      <c r="W11" s="155">
        <f t="shared" si="12"/>
        <v>526</v>
      </c>
      <c r="X11" s="155">
        <f t="shared" si="13"/>
        <v>3111</v>
      </c>
      <c r="Y11" s="155">
        <f t="shared" si="14"/>
        <v>2669</v>
      </c>
      <c r="Z11" s="155">
        <f t="shared" si="15"/>
        <v>780</v>
      </c>
      <c r="AA11" s="155">
        <f t="shared" si="16"/>
        <v>413</v>
      </c>
      <c r="AB11" s="552">
        <f t="shared" si="17"/>
        <v>327</v>
      </c>
      <c r="AC11" s="155">
        <f t="shared" si="18"/>
        <v>687</v>
      </c>
      <c r="AD11" s="155">
        <f t="shared" si="19"/>
        <v>986</v>
      </c>
      <c r="AE11" s="155">
        <f t="shared" si="20"/>
        <v>2315</v>
      </c>
      <c r="AF11" s="155">
        <f t="shared" si="21"/>
        <v>920</v>
      </c>
      <c r="AG11" s="155">
        <f t="shared" si="22"/>
        <v>3779</v>
      </c>
      <c r="AH11" s="155">
        <f t="shared" si="23"/>
        <v>971</v>
      </c>
      <c r="AI11" s="155">
        <f t="shared" si="24"/>
        <v>457</v>
      </c>
      <c r="AJ11" s="155">
        <f t="shared" si="25"/>
        <v>354</v>
      </c>
      <c r="AK11" s="552">
        <f t="shared" si="26"/>
        <v>1462</v>
      </c>
      <c r="AL11" s="155">
        <f t="shared" si="27"/>
        <v>391</v>
      </c>
      <c r="AM11" s="155">
        <f t="shared" si="28"/>
        <v>1551</v>
      </c>
      <c r="AN11" s="155">
        <f t="shared" si="29"/>
        <v>2195</v>
      </c>
      <c r="AO11" s="155">
        <f t="shared" si="30"/>
        <v>275</v>
      </c>
      <c r="AP11" s="155">
        <f t="shared" si="30"/>
        <v>476</v>
      </c>
      <c r="AQ11" s="155">
        <f t="shared" si="31"/>
        <v>1125</v>
      </c>
      <c r="AR11" s="155">
        <f t="shared" si="32"/>
        <v>710</v>
      </c>
      <c r="AS11" s="156">
        <f t="shared" si="33"/>
        <v>1296</v>
      </c>
      <c r="AT11" s="830">
        <v>273</v>
      </c>
      <c r="AU11" s="832">
        <v>268</v>
      </c>
      <c r="AV11" s="831">
        <v>612</v>
      </c>
      <c r="AW11" s="831">
        <v>297</v>
      </c>
      <c r="AX11" s="831">
        <v>932</v>
      </c>
      <c r="AY11" s="831">
        <v>540</v>
      </c>
      <c r="AZ11" s="831">
        <v>223</v>
      </c>
      <c r="BA11" s="831">
        <v>1261</v>
      </c>
      <c r="BB11" s="831">
        <v>845</v>
      </c>
      <c r="BC11" s="831">
        <v>1400</v>
      </c>
      <c r="BD11" s="831">
        <v>1070</v>
      </c>
      <c r="BE11" s="831">
        <v>258</v>
      </c>
      <c r="BF11" s="831">
        <v>1171</v>
      </c>
      <c r="BG11" s="831">
        <v>139</v>
      </c>
      <c r="BH11" s="831">
        <v>704</v>
      </c>
      <c r="BI11" s="831">
        <v>2407</v>
      </c>
      <c r="BJ11" s="831">
        <v>2221</v>
      </c>
      <c r="BK11" s="831">
        <v>253</v>
      </c>
      <c r="BL11" s="831">
        <v>765</v>
      </c>
      <c r="BM11" s="831">
        <v>780</v>
      </c>
      <c r="BN11" s="831">
        <v>1651</v>
      </c>
      <c r="BO11" s="831">
        <v>73</v>
      </c>
      <c r="BP11" s="831">
        <v>327</v>
      </c>
      <c r="BQ11" s="831">
        <v>340</v>
      </c>
      <c r="BR11" s="831">
        <v>526</v>
      </c>
      <c r="BS11" s="831">
        <v>207</v>
      </c>
      <c r="BT11" s="831">
        <v>2108</v>
      </c>
      <c r="BU11" s="831">
        <v>986</v>
      </c>
      <c r="BV11" s="831">
        <v>3779</v>
      </c>
      <c r="BW11" s="831">
        <v>457</v>
      </c>
      <c r="BX11" s="831">
        <v>687</v>
      </c>
      <c r="BY11" s="831">
        <v>354</v>
      </c>
      <c r="BZ11" s="831">
        <v>971</v>
      </c>
      <c r="CA11" s="831">
        <v>920</v>
      </c>
      <c r="CB11" s="831">
        <v>1462</v>
      </c>
      <c r="CC11" s="831">
        <v>275</v>
      </c>
      <c r="CD11" s="831">
        <v>476</v>
      </c>
      <c r="CE11" s="831">
        <v>391</v>
      </c>
      <c r="CF11" s="831">
        <v>176</v>
      </c>
      <c r="CG11" s="831">
        <v>1120</v>
      </c>
      <c r="CH11" s="831">
        <v>1551</v>
      </c>
      <c r="CI11" s="831">
        <v>710</v>
      </c>
      <c r="CJ11" s="831">
        <v>2195</v>
      </c>
      <c r="CK11" s="831">
        <v>1125</v>
      </c>
      <c r="CL11" s="831">
        <v>39284</v>
      </c>
      <c r="CM11" s="422"/>
    </row>
    <row r="12" spans="1:95" s="711" customFormat="1">
      <c r="A12" s="709">
        <f>ROWS($A$3:A10)</f>
        <v>8</v>
      </c>
      <c r="B12" s="92" t="s">
        <v>283</v>
      </c>
      <c r="C12" s="203"/>
      <c r="D12" s="259" t="s">
        <v>1</v>
      </c>
      <c r="E12" s="483">
        <v>44851</v>
      </c>
      <c r="F12" s="154">
        <f>SUM(AT12:BF12)</f>
        <v>12115</v>
      </c>
      <c r="G12" s="155">
        <f t="shared" ref="G12" si="35">SUM(BG12:BR12)</f>
        <v>9350</v>
      </c>
      <c r="H12" s="155">
        <f t="shared" ref="H12" si="36">SUM(BS12:CB12)</f>
        <v>12593</v>
      </c>
      <c r="I12" s="156">
        <f t="shared" ref="I12" si="37">SUM(CC12:CK12)</f>
        <v>14393</v>
      </c>
      <c r="J12" s="155"/>
      <c r="K12" s="154">
        <f t="shared" si="4"/>
        <v>1410</v>
      </c>
      <c r="L12" s="155">
        <f t="shared" si="5"/>
        <v>610</v>
      </c>
      <c r="M12" s="155">
        <f t="shared" si="6"/>
        <v>1855</v>
      </c>
      <c r="N12" s="155">
        <f t="shared" si="7"/>
        <v>805</v>
      </c>
      <c r="O12" s="155">
        <f t="shared" si="8"/>
        <v>1016</v>
      </c>
      <c r="P12" s="155">
        <f>'2017'!AZ12+'2017'!BA12</f>
        <v>1097</v>
      </c>
      <c r="Q12" s="155">
        <f>'2017'!AU12</f>
        <v>738</v>
      </c>
      <c r="R12" s="155">
        <f t="shared" si="34"/>
        <v>1058</v>
      </c>
      <c r="S12" s="155">
        <f t="shared" si="9"/>
        <v>683</v>
      </c>
      <c r="T12" s="155">
        <f t="shared" si="10"/>
        <v>1268</v>
      </c>
      <c r="U12" s="552">
        <f t="shared" si="10"/>
        <v>1543</v>
      </c>
      <c r="V12" s="155">
        <f t="shared" si="11"/>
        <v>1633</v>
      </c>
      <c r="W12" s="155">
        <f t="shared" si="12"/>
        <v>1126</v>
      </c>
      <c r="X12" s="155">
        <f t="shared" si="13"/>
        <v>1976</v>
      </c>
      <c r="Y12" s="155">
        <f t="shared" si="14"/>
        <v>1692</v>
      </c>
      <c r="Z12" s="155">
        <f t="shared" si="15"/>
        <v>1376</v>
      </c>
      <c r="AA12" s="155">
        <f t="shared" si="16"/>
        <v>687</v>
      </c>
      <c r="AB12" s="552">
        <f t="shared" si="17"/>
        <v>860</v>
      </c>
      <c r="AC12" s="155">
        <f t="shared" si="18"/>
        <v>964</v>
      </c>
      <c r="AD12" s="155">
        <f t="shared" si="19"/>
        <v>1058</v>
      </c>
      <c r="AE12" s="155">
        <f t="shared" si="20"/>
        <v>2232</v>
      </c>
      <c r="AF12" s="155">
        <f t="shared" si="21"/>
        <v>1355</v>
      </c>
      <c r="AG12" s="155">
        <f t="shared" si="22"/>
        <v>2464</v>
      </c>
      <c r="AH12" s="155">
        <f t="shared" si="23"/>
        <v>1160</v>
      </c>
      <c r="AI12" s="155">
        <f t="shared" si="24"/>
        <v>1093</v>
      </c>
      <c r="AJ12" s="155">
        <f t="shared" si="25"/>
        <v>738</v>
      </c>
      <c r="AK12" s="552">
        <f t="shared" si="26"/>
        <v>1529</v>
      </c>
      <c r="AL12" s="155">
        <f t="shared" si="27"/>
        <v>1344</v>
      </c>
      <c r="AM12" s="155">
        <f t="shared" si="28"/>
        <v>1822</v>
      </c>
      <c r="AN12" s="155">
        <f t="shared" si="29"/>
        <v>3882</v>
      </c>
      <c r="AO12" s="155">
        <f t="shared" si="30"/>
        <v>2264</v>
      </c>
      <c r="AP12" s="155">
        <f t="shared" si="30"/>
        <v>604</v>
      </c>
      <c r="AQ12" s="155">
        <f t="shared" si="31"/>
        <v>1644</v>
      </c>
      <c r="AR12" s="155">
        <f t="shared" si="32"/>
        <v>582</v>
      </c>
      <c r="AS12" s="156">
        <f t="shared" si="33"/>
        <v>2251</v>
      </c>
      <c r="AT12" s="281">
        <f>AT7-SUM(AT8:AT11)</f>
        <v>145</v>
      </c>
      <c r="AU12" s="155">
        <f t="shared" ref="AU12:CL12" si="38">AU7-SUM(AU8:AU11)</f>
        <v>761</v>
      </c>
      <c r="AV12" s="155">
        <f t="shared" si="38"/>
        <v>683</v>
      </c>
      <c r="AW12" s="155">
        <f t="shared" si="38"/>
        <v>805</v>
      </c>
      <c r="AX12" s="155">
        <f t="shared" si="38"/>
        <v>913</v>
      </c>
      <c r="AY12" s="155">
        <f t="shared" si="38"/>
        <v>610</v>
      </c>
      <c r="AZ12" s="155">
        <f t="shared" si="38"/>
        <v>127</v>
      </c>
      <c r="BA12" s="155">
        <f t="shared" si="38"/>
        <v>979</v>
      </c>
      <c r="BB12" s="155">
        <f t="shared" si="38"/>
        <v>1268</v>
      </c>
      <c r="BC12" s="155">
        <f t="shared" si="38"/>
        <v>1543</v>
      </c>
      <c r="BD12" s="155">
        <f t="shared" si="38"/>
        <v>1855</v>
      </c>
      <c r="BE12" s="155">
        <f t="shared" si="38"/>
        <v>1016</v>
      </c>
      <c r="BF12" s="552">
        <f t="shared" si="38"/>
        <v>1410</v>
      </c>
      <c r="BG12" s="155">
        <f t="shared" si="38"/>
        <v>180</v>
      </c>
      <c r="BH12" s="155">
        <f t="shared" si="38"/>
        <v>179</v>
      </c>
      <c r="BI12" s="155">
        <f t="shared" si="38"/>
        <v>1797</v>
      </c>
      <c r="BJ12" s="155">
        <f t="shared" si="38"/>
        <v>1453</v>
      </c>
      <c r="BK12" s="155">
        <f t="shared" si="38"/>
        <v>68</v>
      </c>
      <c r="BL12" s="155">
        <f t="shared" si="38"/>
        <v>114</v>
      </c>
      <c r="BM12" s="155">
        <f t="shared" si="38"/>
        <v>1376</v>
      </c>
      <c r="BN12" s="155">
        <f t="shared" si="38"/>
        <v>1510</v>
      </c>
      <c r="BO12" s="155">
        <f t="shared" si="38"/>
        <v>41</v>
      </c>
      <c r="BP12" s="155">
        <f t="shared" si="38"/>
        <v>860</v>
      </c>
      <c r="BQ12" s="155">
        <f t="shared" si="38"/>
        <v>646</v>
      </c>
      <c r="BR12" s="552">
        <f t="shared" si="38"/>
        <v>1126</v>
      </c>
      <c r="BS12" s="155">
        <f t="shared" si="38"/>
        <v>187</v>
      </c>
      <c r="BT12" s="155">
        <f t="shared" si="38"/>
        <v>2045</v>
      </c>
      <c r="BU12" s="155">
        <f t="shared" si="38"/>
        <v>1058</v>
      </c>
      <c r="BV12" s="155">
        <f t="shared" si="38"/>
        <v>2464</v>
      </c>
      <c r="BW12" s="155">
        <f t="shared" si="38"/>
        <v>1093</v>
      </c>
      <c r="BX12" s="155">
        <f t="shared" si="38"/>
        <v>964</v>
      </c>
      <c r="BY12" s="155">
        <f t="shared" si="38"/>
        <v>738</v>
      </c>
      <c r="BZ12" s="155">
        <f t="shared" si="38"/>
        <v>1160</v>
      </c>
      <c r="CA12" s="155">
        <f t="shared" si="38"/>
        <v>1355</v>
      </c>
      <c r="CB12" s="552">
        <f t="shared" si="38"/>
        <v>1529</v>
      </c>
      <c r="CC12" s="155">
        <f t="shared" si="38"/>
        <v>2264</v>
      </c>
      <c r="CD12" s="155">
        <f t="shared" si="38"/>
        <v>604</v>
      </c>
      <c r="CE12" s="155">
        <f t="shared" si="38"/>
        <v>1344</v>
      </c>
      <c r="CF12" s="155">
        <f t="shared" si="38"/>
        <v>186</v>
      </c>
      <c r="CG12" s="281">
        <f t="shared" si="38"/>
        <v>2065</v>
      </c>
      <c r="CH12" s="155">
        <f t="shared" si="38"/>
        <v>1822</v>
      </c>
      <c r="CI12" s="155">
        <f t="shared" si="38"/>
        <v>582</v>
      </c>
      <c r="CJ12" s="155">
        <f t="shared" si="38"/>
        <v>3882</v>
      </c>
      <c r="CK12" s="156">
        <f t="shared" si="38"/>
        <v>1644</v>
      </c>
      <c r="CL12" s="615">
        <f t="shared" si="38"/>
        <v>48452</v>
      </c>
      <c r="CM12" s="422"/>
      <c r="CN12"/>
      <c r="CO12"/>
      <c r="CP12"/>
      <c r="CQ12"/>
    </row>
    <row r="13" spans="1:95">
      <c r="A13" s="80">
        <f>ROWS($A$3:A11)</f>
        <v>9</v>
      </c>
      <c r="B13" s="92" t="s">
        <v>65</v>
      </c>
      <c r="C13" s="584">
        <v>2022</v>
      </c>
      <c r="D13" s="259" t="s">
        <v>11</v>
      </c>
      <c r="E13" s="483">
        <v>45110</v>
      </c>
      <c r="F13" s="154">
        <f t="shared" si="0"/>
        <v>4189682</v>
      </c>
      <c r="G13" s="155">
        <f t="shared" si="1"/>
        <v>2839343</v>
      </c>
      <c r="H13" s="155">
        <f t="shared" si="2"/>
        <v>2312038</v>
      </c>
      <c r="I13" s="156">
        <f t="shared" si="3"/>
        <v>1895012</v>
      </c>
      <c r="J13" s="155"/>
      <c r="K13" s="154">
        <f t="shared" si="4"/>
        <v>318544</v>
      </c>
      <c r="L13" s="155">
        <f t="shared" si="5"/>
        <v>430622</v>
      </c>
      <c r="M13" s="155">
        <f t="shared" si="6"/>
        <v>134356</v>
      </c>
      <c r="N13" s="155">
        <f t="shared" si="7"/>
        <v>260710</v>
      </c>
      <c r="O13" s="155">
        <f t="shared" si="8"/>
        <v>134035</v>
      </c>
      <c r="P13" s="155">
        <f>AZ13+BA13</f>
        <v>478897</v>
      </c>
      <c r="Q13" s="155">
        <f>AU13</f>
        <v>397433</v>
      </c>
      <c r="R13" s="155">
        <f t="shared" si="34"/>
        <v>1180373</v>
      </c>
      <c r="S13" s="155">
        <f t="shared" si="9"/>
        <v>538046</v>
      </c>
      <c r="T13" s="155">
        <f t="shared" si="10"/>
        <v>114769</v>
      </c>
      <c r="U13" s="552">
        <f t="shared" si="10"/>
        <v>201897</v>
      </c>
      <c r="V13" s="155">
        <f t="shared" si="11"/>
        <v>291821</v>
      </c>
      <c r="W13" s="155">
        <f>BR13</f>
        <v>120382</v>
      </c>
      <c r="X13" s="155">
        <f t="shared" si="13"/>
        <v>760436</v>
      </c>
      <c r="Y13" s="155">
        <f t="shared" si="14"/>
        <v>1030257</v>
      </c>
      <c r="Z13" s="155">
        <f t="shared" si="15"/>
        <v>145053</v>
      </c>
      <c r="AA13" s="155">
        <f>BP13+BR13</f>
        <v>282830</v>
      </c>
      <c r="AB13" s="552">
        <f>BQ13</f>
        <v>201894</v>
      </c>
      <c r="AC13" s="155">
        <f t="shared" si="18"/>
        <v>216058</v>
      </c>
      <c r="AD13" s="155">
        <f t="shared" si="19"/>
        <v>170215</v>
      </c>
      <c r="AE13" s="155">
        <f t="shared" si="20"/>
        <v>503635</v>
      </c>
      <c r="AF13" s="155">
        <f t="shared" si="21"/>
        <v>232185</v>
      </c>
      <c r="AG13" s="155">
        <f t="shared" si="22"/>
        <v>439516</v>
      </c>
      <c r="AH13" s="155">
        <f t="shared" si="23"/>
        <v>291196</v>
      </c>
      <c r="AI13" s="155">
        <f t="shared" si="24"/>
        <v>141754</v>
      </c>
      <c r="AJ13" s="155">
        <f t="shared" si="25"/>
        <v>144326</v>
      </c>
      <c r="AK13" s="552">
        <f t="shared" si="26"/>
        <v>173153</v>
      </c>
      <c r="AL13" s="155">
        <f t="shared" si="27"/>
        <v>192966</v>
      </c>
      <c r="AM13" s="155">
        <f t="shared" si="28"/>
        <v>205216</v>
      </c>
      <c r="AN13" s="155">
        <f t="shared" si="29"/>
        <v>289831</v>
      </c>
      <c r="AO13" s="155">
        <f t="shared" si="30"/>
        <v>290510</v>
      </c>
      <c r="AP13" s="155">
        <f t="shared" si="30"/>
        <v>231729</v>
      </c>
      <c r="AQ13" s="155">
        <f t="shared" si="31"/>
        <v>133184</v>
      </c>
      <c r="AR13" s="155">
        <f t="shared" si="32"/>
        <v>222067</v>
      </c>
      <c r="AS13" s="156">
        <f t="shared" si="33"/>
        <v>329509</v>
      </c>
      <c r="AT13" s="281">
        <v>632165</v>
      </c>
      <c r="AU13" s="493">
        <v>397433</v>
      </c>
      <c r="AV13" s="493">
        <v>538046</v>
      </c>
      <c r="AW13" s="493">
        <v>260710</v>
      </c>
      <c r="AX13" s="493">
        <v>548208</v>
      </c>
      <c r="AY13" s="493">
        <v>430622</v>
      </c>
      <c r="AZ13" s="493">
        <v>126813</v>
      </c>
      <c r="BA13" s="493">
        <v>352084</v>
      </c>
      <c r="BB13" s="493">
        <v>114769</v>
      </c>
      <c r="BC13" s="493">
        <v>201897</v>
      </c>
      <c r="BD13" s="493">
        <v>134356</v>
      </c>
      <c r="BE13" s="493">
        <v>134035</v>
      </c>
      <c r="BF13" s="493">
        <v>318544</v>
      </c>
      <c r="BG13" s="493">
        <v>56888</v>
      </c>
      <c r="BH13" s="493">
        <v>307227</v>
      </c>
      <c r="BI13" s="493">
        <v>453209</v>
      </c>
      <c r="BJ13" s="493">
        <v>234933</v>
      </c>
      <c r="BK13" s="493">
        <v>161477</v>
      </c>
      <c r="BL13" s="493">
        <v>314428</v>
      </c>
      <c r="BM13" s="493">
        <v>145053</v>
      </c>
      <c r="BN13" s="493">
        <v>554352</v>
      </c>
      <c r="BO13" s="493">
        <v>127052</v>
      </c>
      <c r="BP13" s="493">
        <v>162448</v>
      </c>
      <c r="BQ13" s="493">
        <v>201894</v>
      </c>
      <c r="BR13" s="493">
        <v>120382</v>
      </c>
      <c r="BS13" s="493">
        <v>234442</v>
      </c>
      <c r="BT13" s="493">
        <v>269193</v>
      </c>
      <c r="BU13" s="493">
        <v>170215</v>
      </c>
      <c r="BV13" s="493">
        <v>439516</v>
      </c>
      <c r="BW13" s="493">
        <v>141754</v>
      </c>
      <c r="BX13" s="493">
        <v>216058</v>
      </c>
      <c r="BY13" s="493">
        <v>144326</v>
      </c>
      <c r="BZ13" s="493">
        <v>291196</v>
      </c>
      <c r="CA13" s="493">
        <v>232185</v>
      </c>
      <c r="CB13" s="493">
        <v>173153</v>
      </c>
      <c r="CC13" s="493">
        <v>290510</v>
      </c>
      <c r="CD13" s="493">
        <v>231729</v>
      </c>
      <c r="CE13" s="493">
        <v>192966</v>
      </c>
      <c r="CF13" s="493">
        <v>128301</v>
      </c>
      <c r="CG13" s="493">
        <v>201208</v>
      </c>
      <c r="CH13" s="493">
        <v>205216</v>
      </c>
      <c r="CI13" s="493">
        <v>222067</v>
      </c>
      <c r="CJ13" s="493">
        <v>289831</v>
      </c>
      <c r="CK13" s="493">
        <v>133184</v>
      </c>
      <c r="CL13" s="861">
        <v>11236075</v>
      </c>
      <c r="CM13" s="422"/>
    </row>
    <row r="14" spans="1:95">
      <c r="A14" s="80">
        <f>ROWS($A$3:A12)</f>
        <v>10</v>
      </c>
      <c r="B14" s="54" t="s">
        <v>61</v>
      </c>
      <c r="C14" s="252"/>
      <c r="D14" s="259" t="s">
        <v>12</v>
      </c>
      <c r="E14" s="483">
        <v>45110</v>
      </c>
      <c r="F14" s="530">
        <f>F13/F7*100</f>
        <v>396.86894942047053</v>
      </c>
      <c r="G14" s="531">
        <f>G13/G7*100</f>
        <v>410.45203538799581</v>
      </c>
      <c r="H14" s="531">
        <f>H13/H7*100</f>
        <v>247.10817645285891</v>
      </c>
      <c r="I14" s="532">
        <f>I13/I7*100</f>
        <v>212.51652740100101</v>
      </c>
      <c r="J14" s="281"/>
      <c r="K14" s="541">
        <f t="shared" si="4"/>
        <v>210.76227843243637</v>
      </c>
      <c r="L14" s="542">
        <f t="shared" si="5"/>
        <v>501.84365094163718</v>
      </c>
      <c r="M14" s="542">
        <f t="shared" si="6"/>
        <v>103.02426157102107</v>
      </c>
      <c r="N14" s="542">
        <f t="shared" si="7"/>
        <v>405.87539309400012</v>
      </c>
      <c r="O14" s="542">
        <f t="shared" si="8"/>
        <v>213.72420831074402</v>
      </c>
      <c r="P14" s="531">
        <f>P13/P7*100</f>
        <v>399.14735789298214</v>
      </c>
      <c r="Q14" s="542">
        <f>'2022'!AU14</f>
        <v>643.34531209531212</v>
      </c>
      <c r="R14" s="531">
        <f>R13/R7*100</f>
        <v>1320.1800693434739</v>
      </c>
      <c r="S14" s="542">
        <f t="shared" si="9"/>
        <v>839.01883732534918</v>
      </c>
      <c r="T14" s="542">
        <f t="shared" si="10"/>
        <v>147.75348885112518</v>
      </c>
      <c r="U14" s="554">
        <f t="shared" si="10"/>
        <v>136.04277426266955</v>
      </c>
      <c r="V14" s="531">
        <f>V13/V7*100</f>
        <v>332.13562177050375</v>
      </c>
      <c r="W14" s="542">
        <f t="shared" si="12"/>
        <v>138.30652573529412</v>
      </c>
      <c r="X14" s="531">
        <f>X13/X7*100</f>
        <v>604.28798474253017</v>
      </c>
      <c r="Y14" s="531">
        <f>Y13/Y7*100</f>
        <v>783.25692781388977</v>
      </c>
      <c r="Z14" s="542">
        <f t="shared" si="15"/>
        <v>128.82721257604689</v>
      </c>
      <c r="AA14" s="531">
        <f>AA13/AA7*100</f>
        <v>421.13491862594736</v>
      </c>
      <c r="AB14" s="554">
        <f t="shared" si="17"/>
        <v>203.75020381542475</v>
      </c>
      <c r="AC14" s="542">
        <f t="shared" si="18"/>
        <v>210.71839584918175</v>
      </c>
      <c r="AD14" s="542">
        <f t="shared" si="19"/>
        <v>250.38982053545161</v>
      </c>
      <c r="AE14" s="531">
        <f>AE13/AE7*100</f>
        <v>328.8808640685404</v>
      </c>
      <c r="AF14" s="542">
        <f t="shared" si="21"/>
        <v>287.83502342994569</v>
      </c>
      <c r="AG14" s="542">
        <f t="shared" si="22"/>
        <v>236.26208816904892</v>
      </c>
      <c r="AH14" s="542">
        <f t="shared" si="23"/>
        <v>355.99403408396296</v>
      </c>
      <c r="AI14" s="542">
        <f t="shared" si="24"/>
        <v>184.23487821995789</v>
      </c>
      <c r="AJ14" s="542">
        <f t="shared" si="25"/>
        <v>196.52768321577386</v>
      </c>
      <c r="AK14" s="554">
        <f t="shared" si="26"/>
        <v>153.07695707907882</v>
      </c>
      <c r="AL14" s="542">
        <f t="shared" si="27"/>
        <v>210.29882952985025</v>
      </c>
      <c r="AM14" s="542">
        <f t="shared" si="28"/>
        <v>145.59179300901718</v>
      </c>
      <c r="AN14" s="542">
        <f t="shared" si="29"/>
        <v>177.58381942061663</v>
      </c>
      <c r="AO14" s="542">
        <f t="shared" si="30"/>
        <v>265.91791154071467</v>
      </c>
      <c r="AP14" s="542">
        <f t="shared" si="30"/>
        <v>446.39671745872749</v>
      </c>
      <c r="AQ14" s="542">
        <f t="shared" si="31"/>
        <v>110.59681290118996</v>
      </c>
      <c r="AR14" s="542">
        <f t="shared" si="32"/>
        <v>334.05087473863142</v>
      </c>
      <c r="AS14" s="532">
        <f>AS13/AS7*100</f>
        <v>223.05869769771803</v>
      </c>
      <c r="AT14" s="531">
        <f t="shared" ref="AT14:CK14" si="39">AT13/AT7*100</f>
        <v>3049.0763517098344</v>
      </c>
      <c r="AU14" s="531">
        <f t="shared" si="39"/>
        <v>643.34531209531212</v>
      </c>
      <c r="AV14" s="531">
        <f t="shared" si="39"/>
        <v>839.01883732534918</v>
      </c>
      <c r="AW14" s="531">
        <f t="shared" si="39"/>
        <v>405.87539309400012</v>
      </c>
      <c r="AX14" s="531">
        <f t="shared" si="39"/>
        <v>798.24104139668304</v>
      </c>
      <c r="AY14" s="531">
        <f t="shared" si="39"/>
        <v>501.84365094163718</v>
      </c>
      <c r="AZ14" s="531">
        <f t="shared" si="39"/>
        <v>1269.5264791270397</v>
      </c>
      <c r="BA14" s="531">
        <f t="shared" si="39"/>
        <v>320.10255384531462</v>
      </c>
      <c r="BB14" s="531">
        <f t="shared" si="39"/>
        <v>147.75348885112518</v>
      </c>
      <c r="BC14" s="531">
        <f t="shared" si="39"/>
        <v>136.04277426266955</v>
      </c>
      <c r="BD14" s="531">
        <f t="shared" si="39"/>
        <v>103.02426157102107</v>
      </c>
      <c r="BE14" s="531">
        <f t="shared" si="39"/>
        <v>213.72420831074402</v>
      </c>
      <c r="BF14" s="555">
        <f t="shared" si="39"/>
        <v>210.76227843243637</v>
      </c>
      <c r="BG14" s="531">
        <f t="shared" si="39"/>
        <v>405.79213923960344</v>
      </c>
      <c r="BH14" s="531">
        <f t="shared" si="39"/>
        <v>1771.5776727021105</v>
      </c>
      <c r="BI14" s="531">
        <f t="shared" si="39"/>
        <v>417.71184722299034</v>
      </c>
      <c r="BJ14" s="531">
        <f t="shared" si="39"/>
        <v>318.15202524274474</v>
      </c>
      <c r="BK14" s="531">
        <f t="shared" si="39"/>
        <v>1483.7544794633832</v>
      </c>
      <c r="BL14" s="531">
        <f t="shared" si="39"/>
        <v>2168.9177071118161</v>
      </c>
      <c r="BM14" s="531">
        <f t="shared" si="39"/>
        <v>128.82721257604689</v>
      </c>
      <c r="BN14" s="531">
        <f t="shared" si="39"/>
        <v>522.20997597852192</v>
      </c>
      <c r="BO14" s="531">
        <f t="shared" si="39"/>
        <v>1296.5812838044699</v>
      </c>
      <c r="BP14" s="531">
        <f t="shared" si="39"/>
        <v>203.75020381542475</v>
      </c>
      <c r="BQ14" s="531">
        <f t="shared" si="39"/>
        <v>351.97698744769872</v>
      </c>
      <c r="BR14" s="555">
        <f t="shared" si="39"/>
        <v>138.30652573529412</v>
      </c>
      <c r="BS14" s="531">
        <f t="shared" si="39"/>
        <v>1531.9001568217459</v>
      </c>
      <c r="BT14" s="531">
        <f t="shared" si="39"/>
        <v>195.30515410064427</v>
      </c>
      <c r="BU14" s="531">
        <f t="shared" si="39"/>
        <v>250.38982053545161</v>
      </c>
      <c r="BV14" s="531">
        <f t="shared" si="39"/>
        <v>236.26208816904892</v>
      </c>
      <c r="BW14" s="531">
        <f t="shared" si="39"/>
        <v>184.23487821995789</v>
      </c>
      <c r="BX14" s="531">
        <f t="shared" si="39"/>
        <v>210.71839584918175</v>
      </c>
      <c r="BY14" s="531">
        <f t="shared" si="39"/>
        <v>196.52768321577386</v>
      </c>
      <c r="BZ14" s="531">
        <f t="shared" si="39"/>
        <v>355.99403408396296</v>
      </c>
      <c r="CA14" s="531">
        <f t="shared" si="39"/>
        <v>287.83502342994569</v>
      </c>
      <c r="CB14" s="555">
        <f t="shared" si="39"/>
        <v>153.07695707907882</v>
      </c>
      <c r="CC14" s="531">
        <f t="shared" si="39"/>
        <v>265.91791154071467</v>
      </c>
      <c r="CD14" s="531">
        <f t="shared" si="39"/>
        <v>446.39671745872749</v>
      </c>
      <c r="CE14" s="531">
        <f t="shared" si="39"/>
        <v>210.29882952985025</v>
      </c>
      <c r="CF14" s="531">
        <f t="shared" si="39"/>
        <v>1081.066734074823</v>
      </c>
      <c r="CG14" s="531">
        <f>CG13/CG7*100</f>
        <v>148.10496485223217</v>
      </c>
      <c r="CH14" s="531">
        <f t="shared" si="39"/>
        <v>145.59179300901718</v>
      </c>
      <c r="CI14" s="531">
        <f t="shared" si="39"/>
        <v>334.05087473863142</v>
      </c>
      <c r="CJ14" s="531">
        <f t="shared" si="39"/>
        <v>177.58381942061663</v>
      </c>
      <c r="CK14" s="532">
        <f t="shared" si="39"/>
        <v>110.59681290118996</v>
      </c>
      <c r="CL14" s="556">
        <f>CL13/CL7*100</f>
        <v>314.31470703832537</v>
      </c>
      <c r="CM14" s="710"/>
    </row>
    <row r="15" spans="1:95">
      <c r="A15" s="80">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c r="CM15" s="49"/>
      <c r="CN15" s="711"/>
      <c r="CO15" s="711"/>
      <c r="CP15" s="711"/>
    </row>
    <row r="16" spans="1:95">
      <c r="A16" s="80">
        <f>ROWS($A$3:A14)</f>
        <v>12</v>
      </c>
      <c r="B16" s="92" t="s">
        <v>200</v>
      </c>
      <c r="C16" s="584">
        <v>2021</v>
      </c>
      <c r="D16" s="259" t="s">
        <v>11</v>
      </c>
      <c r="E16" s="483">
        <v>45110</v>
      </c>
      <c r="F16" s="533">
        <f>SUM(AT16:BF16)</f>
        <v>2415500</v>
      </c>
      <c r="G16" s="281">
        <f t="shared" ref="G16" si="40">SUM(BG16:BR16)</f>
        <v>1582900</v>
      </c>
      <c r="H16" s="281">
        <f t="shared" ref="H16" si="41">SUM(BS16:CB16)</f>
        <v>1244500</v>
      </c>
      <c r="I16" s="300">
        <f t="shared" ref="I16" si="42">SUM(CC16:CK16)</f>
        <v>1065900</v>
      </c>
      <c r="J16" s="281"/>
      <c r="K16" s="154">
        <f t="shared" si="4"/>
        <v>170500</v>
      </c>
      <c r="L16" s="155">
        <f t="shared" si="5"/>
        <v>205800</v>
      </c>
      <c r="M16" s="155">
        <f t="shared" si="6"/>
        <v>76000</v>
      </c>
      <c r="N16" s="155">
        <f t="shared" si="7"/>
        <v>119500</v>
      </c>
      <c r="O16" s="155">
        <f t="shared" si="8"/>
        <v>67300</v>
      </c>
      <c r="P16" s="155">
        <f>'2022'!AZ16+'2022'!BA16</f>
        <v>278700</v>
      </c>
      <c r="Q16" s="155">
        <f>'2022'!AU16</f>
        <v>226900</v>
      </c>
      <c r="R16" s="155">
        <f t="shared" si="34"/>
        <v>801300</v>
      </c>
      <c r="S16" s="155">
        <f t="shared" si="9"/>
        <v>280700</v>
      </c>
      <c r="T16" s="155">
        <f t="shared" si="10"/>
        <v>73800</v>
      </c>
      <c r="U16" s="552">
        <f t="shared" si="10"/>
        <v>115000</v>
      </c>
      <c r="V16" s="155">
        <f>BG16+BJ16</f>
        <v>159000</v>
      </c>
      <c r="W16" s="155">
        <f t="shared" si="12"/>
        <v>64800</v>
      </c>
      <c r="X16" s="155">
        <f>BH16+BI16</f>
        <v>454300</v>
      </c>
      <c r="Y16" s="155">
        <f>BK16+BL16+BN16</f>
        <v>607700</v>
      </c>
      <c r="Z16" s="155">
        <f t="shared" si="15"/>
        <v>66900</v>
      </c>
      <c r="AA16" s="155">
        <f>BO16+BQ16</f>
        <v>162800</v>
      </c>
      <c r="AB16" s="552">
        <f t="shared" si="17"/>
        <v>67400</v>
      </c>
      <c r="AC16" s="155">
        <f t="shared" si="18"/>
        <v>119700</v>
      </c>
      <c r="AD16" s="155">
        <f t="shared" si="19"/>
        <v>77900</v>
      </c>
      <c r="AE16" s="155">
        <f>BS16+BT16</f>
        <v>301200</v>
      </c>
      <c r="AF16" s="155">
        <f t="shared" si="21"/>
        <v>105700</v>
      </c>
      <c r="AG16" s="155">
        <f t="shared" si="22"/>
        <v>250400</v>
      </c>
      <c r="AH16" s="155">
        <f t="shared" si="23"/>
        <v>148000</v>
      </c>
      <c r="AI16" s="155">
        <f t="shared" si="24"/>
        <v>76700</v>
      </c>
      <c r="AJ16" s="155">
        <f t="shared" si="25"/>
        <v>88300</v>
      </c>
      <c r="AK16" s="552">
        <f t="shared" si="26"/>
        <v>76600</v>
      </c>
      <c r="AL16" s="155">
        <f t="shared" si="27"/>
        <v>96600</v>
      </c>
      <c r="AM16" s="155">
        <f t="shared" si="28"/>
        <v>116400</v>
      </c>
      <c r="AN16" s="155">
        <f t="shared" si="29"/>
        <v>168900</v>
      </c>
      <c r="AO16" s="155">
        <f t="shared" si="30"/>
        <v>156000</v>
      </c>
      <c r="AP16" s="155">
        <f t="shared" si="30"/>
        <v>121000</v>
      </c>
      <c r="AQ16" s="155">
        <f t="shared" si="31"/>
        <v>70700</v>
      </c>
      <c r="AR16" s="155">
        <f t="shared" si="32"/>
        <v>126100</v>
      </c>
      <c r="AS16" s="156">
        <f>CF16+CG16</f>
        <v>210200</v>
      </c>
      <c r="AT16" s="859">
        <v>532600</v>
      </c>
      <c r="AU16" s="859">
        <v>226900</v>
      </c>
      <c r="AV16" s="859">
        <v>280700</v>
      </c>
      <c r="AW16" s="859">
        <v>119500</v>
      </c>
      <c r="AX16" s="859">
        <v>268700</v>
      </c>
      <c r="AY16" s="859">
        <v>205800</v>
      </c>
      <c r="AZ16" s="859">
        <v>98300</v>
      </c>
      <c r="BA16" s="859">
        <v>180400</v>
      </c>
      <c r="BB16" s="859">
        <v>73800</v>
      </c>
      <c r="BC16" s="859">
        <v>115000</v>
      </c>
      <c r="BD16" s="859">
        <v>76000</v>
      </c>
      <c r="BE16" s="859">
        <v>67300</v>
      </c>
      <c r="BF16" s="860">
        <v>170500</v>
      </c>
      <c r="BG16" s="859">
        <v>41500</v>
      </c>
      <c r="BH16" s="859">
        <v>238500</v>
      </c>
      <c r="BI16" s="859">
        <v>215800</v>
      </c>
      <c r="BJ16" s="859">
        <v>117500</v>
      </c>
      <c r="BK16" s="859">
        <v>123700</v>
      </c>
      <c r="BL16" s="859">
        <v>241300</v>
      </c>
      <c r="BM16" s="859">
        <v>66900</v>
      </c>
      <c r="BN16" s="859">
        <v>242700</v>
      </c>
      <c r="BO16" s="859">
        <v>77400</v>
      </c>
      <c r="BP16" s="859">
        <v>67400</v>
      </c>
      <c r="BQ16" s="859">
        <v>85400</v>
      </c>
      <c r="BR16" s="860">
        <v>64800</v>
      </c>
      <c r="BS16" s="859">
        <v>180700</v>
      </c>
      <c r="BT16" s="859">
        <v>120500</v>
      </c>
      <c r="BU16" s="859">
        <v>77900</v>
      </c>
      <c r="BV16" s="859">
        <v>250400</v>
      </c>
      <c r="BW16" s="859">
        <v>76700</v>
      </c>
      <c r="BX16" s="859">
        <v>119700</v>
      </c>
      <c r="BY16" s="859">
        <v>88300</v>
      </c>
      <c r="BZ16" s="859">
        <v>148000</v>
      </c>
      <c r="CA16" s="859">
        <v>105700</v>
      </c>
      <c r="CB16" s="860">
        <v>76600</v>
      </c>
      <c r="CC16" s="859">
        <v>156000</v>
      </c>
      <c r="CD16" s="859">
        <v>121000</v>
      </c>
      <c r="CE16" s="859">
        <v>96600</v>
      </c>
      <c r="CF16" s="859">
        <v>127800</v>
      </c>
      <c r="CG16" s="859">
        <v>82400</v>
      </c>
      <c r="CH16" s="859">
        <v>116400</v>
      </c>
      <c r="CI16" s="859">
        <v>126100</v>
      </c>
      <c r="CJ16" s="859">
        <v>168900</v>
      </c>
      <c r="CK16" s="859">
        <v>70700</v>
      </c>
      <c r="CL16" s="482">
        <v>6308700</v>
      </c>
    </row>
    <row r="17" spans="1:94" ht="14.25">
      <c r="A17" s="80">
        <f>ROWS($A$3:A15)</f>
        <v>13</v>
      </c>
      <c r="B17" s="388" t="s">
        <v>243</v>
      </c>
      <c r="C17" s="584">
        <v>2022</v>
      </c>
      <c r="D17" s="259" t="s">
        <v>3</v>
      </c>
      <c r="E17" s="483">
        <v>45110</v>
      </c>
      <c r="F17">
        <v>3.5</v>
      </c>
      <c r="G17">
        <v>4.0999999999999996</v>
      </c>
      <c r="H17">
        <v>3.5</v>
      </c>
      <c r="I17">
        <v>2.9</v>
      </c>
      <c r="J17" s="382"/>
      <c r="K17" s="623">
        <f t="shared" si="4"/>
        <v>3.1</v>
      </c>
      <c r="L17" s="624">
        <f t="shared" si="5"/>
        <v>3.6</v>
      </c>
      <c r="M17" s="624">
        <f t="shared" si="6"/>
        <v>2.8</v>
      </c>
      <c r="N17" s="624">
        <f t="shared" si="7"/>
        <v>4.0999999999999996</v>
      </c>
      <c r="O17" s="624">
        <f t="shared" si="8"/>
        <v>3.8</v>
      </c>
      <c r="P17" s="620">
        <f>ROUND((AZ16*AZ17/100+BA16*BA17/100)/P16%,1)</f>
        <v>3.6</v>
      </c>
      <c r="Q17" s="624">
        <f>'2022'!AU17</f>
        <v>3.1</v>
      </c>
      <c r="R17" s="620">
        <f>ROUND((AT16*AT17/100+AX16*AX17/100)/R16%,1)</f>
        <v>4</v>
      </c>
      <c r="S17" s="624">
        <f t="shared" si="9"/>
        <v>3.5</v>
      </c>
      <c r="T17" s="624">
        <f t="shared" si="10"/>
        <v>2.8</v>
      </c>
      <c r="U17" s="625">
        <f t="shared" si="10"/>
        <v>3.1</v>
      </c>
      <c r="V17" s="620">
        <f>ROUND((BG16*BG17/100+BJ16*BJ17/100)/V16%,1)</f>
        <v>4.0999999999999996</v>
      </c>
      <c r="W17" s="624">
        <f t="shared" si="12"/>
        <v>3.1</v>
      </c>
      <c r="X17" s="620">
        <f>ROUND((BH16*BH17/100+BI16*BI17/100)/X16%,1)</f>
        <v>3.7</v>
      </c>
      <c r="Y17" s="620">
        <f>ROUND((BK16*BK17/100+BL16*BL17/100+BN16*BN17/100)/Y16%,1)</f>
        <v>5.2</v>
      </c>
      <c r="Z17" s="624">
        <f t="shared" si="15"/>
        <v>3.4</v>
      </c>
      <c r="AA17" s="620">
        <f>ROUND((BO16*BO17/100+BQ16*BQ17/100)/AA16%,1)</f>
        <v>4.3</v>
      </c>
      <c r="AB17" s="625">
        <f t="shared" si="17"/>
        <v>3.4</v>
      </c>
      <c r="AC17" s="624">
        <f t="shared" si="18"/>
        <v>3.7</v>
      </c>
      <c r="AD17" s="624">
        <f t="shared" si="19"/>
        <v>2.6</v>
      </c>
      <c r="AE17" s="620">
        <f>ROUND((BS16*BS17/100+BT16*BT17/100)/AE16%,1)</f>
        <v>4.2</v>
      </c>
      <c r="AF17" s="624">
        <f t="shared" si="21"/>
        <v>4.2</v>
      </c>
      <c r="AG17" s="624">
        <f t="shared" si="22"/>
        <v>3.2</v>
      </c>
      <c r="AH17" s="624">
        <f t="shared" si="23"/>
        <v>3.5</v>
      </c>
      <c r="AI17" s="624">
        <f t="shared" si="24"/>
        <v>2.6</v>
      </c>
      <c r="AJ17" s="624">
        <f t="shared" si="25"/>
        <v>3.6</v>
      </c>
      <c r="AK17" s="625">
        <f t="shared" si="26"/>
        <v>3.6</v>
      </c>
      <c r="AL17" s="624">
        <f t="shared" si="27"/>
        <v>3.7</v>
      </c>
      <c r="AM17" s="624">
        <f t="shared" si="28"/>
        <v>2.1</v>
      </c>
      <c r="AN17" s="624">
        <f t="shared" si="29"/>
        <v>2.4</v>
      </c>
      <c r="AO17" s="624">
        <f t="shared" si="30"/>
        <v>3.6</v>
      </c>
      <c r="AP17" s="624">
        <f t="shared" si="30"/>
        <v>2.9</v>
      </c>
      <c r="AQ17" s="624">
        <f t="shared" si="31"/>
        <v>3</v>
      </c>
      <c r="AR17" s="624">
        <f t="shared" si="32"/>
        <v>2.6</v>
      </c>
      <c r="AS17" s="621">
        <f>ROUND((CF16*CF17/100+CG16*CG17/100)/AS16%,1)</f>
        <v>3</v>
      </c>
      <c r="AT17" s="477">
        <v>4.5</v>
      </c>
      <c r="AU17" s="477">
        <v>3.1</v>
      </c>
      <c r="AV17" s="477">
        <v>3.5</v>
      </c>
      <c r="AW17" s="477">
        <v>4.0999999999999996</v>
      </c>
      <c r="AX17" s="477">
        <v>3</v>
      </c>
      <c r="AY17" s="477">
        <v>3.6</v>
      </c>
      <c r="AZ17" s="477">
        <v>4.9000000000000004</v>
      </c>
      <c r="BA17" s="477">
        <v>2.9</v>
      </c>
      <c r="BB17" s="477">
        <v>2.8</v>
      </c>
      <c r="BC17" s="477">
        <v>3.1</v>
      </c>
      <c r="BD17" s="477">
        <v>2.8</v>
      </c>
      <c r="BE17" s="477">
        <v>3.8</v>
      </c>
      <c r="BF17" s="477">
        <v>3.1</v>
      </c>
      <c r="BG17" s="477">
        <v>5.6</v>
      </c>
      <c r="BH17" s="477">
        <v>4.2</v>
      </c>
      <c r="BI17" s="477">
        <v>3.2</v>
      </c>
      <c r="BJ17" s="477">
        <v>3.6</v>
      </c>
      <c r="BK17" s="477">
        <v>4.5999999999999996</v>
      </c>
      <c r="BL17" s="477">
        <v>7</v>
      </c>
      <c r="BM17" s="477">
        <v>3.4</v>
      </c>
      <c r="BN17" s="477">
        <v>3.8</v>
      </c>
      <c r="BO17" s="477">
        <v>6.1</v>
      </c>
      <c r="BP17" s="477">
        <v>3.4</v>
      </c>
      <c r="BQ17" s="477">
        <v>2.7</v>
      </c>
      <c r="BR17" s="477">
        <v>3.1</v>
      </c>
      <c r="BS17" s="477">
        <v>5</v>
      </c>
      <c r="BT17" s="477">
        <v>2.9</v>
      </c>
      <c r="BU17" s="477">
        <v>2.6</v>
      </c>
      <c r="BV17" s="477">
        <v>3.2</v>
      </c>
      <c r="BW17" s="477">
        <v>2.6</v>
      </c>
      <c r="BX17" s="477">
        <v>3.7</v>
      </c>
      <c r="BY17" s="477">
        <v>3.6</v>
      </c>
      <c r="BZ17" s="477">
        <v>3.5</v>
      </c>
      <c r="CA17" s="477">
        <v>4.2</v>
      </c>
      <c r="CB17" s="477">
        <v>3.6</v>
      </c>
      <c r="CC17" s="477">
        <v>3.6</v>
      </c>
      <c r="CD17" s="477">
        <v>2.9</v>
      </c>
      <c r="CE17" s="477">
        <v>3.7</v>
      </c>
      <c r="CF17" s="477">
        <v>3.5</v>
      </c>
      <c r="CG17" s="477">
        <v>2.2999999999999998</v>
      </c>
      <c r="CH17" s="477">
        <v>2.1</v>
      </c>
      <c r="CI17" s="477">
        <v>2.6</v>
      </c>
      <c r="CJ17" s="477">
        <v>2.4</v>
      </c>
      <c r="CK17" s="477">
        <v>3</v>
      </c>
      <c r="CL17" s="477">
        <v>3.5</v>
      </c>
    </row>
    <row r="18" spans="1:94">
      <c r="A18" s="80">
        <f>ROWS($A$3:A16)</f>
        <v>14</v>
      </c>
      <c r="B18" s="238" t="s">
        <v>302</v>
      </c>
      <c r="C18" s="584">
        <v>2021</v>
      </c>
      <c r="D18" s="259" t="s">
        <v>11</v>
      </c>
      <c r="E18" s="483">
        <v>45110</v>
      </c>
      <c r="F18" s="533">
        <f>SUM(AT18:BF18)</f>
        <v>21700</v>
      </c>
      <c r="G18" s="281">
        <f t="shared" ref="G18" si="43">SUM(BG18:BR18)</f>
        <v>9000</v>
      </c>
      <c r="H18" s="281">
        <f t="shared" ref="H18" si="44">SUM(BS18:CB18)</f>
        <v>19500</v>
      </c>
      <c r="I18" s="300">
        <f t="shared" ref="I18" si="45">SUM(CC18:CK18)</f>
        <v>17500</v>
      </c>
      <c r="J18" s="382"/>
      <c r="K18" s="154">
        <f>BF18</f>
        <v>2000</v>
      </c>
      <c r="L18" s="155">
        <f>AY18</f>
        <v>2200</v>
      </c>
      <c r="M18" s="155">
        <f>BD18</f>
        <v>1300</v>
      </c>
      <c r="N18" s="155">
        <f>AW18</f>
        <v>900</v>
      </c>
      <c r="O18" s="155">
        <f>BE18</f>
        <v>800</v>
      </c>
      <c r="P18" s="531">
        <f>'2022'!AZ18+'2022'!BA18</f>
        <v>4200</v>
      </c>
      <c r="Q18" s="155">
        <f>'2022'!AU18</f>
        <v>700</v>
      </c>
      <c r="R18" s="531">
        <f>AT18+AX18</f>
        <v>3900</v>
      </c>
      <c r="S18" s="155">
        <f>AV18</f>
        <v>1700</v>
      </c>
      <c r="T18" s="155">
        <f>BB18</f>
        <v>1900</v>
      </c>
      <c r="U18" s="552">
        <f>BC18</f>
        <v>2100</v>
      </c>
      <c r="V18" s="531">
        <f>BG18+BJ18</f>
        <v>1100</v>
      </c>
      <c r="W18" s="155">
        <f>BR18</f>
        <v>600</v>
      </c>
      <c r="X18" s="531">
        <f>BH18+BI18</f>
        <v>2000</v>
      </c>
      <c r="Y18" s="531">
        <f>BK18+BL18+BN18</f>
        <v>2800</v>
      </c>
      <c r="Z18" s="155">
        <f>BM18</f>
        <v>1100</v>
      </c>
      <c r="AA18" s="531">
        <f>BO18+BQ18</f>
        <v>700</v>
      </c>
      <c r="AB18" s="552">
        <f>BP18</f>
        <v>700</v>
      </c>
      <c r="AC18" s="155">
        <f>BX18</f>
        <v>1100</v>
      </c>
      <c r="AD18" s="155">
        <f>BU18</f>
        <v>1900</v>
      </c>
      <c r="AE18" s="531">
        <f>BS18+BT18</f>
        <v>5200</v>
      </c>
      <c r="AF18" s="155">
        <f>CA18</f>
        <v>1600</v>
      </c>
      <c r="AG18" s="155">
        <f>BV18</f>
        <v>4700</v>
      </c>
      <c r="AH18" s="155">
        <f>BZ18</f>
        <v>2400</v>
      </c>
      <c r="AI18" s="155">
        <f>BW18</f>
        <v>800</v>
      </c>
      <c r="AJ18" s="155">
        <f>BY18</f>
        <v>500</v>
      </c>
      <c r="AK18" s="552">
        <f>CB18</f>
        <v>1300</v>
      </c>
      <c r="AL18" s="155">
        <f>CE18</f>
        <v>1100</v>
      </c>
      <c r="AM18" s="155">
        <f>CH18</f>
        <v>2600</v>
      </c>
      <c r="AN18" s="155">
        <f>CJ18</f>
        <v>4600</v>
      </c>
      <c r="AO18" s="155">
        <f>CC18</f>
        <v>1300</v>
      </c>
      <c r="AP18" s="155">
        <f>CD18</f>
        <v>800</v>
      </c>
      <c r="AQ18" s="155">
        <f>CK18</f>
        <v>1400</v>
      </c>
      <c r="AR18" s="155">
        <f>CI18</f>
        <v>3400</v>
      </c>
      <c r="AS18" s="532">
        <f>CF18+CG18</f>
        <v>2300</v>
      </c>
      <c r="AT18" s="859">
        <v>800</v>
      </c>
      <c r="AU18" s="859">
        <v>700</v>
      </c>
      <c r="AV18" s="859">
        <v>1700</v>
      </c>
      <c r="AW18" s="859">
        <v>900</v>
      </c>
      <c r="AX18" s="859">
        <v>3100</v>
      </c>
      <c r="AY18" s="859">
        <v>2200</v>
      </c>
      <c r="AZ18" s="859">
        <v>600</v>
      </c>
      <c r="BA18" s="859">
        <v>3600</v>
      </c>
      <c r="BB18" s="859">
        <v>1900</v>
      </c>
      <c r="BC18" s="859">
        <v>2100</v>
      </c>
      <c r="BD18" s="859">
        <v>1300</v>
      </c>
      <c r="BE18" s="859">
        <v>800</v>
      </c>
      <c r="BF18" s="860">
        <v>2000</v>
      </c>
      <c r="BG18" s="859">
        <v>200</v>
      </c>
      <c r="BH18" s="859">
        <v>300</v>
      </c>
      <c r="BI18" s="859">
        <v>1700</v>
      </c>
      <c r="BJ18" s="859">
        <v>900</v>
      </c>
      <c r="BK18" s="859">
        <v>300</v>
      </c>
      <c r="BL18" s="859">
        <v>300</v>
      </c>
      <c r="BM18" s="859">
        <v>1100</v>
      </c>
      <c r="BN18" s="859">
        <v>2200</v>
      </c>
      <c r="BO18" s="859">
        <v>100</v>
      </c>
      <c r="BP18" s="859">
        <v>700</v>
      </c>
      <c r="BQ18" s="859">
        <v>600</v>
      </c>
      <c r="BR18" s="860">
        <v>600</v>
      </c>
      <c r="BS18" s="859">
        <v>500</v>
      </c>
      <c r="BT18" s="859">
        <v>4700</v>
      </c>
      <c r="BU18" s="859">
        <v>1900</v>
      </c>
      <c r="BV18" s="859">
        <v>4700</v>
      </c>
      <c r="BW18" s="859">
        <v>800</v>
      </c>
      <c r="BX18" s="859">
        <v>1100</v>
      </c>
      <c r="BY18" s="859">
        <v>500</v>
      </c>
      <c r="BZ18" s="859">
        <v>2400</v>
      </c>
      <c r="CA18" s="859">
        <v>1600</v>
      </c>
      <c r="CB18" s="860">
        <v>1300</v>
      </c>
      <c r="CC18" s="859">
        <v>1300</v>
      </c>
      <c r="CD18" s="859">
        <v>800</v>
      </c>
      <c r="CE18" s="859">
        <v>1100</v>
      </c>
      <c r="CF18" s="859">
        <v>300</v>
      </c>
      <c r="CG18" s="859">
        <v>2000</v>
      </c>
      <c r="CH18" s="859">
        <v>2600</v>
      </c>
      <c r="CI18" s="859">
        <v>3400</v>
      </c>
      <c r="CJ18" s="859">
        <v>4600</v>
      </c>
      <c r="CK18" s="859">
        <v>1400</v>
      </c>
      <c r="CL18" s="482">
        <v>67500</v>
      </c>
    </row>
    <row r="19" spans="1:94">
      <c r="A19" s="80">
        <f>ROWS($A$3:A17)</f>
        <v>15</v>
      </c>
      <c r="B19" s="238" t="s">
        <v>268</v>
      </c>
      <c r="C19" s="584">
        <v>2022</v>
      </c>
      <c r="D19" s="259" t="s">
        <v>11</v>
      </c>
      <c r="E19" s="483">
        <v>45110</v>
      </c>
      <c r="F19" s="533">
        <f>SUM(AT19:BF19)</f>
        <v>1910248</v>
      </c>
      <c r="G19" s="281">
        <f>SUM(BG19:BR19)</f>
        <v>1219779</v>
      </c>
      <c r="H19" s="281">
        <f>SUM(BS19:CB19)</f>
        <v>928222</v>
      </c>
      <c r="I19" s="300">
        <f>SUM(CC19:CK19)</f>
        <v>800822</v>
      </c>
      <c r="J19" s="382"/>
      <c r="K19" s="154">
        <f>BF19</f>
        <v>131634</v>
      </c>
      <c r="L19" s="155">
        <f>AY19</f>
        <v>154136</v>
      </c>
      <c r="M19" s="155">
        <f>BD19</f>
        <v>56995</v>
      </c>
      <c r="N19" s="155">
        <f>AW19</f>
        <v>88585</v>
      </c>
      <c r="O19" s="155">
        <f>BE19</f>
        <v>53710</v>
      </c>
      <c r="P19" s="531">
        <f>'2022'!AZ19+'2022'!BA19</f>
        <v>222905</v>
      </c>
      <c r="Q19" s="155">
        <f>'2022'!AU19</f>
        <v>184082</v>
      </c>
      <c r="R19" s="531">
        <f>AT19+AX19</f>
        <v>646256</v>
      </c>
      <c r="S19" s="155">
        <f>AV19</f>
        <v>222774</v>
      </c>
      <c r="T19" s="155">
        <f>BB19</f>
        <v>61104</v>
      </c>
      <c r="U19" s="552">
        <f>BC19</f>
        <v>88067</v>
      </c>
      <c r="V19" s="531">
        <f>BG19+BJ19</f>
        <v>124001</v>
      </c>
      <c r="W19" s="155">
        <f>BR19</f>
        <v>49743</v>
      </c>
      <c r="X19" s="531">
        <f>BH19+BI19</f>
        <v>349955</v>
      </c>
      <c r="Y19" s="531">
        <f>BK19+BL19+BN19</f>
        <v>475596</v>
      </c>
      <c r="Z19" s="155">
        <f>BM19</f>
        <v>46831</v>
      </c>
      <c r="AA19" s="531">
        <f>BO19+BQ19</f>
        <v>123722</v>
      </c>
      <c r="AB19" s="552">
        <f>BP19</f>
        <v>49931</v>
      </c>
      <c r="AC19" s="155">
        <f>BX19</f>
        <v>88277</v>
      </c>
      <c r="AD19" s="155">
        <f>BU19</f>
        <v>56908</v>
      </c>
      <c r="AE19" s="531">
        <f>BS19+BT19</f>
        <v>221794</v>
      </c>
      <c r="AF19" s="155">
        <f>CA19</f>
        <v>79352</v>
      </c>
      <c r="AG19" s="155">
        <f>BV19</f>
        <v>191242</v>
      </c>
      <c r="AH19" s="155">
        <f>BZ19</f>
        <v>106904</v>
      </c>
      <c r="AI19" s="155">
        <f>BW19</f>
        <v>59662</v>
      </c>
      <c r="AJ19" s="155">
        <f>BY19</f>
        <v>68621</v>
      </c>
      <c r="AK19" s="552">
        <f>CB19</f>
        <v>55462</v>
      </c>
      <c r="AL19" s="155">
        <f>CE19</f>
        <v>72760</v>
      </c>
      <c r="AM19" s="155">
        <f>CH19</f>
        <v>89170</v>
      </c>
      <c r="AN19" s="155">
        <f>CJ19</f>
        <v>125387</v>
      </c>
      <c r="AO19" s="155">
        <f>CC19</f>
        <v>117803</v>
      </c>
      <c r="AP19" s="155">
        <f>CD19</f>
        <v>90052</v>
      </c>
      <c r="AQ19" s="155">
        <f>CK19</f>
        <v>49541</v>
      </c>
      <c r="AR19" s="155">
        <f>CI19</f>
        <v>96820</v>
      </c>
      <c r="AS19" s="532">
        <f>CF19+CG19</f>
        <v>159289</v>
      </c>
      <c r="AT19" s="493">
        <v>435483</v>
      </c>
      <c r="AU19" s="479">
        <v>184082</v>
      </c>
      <c r="AV19" s="479">
        <v>222774</v>
      </c>
      <c r="AW19" s="479">
        <v>88585</v>
      </c>
      <c r="AX19" s="479">
        <v>210773</v>
      </c>
      <c r="AY19" s="479">
        <v>154136</v>
      </c>
      <c r="AZ19" s="479">
        <v>74961</v>
      </c>
      <c r="BA19" s="479">
        <v>147944</v>
      </c>
      <c r="BB19" s="479">
        <v>61104</v>
      </c>
      <c r="BC19" s="479">
        <v>88067</v>
      </c>
      <c r="BD19" s="479">
        <v>56995</v>
      </c>
      <c r="BE19" s="479">
        <v>53710</v>
      </c>
      <c r="BF19" s="480">
        <v>131634</v>
      </c>
      <c r="BG19" s="479">
        <v>31704</v>
      </c>
      <c r="BH19" s="479">
        <v>185665</v>
      </c>
      <c r="BI19" s="479">
        <v>164290</v>
      </c>
      <c r="BJ19" s="479">
        <v>92297</v>
      </c>
      <c r="BK19" s="479">
        <v>96124</v>
      </c>
      <c r="BL19" s="479">
        <v>195189</v>
      </c>
      <c r="BM19" s="479">
        <v>46831</v>
      </c>
      <c r="BN19" s="479">
        <v>184283</v>
      </c>
      <c r="BO19" s="479">
        <v>58980</v>
      </c>
      <c r="BP19" s="479">
        <v>49931</v>
      </c>
      <c r="BQ19" s="479">
        <v>64742</v>
      </c>
      <c r="BR19" s="480">
        <v>49743</v>
      </c>
      <c r="BS19" s="479">
        <v>135710</v>
      </c>
      <c r="BT19" s="479">
        <v>86084</v>
      </c>
      <c r="BU19" s="479">
        <v>56908</v>
      </c>
      <c r="BV19" s="479">
        <v>191242</v>
      </c>
      <c r="BW19" s="479">
        <v>59662</v>
      </c>
      <c r="BX19" s="479">
        <v>88277</v>
      </c>
      <c r="BY19" s="479">
        <v>68621</v>
      </c>
      <c r="BZ19" s="479">
        <v>106904</v>
      </c>
      <c r="CA19" s="479">
        <v>79352</v>
      </c>
      <c r="CB19" s="480">
        <v>55462</v>
      </c>
      <c r="CC19" s="479">
        <v>117803</v>
      </c>
      <c r="CD19" s="479">
        <v>90052</v>
      </c>
      <c r="CE19" s="479">
        <v>72760</v>
      </c>
      <c r="CF19" s="479">
        <v>100734</v>
      </c>
      <c r="CG19" s="493">
        <v>58555</v>
      </c>
      <c r="CH19" s="479">
        <v>89170</v>
      </c>
      <c r="CI19" s="479">
        <v>96820</v>
      </c>
      <c r="CJ19" s="479">
        <v>125387</v>
      </c>
      <c r="CK19" s="481">
        <v>49541</v>
      </c>
      <c r="CL19" s="482">
        <v>4859072</v>
      </c>
    </row>
    <row r="20" spans="1:94" ht="13.5" customHeight="1">
      <c r="A20" s="80">
        <f>ROWS($A$3:A18)</f>
        <v>16</v>
      </c>
      <c r="B20" s="92" t="s">
        <v>64</v>
      </c>
      <c r="C20" s="584">
        <v>2020</v>
      </c>
      <c r="D20" s="259" t="s">
        <v>285</v>
      </c>
      <c r="E20" s="483">
        <v>45141</v>
      </c>
      <c r="F20" s="533">
        <v>193760</v>
      </c>
      <c r="G20" s="281">
        <v>112720</v>
      </c>
      <c r="H20" s="281">
        <v>80104</v>
      </c>
      <c r="I20" s="300">
        <v>75258</v>
      </c>
      <c r="J20" s="281"/>
      <c r="K20" s="154">
        <f t="shared" ref="K20:K21" si="46">BF20</f>
        <v>12788</v>
      </c>
      <c r="L20" s="155">
        <f t="shared" ref="L20:L21" si="47">AY20</f>
        <v>13887</v>
      </c>
      <c r="M20" s="155">
        <f t="shared" ref="M20:M21" si="48">BD20</f>
        <v>4794</v>
      </c>
      <c r="N20" s="155">
        <f t="shared" ref="N20:N21" si="49">AW20</f>
        <v>7460</v>
      </c>
      <c r="O20" s="155">
        <f t="shared" ref="O20:O21" si="50">BE20</f>
        <v>4536</v>
      </c>
      <c r="P20" s="155">
        <f>AZ20+BA20</f>
        <v>24326</v>
      </c>
      <c r="Q20" s="155">
        <f>AU20</f>
        <v>21696</v>
      </c>
      <c r="R20" s="155">
        <f>AT20+AX20</f>
        <v>70750</v>
      </c>
      <c r="S20" s="155">
        <f t="shared" ref="S20:S21" si="51">AV20</f>
        <v>19914</v>
      </c>
      <c r="T20" s="155">
        <f t="shared" ref="T20:U21" si="52">BB20</f>
        <v>5306</v>
      </c>
      <c r="U20" s="552">
        <f t="shared" si="52"/>
        <v>8300</v>
      </c>
      <c r="V20" s="155">
        <f>BG20+BJ20</f>
        <v>10936</v>
      </c>
      <c r="W20" s="155">
        <f t="shared" ref="W20:W21" si="53">BR20</f>
        <v>4208</v>
      </c>
      <c r="X20" s="155">
        <f>BH20+BI20</f>
        <v>33929</v>
      </c>
      <c r="Y20" s="155">
        <f>BK20+BL20+BN20</f>
        <v>45023</v>
      </c>
      <c r="Z20" s="155">
        <f t="shared" ref="Z20:Z21" si="54">BM20</f>
        <v>4078</v>
      </c>
      <c r="AA20" s="155">
        <f>BO20+BQ20</f>
        <v>10342</v>
      </c>
      <c r="AB20" s="552">
        <f t="shared" ref="AB20:AB21" si="55">BP20</f>
        <v>4203</v>
      </c>
      <c r="AC20" s="155">
        <f t="shared" ref="AC20:AC21" si="56">BX20</f>
        <v>7512</v>
      </c>
      <c r="AD20" s="155">
        <f t="shared" ref="AD20:AD21" si="57">BU20</f>
        <v>5136</v>
      </c>
      <c r="AE20" s="155">
        <f>BS20+BT20</f>
        <v>18909</v>
      </c>
      <c r="AF20" s="155">
        <f t="shared" ref="AF20:AF21" si="58">CA20</f>
        <v>6956</v>
      </c>
      <c r="AG20" s="155">
        <f t="shared" ref="AG20:AG21" si="59">BV20</f>
        <v>16000</v>
      </c>
      <c r="AH20" s="155">
        <f t="shared" ref="AH20:AH21" si="60">BZ20</f>
        <v>9663</v>
      </c>
      <c r="AI20" s="155">
        <f t="shared" ref="AI20:AI21" si="61">BW20</f>
        <v>5297</v>
      </c>
      <c r="AJ20" s="155">
        <f t="shared" ref="AJ20:AJ21" si="62">BY20</f>
        <v>5851</v>
      </c>
      <c r="AK20" s="552">
        <f t="shared" ref="AK20:AK21" si="63">CB20</f>
        <v>4780</v>
      </c>
      <c r="AL20" s="155">
        <f t="shared" ref="AL20:AL21" si="64">CE20</f>
        <v>6260</v>
      </c>
      <c r="AM20" s="155">
        <f t="shared" ref="AM20:AM21" si="65">CH20</f>
        <v>9756</v>
      </c>
      <c r="AN20" s="155">
        <f t="shared" ref="AN20:AN21" si="66">CJ20</f>
        <v>12454</v>
      </c>
      <c r="AO20" s="155">
        <f t="shared" ref="AO20:AP21" si="67">CC20</f>
        <v>10465</v>
      </c>
      <c r="AP20" s="155">
        <f t="shared" si="67"/>
        <v>7028</v>
      </c>
      <c r="AQ20" s="155">
        <f t="shared" ref="AQ20:AQ21" si="68">CK20</f>
        <v>4509</v>
      </c>
      <c r="AR20" s="155">
        <f t="shared" ref="AR20:AR21" si="69">CI20</f>
        <v>9796</v>
      </c>
      <c r="AS20" s="156">
        <f>CF20+CG20</f>
        <v>14990</v>
      </c>
      <c r="AT20" s="281">
        <v>48184</v>
      </c>
      <c r="AU20" s="155">
        <v>21696</v>
      </c>
      <c r="AV20" s="155">
        <v>19914</v>
      </c>
      <c r="AW20" s="155">
        <v>7460</v>
      </c>
      <c r="AX20" s="155">
        <v>22566</v>
      </c>
      <c r="AY20" s="155">
        <v>13887</v>
      </c>
      <c r="AZ20" s="155">
        <v>6403</v>
      </c>
      <c r="BA20" s="155">
        <v>17923</v>
      </c>
      <c r="BB20" s="155">
        <v>5306</v>
      </c>
      <c r="BC20" s="155">
        <v>8300</v>
      </c>
      <c r="BD20" s="155">
        <v>4794</v>
      </c>
      <c r="BE20" s="155">
        <v>4536</v>
      </c>
      <c r="BF20" s="552">
        <v>12788</v>
      </c>
      <c r="BG20" s="155">
        <v>2690</v>
      </c>
      <c r="BH20" s="155">
        <v>18984</v>
      </c>
      <c r="BI20" s="155">
        <v>14945</v>
      </c>
      <c r="BJ20" s="155">
        <v>8246</v>
      </c>
      <c r="BK20" s="155">
        <v>8297</v>
      </c>
      <c r="BL20" s="155">
        <v>18267</v>
      </c>
      <c r="BM20" s="155">
        <v>4078</v>
      </c>
      <c r="BN20" s="155">
        <v>18459</v>
      </c>
      <c r="BO20" s="155">
        <v>4892</v>
      </c>
      <c r="BP20" s="155">
        <v>4203</v>
      </c>
      <c r="BQ20" s="155">
        <v>5450</v>
      </c>
      <c r="BR20" s="552">
        <v>4208</v>
      </c>
      <c r="BS20" s="155">
        <v>11612</v>
      </c>
      <c r="BT20" s="155">
        <v>7297</v>
      </c>
      <c r="BU20" s="155">
        <v>5136</v>
      </c>
      <c r="BV20" s="155">
        <v>16000</v>
      </c>
      <c r="BW20" s="155">
        <v>5297</v>
      </c>
      <c r="BX20" s="155">
        <v>7512</v>
      </c>
      <c r="BY20" s="155">
        <v>5851</v>
      </c>
      <c r="BZ20" s="155">
        <v>9663</v>
      </c>
      <c r="CA20" s="155">
        <v>6956</v>
      </c>
      <c r="CB20" s="552">
        <v>4780</v>
      </c>
      <c r="CC20" s="155">
        <v>10465</v>
      </c>
      <c r="CD20" s="155">
        <v>7028</v>
      </c>
      <c r="CE20" s="155">
        <v>6260</v>
      </c>
      <c r="CF20" s="155">
        <v>9095</v>
      </c>
      <c r="CG20" s="281">
        <v>5895</v>
      </c>
      <c r="CH20" s="155">
        <v>9756</v>
      </c>
      <c r="CI20" s="155">
        <v>9796</v>
      </c>
      <c r="CJ20" s="155">
        <v>12454</v>
      </c>
      <c r="CK20" s="156">
        <v>4509</v>
      </c>
      <c r="CL20" s="320">
        <v>461841</v>
      </c>
    </row>
    <row r="21" spans="1:94">
      <c r="A21" s="80">
        <f>ROWS($A$3:A19)</f>
        <v>17</v>
      </c>
      <c r="B21" s="698" t="s">
        <v>62</v>
      </c>
      <c r="C21" s="584">
        <v>2020</v>
      </c>
      <c r="D21" s="259" t="s">
        <v>3</v>
      </c>
      <c r="E21" s="483">
        <v>45141</v>
      </c>
      <c r="F21" s="834">
        <f t="shared" ref="F21:I21" si="70">F118/F20%</f>
        <v>0.43817093311312966</v>
      </c>
      <c r="G21" s="382">
        <f t="shared" si="70"/>
        <v>0.29719659332860182</v>
      </c>
      <c r="H21" s="382">
        <f t="shared" si="70"/>
        <v>0.70158793568361133</v>
      </c>
      <c r="I21" s="835">
        <f t="shared" si="70"/>
        <v>0.88229822743097075</v>
      </c>
      <c r="J21" s="382"/>
      <c r="K21" s="539">
        <f t="shared" ref="K21:BV21" si="71">K118/K20%</f>
        <v>0.79762277134813886</v>
      </c>
      <c r="L21" s="521">
        <f t="shared" si="71"/>
        <v>0.44646071865773745</v>
      </c>
      <c r="M21" s="521">
        <f t="shared" si="71"/>
        <v>1.5227367542761787</v>
      </c>
      <c r="N21" s="521">
        <f t="shared" si="71"/>
        <v>0.57640750670241292</v>
      </c>
      <c r="O21" s="521">
        <f t="shared" si="71"/>
        <v>0.99206349206349209</v>
      </c>
      <c r="P21" s="521">
        <f t="shared" si="71"/>
        <v>0.53851845761736417</v>
      </c>
      <c r="Q21" s="521">
        <f t="shared" si="71"/>
        <v>0.12444690265486726</v>
      </c>
      <c r="R21" s="521">
        <f t="shared" si="71"/>
        <v>0.13427561837455831</v>
      </c>
      <c r="S21" s="521">
        <f t="shared" si="71"/>
        <v>0.19082052827156776</v>
      </c>
      <c r="T21" s="521">
        <f t="shared" si="71"/>
        <v>1.620806633999246</v>
      </c>
      <c r="U21" s="559">
        <f t="shared" si="71"/>
        <v>1.7951807228915662</v>
      </c>
      <c r="V21" s="521">
        <f t="shared" si="71"/>
        <v>0.35662033650329189</v>
      </c>
      <c r="W21" s="521">
        <f t="shared" si="71"/>
        <v>0.68916349809885935</v>
      </c>
      <c r="X21" s="521">
        <f t="shared" si="71"/>
        <v>0.20041852102920804</v>
      </c>
      <c r="Y21" s="521">
        <f t="shared" si="71"/>
        <v>0.17768695999822312</v>
      </c>
      <c r="Z21" s="521">
        <f t="shared" si="71"/>
        <v>1.3977439921530161</v>
      </c>
      <c r="AA21" s="521">
        <f t="shared" si="71"/>
        <v>0.26107135950493132</v>
      </c>
      <c r="AB21" s="559">
        <f t="shared" si="71"/>
        <v>0.83273852010468707</v>
      </c>
      <c r="AC21" s="521">
        <f t="shared" si="71"/>
        <v>0.57241746538871141</v>
      </c>
      <c r="AD21" s="521">
        <f t="shared" si="71"/>
        <v>0.97352024922118385</v>
      </c>
      <c r="AE21" s="521">
        <f t="shared" si="71"/>
        <v>0.71923422708763018</v>
      </c>
      <c r="AF21" s="521">
        <f t="shared" si="71"/>
        <v>0.54629097182288666</v>
      </c>
      <c r="AG21" s="521">
        <f t="shared" si="71"/>
        <v>0.84375</v>
      </c>
      <c r="AH21" s="521">
        <f t="shared" si="71"/>
        <v>0.61057642554072233</v>
      </c>
      <c r="AI21" s="521">
        <f t="shared" si="71"/>
        <v>0.58523692656220505</v>
      </c>
      <c r="AJ21" s="521">
        <f t="shared" si="71"/>
        <v>0.42727738848060159</v>
      </c>
      <c r="AK21" s="559">
        <f t="shared" si="71"/>
        <v>0.94142259414225948</v>
      </c>
      <c r="AL21" s="521">
        <f t="shared" si="71"/>
        <v>0.63897763578274758</v>
      </c>
      <c r="AM21" s="521">
        <f t="shared" si="71"/>
        <v>1.2300123001230012</v>
      </c>
      <c r="AN21" s="521">
        <f t="shared" si="71"/>
        <v>1.2204914083828489</v>
      </c>
      <c r="AO21" s="521">
        <f t="shared" si="71"/>
        <v>0.43000477783086477</v>
      </c>
      <c r="AP21" s="521">
        <f t="shared" si="71"/>
        <v>0.44109277177006262</v>
      </c>
      <c r="AQ21" s="521">
        <f t="shared" si="71"/>
        <v>1.5524506542470613</v>
      </c>
      <c r="AR21" s="521">
        <f t="shared" si="71"/>
        <v>0.9187423438138016</v>
      </c>
      <c r="AS21" s="540">
        <f t="shared" si="71"/>
        <v>0.77384923282188123</v>
      </c>
      <c r="AT21" s="618">
        <f t="shared" si="71"/>
        <v>3.7356798937406607E-2</v>
      </c>
      <c r="AU21" s="618">
        <f t="shared" si="71"/>
        <v>0.12444690265486726</v>
      </c>
      <c r="AV21" s="618">
        <f t="shared" si="71"/>
        <v>0.19082052827156776</v>
      </c>
      <c r="AW21" s="618">
        <f t="shared" si="71"/>
        <v>0.57640750670241292</v>
      </c>
      <c r="AX21" s="618">
        <f t="shared" si="71"/>
        <v>0.34122130639014447</v>
      </c>
      <c r="AY21" s="618">
        <f t="shared" si="71"/>
        <v>0.44646071865773745</v>
      </c>
      <c r="AZ21" s="618">
        <f t="shared" si="71"/>
        <v>0.23426518819303452</v>
      </c>
      <c r="BA21" s="618">
        <f t="shared" si="71"/>
        <v>0.64721307816771745</v>
      </c>
      <c r="BB21" s="618">
        <f t="shared" si="71"/>
        <v>1.620806633999246</v>
      </c>
      <c r="BC21" s="618">
        <f t="shared" si="71"/>
        <v>1.7951807228915662</v>
      </c>
      <c r="BD21" s="618">
        <f t="shared" si="71"/>
        <v>1.5227367542761787</v>
      </c>
      <c r="BE21" s="618">
        <f t="shared" si="71"/>
        <v>0.99206349206349209</v>
      </c>
      <c r="BF21" s="626">
        <f t="shared" si="71"/>
        <v>0.79762277134813886</v>
      </c>
      <c r="BG21" s="618">
        <f t="shared" si="71"/>
        <v>0.29739776951672864</v>
      </c>
      <c r="BH21" s="618">
        <f t="shared" si="71"/>
        <v>5.7943531394858826E-2</v>
      </c>
      <c r="BI21" s="618">
        <f t="shared" si="71"/>
        <v>0.3813984610237538</v>
      </c>
      <c r="BJ21" s="618">
        <f t="shared" si="71"/>
        <v>0.37593984962406019</v>
      </c>
      <c r="BK21" s="618">
        <f t="shared" si="71"/>
        <v>9.6420392913101116E-2</v>
      </c>
      <c r="BL21" s="618">
        <f t="shared" si="71"/>
        <v>2.7371763288991078E-2</v>
      </c>
      <c r="BM21" s="618">
        <f t="shared" si="71"/>
        <v>1.3977439921530161</v>
      </c>
      <c r="BN21" s="618">
        <f t="shared" si="71"/>
        <v>0.36296657457067011</v>
      </c>
      <c r="BO21" s="618">
        <f t="shared" si="71"/>
        <v>0.10220768601798855</v>
      </c>
      <c r="BP21" s="618">
        <f t="shared" si="71"/>
        <v>0.83273852010468707</v>
      </c>
      <c r="BQ21" s="618">
        <f t="shared" si="71"/>
        <v>0.40366972477064222</v>
      </c>
      <c r="BR21" s="626">
        <f t="shared" si="71"/>
        <v>0.68916349809885935</v>
      </c>
      <c r="BS21" s="618">
        <f t="shared" si="71"/>
        <v>0.12917671374440234</v>
      </c>
      <c r="BT21" s="618">
        <f t="shared" si="71"/>
        <v>1.6582157050842812</v>
      </c>
      <c r="BU21" s="618">
        <f t="shared" si="71"/>
        <v>0.97352024922118385</v>
      </c>
      <c r="BV21" s="618">
        <f t="shared" si="71"/>
        <v>0.84375</v>
      </c>
      <c r="BW21" s="618">
        <f t="shared" ref="BW21:CL21" si="72">BW118/BW20%</f>
        <v>0.58523692656220505</v>
      </c>
      <c r="BX21" s="618">
        <f t="shared" si="72"/>
        <v>0.57241746538871141</v>
      </c>
      <c r="BY21" s="618">
        <f t="shared" si="72"/>
        <v>0.42727738848060159</v>
      </c>
      <c r="BZ21" s="618">
        <f t="shared" si="72"/>
        <v>0.61057642554072233</v>
      </c>
      <c r="CA21" s="618">
        <f t="shared" si="72"/>
        <v>0.54629097182288666</v>
      </c>
      <c r="CB21" s="626">
        <f t="shared" si="72"/>
        <v>0.94142259414225948</v>
      </c>
      <c r="CC21" s="618">
        <f t="shared" si="72"/>
        <v>0.43000477783086477</v>
      </c>
      <c r="CD21" s="618">
        <f t="shared" si="72"/>
        <v>0.44109277177006262</v>
      </c>
      <c r="CE21" s="618">
        <f t="shared" si="72"/>
        <v>0.63897763578274758</v>
      </c>
      <c r="CF21" s="618">
        <f t="shared" si="72"/>
        <v>0.14293567894447498</v>
      </c>
      <c r="CG21" s="618">
        <f t="shared" si="72"/>
        <v>1.7472434266327395</v>
      </c>
      <c r="CH21" s="618">
        <f t="shared" si="72"/>
        <v>1.2300123001230012</v>
      </c>
      <c r="CI21" s="618">
        <f t="shared" si="72"/>
        <v>0.9187423438138016</v>
      </c>
      <c r="CJ21" s="618">
        <f t="shared" si="72"/>
        <v>1.2204914083828489</v>
      </c>
      <c r="CK21" s="618">
        <f t="shared" si="72"/>
        <v>1.5524506542470613</v>
      </c>
      <c r="CL21" s="627">
        <f t="shared" si="72"/>
        <v>0.52182461063439589</v>
      </c>
    </row>
    <row r="22" spans="1:94">
      <c r="A22" s="80">
        <f>ROWS($A$3:A20)</f>
        <v>18</v>
      </c>
      <c r="B22" s="59" t="s">
        <v>66</v>
      </c>
      <c r="C22" s="387">
        <v>2020</v>
      </c>
      <c r="D22" s="259"/>
      <c r="E22" s="451"/>
      <c r="F22" s="154"/>
      <c r="G22" s="155"/>
      <c r="H22" s="155"/>
      <c r="I22" s="156"/>
      <c r="J22" s="281"/>
      <c r="K22" s="154"/>
      <c r="L22" s="155"/>
      <c r="M22" s="155"/>
      <c r="N22" s="155"/>
      <c r="O22" s="155"/>
      <c r="P22" s="155"/>
      <c r="Q22" s="155">
        <f>'2022'!AU22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c r="A23" s="80">
        <f>ROWS($A$3:A21)</f>
        <v>19</v>
      </c>
      <c r="B23" s="52" t="s">
        <v>253</v>
      </c>
      <c r="C23" s="205">
        <v>2020</v>
      </c>
      <c r="D23" s="259" t="s">
        <v>13</v>
      </c>
      <c r="E23" s="483">
        <v>44428</v>
      </c>
      <c r="F23" s="154">
        <v>12429</v>
      </c>
      <c r="G23" s="155">
        <v>4406</v>
      </c>
      <c r="H23" s="155">
        <v>11988</v>
      </c>
      <c r="I23" s="156">
        <v>10262</v>
      </c>
      <c r="J23" s="281"/>
      <c r="K23" s="154">
        <f t="shared" ref="K23:K33" si="73">BF23</f>
        <v>1628</v>
      </c>
      <c r="L23" s="155">
        <f t="shared" ref="L23:L33" si="74">AY23</f>
        <v>1058</v>
      </c>
      <c r="M23" s="155">
        <f t="shared" ref="M23:M33" si="75">BD23</f>
        <v>1268</v>
      </c>
      <c r="N23" s="155">
        <f t="shared" ref="N23:N33" si="76">AW23</f>
        <v>706</v>
      </c>
      <c r="O23" s="155">
        <f t="shared" ref="O23:O33" si="77">BE23</f>
        <v>515</v>
      </c>
      <c r="P23" s="155">
        <f>AZ23+BA23</f>
        <v>1922</v>
      </c>
      <c r="Q23" s="155">
        <f>AU23</f>
        <v>555</v>
      </c>
      <c r="R23" s="155">
        <f t="shared" ref="R23:R29" si="78">AT23+AX23</f>
        <v>1303</v>
      </c>
      <c r="S23" s="155">
        <f t="shared" ref="S23:S33" si="79">AV23</f>
        <v>629</v>
      </c>
      <c r="T23" s="155">
        <f t="shared" ref="T23:U33" si="80">BB23</f>
        <v>1042</v>
      </c>
      <c r="U23" s="552">
        <f t="shared" si="80"/>
        <v>1803</v>
      </c>
      <c r="V23" s="155">
        <f t="shared" ref="V23:V29" si="81">BG23+BJ23</f>
        <v>539</v>
      </c>
      <c r="W23" s="155">
        <f t="shared" ref="W23:W33" si="82">BR23</f>
        <v>470</v>
      </c>
      <c r="X23" s="155">
        <f t="shared" ref="X23:X29" si="83">BH23+BI23</f>
        <v>768</v>
      </c>
      <c r="Y23" s="155">
        <f t="shared" ref="Y23:Y29" si="84">BK23+BL23+BN23</f>
        <v>963</v>
      </c>
      <c r="Z23" s="155">
        <f t="shared" ref="Z23:Z33" si="85">BM23</f>
        <v>802</v>
      </c>
      <c r="AA23" s="155">
        <f t="shared" ref="AA23:AA29" si="86">BO23+BQ23</f>
        <v>433</v>
      </c>
      <c r="AB23" s="552">
        <f t="shared" ref="AB23:AB33" si="87">BP23</f>
        <v>431</v>
      </c>
      <c r="AC23" s="155">
        <f t="shared" ref="AC23:AC33" si="88">BX23</f>
        <v>954</v>
      </c>
      <c r="AD23" s="155">
        <f t="shared" ref="AD23:AD33" si="89">BU23</f>
        <v>1186</v>
      </c>
      <c r="AE23" s="155">
        <f t="shared" ref="AE23:AE29" si="90">BS23+BT23</f>
        <v>2706</v>
      </c>
      <c r="AF23" s="155">
        <f t="shared" ref="AF23:AF33" si="91">CA23</f>
        <v>946</v>
      </c>
      <c r="AG23" s="155">
        <f t="shared" ref="AG23:AG33" si="92">BV23</f>
        <v>3161</v>
      </c>
      <c r="AH23" s="155">
        <f t="shared" ref="AH23:AH33" si="93">BZ23</f>
        <v>791</v>
      </c>
      <c r="AI23" s="155">
        <f t="shared" ref="AI23:AI33" si="94">BW23</f>
        <v>734</v>
      </c>
      <c r="AJ23" s="155">
        <f t="shared" ref="AJ23:AJ33" si="95">BY23</f>
        <v>416</v>
      </c>
      <c r="AK23" s="552">
        <f t="shared" ref="AK23:AK33" si="96">CB23</f>
        <v>1094</v>
      </c>
      <c r="AL23" s="155">
        <f t="shared" ref="AL23:AL33" si="97">CE23</f>
        <v>700</v>
      </c>
      <c r="AM23" s="155">
        <f t="shared" ref="AM23:AM33" si="98">CH23</f>
        <v>1633</v>
      </c>
      <c r="AN23" s="155">
        <f t="shared" ref="AN23:AN33" si="99">CJ23</f>
        <v>2250</v>
      </c>
      <c r="AO23" s="155">
        <f t="shared" ref="AO23:AP33" si="100">CC23</f>
        <v>997</v>
      </c>
      <c r="AP23" s="155">
        <f t="shared" si="100"/>
        <v>377</v>
      </c>
      <c r="AQ23" s="155">
        <f t="shared" ref="AQ23:AQ33" si="101">CK23</f>
        <v>1135</v>
      </c>
      <c r="AR23" s="155">
        <f t="shared" ref="AR23:AR33" si="102">CI23</f>
        <v>1412</v>
      </c>
      <c r="AS23" s="156">
        <f t="shared" ref="AS23:AS29" si="103">CF23+CG23</f>
        <v>1758</v>
      </c>
      <c r="AT23" s="155">
        <v>182</v>
      </c>
      <c r="AU23" s="155">
        <v>555</v>
      </c>
      <c r="AV23" s="155">
        <v>629</v>
      </c>
      <c r="AW23" s="155">
        <v>706</v>
      </c>
      <c r="AX23" s="155">
        <v>1121</v>
      </c>
      <c r="AY23" s="155">
        <v>1058</v>
      </c>
      <c r="AZ23" s="155">
        <v>158</v>
      </c>
      <c r="BA23" s="155">
        <v>1764</v>
      </c>
      <c r="BB23" s="155">
        <v>1042</v>
      </c>
      <c r="BC23" s="155">
        <v>1803</v>
      </c>
      <c r="BD23" s="155">
        <v>1268</v>
      </c>
      <c r="BE23" s="155">
        <v>515</v>
      </c>
      <c r="BF23" s="552">
        <v>1628</v>
      </c>
      <c r="BG23" s="155">
        <v>84</v>
      </c>
      <c r="BH23" s="155">
        <v>66</v>
      </c>
      <c r="BI23" s="155">
        <v>702</v>
      </c>
      <c r="BJ23" s="155">
        <v>455</v>
      </c>
      <c r="BK23" s="155">
        <v>66</v>
      </c>
      <c r="BL23" s="155">
        <v>55</v>
      </c>
      <c r="BM23" s="155">
        <v>802</v>
      </c>
      <c r="BN23" s="155">
        <v>842</v>
      </c>
      <c r="BO23" s="155">
        <v>23</v>
      </c>
      <c r="BP23" s="155">
        <v>431</v>
      </c>
      <c r="BQ23" s="155">
        <v>410</v>
      </c>
      <c r="BR23" s="552">
        <v>470</v>
      </c>
      <c r="BS23" s="155">
        <v>178</v>
      </c>
      <c r="BT23" s="155">
        <v>2528</v>
      </c>
      <c r="BU23" s="155">
        <v>1186</v>
      </c>
      <c r="BV23" s="155">
        <v>3161</v>
      </c>
      <c r="BW23" s="155">
        <v>734</v>
      </c>
      <c r="BX23" s="155">
        <v>954</v>
      </c>
      <c r="BY23" s="155">
        <v>416</v>
      </c>
      <c r="BZ23" s="155">
        <v>791</v>
      </c>
      <c r="CA23" s="155">
        <v>946</v>
      </c>
      <c r="CB23" s="552">
        <v>1094</v>
      </c>
      <c r="CC23" s="155">
        <v>997</v>
      </c>
      <c r="CD23" s="155">
        <v>377</v>
      </c>
      <c r="CE23" s="155">
        <v>700</v>
      </c>
      <c r="CF23" s="155">
        <v>107</v>
      </c>
      <c r="CG23" s="155">
        <v>1651</v>
      </c>
      <c r="CH23" s="155">
        <v>1633</v>
      </c>
      <c r="CI23" s="155">
        <v>1412</v>
      </c>
      <c r="CJ23" s="155">
        <v>2250</v>
      </c>
      <c r="CK23" s="156">
        <v>1135</v>
      </c>
      <c r="CL23" s="320">
        <v>39085</v>
      </c>
      <c r="CM23" s="628"/>
    </row>
    <row r="24" spans="1:94">
      <c r="A24" s="80">
        <f>ROWS($A$3:A22)</f>
        <v>20</v>
      </c>
      <c r="B24" s="52" t="s">
        <v>249</v>
      </c>
      <c r="C24" s="203">
        <v>2020</v>
      </c>
      <c r="D24" s="259" t="s">
        <v>13</v>
      </c>
      <c r="E24" s="483">
        <v>44428</v>
      </c>
      <c r="F24" s="154">
        <v>2089</v>
      </c>
      <c r="G24" s="155">
        <v>599</v>
      </c>
      <c r="H24" s="155">
        <v>2723</v>
      </c>
      <c r="I24" s="156">
        <v>728</v>
      </c>
      <c r="J24" s="281"/>
      <c r="K24" s="154">
        <f>L24+M24</f>
        <v>436</v>
      </c>
      <c r="L24" s="155">
        <f t="shared" si="74"/>
        <v>294</v>
      </c>
      <c r="M24" s="155">
        <f t="shared" si="75"/>
        <v>142</v>
      </c>
      <c r="N24" s="155">
        <f t="shared" si="76"/>
        <v>51</v>
      </c>
      <c r="O24" s="155">
        <f t="shared" si="77"/>
        <v>18</v>
      </c>
      <c r="P24" s="155">
        <f t="shared" ref="P24:P29" si="104">AZ24+BA24</f>
        <v>647</v>
      </c>
      <c r="Q24" s="155">
        <f t="shared" ref="Q24:Q33" si="105">AU24</f>
        <v>43</v>
      </c>
      <c r="R24" s="155">
        <f t="shared" si="78"/>
        <v>459</v>
      </c>
      <c r="S24" s="155">
        <f t="shared" si="79"/>
        <v>98</v>
      </c>
      <c r="T24" s="155">
        <f t="shared" si="80"/>
        <v>194</v>
      </c>
      <c r="U24" s="552">
        <f t="shared" si="80"/>
        <v>90</v>
      </c>
      <c r="V24" s="155">
        <f t="shared" si="81"/>
        <v>185</v>
      </c>
      <c r="W24" s="155">
        <f t="shared" si="82"/>
        <v>16</v>
      </c>
      <c r="X24" s="155">
        <f t="shared" si="83"/>
        <v>123</v>
      </c>
      <c r="Y24" s="155">
        <f t="shared" si="84"/>
        <v>154</v>
      </c>
      <c r="Z24" s="155">
        <f t="shared" si="85"/>
        <v>41</v>
      </c>
      <c r="AA24" s="155">
        <f t="shared" si="86"/>
        <v>59</v>
      </c>
      <c r="AB24" s="552">
        <f t="shared" si="87"/>
        <v>21</v>
      </c>
      <c r="AC24" s="155">
        <f t="shared" si="88"/>
        <v>14</v>
      </c>
      <c r="AD24" s="155">
        <f t="shared" si="89"/>
        <v>368</v>
      </c>
      <c r="AE24" s="155">
        <f t="shared" si="90"/>
        <v>945</v>
      </c>
      <c r="AF24" s="155">
        <f t="shared" si="91"/>
        <v>139</v>
      </c>
      <c r="AG24" s="155">
        <f t="shared" si="92"/>
        <v>1079</v>
      </c>
      <c r="AH24" s="155">
        <f t="shared" si="93"/>
        <v>123</v>
      </c>
      <c r="AI24" s="155">
        <f t="shared" si="94"/>
        <v>15</v>
      </c>
      <c r="AJ24" s="155">
        <f t="shared" si="95"/>
        <v>10</v>
      </c>
      <c r="AK24" s="552">
        <f t="shared" si="96"/>
        <v>30</v>
      </c>
      <c r="AL24" s="155">
        <f t="shared" si="97"/>
        <v>21</v>
      </c>
      <c r="AM24" s="155">
        <f t="shared" si="98"/>
        <v>62</v>
      </c>
      <c r="AN24" s="155">
        <f t="shared" si="99"/>
        <v>112</v>
      </c>
      <c r="AO24" s="155">
        <f t="shared" si="100"/>
        <v>48</v>
      </c>
      <c r="AP24" s="155">
        <f t="shared" si="100"/>
        <v>32</v>
      </c>
      <c r="AQ24" s="155">
        <f t="shared" si="101"/>
        <v>33</v>
      </c>
      <c r="AR24" s="155">
        <f t="shared" si="102"/>
        <v>351</v>
      </c>
      <c r="AS24" s="156">
        <f t="shared" si="103"/>
        <v>69</v>
      </c>
      <c r="AT24" s="155">
        <v>95</v>
      </c>
      <c r="AU24" s="155">
        <v>43</v>
      </c>
      <c r="AV24" s="155">
        <v>98</v>
      </c>
      <c r="AW24" s="155">
        <v>51</v>
      </c>
      <c r="AX24" s="155">
        <v>364</v>
      </c>
      <c r="AY24" s="155">
        <v>294</v>
      </c>
      <c r="AZ24" s="155">
        <v>44</v>
      </c>
      <c r="BA24" s="155">
        <v>603</v>
      </c>
      <c r="BB24" s="155">
        <v>194</v>
      </c>
      <c r="BC24" s="155">
        <v>90</v>
      </c>
      <c r="BD24" s="155">
        <v>142</v>
      </c>
      <c r="BE24" s="155">
        <v>18</v>
      </c>
      <c r="BF24" s="552">
        <v>53</v>
      </c>
      <c r="BG24" s="155">
        <v>48</v>
      </c>
      <c r="BH24" s="155">
        <v>11</v>
      </c>
      <c r="BI24" s="155">
        <v>112</v>
      </c>
      <c r="BJ24" s="155">
        <v>137</v>
      </c>
      <c r="BK24" s="155">
        <v>13</v>
      </c>
      <c r="BL24" s="155">
        <v>9</v>
      </c>
      <c r="BM24" s="155">
        <v>41</v>
      </c>
      <c r="BN24" s="155">
        <v>132</v>
      </c>
      <c r="BO24" s="155">
        <v>8</v>
      </c>
      <c r="BP24" s="155">
        <v>21</v>
      </c>
      <c r="BQ24" s="155">
        <v>51</v>
      </c>
      <c r="BR24" s="552">
        <v>16</v>
      </c>
      <c r="BS24" s="155">
        <v>82</v>
      </c>
      <c r="BT24" s="155">
        <v>863</v>
      </c>
      <c r="BU24" s="155">
        <v>368</v>
      </c>
      <c r="BV24" s="155">
        <v>1079</v>
      </c>
      <c r="BW24" s="155">
        <v>15</v>
      </c>
      <c r="BX24" s="155">
        <v>14</v>
      </c>
      <c r="BY24" s="155">
        <v>10</v>
      </c>
      <c r="BZ24" s="155">
        <v>123</v>
      </c>
      <c r="CA24" s="155">
        <v>139</v>
      </c>
      <c r="CB24" s="552">
        <v>30</v>
      </c>
      <c r="CC24" s="155">
        <v>48</v>
      </c>
      <c r="CD24" s="155">
        <v>32</v>
      </c>
      <c r="CE24" s="155">
        <v>21</v>
      </c>
      <c r="CF24" s="155">
        <v>12</v>
      </c>
      <c r="CG24" s="155">
        <v>57</v>
      </c>
      <c r="CH24" s="155">
        <v>62</v>
      </c>
      <c r="CI24" s="155">
        <v>351</v>
      </c>
      <c r="CJ24" s="155">
        <v>112</v>
      </c>
      <c r="CK24" s="156">
        <v>33</v>
      </c>
      <c r="CL24" s="320">
        <v>6139</v>
      </c>
      <c r="CN24" s="628"/>
      <c r="CO24" s="628"/>
      <c r="CP24" s="628"/>
    </row>
    <row r="25" spans="1:94">
      <c r="A25" s="80">
        <f>ROWS($A$3:A23)</f>
        <v>21</v>
      </c>
      <c r="B25" s="52" t="s">
        <v>250</v>
      </c>
      <c r="C25" s="203">
        <v>2020</v>
      </c>
      <c r="D25" s="259" t="s">
        <v>13</v>
      </c>
      <c r="E25" s="483">
        <v>44428</v>
      </c>
      <c r="F25" s="154">
        <v>2002</v>
      </c>
      <c r="G25" s="155">
        <v>777</v>
      </c>
      <c r="H25" s="155">
        <v>2560</v>
      </c>
      <c r="I25" s="156">
        <v>1663</v>
      </c>
      <c r="J25" s="281"/>
      <c r="K25" s="154">
        <f>L25+M25</f>
        <v>348</v>
      </c>
      <c r="L25" s="155">
        <f t="shared" si="74"/>
        <v>200</v>
      </c>
      <c r="M25" s="155">
        <f t="shared" si="75"/>
        <v>148</v>
      </c>
      <c r="N25" s="155">
        <f t="shared" si="76"/>
        <v>119</v>
      </c>
      <c r="O25" s="155">
        <f t="shared" si="77"/>
        <v>63</v>
      </c>
      <c r="P25" s="155">
        <f t="shared" si="104"/>
        <v>282</v>
      </c>
      <c r="Q25" s="155">
        <f t="shared" si="105"/>
        <v>99</v>
      </c>
      <c r="R25" s="155">
        <f t="shared" si="78"/>
        <v>149</v>
      </c>
      <c r="S25" s="155">
        <f t="shared" si="79"/>
        <v>120</v>
      </c>
      <c r="T25" s="155">
        <f t="shared" si="80"/>
        <v>165</v>
      </c>
      <c r="U25" s="552">
        <f t="shared" si="80"/>
        <v>316</v>
      </c>
      <c r="V25" s="155">
        <f t="shared" si="81"/>
        <v>100</v>
      </c>
      <c r="W25" s="155">
        <f t="shared" si="82"/>
        <v>116</v>
      </c>
      <c r="X25" s="155">
        <f t="shared" si="83"/>
        <v>106</v>
      </c>
      <c r="Y25" s="155">
        <f t="shared" si="84"/>
        <v>132</v>
      </c>
      <c r="Z25" s="155">
        <f t="shared" si="85"/>
        <v>139</v>
      </c>
      <c r="AA25" s="155">
        <f t="shared" si="86"/>
        <v>71</v>
      </c>
      <c r="AB25" s="552">
        <f t="shared" si="87"/>
        <v>113</v>
      </c>
      <c r="AC25" s="155">
        <f t="shared" si="88"/>
        <v>181</v>
      </c>
      <c r="AD25" s="155">
        <f t="shared" si="89"/>
        <v>242</v>
      </c>
      <c r="AE25" s="155">
        <f t="shared" si="90"/>
        <v>473</v>
      </c>
      <c r="AF25" s="155">
        <f t="shared" si="91"/>
        <v>222</v>
      </c>
      <c r="AG25" s="155">
        <f t="shared" si="92"/>
        <v>784</v>
      </c>
      <c r="AH25" s="155">
        <f t="shared" si="93"/>
        <v>112</v>
      </c>
      <c r="AI25" s="155">
        <f t="shared" si="94"/>
        <v>175</v>
      </c>
      <c r="AJ25" s="155">
        <f t="shared" si="95"/>
        <v>70</v>
      </c>
      <c r="AK25" s="552">
        <f t="shared" si="96"/>
        <v>301</v>
      </c>
      <c r="AL25" s="155">
        <f t="shared" si="97"/>
        <v>150</v>
      </c>
      <c r="AM25" s="155">
        <f t="shared" si="98"/>
        <v>210</v>
      </c>
      <c r="AN25" s="155">
        <f t="shared" si="99"/>
        <v>362</v>
      </c>
      <c r="AO25" s="155">
        <f t="shared" si="100"/>
        <v>178</v>
      </c>
      <c r="AP25" s="155">
        <f t="shared" si="100"/>
        <v>65</v>
      </c>
      <c r="AQ25" s="155">
        <f t="shared" si="101"/>
        <v>206</v>
      </c>
      <c r="AR25" s="155">
        <f t="shared" si="102"/>
        <v>257</v>
      </c>
      <c r="AS25" s="156">
        <f t="shared" si="103"/>
        <v>235</v>
      </c>
      <c r="AT25" s="155">
        <v>27</v>
      </c>
      <c r="AU25" s="155">
        <v>99</v>
      </c>
      <c r="AV25" s="155">
        <v>120</v>
      </c>
      <c r="AW25" s="155">
        <v>119</v>
      </c>
      <c r="AX25" s="155">
        <v>122</v>
      </c>
      <c r="AY25" s="155">
        <v>200</v>
      </c>
      <c r="AZ25" s="155">
        <v>29</v>
      </c>
      <c r="BA25" s="155">
        <v>253</v>
      </c>
      <c r="BB25" s="155">
        <v>165</v>
      </c>
      <c r="BC25" s="155">
        <v>316</v>
      </c>
      <c r="BD25" s="155">
        <v>148</v>
      </c>
      <c r="BE25" s="155">
        <v>63</v>
      </c>
      <c r="BF25" s="552">
        <v>341</v>
      </c>
      <c r="BG25" s="155">
        <v>13</v>
      </c>
      <c r="BH25" s="155">
        <v>9</v>
      </c>
      <c r="BI25" s="155">
        <v>97</v>
      </c>
      <c r="BJ25" s="155">
        <v>87</v>
      </c>
      <c r="BK25" s="155">
        <v>10</v>
      </c>
      <c r="BL25" s="155">
        <v>6</v>
      </c>
      <c r="BM25" s="155">
        <v>139</v>
      </c>
      <c r="BN25" s="155">
        <v>116</v>
      </c>
      <c r="BO25" s="155">
        <v>3</v>
      </c>
      <c r="BP25" s="155">
        <v>113</v>
      </c>
      <c r="BQ25" s="155">
        <v>68</v>
      </c>
      <c r="BR25" s="552">
        <v>116</v>
      </c>
      <c r="BS25" s="155">
        <v>25</v>
      </c>
      <c r="BT25" s="155">
        <v>448</v>
      </c>
      <c r="BU25" s="155">
        <v>242</v>
      </c>
      <c r="BV25" s="155">
        <v>784</v>
      </c>
      <c r="BW25" s="155">
        <v>175</v>
      </c>
      <c r="BX25" s="155">
        <v>181</v>
      </c>
      <c r="BY25" s="155">
        <v>70</v>
      </c>
      <c r="BZ25" s="155">
        <v>112</v>
      </c>
      <c r="CA25" s="155">
        <v>222</v>
      </c>
      <c r="CB25" s="552">
        <v>301</v>
      </c>
      <c r="CC25" s="155">
        <v>178</v>
      </c>
      <c r="CD25" s="155">
        <v>65</v>
      </c>
      <c r="CE25" s="155">
        <v>150</v>
      </c>
      <c r="CF25" s="155">
        <v>13</v>
      </c>
      <c r="CG25" s="155">
        <v>222</v>
      </c>
      <c r="CH25" s="155">
        <v>210</v>
      </c>
      <c r="CI25" s="155">
        <v>257</v>
      </c>
      <c r="CJ25" s="155">
        <v>362</v>
      </c>
      <c r="CK25" s="156">
        <v>206</v>
      </c>
      <c r="CL25" s="320">
        <v>7002</v>
      </c>
    </row>
    <row r="26" spans="1:94">
      <c r="A26" s="80">
        <f>ROWS($A$3:A24)</f>
        <v>22</v>
      </c>
      <c r="B26" s="52" t="s">
        <v>251</v>
      </c>
      <c r="C26" s="203">
        <v>2020</v>
      </c>
      <c r="D26" s="259" t="s">
        <v>13</v>
      </c>
      <c r="E26" s="483">
        <v>44428</v>
      </c>
      <c r="F26" s="154">
        <v>2328</v>
      </c>
      <c r="G26" s="155">
        <v>810</v>
      </c>
      <c r="H26" s="155">
        <v>2612</v>
      </c>
      <c r="I26" s="156">
        <v>2293</v>
      </c>
      <c r="J26" s="281"/>
      <c r="K26" s="154">
        <f>L26+M26</f>
        <v>439</v>
      </c>
      <c r="L26" s="155">
        <f t="shared" si="74"/>
        <v>204</v>
      </c>
      <c r="M26" s="155">
        <f t="shared" si="75"/>
        <v>235</v>
      </c>
      <c r="N26" s="155">
        <f t="shared" si="76"/>
        <v>151</v>
      </c>
      <c r="O26" s="155">
        <f t="shared" si="77"/>
        <v>98</v>
      </c>
      <c r="P26" s="155">
        <f t="shared" si="104"/>
        <v>280</v>
      </c>
      <c r="Q26" s="155">
        <f t="shared" si="105"/>
        <v>107</v>
      </c>
      <c r="R26" s="155">
        <f t="shared" si="78"/>
        <v>163</v>
      </c>
      <c r="S26" s="155">
        <f t="shared" si="79"/>
        <v>128</v>
      </c>
      <c r="T26" s="155">
        <f t="shared" si="80"/>
        <v>176</v>
      </c>
      <c r="U26" s="552">
        <f t="shared" si="80"/>
        <v>362</v>
      </c>
      <c r="V26" s="155">
        <f t="shared" si="81"/>
        <v>94</v>
      </c>
      <c r="W26" s="155">
        <f t="shared" si="82"/>
        <v>113</v>
      </c>
      <c r="X26" s="155">
        <f t="shared" si="83"/>
        <v>131</v>
      </c>
      <c r="Y26" s="155">
        <f t="shared" si="84"/>
        <v>136</v>
      </c>
      <c r="Z26" s="155">
        <f t="shared" si="85"/>
        <v>154</v>
      </c>
      <c r="AA26" s="155">
        <f t="shared" si="86"/>
        <v>80</v>
      </c>
      <c r="AB26" s="552">
        <f t="shared" si="87"/>
        <v>102</v>
      </c>
      <c r="AC26" s="155">
        <f t="shared" si="88"/>
        <v>224</v>
      </c>
      <c r="AD26" s="155">
        <f t="shared" si="89"/>
        <v>296</v>
      </c>
      <c r="AE26" s="155">
        <f t="shared" si="90"/>
        <v>492</v>
      </c>
      <c r="AF26" s="155">
        <f t="shared" si="91"/>
        <v>232</v>
      </c>
      <c r="AG26" s="155">
        <f t="shared" si="92"/>
        <v>667</v>
      </c>
      <c r="AH26" s="155">
        <f t="shared" si="93"/>
        <v>153</v>
      </c>
      <c r="AI26" s="155">
        <f t="shared" si="94"/>
        <v>182</v>
      </c>
      <c r="AJ26" s="155">
        <f t="shared" si="95"/>
        <v>90</v>
      </c>
      <c r="AK26" s="552">
        <f t="shared" si="96"/>
        <v>276</v>
      </c>
      <c r="AL26" s="155">
        <f t="shared" si="97"/>
        <v>152</v>
      </c>
      <c r="AM26" s="155">
        <f t="shared" si="98"/>
        <v>357</v>
      </c>
      <c r="AN26" s="155">
        <f t="shared" si="99"/>
        <v>502</v>
      </c>
      <c r="AO26" s="155">
        <f t="shared" si="100"/>
        <v>253</v>
      </c>
      <c r="AP26" s="155">
        <f t="shared" si="100"/>
        <v>67</v>
      </c>
      <c r="AQ26" s="155">
        <f t="shared" si="101"/>
        <v>259</v>
      </c>
      <c r="AR26" s="155">
        <f t="shared" si="102"/>
        <v>330</v>
      </c>
      <c r="AS26" s="156">
        <f t="shared" si="103"/>
        <v>373</v>
      </c>
      <c r="AT26" s="155">
        <v>27</v>
      </c>
      <c r="AU26" s="155">
        <v>107</v>
      </c>
      <c r="AV26" s="155">
        <v>128</v>
      </c>
      <c r="AW26" s="155">
        <v>151</v>
      </c>
      <c r="AX26" s="155">
        <v>136</v>
      </c>
      <c r="AY26" s="155">
        <v>204</v>
      </c>
      <c r="AZ26" s="155">
        <v>26</v>
      </c>
      <c r="BA26" s="155">
        <v>254</v>
      </c>
      <c r="BB26" s="155">
        <v>176</v>
      </c>
      <c r="BC26" s="155">
        <v>362</v>
      </c>
      <c r="BD26" s="155">
        <v>235</v>
      </c>
      <c r="BE26" s="155">
        <v>98</v>
      </c>
      <c r="BF26" s="552">
        <v>424</v>
      </c>
      <c r="BG26" s="155">
        <v>10</v>
      </c>
      <c r="BH26" s="155">
        <v>18</v>
      </c>
      <c r="BI26" s="155">
        <v>113</v>
      </c>
      <c r="BJ26" s="155">
        <v>84</v>
      </c>
      <c r="BK26" s="155">
        <v>10</v>
      </c>
      <c r="BL26" s="155">
        <v>5</v>
      </c>
      <c r="BM26" s="155">
        <v>154</v>
      </c>
      <c r="BN26" s="155">
        <v>121</v>
      </c>
      <c r="BO26" s="155">
        <v>2</v>
      </c>
      <c r="BP26" s="155">
        <v>102</v>
      </c>
      <c r="BQ26" s="155">
        <v>78</v>
      </c>
      <c r="BR26" s="552">
        <v>113</v>
      </c>
      <c r="BS26" s="155">
        <v>22</v>
      </c>
      <c r="BT26" s="155">
        <v>470</v>
      </c>
      <c r="BU26" s="155">
        <v>296</v>
      </c>
      <c r="BV26" s="155">
        <v>667</v>
      </c>
      <c r="BW26" s="155">
        <v>182</v>
      </c>
      <c r="BX26" s="155">
        <v>224</v>
      </c>
      <c r="BY26" s="155">
        <v>90</v>
      </c>
      <c r="BZ26" s="155">
        <v>153</v>
      </c>
      <c r="CA26" s="155">
        <v>232</v>
      </c>
      <c r="CB26" s="552">
        <v>276</v>
      </c>
      <c r="CC26" s="155">
        <v>253</v>
      </c>
      <c r="CD26" s="155">
        <v>67</v>
      </c>
      <c r="CE26" s="155">
        <v>152</v>
      </c>
      <c r="CF26" s="155">
        <v>17</v>
      </c>
      <c r="CG26" s="155">
        <v>356</v>
      </c>
      <c r="CH26" s="155">
        <v>357</v>
      </c>
      <c r="CI26" s="155">
        <v>330</v>
      </c>
      <c r="CJ26" s="155">
        <v>502</v>
      </c>
      <c r="CK26" s="156">
        <v>259</v>
      </c>
      <c r="CL26" s="320">
        <v>8043</v>
      </c>
    </row>
    <row r="27" spans="1:94">
      <c r="A27" s="80">
        <f>ROWS($A$3:A25)</f>
        <v>23</v>
      </c>
      <c r="B27" s="52" t="s">
        <v>252</v>
      </c>
      <c r="C27" s="203">
        <v>2020</v>
      </c>
      <c r="D27" s="259" t="s">
        <v>13</v>
      </c>
      <c r="E27" s="483">
        <v>44428</v>
      </c>
      <c r="F27" s="154">
        <v>2870</v>
      </c>
      <c r="G27" s="155">
        <v>887</v>
      </c>
      <c r="H27" s="155">
        <v>2237</v>
      </c>
      <c r="I27" s="156">
        <v>2692</v>
      </c>
      <c r="J27" s="281"/>
      <c r="K27" s="154">
        <f>L27+M27</f>
        <v>542</v>
      </c>
      <c r="L27" s="155">
        <f t="shared" si="74"/>
        <v>210</v>
      </c>
      <c r="M27" s="155">
        <f t="shared" si="75"/>
        <v>332</v>
      </c>
      <c r="N27" s="155">
        <f t="shared" si="76"/>
        <v>190</v>
      </c>
      <c r="O27" s="155">
        <f t="shared" si="77"/>
        <v>140</v>
      </c>
      <c r="P27" s="155">
        <f t="shared" si="104"/>
        <v>325</v>
      </c>
      <c r="Q27" s="155">
        <f t="shared" si="105"/>
        <v>138</v>
      </c>
      <c r="R27" s="155">
        <f t="shared" si="78"/>
        <v>298</v>
      </c>
      <c r="S27" s="155">
        <f t="shared" si="79"/>
        <v>140</v>
      </c>
      <c r="T27" s="155">
        <f t="shared" si="80"/>
        <v>239</v>
      </c>
      <c r="U27" s="552">
        <f t="shared" si="80"/>
        <v>475</v>
      </c>
      <c r="V27" s="155">
        <f t="shared" si="81"/>
        <v>72</v>
      </c>
      <c r="W27" s="155">
        <f t="shared" si="82"/>
        <v>115</v>
      </c>
      <c r="X27" s="155">
        <f t="shared" si="83"/>
        <v>145</v>
      </c>
      <c r="Y27" s="155">
        <f t="shared" si="84"/>
        <v>229</v>
      </c>
      <c r="Z27" s="155">
        <f t="shared" si="85"/>
        <v>169</v>
      </c>
      <c r="AA27" s="155">
        <f t="shared" si="86"/>
        <v>76</v>
      </c>
      <c r="AB27" s="552">
        <f t="shared" si="87"/>
        <v>81</v>
      </c>
      <c r="AC27" s="155">
        <f t="shared" si="88"/>
        <v>292</v>
      </c>
      <c r="AD27" s="155">
        <f t="shared" si="89"/>
        <v>177</v>
      </c>
      <c r="AE27" s="155">
        <f t="shared" si="90"/>
        <v>542</v>
      </c>
      <c r="AF27" s="155">
        <f t="shared" si="91"/>
        <v>231</v>
      </c>
      <c r="AG27" s="155">
        <f t="shared" si="92"/>
        <v>342</v>
      </c>
      <c r="AH27" s="155">
        <f t="shared" si="93"/>
        <v>167</v>
      </c>
      <c r="AI27" s="155">
        <f t="shared" si="94"/>
        <v>150</v>
      </c>
      <c r="AJ27" s="155">
        <f t="shared" si="95"/>
        <v>87</v>
      </c>
      <c r="AK27" s="552">
        <f t="shared" si="96"/>
        <v>249</v>
      </c>
      <c r="AL27" s="155">
        <f t="shared" si="97"/>
        <v>172</v>
      </c>
      <c r="AM27" s="155">
        <f t="shared" si="98"/>
        <v>471</v>
      </c>
      <c r="AN27" s="155">
        <f t="shared" si="99"/>
        <v>643</v>
      </c>
      <c r="AO27" s="155">
        <f t="shared" si="100"/>
        <v>234</v>
      </c>
      <c r="AP27" s="155">
        <f t="shared" si="100"/>
        <v>90</v>
      </c>
      <c r="AQ27" s="155">
        <f t="shared" si="101"/>
        <v>271</v>
      </c>
      <c r="AR27" s="155">
        <f t="shared" si="102"/>
        <v>303</v>
      </c>
      <c r="AS27" s="156">
        <f t="shared" si="103"/>
        <v>508</v>
      </c>
      <c r="AT27" s="155">
        <v>20</v>
      </c>
      <c r="AU27" s="155">
        <v>138</v>
      </c>
      <c r="AV27" s="155">
        <v>140</v>
      </c>
      <c r="AW27" s="155">
        <v>190</v>
      </c>
      <c r="AX27" s="155">
        <v>278</v>
      </c>
      <c r="AY27" s="155">
        <v>210</v>
      </c>
      <c r="AZ27" s="155">
        <v>35</v>
      </c>
      <c r="BA27" s="155">
        <v>290</v>
      </c>
      <c r="BB27" s="155">
        <v>239</v>
      </c>
      <c r="BC27" s="155">
        <v>475</v>
      </c>
      <c r="BD27" s="155">
        <v>332</v>
      </c>
      <c r="BE27" s="155">
        <v>140</v>
      </c>
      <c r="BF27" s="552">
        <v>383</v>
      </c>
      <c r="BG27" s="155">
        <v>5</v>
      </c>
      <c r="BH27" s="155">
        <v>16</v>
      </c>
      <c r="BI27" s="155">
        <v>129</v>
      </c>
      <c r="BJ27" s="155">
        <v>67</v>
      </c>
      <c r="BK27" s="155">
        <v>19</v>
      </c>
      <c r="BL27" s="155">
        <v>12</v>
      </c>
      <c r="BM27" s="155">
        <v>169</v>
      </c>
      <c r="BN27" s="155">
        <v>198</v>
      </c>
      <c r="BO27" s="155">
        <v>2</v>
      </c>
      <c r="BP27" s="155">
        <v>81</v>
      </c>
      <c r="BQ27" s="155">
        <v>74</v>
      </c>
      <c r="BR27" s="552">
        <v>115</v>
      </c>
      <c r="BS27" s="155">
        <v>32</v>
      </c>
      <c r="BT27" s="155">
        <v>510</v>
      </c>
      <c r="BU27" s="155">
        <v>177</v>
      </c>
      <c r="BV27" s="155">
        <v>342</v>
      </c>
      <c r="BW27" s="155">
        <v>150</v>
      </c>
      <c r="BX27" s="155">
        <v>292</v>
      </c>
      <c r="BY27" s="155">
        <v>87</v>
      </c>
      <c r="BZ27" s="155">
        <v>167</v>
      </c>
      <c r="CA27" s="155">
        <v>231</v>
      </c>
      <c r="CB27" s="552">
        <v>249</v>
      </c>
      <c r="CC27" s="155">
        <v>234</v>
      </c>
      <c r="CD27" s="155">
        <v>90</v>
      </c>
      <c r="CE27" s="155">
        <v>172</v>
      </c>
      <c r="CF27" s="155">
        <v>24</v>
      </c>
      <c r="CG27" s="155">
        <v>484</v>
      </c>
      <c r="CH27" s="155">
        <v>471</v>
      </c>
      <c r="CI27" s="155">
        <v>303</v>
      </c>
      <c r="CJ27" s="155">
        <v>643</v>
      </c>
      <c r="CK27" s="156">
        <v>271</v>
      </c>
      <c r="CL27" s="320">
        <v>8686</v>
      </c>
    </row>
    <row r="28" spans="1:94">
      <c r="A28" s="80">
        <f>ROWS($A$3:A26)</f>
        <v>24</v>
      </c>
      <c r="B28" s="52" t="s">
        <v>4</v>
      </c>
      <c r="C28" s="203">
        <v>2020</v>
      </c>
      <c r="D28" s="259" t="s">
        <v>13</v>
      </c>
      <c r="E28" s="483">
        <v>44428</v>
      </c>
      <c r="F28" s="154">
        <v>2042</v>
      </c>
      <c r="G28" s="155">
        <v>727</v>
      </c>
      <c r="H28" s="155">
        <v>1203</v>
      </c>
      <c r="I28" s="156">
        <v>1898</v>
      </c>
      <c r="J28" s="281"/>
      <c r="K28" s="154">
        <f t="shared" si="73"/>
        <v>272</v>
      </c>
      <c r="L28" s="155">
        <f t="shared" si="74"/>
        <v>109</v>
      </c>
      <c r="M28" s="155">
        <f>BD28</f>
        <v>210</v>
      </c>
      <c r="N28" s="155">
        <f>AW28</f>
        <v>134</v>
      </c>
      <c r="O28" s="155">
        <f>BE28</f>
        <v>126</v>
      </c>
      <c r="P28" s="155">
        <f t="shared" si="104"/>
        <v>249</v>
      </c>
      <c r="Q28" s="155">
        <f t="shared" si="105"/>
        <v>108</v>
      </c>
      <c r="R28" s="155">
        <f>AT28+AX28</f>
        <v>183</v>
      </c>
      <c r="S28" s="155">
        <f>AV28</f>
        <v>106</v>
      </c>
      <c r="T28" s="155">
        <f>BB28</f>
        <v>161</v>
      </c>
      <c r="U28" s="552">
        <f>BC28</f>
        <v>384</v>
      </c>
      <c r="V28" s="155">
        <f>BG28+BJ28</f>
        <v>43</v>
      </c>
      <c r="W28" s="155">
        <f>BR28</f>
        <v>63</v>
      </c>
      <c r="X28" s="155">
        <f>BH28+BI28</f>
        <v>118</v>
      </c>
      <c r="Y28" s="155">
        <f>BK28+BL28+BN28</f>
        <v>203</v>
      </c>
      <c r="Z28" s="155">
        <f>BM28</f>
        <v>152</v>
      </c>
      <c r="AA28" s="155">
        <f>BO28+BQ28</f>
        <v>80</v>
      </c>
      <c r="AB28" s="552">
        <f>BP28</f>
        <v>68</v>
      </c>
      <c r="AC28" s="155">
        <f>BX28</f>
        <v>159</v>
      </c>
      <c r="AD28" s="155">
        <f>BU28</f>
        <v>67</v>
      </c>
      <c r="AE28" s="155">
        <f>BS28+BT28</f>
        <v>195</v>
      </c>
      <c r="AF28" s="155">
        <f>CA28</f>
        <v>97</v>
      </c>
      <c r="AG28" s="155">
        <f>BV28</f>
        <v>196</v>
      </c>
      <c r="AH28" s="155">
        <f>BZ28</f>
        <v>145</v>
      </c>
      <c r="AI28" s="155">
        <f>BW28</f>
        <v>128</v>
      </c>
      <c r="AJ28" s="155">
        <f>BY28</f>
        <v>72</v>
      </c>
      <c r="AK28" s="552">
        <f>CB28</f>
        <v>144</v>
      </c>
      <c r="AL28" s="155">
        <f>CE28</f>
        <v>90</v>
      </c>
      <c r="AM28" s="155">
        <f>CH28</f>
        <v>355</v>
      </c>
      <c r="AN28" s="155">
        <f>CJ28</f>
        <v>502</v>
      </c>
      <c r="AO28" s="155">
        <f>CC28</f>
        <v>180</v>
      </c>
      <c r="AP28" s="155">
        <f>CD28</f>
        <v>57</v>
      </c>
      <c r="AQ28" s="155">
        <f>CK28</f>
        <v>197</v>
      </c>
      <c r="AR28" s="155">
        <f>CI28</f>
        <v>130</v>
      </c>
      <c r="AS28" s="156">
        <f t="shared" si="103"/>
        <v>387</v>
      </c>
      <c r="AT28" s="155">
        <v>10</v>
      </c>
      <c r="AU28" s="155">
        <v>108</v>
      </c>
      <c r="AV28" s="155">
        <v>106</v>
      </c>
      <c r="AW28" s="155">
        <v>134</v>
      </c>
      <c r="AX28" s="155">
        <v>173</v>
      </c>
      <c r="AY28" s="155">
        <v>109</v>
      </c>
      <c r="AZ28" s="155">
        <v>15</v>
      </c>
      <c r="BA28" s="155">
        <v>234</v>
      </c>
      <c r="BB28" s="155">
        <v>161</v>
      </c>
      <c r="BC28" s="155">
        <v>384</v>
      </c>
      <c r="BD28" s="155">
        <v>210</v>
      </c>
      <c r="BE28" s="155">
        <v>126</v>
      </c>
      <c r="BF28" s="552">
        <v>272</v>
      </c>
      <c r="BG28" s="155">
        <v>3</v>
      </c>
      <c r="BH28" s="155">
        <v>5</v>
      </c>
      <c r="BI28" s="155">
        <v>113</v>
      </c>
      <c r="BJ28" s="155">
        <v>40</v>
      </c>
      <c r="BK28" s="155">
        <v>12</v>
      </c>
      <c r="BL28" s="155">
        <v>16</v>
      </c>
      <c r="BM28" s="155">
        <v>152</v>
      </c>
      <c r="BN28" s="155">
        <v>175</v>
      </c>
      <c r="BO28" s="155">
        <v>5</v>
      </c>
      <c r="BP28" s="155">
        <v>68</v>
      </c>
      <c r="BQ28" s="155">
        <v>75</v>
      </c>
      <c r="BR28" s="552">
        <v>63</v>
      </c>
      <c r="BS28" s="155">
        <v>12</v>
      </c>
      <c r="BT28" s="155">
        <v>183</v>
      </c>
      <c r="BU28" s="155">
        <v>67</v>
      </c>
      <c r="BV28" s="155">
        <v>196</v>
      </c>
      <c r="BW28" s="155">
        <v>128</v>
      </c>
      <c r="BX28" s="155">
        <v>159</v>
      </c>
      <c r="BY28" s="155">
        <v>72</v>
      </c>
      <c r="BZ28" s="155">
        <v>145</v>
      </c>
      <c r="CA28" s="155">
        <v>97</v>
      </c>
      <c r="CB28" s="552">
        <v>144</v>
      </c>
      <c r="CC28" s="155">
        <v>180</v>
      </c>
      <c r="CD28" s="155">
        <v>57</v>
      </c>
      <c r="CE28" s="155">
        <v>90</v>
      </c>
      <c r="CF28" s="155">
        <v>29</v>
      </c>
      <c r="CG28" s="155">
        <v>358</v>
      </c>
      <c r="CH28" s="155">
        <v>355</v>
      </c>
      <c r="CI28" s="155">
        <v>130</v>
      </c>
      <c r="CJ28" s="155">
        <v>502</v>
      </c>
      <c r="CK28" s="156">
        <v>197</v>
      </c>
      <c r="CL28" s="320">
        <v>5870</v>
      </c>
    </row>
    <row r="29" spans="1:94">
      <c r="A29" s="80">
        <f>ROWS($A$3:A27)</f>
        <v>25</v>
      </c>
      <c r="B29" s="52" t="s">
        <v>5</v>
      </c>
      <c r="C29" s="203">
        <v>2020</v>
      </c>
      <c r="D29" s="259" t="s">
        <v>13</v>
      </c>
      <c r="E29" s="483">
        <v>44428</v>
      </c>
      <c r="F29" s="154">
        <v>1098</v>
      </c>
      <c r="G29" s="155">
        <v>606</v>
      </c>
      <c r="H29" s="155">
        <v>653</v>
      </c>
      <c r="I29" s="156">
        <v>988</v>
      </c>
      <c r="J29" s="281"/>
      <c r="K29" s="154">
        <f t="shared" si="73"/>
        <v>155</v>
      </c>
      <c r="L29" s="155">
        <f t="shared" si="74"/>
        <v>41</v>
      </c>
      <c r="M29" s="155">
        <f t="shared" si="75"/>
        <v>201</v>
      </c>
      <c r="N29" s="155">
        <f t="shared" si="76"/>
        <v>61</v>
      </c>
      <c r="O29" s="155">
        <f t="shared" si="77"/>
        <v>70</v>
      </c>
      <c r="P29" s="155">
        <f t="shared" si="104"/>
        <v>139</v>
      </c>
      <c r="Q29" s="155">
        <f t="shared" si="105"/>
        <v>60</v>
      </c>
      <c r="R29" s="155">
        <f t="shared" si="78"/>
        <v>51</v>
      </c>
      <c r="S29" s="155">
        <f t="shared" si="79"/>
        <v>37</v>
      </c>
      <c r="T29" s="155">
        <f t="shared" si="80"/>
        <v>107</v>
      </c>
      <c r="U29" s="552">
        <f t="shared" si="80"/>
        <v>176</v>
      </c>
      <c r="V29" s="155">
        <f t="shared" si="81"/>
        <v>45</v>
      </c>
      <c r="W29" s="155">
        <f t="shared" si="82"/>
        <v>47</v>
      </c>
      <c r="X29" s="155">
        <f t="shared" si="83"/>
        <v>145</v>
      </c>
      <c r="Y29" s="155">
        <f t="shared" si="84"/>
        <v>109</v>
      </c>
      <c r="Z29" s="155">
        <f t="shared" si="85"/>
        <v>147</v>
      </c>
      <c r="AA29" s="155">
        <f t="shared" si="86"/>
        <v>67</v>
      </c>
      <c r="AB29" s="552">
        <f t="shared" si="87"/>
        <v>46</v>
      </c>
      <c r="AC29" s="155">
        <f t="shared" si="88"/>
        <v>84</v>
      </c>
      <c r="AD29" s="155">
        <f t="shared" si="89"/>
        <v>36</v>
      </c>
      <c r="AE29" s="155">
        <f t="shared" si="90"/>
        <v>59</v>
      </c>
      <c r="AF29" s="155">
        <f t="shared" si="91"/>
        <v>25</v>
      </c>
      <c r="AG29" s="155">
        <f t="shared" si="92"/>
        <v>93</v>
      </c>
      <c r="AH29" s="155">
        <f t="shared" si="93"/>
        <v>91</v>
      </c>
      <c r="AI29" s="155">
        <f t="shared" si="94"/>
        <v>84</v>
      </c>
      <c r="AJ29" s="155">
        <f t="shared" si="95"/>
        <v>87</v>
      </c>
      <c r="AK29" s="552">
        <f t="shared" si="96"/>
        <v>94</v>
      </c>
      <c r="AL29" s="155">
        <f t="shared" si="97"/>
        <v>115</v>
      </c>
      <c r="AM29" s="155">
        <f t="shared" si="98"/>
        <v>178</v>
      </c>
      <c r="AN29" s="155">
        <f t="shared" si="99"/>
        <v>129</v>
      </c>
      <c r="AO29" s="155">
        <f t="shared" si="100"/>
        <v>104</v>
      </c>
      <c r="AP29" s="155">
        <f t="shared" si="100"/>
        <v>66</v>
      </c>
      <c r="AQ29" s="155">
        <f t="shared" si="101"/>
        <v>169</v>
      </c>
      <c r="AR29" s="155">
        <f t="shared" si="102"/>
        <v>41</v>
      </c>
      <c r="AS29" s="156">
        <f t="shared" si="103"/>
        <v>186</v>
      </c>
      <c r="AT29" s="155">
        <v>3</v>
      </c>
      <c r="AU29" s="155">
        <v>60</v>
      </c>
      <c r="AV29" s="155">
        <v>37</v>
      </c>
      <c r="AW29" s="155">
        <v>61</v>
      </c>
      <c r="AX29" s="155">
        <v>48</v>
      </c>
      <c r="AY29" s="155">
        <v>41</v>
      </c>
      <c r="AZ29" s="155">
        <v>9</v>
      </c>
      <c r="BA29" s="155">
        <v>130</v>
      </c>
      <c r="BB29" s="155">
        <v>107</v>
      </c>
      <c r="BC29" s="155">
        <v>176</v>
      </c>
      <c r="BD29" s="155">
        <v>201</v>
      </c>
      <c r="BE29" s="155">
        <v>70</v>
      </c>
      <c r="BF29" s="552">
        <v>155</v>
      </c>
      <c r="BG29" s="155">
        <v>5</v>
      </c>
      <c r="BH29" s="155">
        <v>7</v>
      </c>
      <c r="BI29" s="155">
        <v>138</v>
      </c>
      <c r="BJ29" s="155">
        <v>40</v>
      </c>
      <c r="BK29" s="155">
        <v>2</v>
      </c>
      <c r="BL29" s="155">
        <v>7</v>
      </c>
      <c r="BM29" s="155">
        <v>147</v>
      </c>
      <c r="BN29" s="155">
        <v>100</v>
      </c>
      <c r="BO29" s="155">
        <v>3</v>
      </c>
      <c r="BP29" s="155">
        <v>46</v>
      </c>
      <c r="BQ29" s="155">
        <v>64</v>
      </c>
      <c r="BR29" s="552">
        <v>47</v>
      </c>
      <c r="BS29" s="155">
        <v>5</v>
      </c>
      <c r="BT29" s="155">
        <v>54</v>
      </c>
      <c r="BU29" s="155">
        <v>36</v>
      </c>
      <c r="BV29" s="155">
        <v>93</v>
      </c>
      <c r="BW29" s="155">
        <v>84</v>
      </c>
      <c r="BX29" s="155">
        <v>84</v>
      </c>
      <c r="BY29" s="155">
        <v>87</v>
      </c>
      <c r="BZ29" s="155">
        <v>91</v>
      </c>
      <c r="CA29" s="155">
        <v>25</v>
      </c>
      <c r="CB29" s="552">
        <v>94</v>
      </c>
      <c r="CC29" s="155">
        <v>104</v>
      </c>
      <c r="CD29" s="155">
        <v>66</v>
      </c>
      <c r="CE29" s="155">
        <v>115</v>
      </c>
      <c r="CF29" s="155">
        <v>12</v>
      </c>
      <c r="CG29" s="155">
        <v>174</v>
      </c>
      <c r="CH29" s="155">
        <v>178</v>
      </c>
      <c r="CI29" s="155">
        <v>41</v>
      </c>
      <c r="CJ29" s="155">
        <v>129</v>
      </c>
      <c r="CK29" s="156">
        <v>169</v>
      </c>
      <c r="CL29" s="320">
        <v>3345</v>
      </c>
    </row>
    <row r="30" spans="1:94">
      <c r="A30" s="80">
        <f>ROWS($A$3:A28)</f>
        <v>26</v>
      </c>
      <c r="B30" s="53" t="s">
        <v>256</v>
      </c>
      <c r="C30" s="252"/>
      <c r="D30" s="259" t="s">
        <v>1</v>
      </c>
      <c r="E30" s="483">
        <v>44428</v>
      </c>
      <c r="F30" s="539">
        <f>F35/F23</f>
        <v>37.26060020918819</v>
      </c>
      <c r="G30" s="521">
        <f>G35/G23</f>
        <v>46.016114389468903</v>
      </c>
      <c r="H30" s="521">
        <f>H35/H23</f>
        <v>26.375625625625627</v>
      </c>
      <c r="I30" s="540">
        <f>I35/I23</f>
        <v>41.513740011693628</v>
      </c>
      <c r="J30" s="382"/>
      <c r="K30" s="536">
        <f>BF30</f>
        <v>38.946560196560199</v>
      </c>
      <c r="L30" s="537">
        <f t="shared" si="74"/>
        <v>23.946124763705104</v>
      </c>
      <c r="M30" s="537">
        <f t="shared" si="75"/>
        <v>53.24921135646688</v>
      </c>
      <c r="N30" s="537">
        <f t="shared" si="76"/>
        <v>39.597733711048157</v>
      </c>
      <c r="O30" s="537">
        <f t="shared" si="77"/>
        <v>50.796116504854368</v>
      </c>
      <c r="P30" s="521">
        <f>P35/P23</f>
        <v>30.069198751300728</v>
      </c>
      <c r="Q30" s="537">
        <f t="shared" si="105"/>
        <v>40.509909909909908</v>
      </c>
      <c r="R30" s="521">
        <f>R35/R23</f>
        <v>26.71834228702993</v>
      </c>
      <c r="S30" s="537">
        <f t="shared" si="79"/>
        <v>31.976152623211448</v>
      </c>
      <c r="T30" s="537">
        <f t="shared" si="80"/>
        <v>40.147792706333973</v>
      </c>
      <c r="U30" s="561">
        <f t="shared" si="80"/>
        <v>41.984470327232387</v>
      </c>
      <c r="V30" s="521">
        <f>V35/V23</f>
        <v>29.786641929499073</v>
      </c>
      <c r="W30" s="537">
        <f t="shared" si="82"/>
        <v>39.897872340425529</v>
      </c>
      <c r="X30" s="521">
        <f>X35/X23</f>
        <v>52.927083333333336</v>
      </c>
      <c r="Y30" s="521">
        <f>Y35/Y23</f>
        <v>45.084112149532707</v>
      </c>
      <c r="Z30" s="537">
        <f t="shared" si="85"/>
        <v>56.765586034912715</v>
      </c>
      <c r="AA30" s="521">
        <f>AA35/AA23</f>
        <v>47.478060046189377</v>
      </c>
      <c r="AB30" s="561">
        <f t="shared" si="87"/>
        <v>41.280742459396748</v>
      </c>
      <c r="AC30" s="537">
        <f t="shared" si="88"/>
        <v>40.098532494758906</v>
      </c>
      <c r="AD30" s="537">
        <f t="shared" si="89"/>
        <v>18.743676222596964</v>
      </c>
      <c r="AE30" s="521">
        <f>AE35/AE23</f>
        <v>19.2719881744272</v>
      </c>
      <c r="AF30" s="537">
        <f t="shared" si="91"/>
        <v>24.048625792811841</v>
      </c>
      <c r="AG30" s="537">
        <f t="shared" si="92"/>
        <v>17.688706105662764</v>
      </c>
      <c r="AH30" s="537">
        <f t="shared" si="93"/>
        <v>41.723135271807841</v>
      </c>
      <c r="AI30" s="537">
        <f t="shared" si="94"/>
        <v>40.698910081743868</v>
      </c>
      <c r="AJ30" s="537">
        <f t="shared" si="95"/>
        <v>57.588942307692307</v>
      </c>
      <c r="AK30" s="561">
        <f t="shared" si="96"/>
        <v>34.790676416819011</v>
      </c>
      <c r="AL30" s="537">
        <f t="shared" si="97"/>
        <v>49.227142857142859</v>
      </c>
      <c r="AM30" s="537">
        <f t="shared" si="98"/>
        <v>46.053276178812006</v>
      </c>
      <c r="AN30" s="537">
        <f t="shared" si="99"/>
        <v>38.202666666666666</v>
      </c>
      <c r="AO30" s="537">
        <f t="shared" si="100"/>
        <v>44.35406218655968</v>
      </c>
      <c r="AP30" s="537">
        <f t="shared" si="100"/>
        <v>53.132625994694962</v>
      </c>
      <c r="AQ30" s="537">
        <f t="shared" si="101"/>
        <v>48.122466960352426</v>
      </c>
      <c r="AR30" s="537">
        <f t="shared" si="102"/>
        <v>23.413597733711047</v>
      </c>
      <c r="AS30" s="540">
        <f>AS35/AS23</f>
        <v>44.631968145620021</v>
      </c>
      <c r="AT30" s="521">
        <f>AT35/AT23</f>
        <v>13.598901098901099</v>
      </c>
      <c r="AU30" s="521">
        <f>AU35/AU23</f>
        <v>40.509909909909908</v>
      </c>
      <c r="AV30" s="521">
        <f t="shared" ref="AV30:CL30" si="106">AV35/AV23</f>
        <v>31.976152623211448</v>
      </c>
      <c r="AW30" s="521">
        <f t="shared" si="106"/>
        <v>39.597733711048157</v>
      </c>
      <c r="AX30" s="521">
        <f>AX35/AX23</f>
        <v>28.848349687778768</v>
      </c>
      <c r="AY30" s="521">
        <f t="shared" si="106"/>
        <v>23.946124763705104</v>
      </c>
      <c r="AZ30" s="521">
        <f t="shared" si="106"/>
        <v>25.537974683544302</v>
      </c>
      <c r="BA30" s="521">
        <f t="shared" si="106"/>
        <v>30.475056689342402</v>
      </c>
      <c r="BB30" s="521">
        <f t="shared" si="106"/>
        <v>40.147792706333973</v>
      </c>
      <c r="BC30" s="521">
        <f t="shared" si="106"/>
        <v>41.984470327232387</v>
      </c>
      <c r="BD30" s="521">
        <f>BD35/BD23</f>
        <v>53.24921135646688</v>
      </c>
      <c r="BE30" s="521">
        <f t="shared" si="106"/>
        <v>50.796116504854368</v>
      </c>
      <c r="BF30" s="559">
        <f t="shared" si="106"/>
        <v>38.946560196560199</v>
      </c>
      <c r="BG30" s="521">
        <f t="shared" si="106"/>
        <v>17.238095238095237</v>
      </c>
      <c r="BH30" s="521">
        <f>BH35/BH23</f>
        <v>39.106060606060609</v>
      </c>
      <c r="BI30" s="521">
        <f>BI35/BI23</f>
        <v>54.226495726495727</v>
      </c>
      <c r="BJ30" s="521">
        <f>BJ35/BJ23</f>
        <v>32.103296703296706</v>
      </c>
      <c r="BK30" s="521">
        <f t="shared" si="106"/>
        <v>27.712121212121211</v>
      </c>
      <c r="BL30" s="521">
        <f t="shared" si="106"/>
        <v>52.854545454545452</v>
      </c>
      <c r="BM30" s="521">
        <f>BM35/BM23</f>
        <v>56.765586034912715</v>
      </c>
      <c r="BN30" s="521">
        <f t="shared" si="106"/>
        <v>45.938242280285039</v>
      </c>
      <c r="BO30" s="521">
        <f t="shared" si="106"/>
        <v>43.217391304347828</v>
      </c>
      <c r="BP30" s="521">
        <f t="shared" si="106"/>
        <v>41.280742459396748</v>
      </c>
      <c r="BQ30" s="521">
        <f>BQ35/BQ23</f>
        <v>47.717073170731709</v>
      </c>
      <c r="BR30" s="559">
        <f t="shared" si="106"/>
        <v>39.897872340425529</v>
      </c>
      <c r="BS30" s="521">
        <f t="shared" si="106"/>
        <v>19.426966292134832</v>
      </c>
      <c r="BT30" s="521">
        <f t="shared" si="106"/>
        <v>19.26107594936709</v>
      </c>
      <c r="BU30" s="521">
        <f t="shared" si="106"/>
        <v>18.743676222596964</v>
      </c>
      <c r="BV30" s="521">
        <f t="shared" si="106"/>
        <v>17.688706105662764</v>
      </c>
      <c r="BW30" s="521">
        <f t="shared" si="106"/>
        <v>40.698910081743868</v>
      </c>
      <c r="BX30" s="521">
        <f t="shared" si="106"/>
        <v>40.098532494758906</v>
      </c>
      <c r="BY30" s="521">
        <f t="shared" si="106"/>
        <v>57.588942307692307</v>
      </c>
      <c r="BZ30" s="521">
        <f t="shared" si="106"/>
        <v>41.723135271807841</v>
      </c>
      <c r="CA30" s="521">
        <f t="shared" si="106"/>
        <v>24.048625792811841</v>
      </c>
      <c r="CB30" s="559">
        <f t="shared" si="106"/>
        <v>34.790676416819011</v>
      </c>
      <c r="CC30" s="521">
        <f t="shared" si="106"/>
        <v>44.35406218655968</v>
      </c>
      <c r="CD30" s="521">
        <f t="shared" si="106"/>
        <v>53.132625994694962</v>
      </c>
      <c r="CE30" s="521">
        <f t="shared" si="106"/>
        <v>49.227142857142859</v>
      </c>
      <c r="CF30" s="521">
        <f t="shared" si="106"/>
        <v>43.635514018691588</v>
      </c>
      <c r="CG30" s="521">
        <f t="shared" si="106"/>
        <v>44.696547546941247</v>
      </c>
      <c r="CH30" s="521">
        <f t="shared" si="106"/>
        <v>46.053276178812006</v>
      </c>
      <c r="CI30" s="521">
        <f t="shared" si="106"/>
        <v>23.413597733711047</v>
      </c>
      <c r="CJ30" s="521">
        <f t="shared" si="106"/>
        <v>38.202666666666666</v>
      </c>
      <c r="CK30" s="540">
        <f t="shared" si="106"/>
        <v>48.122466960352426</v>
      </c>
      <c r="CL30" s="560">
        <f t="shared" si="106"/>
        <v>36.025662018677245</v>
      </c>
    </row>
    <row r="31" spans="1:94">
      <c r="A31" s="80">
        <f>ROWS($A$3:A29)</f>
        <v>27</v>
      </c>
      <c r="B31" s="53" t="str">
        <f>"Entwicklung Betriebe ab 5 ha LF von 2001 / "&amp;C22</f>
        <v>Entwicklung Betriebe ab 5 ha LF von 2001 / 2020</v>
      </c>
      <c r="C31" s="252"/>
      <c r="D31" s="259" t="s">
        <v>3</v>
      </c>
      <c r="E31" s="483">
        <v>44428</v>
      </c>
      <c r="F31" s="530">
        <f>(F23-F24)/('2001'!F23-'2001'!F24)%-100</f>
        <v>-29.831704668838228</v>
      </c>
      <c r="G31" s="531">
        <f>(G23-G24)/('2001'!G23-'2001'!G24)%-100</f>
        <v>-25.147463625639006</v>
      </c>
      <c r="H31" s="531">
        <f>(H23-H24)/('2001'!H23-'2001'!H24)%-100</f>
        <v>-25.167595509248045</v>
      </c>
      <c r="I31" s="532">
        <f>(I23-I24)/('2001'!I23-'2001'!I24)%-100</f>
        <v>-30.489938757655295</v>
      </c>
      <c r="J31" s="281"/>
      <c r="K31" s="154">
        <f t="shared" si="73"/>
        <v>-30.86040386303776</v>
      </c>
      <c r="L31" s="155">
        <f t="shared" si="74"/>
        <v>-26.325940212150428</v>
      </c>
      <c r="M31" s="155">
        <f t="shared" si="75"/>
        <v>-39.168017287952466</v>
      </c>
      <c r="N31" s="155">
        <f t="shared" si="76"/>
        <v>-23.302107728337234</v>
      </c>
      <c r="O31" s="155">
        <f t="shared" si="77"/>
        <v>-25.710014947683106</v>
      </c>
      <c r="P31" s="531">
        <f>100-(P23%/((AZ23%)/(100-AZ31)+(BA23%)/(100-BA31)))</f>
        <v>-27.237027754235385</v>
      </c>
      <c r="Q31" s="542">
        <f t="shared" si="105"/>
        <v>-29.08587257617728</v>
      </c>
      <c r="R31" s="531">
        <f>100-(R23%/((AT23%)/(100-AT31)+(AX23%)/(100-AX31)))</f>
        <v>-22.605392838737302</v>
      </c>
      <c r="S31" s="542">
        <f t="shared" si="79"/>
        <v>-19.423368740515926</v>
      </c>
      <c r="T31" s="542">
        <f t="shared" si="80"/>
        <v>-34.466769706336933</v>
      </c>
      <c r="U31" s="554">
        <f t="shared" si="80"/>
        <v>-31.91573926868044</v>
      </c>
      <c r="V31" s="531">
        <f>100-(V23%/((BG23%)/(100-BG31)+(BJ23%)/(100-BJ31)))</f>
        <v>-11.594202898550705</v>
      </c>
      <c r="W31" s="542">
        <f t="shared" si="82"/>
        <v>-28.164556962025316</v>
      </c>
      <c r="X31" s="531">
        <f>100-(X23%/((BH23%)/(100-BH31)+(BI23%)/(100-BI31)))</f>
        <v>-19.286501552887955</v>
      </c>
      <c r="Y31" s="531">
        <f>100-(Y23%/((BK23%)/(100-BK31)+(BL23%)/(100-BL31)+(BN23%)/(100-BN31)))</f>
        <v>-27.766235803201752</v>
      </c>
      <c r="Z31" s="542">
        <f t="shared" si="85"/>
        <v>-30.818181818181813</v>
      </c>
      <c r="AA31" s="531">
        <f>100-(AA23%/((BO23%)/(100-BO31)+(BQ23%)/(100-BQ31)))</f>
        <v>-18.373347410266945</v>
      </c>
      <c r="AB31" s="554">
        <f t="shared" si="87"/>
        <v>-28.571428571428569</v>
      </c>
      <c r="AC31" s="542">
        <f t="shared" si="88"/>
        <v>-26.332288401253919</v>
      </c>
      <c r="AD31" s="542">
        <f t="shared" si="89"/>
        <v>-22.537878787878796</v>
      </c>
      <c r="AE31" s="531">
        <f>100-(AE23%/((BS23%)/(100-BS31)+(BT23%)/(100-BT31)))</f>
        <v>-19.212894765506078</v>
      </c>
      <c r="AF31" s="542">
        <f t="shared" si="91"/>
        <v>-24.79030754892824</v>
      </c>
      <c r="AG31" s="542">
        <f t="shared" si="92"/>
        <v>-23.680351906158364</v>
      </c>
      <c r="AH31" s="542">
        <f t="shared" si="93"/>
        <v>-27.312295973884659</v>
      </c>
      <c r="AI31" s="542">
        <f t="shared" si="94"/>
        <v>-27.300303336703749</v>
      </c>
      <c r="AJ31" s="542">
        <f t="shared" si="95"/>
        <v>-32.333333333333329</v>
      </c>
      <c r="AK31" s="554">
        <f t="shared" si="96"/>
        <v>-31.794871794871796</v>
      </c>
      <c r="AL31" s="542">
        <f t="shared" si="97"/>
        <v>-26.673866090712735</v>
      </c>
      <c r="AM31" s="542">
        <f t="shared" si="98"/>
        <v>-31.932409012131714</v>
      </c>
      <c r="AN31" s="542">
        <f t="shared" si="99"/>
        <v>-29.671052631578945</v>
      </c>
      <c r="AO31" s="542">
        <f t="shared" si="100"/>
        <v>-26.774691358024697</v>
      </c>
      <c r="AP31" s="542">
        <f t="shared" si="100"/>
        <v>-30.583501006036215</v>
      </c>
      <c r="AQ31" s="542">
        <f t="shared" si="101"/>
        <v>-32.101047443006777</v>
      </c>
      <c r="AR31" s="542">
        <f t="shared" si="102"/>
        <v>-28.648285137861464</v>
      </c>
      <c r="AS31" s="532">
        <f>100-(AS23%/((CF23%)/(100-CF31)+(CG23%)/(100-CG31)))</f>
        <v>-33.459164916451357</v>
      </c>
      <c r="AT31" s="542">
        <f>(AT23-AT24)/('2001'!AT23-'2001'!AT24)%-100</f>
        <v>-11.224489795918359</v>
      </c>
      <c r="AU31" s="155">
        <f>(AU23-AU24)/('2001'!AU23-'2001'!AU24)%-100</f>
        <v>-29.08587257617728</v>
      </c>
      <c r="AV31" s="155">
        <f>(AV23-AV24)/('2001'!AV23-'2001'!AV24)%-100</f>
        <v>-19.423368740515926</v>
      </c>
      <c r="AW31" s="155">
        <f>(AW23-AW24)/('2001'!AW23-'2001'!AW24)%-100</f>
        <v>-23.302107728337234</v>
      </c>
      <c r="AX31" s="155">
        <f>(AX23-AX24)/('2001'!AX23-'2001'!AX24)%-100</f>
        <v>-24.676616915422898</v>
      </c>
      <c r="AY31" s="155">
        <f>(AY23-AY24)/('2001'!AY23-'2001'!AY24)%-100</f>
        <v>-26.325940212150428</v>
      </c>
      <c r="AZ31" s="155">
        <f>(AZ23-AZ24)/('2001'!AZ23-'2001'!AZ24)%-100</f>
        <v>-29.629629629629633</v>
      </c>
      <c r="BA31" s="155">
        <f>(BA23-BA24)/('2001'!BA23-'2001'!BA24)%-100</f>
        <v>-27.027027027027032</v>
      </c>
      <c r="BB31" s="155">
        <f>(BB23-BB24)/('2001'!BB23-'2001'!BB24)%-100</f>
        <v>-34.466769706336933</v>
      </c>
      <c r="BC31" s="155">
        <f>(BC23-BC24)/('2001'!BC23-'2001'!BC24)%-100</f>
        <v>-31.91573926868044</v>
      </c>
      <c r="BD31" s="155">
        <f>(BD23-BD24)/('2001'!BD23-'2001'!BD24)%-100</f>
        <v>-39.168017287952466</v>
      </c>
      <c r="BE31" s="155">
        <f>(BE23-BE24)/('2001'!BE23-'2001'!BE24)%-100</f>
        <v>-25.710014947683106</v>
      </c>
      <c r="BF31" s="552">
        <f>(BF23-BF24)/('2001'!BF23-'2001'!BF24)%-100</f>
        <v>-30.86040386303776</v>
      </c>
      <c r="BG31" s="155">
        <f>(BG23-BG24)/('2001'!BG23-'2001'!BG24)%-100</f>
        <v>-20</v>
      </c>
      <c r="BH31" s="155">
        <f>(BH23-BH24)/('2001'!BH23-'2001'!BH24)%-100</f>
        <v>-12.698412698412696</v>
      </c>
      <c r="BI31" s="155">
        <f>(BI23-BI24)/('2001'!BI23-'2001'!BI24)%-100</f>
        <v>-19.945725915875173</v>
      </c>
      <c r="BJ31" s="155">
        <f>(BJ23-BJ24)/('2001'!BJ23-'2001'!BJ24)%-100</f>
        <v>-10.169491525423723</v>
      </c>
      <c r="BK31" s="155">
        <f>(BK23-BK24)/('2001'!BK23-'2001'!BK24)%-100</f>
        <v>-22.058823529411768</v>
      </c>
      <c r="BL31" s="155">
        <f>(BL23-BL24)/('2001'!BL23-'2001'!BL24)%-100</f>
        <v>-37.837837837837839</v>
      </c>
      <c r="BM31" s="155">
        <f>(BM23-BM24)/('2001'!BM23-'2001'!BM24)%-100</f>
        <v>-30.818181818181813</v>
      </c>
      <c r="BN31" s="155">
        <f>(BN23-BN24)/('2001'!BN23-'2001'!BN24)%-100</f>
        <v>-27.624872579001021</v>
      </c>
      <c r="BO31" s="155">
        <f>(BO23-BO24)/('2001'!BO23-'2001'!BO24)%-100</f>
        <v>-28.571428571428569</v>
      </c>
      <c r="BP31" s="155">
        <f>(BP23-BP24)/('2001'!BP23-'2001'!BP24)%-100</f>
        <v>-28.571428571428569</v>
      </c>
      <c r="BQ31" s="155">
        <f>(BQ23-BQ24)/('2001'!BQ23-'2001'!BQ24)%-100</f>
        <v>-17.848970251716253</v>
      </c>
      <c r="BR31" s="552">
        <f>(BR23-BR24)/('2001'!BR23-'2001'!BR24)%-100</f>
        <v>-28.164556962025316</v>
      </c>
      <c r="BS31" s="155">
        <f>(BS23-BS24)/('2001'!BS23-'2001'!BS24)%-100</f>
        <v>-18.644067796610159</v>
      </c>
      <c r="BT31" s="155">
        <f>(BT23-BT24)/('2001'!BT23-'2001'!BT24)%-100</f>
        <v>-19.253152279340455</v>
      </c>
      <c r="BU31" s="155">
        <f>(BU23-BU24)/('2001'!BU23-'2001'!BU24)%-100</f>
        <v>-22.537878787878796</v>
      </c>
      <c r="BV31" s="155">
        <f>(BV23-BV24)/('2001'!BV23-'2001'!BV24)%-100</f>
        <v>-23.680351906158364</v>
      </c>
      <c r="BW31" s="155">
        <f>(BW23-BW24)/('2001'!BW23-'2001'!BW24)%-100</f>
        <v>-27.300303336703749</v>
      </c>
      <c r="BX31" s="155">
        <f>(BX23-BX24)/('2001'!BX23-'2001'!BX24)%-100</f>
        <v>-26.332288401253919</v>
      </c>
      <c r="BY31" s="155">
        <f>(BY23-BY24)/('2001'!BY23-'2001'!BY24)%-100</f>
        <v>-32.333333333333329</v>
      </c>
      <c r="BZ31" s="155">
        <f>(BZ23-BZ24)/('2001'!BZ23-'2001'!BZ24)%-100</f>
        <v>-27.312295973884659</v>
      </c>
      <c r="CA31" s="155">
        <f>(CA23-CA24)/('2001'!CA23-'2001'!CA24)%-100</f>
        <v>-24.79030754892824</v>
      </c>
      <c r="CB31" s="552">
        <f>(CB23-CB24)/('2001'!CB23-'2001'!CB24)%-100</f>
        <v>-31.794871794871796</v>
      </c>
      <c r="CC31" s="155">
        <f>(CC23-CC24)/('2001'!CC23-'2001'!CC24)%-100</f>
        <v>-26.774691358024697</v>
      </c>
      <c r="CD31" s="155">
        <f>(CD23-CD24)/('2001'!CD23-'2001'!CD24)%-100</f>
        <v>-30.583501006036215</v>
      </c>
      <c r="CE31" s="155">
        <f>(CE23-CE24)/('2001'!CE23-'2001'!CE24)%-100</f>
        <v>-26.673866090712735</v>
      </c>
      <c r="CF31" s="155">
        <f>(CF23-CF24)/('2001'!CF23-'2001'!CF24)%-100</f>
        <v>-31.159420289855063</v>
      </c>
      <c r="CG31" s="155">
        <f>(CG23-CG24)/('2001'!CG23-'2001'!CG24)%-100</f>
        <v>-33.610995418575598</v>
      </c>
      <c r="CH31" s="155">
        <f>(CH23-CH24)/('2001'!CH23-'2001'!CH24)%-100</f>
        <v>-31.932409012131714</v>
      </c>
      <c r="CI31" s="155">
        <f>(CI23-CI24)/('2001'!CI23-'2001'!CI24)%-100</f>
        <v>-28.648285137861464</v>
      </c>
      <c r="CJ31" s="155">
        <f>(CJ23-CJ24)/('2001'!CJ23-'2001'!CJ24)%-100</f>
        <v>-29.671052631578945</v>
      </c>
      <c r="CK31" s="156">
        <f>(CK23-CK24)/('2001'!CK23-'2001'!CK24)%-100</f>
        <v>-32.101047443006777</v>
      </c>
      <c r="CL31" s="320">
        <f>(CL23-CL24)/('2001'!CL23-'2001'!CL24)%-100</f>
        <v>-28.251921862409901</v>
      </c>
    </row>
    <row r="32" spans="1:94" ht="13.5" customHeight="1">
      <c r="A32" s="80">
        <f>ROWS($A$3:A30)</f>
        <v>28</v>
      </c>
      <c r="B32" s="53" t="s">
        <v>170</v>
      </c>
      <c r="C32" s="252"/>
      <c r="D32" s="259" t="s">
        <v>3</v>
      </c>
      <c r="E32" s="483">
        <v>44428</v>
      </c>
      <c r="F32" s="154">
        <v>35.4</v>
      </c>
      <c r="G32" s="155">
        <v>32.200000000000003</v>
      </c>
      <c r="H32" s="155">
        <v>32.700000000000003</v>
      </c>
      <c r="I32" s="156">
        <v>40.1</v>
      </c>
      <c r="J32" s="281"/>
      <c r="K32" s="154">
        <f t="shared" si="73"/>
        <v>28.6</v>
      </c>
      <c r="L32" s="155">
        <f t="shared" si="74"/>
        <v>35.5</v>
      </c>
      <c r="M32" s="155">
        <f t="shared" si="75"/>
        <v>30.9</v>
      </c>
      <c r="N32" s="155">
        <f t="shared" si="76"/>
        <v>33.200000000000003</v>
      </c>
      <c r="O32" s="155">
        <f t="shared" si="77"/>
        <v>37.200000000000003</v>
      </c>
      <c r="P32" s="531">
        <f>(AZ23*AZ32+BA23*BA32)/P23</f>
        <v>41.070031217481791</v>
      </c>
      <c r="Q32" s="542">
        <f t="shared" si="105"/>
        <v>29.9</v>
      </c>
      <c r="R32" s="531">
        <f>(AT23*AT32+AX23*AX32)/R23</f>
        <v>39.290713737528783</v>
      </c>
      <c r="S32" s="542">
        <f t="shared" si="79"/>
        <v>34.1</v>
      </c>
      <c r="T32" s="542">
        <f t="shared" si="80"/>
        <v>35.5</v>
      </c>
      <c r="U32" s="554">
        <f t="shared" si="80"/>
        <v>38.9</v>
      </c>
      <c r="V32" s="531">
        <f>(BG23*BG32+BJ23*BJ32)/V23</f>
        <v>26.111688311688312</v>
      </c>
      <c r="W32" s="542">
        <f t="shared" si="82"/>
        <v>24</v>
      </c>
      <c r="X32" s="531">
        <f>(BH23*BH32+BI23*BI32)/X23</f>
        <v>36.489843749999999</v>
      </c>
      <c r="Y32" s="531">
        <f>(BK23*BK32+BL23*BL32+BN23*BN32)/Y23</f>
        <v>42.581516095534788</v>
      </c>
      <c r="Z32" s="542">
        <f t="shared" si="85"/>
        <v>28</v>
      </c>
      <c r="AA32" s="531">
        <f>(BO23*BO32+BQ23*BQ32)/AA23</f>
        <v>32.294919168591228</v>
      </c>
      <c r="AB32" s="554">
        <f t="shared" si="87"/>
        <v>26.5</v>
      </c>
      <c r="AC32" s="542">
        <f t="shared" si="88"/>
        <v>34.9</v>
      </c>
      <c r="AD32" s="542">
        <f t="shared" si="89"/>
        <v>29.4</v>
      </c>
      <c r="AE32" s="531">
        <f>(BS23*BS32+BT23*BT32)/AE23</f>
        <v>36.851219512195122</v>
      </c>
      <c r="AF32" s="542">
        <f t="shared" si="91"/>
        <v>27</v>
      </c>
      <c r="AG32" s="542">
        <f t="shared" si="92"/>
        <v>32</v>
      </c>
      <c r="AH32" s="542">
        <f t="shared" si="93"/>
        <v>44.7</v>
      </c>
      <c r="AI32" s="542">
        <f t="shared" si="94"/>
        <v>26.8</v>
      </c>
      <c r="AJ32" s="542">
        <f t="shared" si="95"/>
        <v>30.6</v>
      </c>
      <c r="AK32" s="554">
        <f t="shared" si="96"/>
        <v>27.2</v>
      </c>
      <c r="AL32" s="542">
        <f t="shared" si="97"/>
        <v>25.8</v>
      </c>
      <c r="AM32" s="542">
        <f t="shared" si="98"/>
        <v>43.5</v>
      </c>
      <c r="AN32" s="542">
        <f t="shared" si="99"/>
        <v>56.1</v>
      </c>
      <c r="AO32" s="542">
        <f t="shared" si="100"/>
        <v>24.6</v>
      </c>
      <c r="AP32" s="542">
        <f t="shared" si="100"/>
        <v>26.5</v>
      </c>
      <c r="AQ32" s="542">
        <f t="shared" si="101"/>
        <v>29.4</v>
      </c>
      <c r="AR32" s="542">
        <f t="shared" si="102"/>
        <v>44.8</v>
      </c>
      <c r="AS32" s="532">
        <f>(CF23*CF32+CG23*CG32)/AS23</f>
        <v>36.023435722411833</v>
      </c>
      <c r="AT32" s="542">
        <v>53.4</v>
      </c>
      <c r="AU32" s="155">
        <v>29.9</v>
      </c>
      <c r="AV32" s="155">
        <v>34.1</v>
      </c>
      <c r="AW32" s="155">
        <v>33.200000000000003</v>
      </c>
      <c r="AX32" s="155">
        <v>37</v>
      </c>
      <c r="AY32" s="155">
        <v>35.5</v>
      </c>
      <c r="AZ32" s="155">
        <v>51.9</v>
      </c>
      <c r="BA32" s="155">
        <v>40.1</v>
      </c>
      <c r="BB32" s="155">
        <v>35.5</v>
      </c>
      <c r="BC32" s="155">
        <v>38.9</v>
      </c>
      <c r="BD32" s="155">
        <v>30.9</v>
      </c>
      <c r="BE32" s="155">
        <v>37.200000000000003</v>
      </c>
      <c r="BF32" s="552">
        <v>28.6</v>
      </c>
      <c r="BG32" s="155">
        <v>27.8</v>
      </c>
      <c r="BH32" s="155">
        <v>30</v>
      </c>
      <c r="BI32" s="155">
        <v>37.1</v>
      </c>
      <c r="BJ32" s="155">
        <v>25.8</v>
      </c>
      <c r="BK32" s="155">
        <v>58.5</v>
      </c>
      <c r="BL32" s="155">
        <v>63</v>
      </c>
      <c r="BM32" s="155">
        <v>28</v>
      </c>
      <c r="BN32" s="155">
        <v>40</v>
      </c>
      <c r="BO32" s="155">
        <v>42.9</v>
      </c>
      <c r="BP32" s="155">
        <v>26.5</v>
      </c>
      <c r="BQ32" s="155">
        <v>31.7</v>
      </c>
      <c r="BR32" s="552">
        <v>24</v>
      </c>
      <c r="BS32" s="155">
        <v>46.1</v>
      </c>
      <c r="BT32" s="155">
        <v>36.200000000000003</v>
      </c>
      <c r="BU32" s="155">
        <v>29.4</v>
      </c>
      <c r="BV32" s="155">
        <v>32</v>
      </c>
      <c r="BW32" s="155">
        <v>26.8</v>
      </c>
      <c r="BX32" s="155">
        <v>34.9</v>
      </c>
      <c r="BY32" s="155">
        <v>30.6</v>
      </c>
      <c r="BZ32" s="155">
        <v>44.7</v>
      </c>
      <c r="CA32" s="155">
        <v>27</v>
      </c>
      <c r="CB32" s="552">
        <v>27.2</v>
      </c>
      <c r="CC32" s="155">
        <v>24.6</v>
      </c>
      <c r="CD32" s="155">
        <v>26.5</v>
      </c>
      <c r="CE32" s="155">
        <v>25.8</v>
      </c>
      <c r="CF32" s="155">
        <v>44.1</v>
      </c>
      <c r="CG32" s="155">
        <v>35.5</v>
      </c>
      <c r="CH32" s="155">
        <v>43.5</v>
      </c>
      <c r="CI32" s="155">
        <v>44.8</v>
      </c>
      <c r="CJ32" s="155">
        <v>56.1</v>
      </c>
      <c r="CK32" s="156">
        <v>29.4</v>
      </c>
      <c r="CL32" s="320">
        <v>35.4</v>
      </c>
    </row>
    <row r="33" spans="1:90">
      <c r="A33" s="80">
        <f>ROWS($A$3:A31)</f>
        <v>29</v>
      </c>
      <c r="B33" s="53" t="s">
        <v>68</v>
      </c>
      <c r="C33" s="252"/>
      <c r="D33" s="259" t="s">
        <v>3</v>
      </c>
      <c r="E33" s="483">
        <v>44428</v>
      </c>
      <c r="F33" s="530">
        <f>100-F32</f>
        <v>64.599999999999994</v>
      </c>
      <c r="G33" s="531">
        <f>100-G32</f>
        <v>67.8</v>
      </c>
      <c r="H33" s="531">
        <f>100-H32</f>
        <v>67.3</v>
      </c>
      <c r="I33" s="532">
        <f>100-I32</f>
        <v>59.9</v>
      </c>
      <c r="J33" s="281"/>
      <c r="K33" s="541">
        <f t="shared" si="73"/>
        <v>71.400000000000006</v>
      </c>
      <c r="L33" s="542">
        <f t="shared" si="74"/>
        <v>64.5</v>
      </c>
      <c r="M33" s="542">
        <f t="shared" si="75"/>
        <v>69.099999999999994</v>
      </c>
      <c r="N33" s="542">
        <f t="shared" si="76"/>
        <v>66.8</v>
      </c>
      <c r="O33" s="542">
        <f t="shared" si="77"/>
        <v>62.8</v>
      </c>
      <c r="P33" s="531">
        <f>100-P32</f>
        <v>58.929968782518209</v>
      </c>
      <c r="Q33" s="542">
        <f t="shared" si="105"/>
        <v>70.099999999999994</v>
      </c>
      <c r="R33" s="531">
        <f>100-R32</f>
        <v>60.709286262471217</v>
      </c>
      <c r="S33" s="542">
        <f t="shared" si="79"/>
        <v>65.900000000000006</v>
      </c>
      <c r="T33" s="542">
        <f t="shared" si="80"/>
        <v>64.5</v>
      </c>
      <c r="U33" s="554">
        <f t="shared" si="80"/>
        <v>61.1</v>
      </c>
      <c r="V33" s="531">
        <f>100-V32</f>
        <v>73.888311688311688</v>
      </c>
      <c r="W33" s="542">
        <f t="shared" si="82"/>
        <v>76</v>
      </c>
      <c r="X33" s="531">
        <f>100-X32</f>
        <v>63.510156250000001</v>
      </c>
      <c r="Y33" s="531">
        <f>100-Y32</f>
        <v>57.418483904465212</v>
      </c>
      <c r="Z33" s="542">
        <f t="shared" si="85"/>
        <v>72</v>
      </c>
      <c r="AA33" s="531">
        <f>100-AA32</f>
        <v>67.705080831408765</v>
      </c>
      <c r="AB33" s="554">
        <f t="shared" si="87"/>
        <v>73.5</v>
      </c>
      <c r="AC33" s="542">
        <f t="shared" si="88"/>
        <v>65.099999999999994</v>
      </c>
      <c r="AD33" s="542">
        <f t="shared" si="89"/>
        <v>70.599999999999994</v>
      </c>
      <c r="AE33" s="531">
        <f>100-AE32</f>
        <v>63.148780487804878</v>
      </c>
      <c r="AF33" s="542">
        <f t="shared" si="91"/>
        <v>73</v>
      </c>
      <c r="AG33" s="542">
        <f t="shared" si="92"/>
        <v>68</v>
      </c>
      <c r="AH33" s="542">
        <f t="shared" si="93"/>
        <v>55.3</v>
      </c>
      <c r="AI33" s="542">
        <f t="shared" si="94"/>
        <v>73.2</v>
      </c>
      <c r="AJ33" s="542">
        <f t="shared" si="95"/>
        <v>69.400000000000006</v>
      </c>
      <c r="AK33" s="554">
        <f t="shared" si="96"/>
        <v>72.8</v>
      </c>
      <c r="AL33" s="542">
        <f t="shared" si="97"/>
        <v>74.2</v>
      </c>
      <c r="AM33" s="542">
        <f t="shared" si="98"/>
        <v>56.5</v>
      </c>
      <c r="AN33" s="542">
        <f t="shared" si="99"/>
        <v>43.9</v>
      </c>
      <c r="AO33" s="542">
        <f t="shared" si="100"/>
        <v>75.400000000000006</v>
      </c>
      <c r="AP33" s="542">
        <f t="shared" si="100"/>
        <v>73.5</v>
      </c>
      <c r="AQ33" s="542">
        <f t="shared" si="101"/>
        <v>70.599999999999994</v>
      </c>
      <c r="AR33" s="542">
        <f t="shared" si="102"/>
        <v>55.2</v>
      </c>
      <c r="AS33" s="532">
        <f>100-AS32</f>
        <v>63.976564277588167</v>
      </c>
      <c r="AT33" s="531">
        <f>100-AT32</f>
        <v>46.6</v>
      </c>
      <c r="AU33" s="531">
        <f>100-AU32</f>
        <v>70.099999999999994</v>
      </c>
      <c r="AV33" s="531">
        <f t="shared" ref="AV33:CL33" si="107">100-AV32</f>
        <v>65.900000000000006</v>
      </c>
      <c r="AW33" s="531">
        <f t="shared" si="107"/>
        <v>66.8</v>
      </c>
      <c r="AX33" s="531">
        <f>100-AX32</f>
        <v>63</v>
      </c>
      <c r="AY33" s="531">
        <f t="shared" si="107"/>
        <v>64.5</v>
      </c>
      <c r="AZ33" s="531">
        <f t="shared" si="107"/>
        <v>48.1</v>
      </c>
      <c r="BA33" s="531">
        <f t="shared" si="107"/>
        <v>59.9</v>
      </c>
      <c r="BB33" s="531">
        <f t="shared" si="107"/>
        <v>64.5</v>
      </c>
      <c r="BC33" s="531">
        <f t="shared" si="107"/>
        <v>61.1</v>
      </c>
      <c r="BD33" s="531">
        <f t="shared" si="107"/>
        <v>69.099999999999994</v>
      </c>
      <c r="BE33" s="531">
        <f t="shared" si="107"/>
        <v>62.8</v>
      </c>
      <c r="BF33" s="555">
        <f t="shared" si="107"/>
        <v>71.400000000000006</v>
      </c>
      <c r="BG33" s="531">
        <f t="shared" si="107"/>
        <v>72.2</v>
      </c>
      <c r="BH33" s="531">
        <f>100-BH32</f>
        <v>70</v>
      </c>
      <c r="BI33" s="531">
        <f>100-BI32</f>
        <v>62.9</v>
      </c>
      <c r="BJ33" s="531">
        <f>100-BJ32</f>
        <v>74.2</v>
      </c>
      <c r="BK33" s="531">
        <f t="shared" si="107"/>
        <v>41.5</v>
      </c>
      <c r="BL33" s="531">
        <f t="shared" si="107"/>
        <v>37</v>
      </c>
      <c r="BM33" s="531">
        <f>100-BM32</f>
        <v>72</v>
      </c>
      <c r="BN33" s="531">
        <f t="shared" si="107"/>
        <v>60</v>
      </c>
      <c r="BO33" s="531">
        <f t="shared" si="107"/>
        <v>57.1</v>
      </c>
      <c r="BP33" s="531">
        <f t="shared" si="107"/>
        <v>73.5</v>
      </c>
      <c r="BQ33" s="531">
        <f>100-BQ32</f>
        <v>68.3</v>
      </c>
      <c r="BR33" s="555">
        <f t="shared" si="107"/>
        <v>76</v>
      </c>
      <c r="BS33" s="531">
        <f t="shared" si="107"/>
        <v>53.9</v>
      </c>
      <c r="BT33" s="531">
        <f t="shared" si="107"/>
        <v>63.8</v>
      </c>
      <c r="BU33" s="531">
        <f t="shared" si="107"/>
        <v>70.599999999999994</v>
      </c>
      <c r="BV33" s="531">
        <f t="shared" si="107"/>
        <v>68</v>
      </c>
      <c r="BW33" s="531">
        <f t="shared" si="107"/>
        <v>73.2</v>
      </c>
      <c r="BX33" s="531">
        <f t="shared" si="107"/>
        <v>65.099999999999994</v>
      </c>
      <c r="BY33" s="531">
        <f t="shared" si="107"/>
        <v>69.400000000000006</v>
      </c>
      <c r="BZ33" s="531">
        <f t="shared" si="107"/>
        <v>55.3</v>
      </c>
      <c r="CA33" s="531">
        <f t="shared" si="107"/>
        <v>73</v>
      </c>
      <c r="CB33" s="555">
        <f t="shared" si="107"/>
        <v>72.8</v>
      </c>
      <c r="CC33" s="531">
        <f t="shared" si="107"/>
        <v>75.400000000000006</v>
      </c>
      <c r="CD33" s="531">
        <f t="shared" si="107"/>
        <v>73.5</v>
      </c>
      <c r="CE33" s="531">
        <f t="shared" si="107"/>
        <v>74.2</v>
      </c>
      <c r="CF33" s="531">
        <f t="shared" si="107"/>
        <v>55.9</v>
      </c>
      <c r="CG33" s="531">
        <f t="shared" si="107"/>
        <v>64.5</v>
      </c>
      <c r="CH33" s="531">
        <f t="shared" si="107"/>
        <v>56.5</v>
      </c>
      <c r="CI33" s="531">
        <f t="shared" si="107"/>
        <v>55.2</v>
      </c>
      <c r="CJ33" s="531">
        <f t="shared" si="107"/>
        <v>43.9</v>
      </c>
      <c r="CK33" s="532">
        <f t="shared" si="107"/>
        <v>70.599999999999994</v>
      </c>
      <c r="CL33" s="556">
        <f t="shared" si="107"/>
        <v>64.599999999999994</v>
      </c>
    </row>
    <row r="34" spans="1:90">
      <c r="A34" s="80">
        <f>ROWS($A$3:A32)</f>
        <v>30</v>
      </c>
      <c r="B34" s="59" t="s">
        <v>69</v>
      </c>
      <c r="C34" s="202">
        <v>2020</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c r="A35" s="80">
        <f>ROWS($A$3:A33)</f>
        <v>31</v>
      </c>
      <c r="B35" s="92" t="s">
        <v>71</v>
      </c>
      <c r="C35" s="205"/>
      <c r="D35" s="259" t="s">
        <v>1</v>
      </c>
      <c r="E35" s="483">
        <v>44431</v>
      </c>
      <c r="F35" s="154">
        <v>463112</v>
      </c>
      <c r="G35" s="155">
        <v>202747</v>
      </c>
      <c r="H35" s="155">
        <v>316191</v>
      </c>
      <c r="I35" s="156">
        <v>426014</v>
      </c>
      <c r="J35" s="281"/>
      <c r="K35" s="154">
        <f>BF35</f>
        <v>63405</v>
      </c>
      <c r="L35" s="155">
        <f>AY35</f>
        <v>25335</v>
      </c>
      <c r="M35" s="155">
        <f>BD35</f>
        <v>67520</v>
      </c>
      <c r="N35" s="155">
        <f>AW35</f>
        <v>27956</v>
      </c>
      <c r="O35" s="155">
        <f>BE35</f>
        <v>26160</v>
      </c>
      <c r="P35" s="155">
        <f>AZ35+BA35</f>
        <v>57793</v>
      </c>
      <c r="Q35" s="155">
        <f>AU35</f>
        <v>22483</v>
      </c>
      <c r="R35" s="155">
        <f t="shared" ref="R35:R41" si="108">AT35+AX35</f>
        <v>34814</v>
      </c>
      <c r="S35" s="155">
        <f>AV35</f>
        <v>20113</v>
      </c>
      <c r="T35" s="155">
        <f t="shared" ref="T35:U39" si="109">BB35</f>
        <v>41834</v>
      </c>
      <c r="U35" s="552">
        <f t="shared" si="109"/>
        <v>75698</v>
      </c>
      <c r="V35" s="155">
        <f>BG35+BJ35</f>
        <v>16055</v>
      </c>
      <c r="W35" s="155">
        <f>BR35</f>
        <v>18752</v>
      </c>
      <c r="X35" s="155">
        <f>BH35+BI35</f>
        <v>40648</v>
      </c>
      <c r="Y35" s="155">
        <f>BK35+BL35+BN35</f>
        <v>43416</v>
      </c>
      <c r="Z35" s="155">
        <f>BM35</f>
        <v>45526</v>
      </c>
      <c r="AA35" s="155">
        <f>BO35+BQ35</f>
        <v>20558</v>
      </c>
      <c r="AB35" s="552">
        <f>BP35</f>
        <v>17792</v>
      </c>
      <c r="AC35" s="155">
        <f>BX35</f>
        <v>38254</v>
      </c>
      <c r="AD35" s="155">
        <f>BU35</f>
        <v>22230</v>
      </c>
      <c r="AE35" s="155">
        <f>BS35+BT35</f>
        <v>52150</v>
      </c>
      <c r="AF35" s="155">
        <f>CA35</f>
        <v>22750</v>
      </c>
      <c r="AG35" s="155">
        <f>BV35</f>
        <v>55914</v>
      </c>
      <c r="AH35" s="155">
        <f>BZ35</f>
        <v>33003</v>
      </c>
      <c r="AI35" s="155">
        <f>BW35</f>
        <v>29873</v>
      </c>
      <c r="AJ35" s="155">
        <f>BY35</f>
        <v>23957</v>
      </c>
      <c r="AK35" s="552">
        <f>CB35</f>
        <v>38061</v>
      </c>
      <c r="AL35" s="155">
        <f>CE35</f>
        <v>34459</v>
      </c>
      <c r="AM35" s="155">
        <f>CH35</f>
        <v>75205</v>
      </c>
      <c r="AN35" s="155">
        <f>CJ35</f>
        <v>85956</v>
      </c>
      <c r="AO35" s="155">
        <f t="shared" ref="AO35:AP39" si="110">CC35</f>
        <v>44221</v>
      </c>
      <c r="AP35" s="155">
        <f t="shared" si="110"/>
        <v>20031</v>
      </c>
      <c r="AQ35" s="155">
        <f>CK35</f>
        <v>54619</v>
      </c>
      <c r="AR35" s="155">
        <f>CI35</f>
        <v>33060</v>
      </c>
      <c r="AS35" s="156">
        <f>CF35+CG35</f>
        <v>78463</v>
      </c>
      <c r="AT35" s="155">
        <v>2475</v>
      </c>
      <c r="AU35" s="155">
        <v>22483</v>
      </c>
      <c r="AV35" s="155">
        <v>20113</v>
      </c>
      <c r="AW35" s="155">
        <v>27956</v>
      </c>
      <c r="AX35" s="155">
        <v>32339</v>
      </c>
      <c r="AY35" s="155">
        <v>25335</v>
      </c>
      <c r="AZ35" s="155">
        <v>4035</v>
      </c>
      <c r="BA35" s="155">
        <v>53758</v>
      </c>
      <c r="BB35" s="155">
        <v>41834</v>
      </c>
      <c r="BC35" s="155">
        <v>75698</v>
      </c>
      <c r="BD35" s="155">
        <v>67520</v>
      </c>
      <c r="BE35" s="155">
        <v>26160</v>
      </c>
      <c r="BF35" s="552">
        <v>63405</v>
      </c>
      <c r="BG35" s="155">
        <v>1448</v>
      </c>
      <c r="BH35" s="155">
        <v>2581</v>
      </c>
      <c r="BI35" s="155">
        <v>38067</v>
      </c>
      <c r="BJ35" s="155">
        <v>14607</v>
      </c>
      <c r="BK35" s="155">
        <v>1829</v>
      </c>
      <c r="BL35" s="155">
        <v>2907</v>
      </c>
      <c r="BM35" s="155">
        <v>45526</v>
      </c>
      <c r="BN35" s="155">
        <v>38680</v>
      </c>
      <c r="BO35" s="155">
        <v>994</v>
      </c>
      <c r="BP35" s="155">
        <v>17792</v>
      </c>
      <c r="BQ35" s="155">
        <v>19564</v>
      </c>
      <c r="BR35" s="552">
        <v>18752</v>
      </c>
      <c r="BS35" s="155">
        <v>3458</v>
      </c>
      <c r="BT35" s="155">
        <v>48692</v>
      </c>
      <c r="BU35" s="155">
        <v>22230</v>
      </c>
      <c r="BV35" s="155">
        <v>55914</v>
      </c>
      <c r="BW35" s="155">
        <v>29873</v>
      </c>
      <c r="BX35" s="155">
        <v>38254</v>
      </c>
      <c r="BY35" s="155">
        <v>23957</v>
      </c>
      <c r="BZ35" s="155">
        <v>33003</v>
      </c>
      <c r="CA35" s="155">
        <v>22750</v>
      </c>
      <c r="CB35" s="552">
        <v>38061</v>
      </c>
      <c r="CC35" s="155">
        <v>44221</v>
      </c>
      <c r="CD35" s="155">
        <v>20031</v>
      </c>
      <c r="CE35" s="155">
        <v>34459</v>
      </c>
      <c r="CF35" s="155">
        <v>4669</v>
      </c>
      <c r="CG35" s="155">
        <v>73794</v>
      </c>
      <c r="CH35" s="155">
        <v>75205</v>
      </c>
      <c r="CI35" s="155">
        <v>33060</v>
      </c>
      <c r="CJ35" s="155">
        <v>85956</v>
      </c>
      <c r="CK35" s="156">
        <v>54619</v>
      </c>
      <c r="CL35" s="320">
        <v>1408063</v>
      </c>
    </row>
    <row r="36" spans="1:90">
      <c r="A36" s="80">
        <f>ROWS($A$3:A34)</f>
        <v>32</v>
      </c>
      <c r="B36" s="92" t="s">
        <v>72</v>
      </c>
      <c r="C36" s="203"/>
      <c r="D36" s="259" t="s">
        <v>1</v>
      </c>
      <c r="E36" s="483">
        <v>44431</v>
      </c>
      <c r="F36" s="154">
        <v>306738</v>
      </c>
      <c r="G36" s="155">
        <v>137003</v>
      </c>
      <c r="H36" s="155">
        <v>136880</v>
      </c>
      <c r="I36" s="156">
        <v>229660</v>
      </c>
      <c r="J36" s="281"/>
      <c r="K36" s="154">
        <f>BF36</f>
        <v>33645</v>
      </c>
      <c r="L36" s="155">
        <f>AY36</f>
        <v>11146</v>
      </c>
      <c r="M36" s="155">
        <f>BD36</f>
        <v>57915</v>
      </c>
      <c r="N36" s="155">
        <f>AW36</f>
        <v>12209</v>
      </c>
      <c r="O36" s="155">
        <f>BE36</f>
        <v>17142</v>
      </c>
      <c r="P36" s="155">
        <f t="shared" ref="P36:P39" si="111">AZ36+BA36</f>
        <v>43263</v>
      </c>
      <c r="Q36" s="155">
        <f t="shared" ref="Q36:Q39" si="112">AU36</f>
        <v>15160</v>
      </c>
      <c r="R36" s="155">
        <f t="shared" si="108"/>
        <v>25566</v>
      </c>
      <c r="S36" s="155">
        <f>AV36</f>
        <v>9929</v>
      </c>
      <c r="T36" s="155">
        <f t="shared" si="109"/>
        <v>30920</v>
      </c>
      <c r="U36" s="552">
        <f t="shared" si="109"/>
        <v>49842</v>
      </c>
      <c r="V36" s="155">
        <f>BG36+BJ36</f>
        <v>9873</v>
      </c>
      <c r="W36" s="155">
        <f>BR36</f>
        <v>9051</v>
      </c>
      <c r="X36" s="155">
        <f>BH36+BI36</f>
        <v>30651</v>
      </c>
      <c r="Y36" s="155">
        <f>BK36+BL36+BN36</f>
        <v>33761</v>
      </c>
      <c r="Z36" s="155">
        <f>BM36</f>
        <v>33511</v>
      </c>
      <c r="AA36" s="155">
        <f>BO36+BQ36</f>
        <v>11989</v>
      </c>
      <c r="AB36" s="552">
        <f>BP36</f>
        <v>8166</v>
      </c>
      <c r="AC36" s="155">
        <f>BX36</f>
        <v>15053</v>
      </c>
      <c r="AD36" s="155">
        <f>BU36</f>
        <v>10096</v>
      </c>
      <c r="AE36" s="155">
        <f>BS36+BT36</f>
        <v>19908</v>
      </c>
      <c r="AF36" s="155">
        <f>CA36</f>
        <v>6652</v>
      </c>
      <c r="AG36" s="155">
        <f>BV36</f>
        <v>27536</v>
      </c>
      <c r="AH36" s="155">
        <f>BZ36</f>
        <v>18252</v>
      </c>
      <c r="AI36" s="155">
        <f>BW36</f>
        <v>16432</v>
      </c>
      <c r="AJ36" s="155">
        <f>BY36</f>
        <v>8379</v>
      </c>
      <c r="AK36" s="552">
        <f>CB36</f>
        <v>14572</v>
      </c>
      <c r="AL36" s="155">
        <f>CE36</f>
        <v>12270</v>
      </c>
      <c r="AM36" s="155">
        <f>CH36</f>
        <v>50709</v>
      </c>
      <c r="AN36" s="155">
        <f>CJ36</f>
        <v>27058</v>
      </c>
      <c r="AO36" s="155">
        <f t="shared" si="110"/>
        <v>20507</v>
      </c>
      <c r="AP36" s="155">
        <f t="shared" si="110"/>
        <v>12618</v>
      </c>
      <c r="AQ36" s="155">
        <f>CK36</f>
        <v>34421</v>
      </c>
      <c r="AR36" s="155">
        <f>CI36</f>
        <v>13412</v>
      </c>
      <c r="AS36" s="156">
        <f>CF36+CG36</f>
        <v>58666</v>
      </c>
      <c r="AT36" s="155">
        <v>1453</v>
      </c>
      <c r="AU36" s="155">
        <v>15160</v>
      </c>
      <c r="AV36" s="155">
        <v>9929</v>
      </c>
      <c r="AW36" s="155">
        <v>12209</v>
      </c>
      <c r="AX36" s="155">
        <v>24113</v>
      </c>
      <c r="AY36" s="155">
        <v>11146</v>
      </c>
      <c r="AZ36" s="155">
        <v>3089</v>
      </c>
      <c r="BA36" s="155">
        <v>40174</v>
      </c>
      <c r="BB36" s="155">
        <v>30920</v>
      </c>
      <c r="BC36" s="155">
        <v>49842</v>
      </c>
      <c r="BD36" s="155">
        <v>57915</v>
      </c>
      <c r="BE36" s="155">
        <v>17142</v>
      </c>
      <c r="BF36" s="552">
        <v>33645</v>
      </c>
      <c r="BG36" s="155">
        <v>506</v>
      </c>
      <c r="BH36" s="155">
        <v>1810</v>
      </c>
      <c r="BI36" s="155">
        <v>28841</v>
      </c>
      <c r="BJ36" s="155">
        <v>9367</v>
      </c>
      <c r="BK36" s="155">
        <v>1512</v>
      </c>
      <c r="BL36" s="155">
        <v>2342</v>
      </c>
      <c r="BM36" s="155">
        <v>33511</v>
      </c>
      <c r="BN36" s="155">
        <v>29907</v>
      </c>
      <c r="BO36" s="155">
        <v>530</v>
      </c>
      <c r="BP36" s="155">
        <v>8166</v>
      </c>
      <c r="BQ36" s="155">
        <v>11459</v>
      </c>
      <c r="BR36" s="552">
        <v>9051</v>
      </c>
      <c r="BS36" s="155">
        <v>1628</v>
      </c>
      <c r="BT36" s="155">
        <v>18280</v>
      </c>
      <c r="BU36" s="155">
        <v>10096</v>
      </c>
      <c r="BV36" s="155">
        <v>27536</v>
      </c>
      <c r="BW36" s="155">
        <v>16432</v>
      </c>
      <c r="BX36" s="155">
        <v>15053</v>
      </c>
      <c r="BY36" s="155">
        <v>8379</v>
      </c>
      <c r="BZ36" s="155">
        <v>18252</v>
      </c>
      <c r="CA36" s="155">
        <v>6652</v>
      </c>
      <c r="CB36" s="552">
        <v>14572</v>
      </c>
      <c r="CC36" s="155">
        <v>20507</v>
      </c>
      <c r="CD36" s="155">
        <v>12618</v>
      </c>
      <c r="CE36" s="155">
        <v>12270</v>
      </c>
      <c r="CF36" s="155">
        <v>3992</v>
      </c>
      <c r="CG36" s="155">
        <v>54674</v>
      </c>
      <c r="CH36" s="155">
        <v>50709</v>
      </c>
      <c r="CI36" s="155">
        <v>13412</v>
      </c>
      <c r="CJ36" s="155">
        <v>27058</v>
      </c>
      <c r="CK36" s="156">
        <v>34421</v>
      </c>
      <c r="CL36" s="320">
        <v>810280</v>
      </c>
    </row>
    <row r="37" spans="1:90">
      <c r="A37" s="80">
        <f>ROWS($A$3:A35)</f>
        <v>33</v>
      </c>
      <c r="B37" s="92" t="s">
        <v>6</v>
      </c>
      <c r="C37" s="203"/>
      <c r="D37" s="259" t="s">
        <v>1</v>
      </c>
      <c r="E37" s="483">
        <v>44431</v>
      </c>
      <c r="F37" s="154">
        <v>140541</v>
      </c>
      <c r="G37" s="155">
        <v>61059</v>
      </c>
      <c r="H37" s="155">
        <v>159294</v>
      </c>
      <c r="I37" s="156">
        <v>185835</v>
      </c>
      <c r="J37" s="281"/>
      <c r="K37" s="154">
        <f>BF37</f>
        <v>29241</v>
      </c>
      <c r="L37" s="155">
        <f>AY37</f>
        <v>12427</v>
      </c>
      <c r="M37" s="155">
        <f>BD37</f>
        <v>8616</v>
      </c>
      <c r="N37" s="155">
        <f>AW37</f>
        <v>15599</v>
      </c>
      <c r="O37" s="155">
        <f>BE37</f>
        <v>8993</v>
      </c>
      <c r="P37" s="155">
        <f t="shared" si="111"/>
        <v>7388</v>
      </c>
      <c r="Q37" s="155">
        <f t="shared" si="112"/>
        <v>7231</v>
      </c>
      <c r="R37" s="155">
        <f t="shared" si="108"/>
        <v>6438</v>
      </c>
      <c r="S37" s="155">
        <f>AV37</f>
        <v>9784</v>
      </c>
      <c r="T37" s="155">
        <f t="shared" si="109"/>
        <v>9210</v>
      </c>
      <c r="U37" s="552">
        <f t="shared" si="109"/>
        <v>25614</v>
      </c>
      <c r="V37" s="155">
        <f>BG37+BJ37</f>
        <v>5198</v>
      </c>
      <c r="W37" s="155">
        <f>BR37</f>
        <v>9690</v>
      </c>
      <c r="X37" s="155">
        <f>BH37+BI37</f>
        <v>8894</v>
      </c>
      <c r="Y37" s="155">
        <f>BK37+BN37</f>
        <v>7825</v>
      </c>
      <c r="Z37" s="155">
        <f>BM37</f>
        <v>11017</v>
      </c>
      <c r="AA37" s="155">
        <f>BQ37</f>
        <v>7841</v>
      </c>
      <c r="AB37" s="552">
        <f>BP37</f>
        <v>9573</v>
      </c>
      <c r="AC37" s="155">
        <f>BX37</f>
        <v>23170</v>
      </c>
      <c r="AD37" s="155">
        <f>BU37</f>
        <v>9582</v>
      </c>
      <c r="AE37" s="155">
        <f>BS37+BT37</f>
        <v>25055</v>
      </c>
      <c r="AF37" s="155">
        <f>CA37</f>
        <v>14625</v>
      </c>
      <c r="AG37" s="155">
        <f>BV37</f>
        <v>21040</v>
      </c>
      <c r="AH37" s="155">
        <f>BZ37</f>
        <v>13596</v>
      </c>
      <c r="AI37" s="155">
        <f>BW37</f>
        <v>13414</v>
      </c>
      <c r="AJ37" s="155">
        <f>BY37</f>
        <v>15568</v>
      </c>
      <c r="AK37" s="552">
        <f>CB37</f>
        <v>23243</v>
      </c>
      <c r="AL37" s="155">
        <f>CE37</f>
        <v>22049</v>
      </c>
      <c r="AM37" s="155">
        <f>CH37</f>
        <v>24321</v>
      </c>
      <c r="AN37" s="155">
        <f>CJ37</f>
        <v>57064</v>
      </c>
      <c r="AO37" s="155">
        <f t="shared" si="110"/>
        <v>23591</v>
      </c>
      <c r="AP37" s="155">
        <f t="shared" si="110"/>
        <v>7352</v>
      </c>
      <c r="AQ37" s="155">
        <f>CK37</f>
        <v>20116</v>
      </c>
      <c r="AR37" s="155">
        <f>CI37</f>
        <v>11681</v>
      </c>
      <c r="AS37" s="156">
        <f>CF37+CG37</f>
        <v>19660</v>
      </c>
      <c r="AT37" s="155">
        <v>569</v>
      </c>
      <c r="AU37" s="155">
        <v>7231</v>
      </c>
      <c r="AV37" s="155">
        <v>9784</v>
      </c>
      <c r="AW37" s="155">
        <v>15599</v>
      </c>
      <c r="AX37" s="155">
        <v>5869</v>
      </c>
      <c r="AY37" s="155">
        <v>12427</v>
      </c>
      <c r="AZ37" s="155">
        <v>241</v>
      </c>
      <c r="BA37" s="155">
        <v>7147</v>
      </c>
      <c r="BB37" s="155">
        <v>9210</v>
      </c>
      <c r="BC37" s="155">
        <v>25614</v>
      </c>
      <c r="BD37" s="155">
        <v>8616</v>
      </c>
      <c r="BE37" s="155">
        <v>8993</v>
      </c>
      <c r="BF37" s="552">
        <v>29241</v>
      </c>
      <c r="BG37" s="155">
        <v>688</v>
      </c>
      <c r="BH37" s="155">
        <v>668</v>
      </c>
      <c r="BI37" s="155">
        <v>8226</v>
      </c>
      <c r="BJ37" s="155">
        <v>4510</v>
      </c>
      <c r="BK37" s="155">
        <v>231</v>
      </c>
      <c r="BL37" s="155" t="s">
        <v>304</v>
      </c>
      <c r="BM37" s="155">
        <v>11017</v>
      </c>
      <c r="BN37" s="155">
        <v>7594</v>
      </c>
      <c r="BO37" s="155" t="s">
        <v>304</v>
      </c>
      <c r="BP37" s="155">
        <v>9573</v>
      </c>
      <c r="BQ37" s="155">
        <v>7841</v>
      </c>
      <c r="BR37" s="552">
        <v>9690</v>
      </c>
      <c r="BS37" s="155">
        <v>935</v>
      </c>
      <c r="BT37" s="155">
        <v>24120</v>
      </c>
      <c r="BU37" s="155">
        <v>9582</v>
      </c>
      <c r="BV37" s="155">
        <v>21040</v>
      </c>
      <c r="BW37" s="155">
        <v>13414</v>
      </c>
      <c r="BX37" s="155">
        <v>23170</v>
      </c>
      <c r="BY37" s="155">
        <v>15568</v>
      </c>
      <c r="BZ37" s="155">
        <v>13596</v>
      </c>
      <c r="CA37" s="155">
        <v>14625</v>
      </c>
      <c r="CB37" s="552">
        <v>23243</v>
      </c>
      <c r="CC37" s="155">
        <v>23591</v>
      </c>
      <c r="CD37" s="155">
        <v>7352</v>
      </c>
      <c r="CE37" s="155">
        <v>22049</v>
      </c>
      <c r="CF37" s="155">
        <v>661</v>
      </c>
      <c r="CG37" s="155">
        <v>18999</v>
      </c>
      <c r="CH37" s="155">
        <v>24321</v>
      </c>
      <c r="CI37" s="155">
        <v>11681</v>
      </c>
      <c r="CJ37" s="155">
        <v>57064</v>
      </c>
      <c r="CK37" s="156">
        <v>20116</v>
      </c>
      <c r="CL37" s="320">
        <v>546729</v>
      </c>
    </row>
    <row r="38" spans="1:90">
      <c r="A38" s="80">
        <f>ROWS($A$3:A36)</f>
        <v>34</v>
      </c>
      <c r="B38" s="92" t="s">
        <v>244</v>
      </c>
      <c r="C38" s="203"/>
      <c r="D38" s="259" t="s">
        <v>1</v>
      </c>
      <c r="E38" s="483">
        <v>44431</v>
      </c>
      <c r="F38" s="154">
        <v>3467</v>
      </c>
      <c r="G38" s="155">
        <v>1267</v>
      </c>
      <c r="H38" s="155">
        <v>7122</v>
      </c>
      <c r="I38" s="156">
        <v>9217</v>
      </c>
      <c r="J38" s="281"/>
      <c r="K38" s="154">
        <f>BF38</f>
        <v>18</v>
      </c>
      <c r="L38" s="155">
        <f>AY38</f>
        <v>508</v>
      </c>
      <c r="M38" s="155">
        <f>BD38</f>
        <v>80</v>
      </c>
      <c r="N38" s="155">
        <f>AW38</f>
        <v>104</v>
      </c>
      <c r="O38" s="155">
        <f>BE38</f>
        <v>4</v>
      </c>
      <c r="P38" s="155">
        <f t="shared" si="111"/>
        <v>1012</v>
      </c>
      <c r="Q38" s="155">
        <f t="shared" si="112"/>
        <v>63</v>
      </c>
      <c r="R38" s="155">
        <f t="shared" si="108"/>
        <v>533</v>
      </c>
      <c r="S38" s="155">
        <f>AV38</f>
        <v>157</v>
      </c>
      <c r="T38" s="155">
        <f t="shared" si="109"/>
        <v>797</v>
      </c>
      <c r="U38" s="552">
        <f t="shared" si="109"/>
        <v>190</v>
      </c>
      <c r="V38" s="155">
        <f>BG38+BJ38</f>
        <v>403</v>
      </c>
      <c r="W38" s="155">
        <f>BR38</f>
        <v>4</v>
      </c>
      <c r="X38" s="155">
        <f>BI38</f>
        <v>157</v>
      </c>
      <c r="Y38" s="155">
        <f>BN38</f>
        <v>369</v>
      </c>
      <c r="Z38" s="155">
        <f>BM38</f>
        <v>197</v>
      </c>
      <c r="AA38" s="155">
        <f>BQ38</f>
        <v>25</v>
      </c>
      <c r="AB38" s="552">
        <f>BP38</f>
        <v>3</v>
      </c>
      <c r="AC38" s="155" t="str">
        <f>BX38</f>
        <v>.</v>
      </c>
      <c r="AD38" s="155">
        <f>BU38</f>
        <v>557</v>
      </c>
      <c r="AE38" s="155">
        <f>BS38+BT38</f>
        <v>798</v>
      </c>
      <c r="AF38" s="155">
        <f>CA38</f>
        <v>601</v>
      </c>
      <c r="AG38" s="155">
        <f>BV38</f>
        <v>4014</v>
      </c>
      <c r="AH38" s="155">
        <f>BZ38</f>
        <v>1014</v>
      </c>
      <c r="AI38" s="155" t="str">
        <f>BW38</f>
        <v>.</v>
      </c>
      <c r="AJ38" s="155" t="str">
        <f>BY38</f>
        <v>–</v>
      </c>
      <c r="AK38" s="552">
        <f>CB38</f>
        <v>117</v>
      </c>
      <c r="AL38" s="155">
        <f>CE38</f>
        <v>7</v>
      </c>
      <c r="AM38" s="155">
        <f>CH38</f>
        <v>38</v>
      </c>
      <c r="AN38" s="155">
        <f>CJ38</f>
        <v>1675</v>
      </c>
      <c r="AO38" s="155">
        <f t="shared" si="110"/>
        <v>54</v>
      </c>
      <c r="AP38" s="155">
        <f t="shared" si="110"/>
        <v>41</v>
      </c>
      <c r="AQ38" s="155">
        <f>CK38</f>
        <v>21</v>
      </c>
      <c r="AR38" s="155">
        <f>CI38</f>
        <v>7320</v>
      </c>
      <c r="AS38" s="156">
        <f>CF38+CG38</f>
        <v>62</v>
      </c>
      <c r="AT38" s="155">
        <v>62</v>
      </c>
      <c r="AU38" s="155">
        <v>63</v>
      </c>
      <c r="AV38" s="155">
        <v>157</v>
      </c>
      <c r="AW38" s="155">
        <v>104</v>
      </c>
      <c r="AX38" s="155">
        <v>471</v>
      </c>
      <c r="AY38" s="155">
        <v>508</v>
      </c>
      <c r="AZ38" s="155">
        <v>52</v>
      </c>
      <c r="BA38" s="155">
        <v>960</v>
      </c>
      <c r="BB38" s="155">
        <v>797</v>
      </c>
      <c r="BC38" s="155">
        <v>190</v>
      </c>
      <c r="BD38" s="155">
        <v>80</v>
      </c>
      <c r="BE38" s="155">
        <v>4</v>
      </c>
      <c r="BF38" s="552">
        <v>18</v>
      </c>
      <c r="BG38" s="155">
        <v>24</v>
      </c>
      <c r="BH38" s="155" t="s">
        <v>304</v>
      </c>
      <c r="BI38" s="155">
        <v>157</v>
      </c>
      <c r="BJ38" s="155">
        <v>379</v>
      </c>
      <c r="BK38" s="155">
        <v>26</v>
      </c>
      <c r="BL38" s="155" t="s">
        <v>304</v>
      </c>
      <c r="BM38" s="155">
        <v>197</v>
      </c>
      <c r="BN38" s="155">
        <v>369</v>
      </c>
      <c r="BO38" s="155" t="s">
        <v>304</v>
      </c>
      <c r="BP38" s="155">
        <v>3</v>
      </c>
      <c r="BQ38" s="155">
        <v>25</v>
      </c>
      <c r="BR38" s="552">
        <v>4</v>
      </c>
      <c r="BS38" s="155">
        <v>53</v>
      </c>
      <c r="BT38" s="155">
        <v>745</v>
      </c>
      <c r="BU38" s="155">
        <v>557</v>
      </c>
      <c r="BV38" s="155">
        <v>4014</v>
      </c>
      <c r="BW38" s="155" t="s">
        <v>304</v>
      </c>
      <c r="BX38" s="155" t="s">
        <v>304</v>
      </c>
      <c r="BY38" s="155" t="s">
        <v>41</v>
      </c>
      <c r="BZ38" s="155">
        <v>1014</v>
      </c>
      <c r="CA38" s="155">
        <v>601</v>
      </c>
      <c r="CB38" s="552">
        <v>117</v>
      </c>
      <c r="CC38" s="155">
        <v>54</v>
      </c>
      <c r="CD38" s="155">
        <v>41</v>
      </c>
      <c r="CE38" s="155">
        <v>7</v>
      </c>
      <c r="CF38" s="155">
        <v>3</v>
      </c>
      <c r="CG38" s="155">
        <v>59</v>
      </c>
      <c r="CH38" s="155">
        <v>38</v>
      </c>
      <c r="CI38" s="155">
        <v>7320</v>
      </c>
      <c r="CJ38" s="155">
        <v>1675</v>
      </c>
      <c r="CK38" s="156">
        <v>21</v>
      </c>
      <c r="CL38" s="320">
        <v>21073</v>
      </c>
    </row>
    <row r="39" spans="1:90">
      <c r="A39" s="80">
        <f>ROWS($A$3:A37)</f>
        <v>35</v>
      </c>
      <c r="B39" s="92" t="s">
        <v>245</v>
      </c>
      <c r="C39" s="203"/>
      <c r="D39" s="259" t="s">
        <v>1</v>
      </c>
      <c r="E39" s="483">
        <v>44431</v>
      </c>
      <c r="F39" s="154">
        <v>10797</v>
      </c>
      <c r="G39" s="155">
        <v>2270</v>
      </c>
      <c r="H39" s="155">
        <v>11791</v>
      </c>
      <c r="I39" s="156">
        <v>608</v>
      </c>
      <c r="J39" s="281"/>
      <c r="K39" s="154" t="str">
        <f>BF39</f>
        <v>–</v>
      </c>
      <c r="L39" s="155">
        <f>AY39</f>
        <v>1157</v>
      </c>
      <c r="M39" s="155">
        <f>BD39</f>
        <v>742</v>
      </c>
      <c r="N39" s="155" t="str">
        <f>AW39</f>
        <v>.</v>
      </c>
      <c r="O39" s="155" t="str">
        <f>BE39</f>
        <v>–</v>
      </c>
      <c r="P39" s="155">
        <f t="shared" si="111"/>
        <v>5792</v>
      </c>
      <c r="Q39" s="155" t="str">
        <f t="shared" si="112"/>
        <v>–</v>
      </c>
      <c r="R39" s="155">
        <f t="shared" si="108"/>
        <v>2132</v>
      </c>
      <c r="S39" s="155">
        <f>AV39</f>
        <v>132</v>
      </c>
      <c r="T39" s="155">
        <f t="shared" si="109"/>
        <v>842</v>
      </c>
      <c r="U39" s="552" t="str">
        <f t="shared" si="109"/>
        <v>.</v>
      </c>
      <c r="V39" s="155">
        <f>BG39+BJ39</f>
        <v>518</v>
      </c>
      <c r="W39" s="155" t="str">
        <f>BR39</f>
        <v>.</v>
      </c>
      <c r="X39" s="155">
        <f>BI39</f>
        <v>794</v>
      </c>
      <c r="Y39" s="155">
        <f>BN39</f>
        <v>672</v>
      </c>
      <c r="Z39" s="155" t="str">
        <f>BM39</f>
        <v>.</v>
      </c>
      <c r="AA39" s="155">
        <f>BQ39</f>
        <v>220</v>
      </c>
      <c r="AB39" s="552" t="str">
        <f>BP39</f>
        <v>–</v>
      </c>
      <c r="AC39" s="155" t="str">
        <f>BX39</f>
        <v>–</v>
      </c>
      <c r="AD39" s="155">
        <f>BU39</f>
        <v>1878</v>
      </c>
      <c r="AE39" s="155">
        <f>BT39</f>
        <v>5459</v>
      </c>
      <c r="AF39" s="155">
        <f>CA39</f>
        <v>804</v>
      </c>
      <c r="AG39" s="155">
        <f>BV39</f>
        <v>2684</v>
      </c>
      <c r="AH39" s="155">
        <f>BZ39</f>
        <v>67</v>
      </c>
      <c r="AI39" s="155" t="str">
        <f>BW39</f>
        <v>–</v>
      </c>
      <c r="AJ39" s="155" t="str">
        <f>BY39</f>
        <v>–</v>
      </c>
      <c r="AK39" s="552">
        <f>CB39</f>
        <v>69</v>
      </c>
      <c r="AL39" s="155" t="str">
        <f>CE39</f>
        <v>–</v>
      </c>
      <c r="AM39" s="155" t="str">
        <f>CH39</f>
        <v>.</v>
      </c>
      <c r="AN39" s="155" t="str">
        <f>CJ39</f>
        <v>.</v>
      </c>
      <c r="AO39" s="155">
        <f t="shared" si="110"/>
        <v>24</v>
      </c>
      <c r="AP39" s="155" t="str">
        <f t="shared" si="110"/>
        <v>.</v>
      </c>
      <c r="AQ39" s="155" t="str">
        <f>CK39</f>
        <v>–</v>
      </c>
      <c r="AR39" s="155">
        <f>CI39</f>
        <v>571</v>
      </c>
      <c r="AS39" s="156" t="str">
        <f>CG39</f>
        <v>–</v>
      </c>
      <c r="AT39" s="155">
        <v>360</v>
      </c>
      <c r="AU39" s="155" t="s">
        <v>41</v>
      </c>
      <c r="AV39" s="155">
        <v>132</v>
      </c>
      <c r="AW39" s="155" t="s">
        <v>304</v>
      </c>
      <c r="AX39" s="155">
        <v>1772</v>
      </c>
      <c r="AY39" s="155">
        <v>1157</v>
      </c>
      <c r="AZ39" s="155">
        <v>609</v>
      </c>
      <c r="BA39" s="155">
        <v>5183</v>
      </c>
      <c r="BB39" s="155">
        <v>842</v>
      </c>
      <c r="BC39" s="155" t="s">
        <v>304</v>
      </c>
      <c r="BD39" s="155">
        <v>742</v>
      </c>
      <c r="BE39" s="155" t="s">
        <v>41</v>
      </c>
      <c r="BF39" s="552" t="s">
        <v>41</v>
      </c>
      <c r="BG39" s="155">
        <v>203</v>
      </c>
      <c r="BH39" s="155" t="s">
        <v>304</v>
      </c>
      <c r="BI39" s="155">
        <v>794</v>
      </c>
      <c r="BJ39" s="155">
        <v>315</v>
      </c>
      <c r="BK39" s="155">
        <v>56</v>
      </c>
      <c r="BL39" s="155" t="s">
        <v>41</v>
      </c>
      <c r="BM39" s="155" t="s">
        <v>304</v>
      </c>
      <c r="BN39" s="155">
        <v>672</v>
      </c>
      <c r="BO39" s="155" t="s">
        <v>41</v>
      </c>
      <c r="BP39" s="155" t="s">
        <v>41</v>
      </c>
      <c r="BQ39" s="155">
        <v>220</v>
      </c>
      <c r="BR39" s="552" t="s">
        <v>304</v>
      </c>
      <c r="BS39" s="155">
        <v>829</v>
      </c>
      <c r="BT39" s="155">
        <v>5459</v>
      </c>
      <c r="BU39" s="155">
        <v>1878</v>
      </c>
      <c r="BV39" s="155">
        <v>2684</v>
      </c>
      <c r="BW39" s="155" t="s">
        <v>41</v>
      </c>
      <c r="BX39" s="155" t="s">
        <v>41</v>
      </c>
      <c r="BY39" s="155" t="s">
        <v>41</v>
      </c>
      <c r="BZ39" s="155">
        <v>67</v>
      </c>
      <c r="CA39" s="155">
        <v>804</v>
      </c>
      <c r="CB39" s="552">
        <v>69</v>
      </c>
      <c r="CC39" s="155">
        <v>24</v>
      </c>
      <c r="CD39" s="155" t="s">
        <v>304</v>
      </c>
      <c r="CE39" s="155" t="s">
        <v>41</v>
      </c>
      <c r="CF39" s="155" t="s">
        <v>41</v>
      </c>
      <c r="CG39" s="155" t="s">
        <v>41</v>
      </c>
      <c r="CH39" s="155" t="s">
        <v>304</v>
      </c>
      <c r="CI39" s="155">
        <v>571</v>
      </c>
      <c r="CJ39" s="155" t="s">
        <v>304</v>
      </c>
      <c r="CK39" s="156" t="s">
        <v>41</v>
      </c>
      <c r="CL39" s="320">
        <v>25465</v>
      </c>
    </row>
    <row r="40" spans="1:90">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c r="A41" s="80">
        <f>ROWS($A$3:A39)</f>
        <v>37</v>
      </c>
      <c r="B41" s="92" t="s">
        <v>73</v>
      </c>
      <c r="C41" s="584">
        <v>2022</v>
      </c>
      <c r="D41" s="259" t="s">
        <v>7</v>
      </c>
      <c r="E41" s="483">
        <v>45110</v>
      </c>
      <c r="F41" s="477">
        <v>277034</v>
      </c>
      <c r="G41" s="477">
        <v>75092</v>
      </c>
      <c r="H41" s="477">
        <v>191415</v>
      </c>
      <c r="I41" s="477">
        <v>368926</v>
      </c>
      <c r="J41" s="281"/>
      <c r="K41" s="154">
        <f t="shared" ref="K41:K54" si="113">BF41</f>
        <v>68042</v>
      </c>
      <c r="L41" s="155">
        <f t="shared" ref="L41:L54" si="114">AY41</f>
        <v>20342</v>
      </c>
      <c r="M41" s="155">
        <f t="shared" ref="M41:M54" si="115">BD41</f>
        <v>17310</v>
      </c>
      <c r="N41" s="155">
        <f t="shared" ref="N41:N54" si="116">AW41</f>
        <v>29675</v>
      </c>
      <c r="O41" s="155">
        <f t="shared" ref="O41:O54" si="117">BE41</f>
        <v>19160</v>
      </c>
      <c r="P41" s="155">
        <f>AZ41+BA41</f>
        <v>11815</v>
      </c>
      <c r="Q41" s="155">
        <f>AU41</f>
        <v>9245</v>
      </c>
      <c r="R41" s="155">
        <f t="shared" si="108"/>
        <v>11936</v>
      </c>
      <c r="S41" s="155">
        <f t="shared" ref="S41:S54" si="118">AV41</f>
        <v>8170</v>
      </c>
      <c r="T41" s="155">
        <f t="shared" ref="T41:U54" si="119">BB41</f>
        <v>21767</v>
      </c>
      <c r="U41" s="552">
        <f t="shared" si="119"/>
        <v>59572</v>
      </c>
      <c r="V41" s="155">
        <f>BG41+BJ41</f>
        <v>2288</v>
      </c>
      <c r="W41" s="155">
        <f t="shared" ref="W41:W54" si="120">BR41</f>
        <v>11515</v>
      </c>
      <c r="X41" s="155">
        <f>BH41+BI41</f>
        <v>5449</v>
      </c>
      <c r="Y41" s="155">
        <f>BK41+BL41+BN41</f>
        <v>11090</v>
      </c>
      <c r="Z41" s="155">
        <f t="shared" ref="Z41:Z54" si="121">BM41</f>
        <v>21205</v>
      </c>
      <c r="AA41" s="155">
        <f>BO41+BQ41</f>
        <v>10445</v>
      </c>
      <c r="AB41" s="552">
        <f t="shared" ref="AB41:AB54" si="122">BP41</f>
        <v>13100</v>
      </c>
      <c r="AC41" s="155">
        <f t="shared" ref="AC41:AC54" si="123">BX41</f>
        <v>29590</v>
      </c>
      <c r="AD41" s="155">
        <f t="shared" ref="AD41:AD54" si="124">BU41</f>
        <v>12380</v>
      </c>
      <c r="AE41" s="155">
        <f>BS41+BT41</f>
        <v>26354</v>
      </c>
      <c r="AF41" s="155">
        <f t="shared" ref="AF41:AF54" si="125">CA41</f>
        <v>13082</v>
      </c>
      <c r="AG41" s="155">
        <f t="shared" ref="AG41:AG54" si="126">BV41</f>
        <v>25367</v>
      </c>
      <c r="AH41" s="155">
        <f t="shared" ref="AH41:AH54" si="127">BZ41</f>
        <v>22620</v>
      </c>
      <c r="AI41" s="155">
        <f t="shared" ref="AI41:AI54" si="128">BW41</f>
        <v>15058</v>
      </c>
      <c r="AJ41" s="155">
        <f t="shared" ref="AJ41:AJ54" si="129">BY41</f>
        <v>15147</v>
      </c>
      <c r="AK41" s="552">
        <f t="shared" ref="AK41:AK54" si="130">CB41</f>
        <v>31817</v>
      </c>
      <c r="AL41" s="155">
        <f t="shared" ref="AL41:AL54" si="131">CE41</f>
        <v>15139</v>
      </c>
      <c r="AM41" s="155">
        <f t="shared" ref="AM41:AM54" si="132">CH41</f>
        <v>82884</v>
      </c>
      <c r="AN41" s="155">
        <f t="shared" ref="AN41:AN54" si="133">CJ41</f>
        <v>132743</v>
      </c>
      <c r="AO41" s="155">
        <f t="shared" ref="AO41:AP54" si="134">CC41</f>
        <v>26180</v>
      </c>
      <c r="AP41" s="155">
        <f t="shared" si="134"/>
        <v>5875</v>
      </c>
      <c r="AQ41" s="155">
        <f t="shared" ref="AQ41:AQ54" si="135">CK41</f>
        <v>34411</v>
      </c>
      <c r="AR41" s="155">
        <f t="shared" ref="AR41:AR54" si="136">CI41</f>
        <v>20623</v>
      </c>
      <c r="AS41" s="156">
        <f>CF41+CG41</f>
        <v>51071</v>
      </c>
      <c r="AT41" s="477">
        <v>781</v>
      </c>
      <c r="AU41" s="477">
        <v>9245</v>
      </c>
      <c r="AV41" s="477">
        <v>8170</v>
      </c>
      <c r="AW41" s="477">
        <v>29675</v>
      </c>
      <c r="AX41" s="477">
        <v>11155</v>
      </c>
      <c r="AY41" s="477">
        <v>20342</v>
      </c>
      <c r="AZ41" s="477">
        <v>370</v>
      </c>
      <c r="BA41" s="477">
        <v>11445</v>
      </c>
      <c r="BB41" s="477">
        <v>21767</v>
      </c>
      <c r="BC41" s="477">
        <v>59572</v>
      </c>
      <c r="BD41" s="477">
        <v>17310</v>
      </c>
      <c r="BE41" s="477">
        <v>19160</v>
      </c>
      <c r="BF41" s="477">
        <v>68042</v>
      </c>
      <c r="BG41" s="477">
        <v>257</v>
      </c>
      <c r="BH41" s="477">
        <v>292</v>
      </c>
      <c r="BI41" s="477">
        <v>5157</v>
      </c>
      <c r="BJ41" s="477">
        <v>2031</v>
      </c>
      <c r="BK41" s="477">
        <v>276</v>
      </c>
      <c r="BL41" s="477">
        <v>32</v>
      </c>
      <c r="BM41" s="477">
        <v>21205</v>
      </c>
      <c r="BN41" s="477">
        <v>10782</v>
      </c>
      <c r="BO41" s="477">
        <v>119</v>
      </c>
      <c r="BP41" s="477">
        <v>13100</v>
      </c>
      <c r="BQ41" s="477">
        <v>10326</v>
      </c>
      <c r="BR41" s="477">
        <v>11515</v>
      </c>
      <c r="BS41" s="477">
        <v>559</v>
      </c>
      <c r="BT41" s="477">
        <v>25795</v>
      </c>
      <c r="BU41" s="477">
        <v>12380</v>
      </c>
      <c r="BV41" s="477">
        <v>25367</v>
      </c>
      <c r="BW41" s="477">
        <v>15058</v>
      </c>
      <c r="BX41" s="477">
        <v>29590</v>
      </c>
      <c r="BY41" s="477">
        <v>15147</v>
      </c>
      <c r="BZ41" s="477">
        <v>22620</v>
      </c>
      <c r="CA41" s="477">
        <v>13082</v>
      </c>
      <c r="CB41" s="477">
        <v>31817</v>
      </c>
      <c r="CC41" s="477">
        <v>26180</v>
      </c>
      <c r="CD41" s="477">
        <v>5875</v>
      </c>
      <c r="CE41" s="477">
        <v>15139</v>
      </c>
      <c r="CF41" s="477">
        <v>2501</v>
      </c>
      <c r="CG41" s="477">
        <v>48570</v>
      </c>
      <c r="CH41" s="477">
        <v>82884</v>
      </c>
      <c r="CI41" s="477">
        <v>20623</v>
      </c>
      <c r="CJ41" s="477">
        <v>132743</v>
      </c>
      <c r="CK41" s="477">
        <v>34411</v>
      </c>
      <c r="CL41" s="477">
        <v>912467</v>
      </c>
    </row>
    <row r="42" spans="1:90">
      <c r="A42" s="80">
        <f>ROWS($A$3:A40)</f>
        <v>38</v>
      </c>
      <c r="B42" s="92" t="s">
        <v>305</v>
      </c>
      <c r="C42" s="584">
        <v>2022</v>
      </c>
      <c r="D42" s="259" t="s">
        <v>7</v>
      </c>
      <c r="E42" s="483">
        <v>45110</v>
      </c>
      <c r="F42" s="477">
        <v>104767</v>
      </c>
      <c r="G42" s="477">
        <v>27628</v>
      </c>
      <c r="H42" s="477">
        <v>78956</v>
      </c>
      <c r="I42" s="477">
        <v>157842</v>
      </c>
      <c r="J42" s="281"/>
      <c r="K42" s="154">
        <f t="shared" si="113"/>
        <v>26920</v>
      </c>
      <c r="L42" s="155">
        <f t="shared" si="114"/>
        <v>8060</v>
      </c>
      <c r="M42" s="155">
        <f t="shared" si="115"/>
        <v>6523</v>
      </c>
      <c r="N42" s="155">
        <f t="shared" si="116"/>
        <v>11853</v>
      </c>
      <c r="O42" s="155">
        <f t="shared" si="117"/>
        <v>6892</v>
      </c>
      <c r="P42" s="155">
        <f>'2022'!BA42</f>
        <v>3761</v>
      </c>
      <c r="Q42" s="155">
        <f>'2022'!AU42</f>
        <v>3640</v>
      </c>
      <c r="R42" s="155">
        <f>AX42</f>
        <v>4218</v>
      </c>
      <c r="S42" s="155">
        <f t="shared" si="118"/>
        <v>2895</v>
      </c>
      <c r="T42" s="155">
        <f t="shared" si="119"/>
        <v>8539</v>
      </c>
      <c r="U42" s="552">
        <f t="shared" si="119"/>
        <v>21038</v>
      </c>
      <c r="V42" s="155">
        <f>BJ42</f>
        <v>685</v>
      </c>
      <c r="W42" s="155">
        <f t="shared" si="120"/>
        <v>4713</v>
      </c>
      <c r="X42" s="155">
        <f>BI42</f>
        <v>1907</v>
      </c>
      <c r="Y42" s="155">
        <f>BN42</f>
        <v>3715</v>
      </c>
      <c r="Z42" s="155">
        <f t="shared" si="121"/>
        <v>7595</v>
      </c>
      <c r="AA42" s="155">
        <f>BQ42</f>
        <v>3470</v>
      </c>
      <c r="AB42" s="552">
        <f t="shared" si="122"/>
        <v>5239</v>
      </c>
      <c r="AC42" s="155">
        <f t="shared" si="123"/>
        <v>13520</v>
      </c>
      <c r="AD42" s="155">
        <f t="shared" si="124"/>
        <v>4192</v>
      </c>
      <c r="AE42" s="155">
        <f>BS42+BT42</f>
        <v>12216</v>
      </c>
      <c r="AF42" s="155">
        <f t="shared" si="125"/>
        <v>5353</v>
      </c>
      <c r="AG42" s="155">
        <f t="shared" si="126"/>
        <v>9449</v>
      </c>
      <c r="AH42" s="155">
        <f t="shared" si="127"/>
        <v>9055</v>
      </c>
      <c r="AI42" s="155">
        <f t="shared" si="128"/>
        <v>5322</v>
      </c>
      <c r="AJ42" s="155">
        <f t="shared" si="129"/>
        <v>6687</v>
      </c>
      <c r="AK42" s="552">
        <f t="shared" si="130"/>
        <v>13162</v>
      </c>
      <c r="AL42" s="155">
        <f t="shared" si="131"/>
        <v>5954</v>
      </c>
      <c r="AM42" s="155">
        <f t="shared" si="132"/>
        <v>32478</v>
      </c>
      <c r="AN42" s="155">
        <f t="shared" si="133"/>
        <v>66096</v>
      </c>
      <c r="AO42" s="155">
        <f t="shared" si="134"/>
        <v>8653</v>
      </c>
      <c r="AP42" s="155">
        <f t="shared" si="134"/>
        <v>1988</v>
      </c>
      <c r="AQ42" s="155">
        <f t="shared" si="135"/>
        <v>14532</v>
      </c>
      <c r="AR42" s="155">
        <f t="shared" si="136"/>
        <v>8952</v>
      </c>
      <c r="AS42" s="156">
        <f>CF42+CG42</f>
        <v>19189</v>
      </c>
      <c r="AT42" s="477" t="s">
        <v>304</v>
      </c>
      <c r="AU42" s="477">
        <v>3640</v>
      </c>
      <c r="AV42" s="477">
        <v>2895</v>
      </c>
      <c r="AW42" s="477">
        <v>11853</v>
      </c>
      <c r="AX42" s="477">
        <v>4218</v>
      </c>
      <c r="AY42" s="477">
        <v>8060</v>
      </c>
      <c r="AZ42" s="477" t="s">
        <v>304</v>
      </c>
      <c r="BA42" s="477">
        <v>3761</v>
      </c>
      <c r="BB42" s="477">
        <v>8539</v>
      </c>
      <c r="BC42" s="477">
        <v>21038</v>
      </c>
      <c r="BD42" s="477">
        <v>6523</v>
      </c>
      <c r="BE42" s="477">
        <v>6892</v>
      </c>
      <c r="BF42" s="477">
        <v>26920</v>
      </c>
      <c r="BG42" s="477">
        <v>92</v>
      </c>
      <c r="BH42" s="477" t="s">
        <v>304</v>
      </c>
      <c r="BI42" s="477">
        <v>1907</v>
      </c>
      <c r="BJ42" s="477">
        <v>685</v>
      </c>
      <c r="BK42" s="477">
        <v>80</v>
      </c>
      <c r="BL42" s="477">
        <v>8</v>
      </c>
      <c r="BM42" s="477">
        <v>7595</v>
      </c>
      <c r="BN42" s="477">
        <v>3715</v>
      </c>
      <c r="BO42" s="477" t="s">
        <v>304</v>
      </c>
      <c r="BP42" s="477">
        <v>5239</v>
      </c>
      <c r="BQ42" s="477">
        <v>3470</v>
      </c>
      <c r="BR42" s="477">
        <v>4713</v>
      </c>
      <c r="BS42" s="477">
        <v>212</v>
      </c>
      <c r="BT42" s="477">
        <v>12004</v>
      </c>
      <c r="BU42" s="477">
        <v>4192</v>
      </c>
      <c r="BV42" s="477">
        <v>9449</v>
      </c>
      <c r="BW42" s="477">
        <v>5322</v>
      </c>
      <c r="BX42" s="477">
        <v>13520</v>
      </c>
      <c r="BY42" s="477">
        <v>6687</v>
      </c>
      <c r="BZ42" s="477">
        <v>9055</v>
      </c>
      <c r="CA42" s="477">
        <v>5353</v>
      </c>
      <c r="CB42" s="477">
        <v>13162</v>
      </c>
      <c r="CC42" s="477">
        <v>8653</v>
      </c>
      <c r="CD42" s="477">
        <v>1988</v>
      </c>
      <c r="CE42" s="477">
        <v>5954</v>
      </c>
      <c r="CF42" s="477">
        <v>1180</v>
      </c>
      <c r="CG42" s="477">
        <v>18009</v>
      </c>
      <c r="CH42" s="477">
        <v>32478</v>
      </c>
      <c r="CI42" s="477">
        <v>8952</v>
      </c>
      <c r="CJ42" s="477">
        <v>66096</v>
      </c>
      <c r="CK42" s="477">
        <v>14532</v>
      </c>
      <c r="CL42" s="477">
        <v>369193</v>
      </c>
    </row>
    <row r="43" spans="1:90">
      <c r="A43" s="80">
        <f>ROWS($A$3:A41)</f>
        <v>39</v>
      </c>
      <c r="B43" s="92" t="s">
        <v>14</v>
      </c>
      <c r="C43" s="584">
        <v>2022</v>
      </c>
      <c r="D43" s="259" t="s">
        <v>7</v>
      </c>
      <c r="E43" s="483">
        <v>45110</v>
      </c>
      <c r="F43" s="477">
        <v>90576</v>
      </c>
      <c r="G43" s="477">
        <v>20869</v>
      </c>
      <c r="H43" s="477">
        <v>58252</v>
      </c>
      <c r="I43" s="477">
        <v>145099</v>
      </c>
      <c r="J43" s="281"/>
      <c r="K43" s="154">
        <f>BF43</f>
        <v>23527</v>
      </c>
      <c r="L43" s="155">
        <f>AY43</f>
        <v>6639</v>
      </c>
      <c r="M43" s="155">
        <f>BD43</f>
        <v>5551</v>
      </c>
      <c r="N43" s="155">
        <f>AW43</f>
        <v>10484</v>
      </c>
      <c r="O43" s="155">
        <f>BE43</f>
        <v>6349</v>
      </c>
      <c r="P43" s="155">
        <f>'2022'!BA43</f>
        <v>3043</v>
      </c>
      <c r="Q43" s="155">
        <f>'2022'!AU43</f>
        <v>2975</v>
      </c>
      <c r="R43" s="155">
        <f>AX43</f>
        <v>3943</v>
      </c>
      <c r="S43" s="155">
        <f>AV43</f>
        <v>1931</v>
      </c>
      <c r="T43" s="155">
        <f>BB43</f>
        <v>7341</v>
      </c>
      <c r="U43" s="552">
        <f>BC43</f>
        <v>18425</v>
      </c>
      <c r="V43" s="155">
        <f>BJ43</f>
        <v>112</v>
      </c>
      <c r="W43" s="155">
        <f>BR43</f>
        <v>3808</v>
      </c>
      <c r="X43" s="155">
        <f>BI43</f>
        <v>1245</v>
      </c>
      <c r="Y43" s="155">
        <f>BN43</f>
        <v>2697</v>
      </c>
      <c r="Z43" s="155">
        <f>BM43</f>
        <v>6381</v>
      </c>
      <c r="AA43" s="155">
        <f>BQ43</f>
        <v>2570</v>
      </c>
      <c r="AB43" s="552">
        <f>BP43</f>
        <v>4019</v>
      </c>
      <c r="AC43" s="155">
        <f>BX43</f>
        <v>11603</v>
      </c>
      <c r="AD43" s="155">
        <f>BU43</f>
        <v>2582</v>
      </c>
      <c r="AE43" s="155">
        <f>BS43+BT43</f>
        <v>8644</v>
      </c>
      <c r="AF43" s="155">
        <f>CA43</f>
        <v>2594</v>
      </c>
      <c r="AG43" s="155">
        <f>BV43</f>
        <v>5641</v>
      </c>
      <c r="AH43" s="155">
        <f>BZ43</f>
        <v>7868</v>
      </c>
      <c r="AI43" s="155">
        <f>BW43</f>
        <v>3809</v>
      </c>
      <c r="AJ43" s="155">
        <f>BY43</f>
        <v>5607</v>
      </c>
      <c r="AK43" s="552">
        <f>CB43</f>
        <v>9904</v>
      </c>
      <c r="AL43" s="155">
        <f>CE43</f>
        <v>3773</v>
      </c>
      <c r="AM43" s="155">
        <f>CH43</f>
        <v>30483</v>
      </c>
      <c r="AN43" s="155">
        <f>CJ43</f>
        <v>63750</v>
      </c>
      <c r="AO43" s="155">
        <f>CC43</f>
        <v>7334</v>
      </c>
      <c r="AP43" s="155">
        <f>CD43</f>
        <v>1300</v>
      </c>
      <c r="AQ43" s="155">
        <f>CK43</f>
        <v>12908</v>
      </c>
      <c r="AR43" s="155">
        <f>CI43</f>
        <v>7943</v>
      </c>
      <c r="AS43" s="156">
        <f>CF43+CG43</f>
        <v>17608</v>
      </c>
      <c r="AT43" s="477" t="s">
        <v>304</v>
      </c>
      <c r="AU43" s="477">
        <v>2975</v>
      </c>
      <c r="AV43" s="477">
        <v>1931</v>
      </c>
      <c r="AW43" s="477">
        <v>10484</v>
      </c>
      <c r="AX43" s="477">
        <v>3943</v>
      </c>
      <c r="AY43" s="477">
        <v>6639</v>
      </c>
      <c r="AZ43" s="477" t="s">
        <v>304</v>
      </c>
      <c r="BA43" s="477">
        <v>3043</v>
      </c>
      <c r="BB43" s="477">
        <v>7341</v>
      </c>
      <c r="BC43" s="477">
        <v>18425</v>
      </c>
      <c r="BD43" s="477">
        <v>5551</v>
      </c>
      <c r="BE43" s="477">
        <v>6349</v>
      </c>
      <c r="BF43" s="477">
        <v>23527</v>
      </c>
      <c r="BG43" s="477" t="s">
        <v>41</v>
      </c>
      <c r="BH43" s="477" t="s">
        <v>304</v>
      </c>
      <c r="BI43" s="477">
        <v>1245</v>
      </c>
      <c r="BJ43" s="477">
        <v>112</v>
      </c>
      <c r="BK43" s="477" t="s">
        <v>41</v>
      </c>
      <c r="BL43" s="477" t="s">
        <v>41</v>
      </c>
      <c r="BM43" s="477">
        <v>6381</v>
      </c>
      <c r="BN43" s="477">
        <v>2697</v>
      </c>
      <c r="BO43" s="477" t="s">
        <v>304</v>
      </c>
      <c r="BP43" s="477">
        <v>4019</v>
      </c>
      <c r="BQ43" s="477">
        <v>2570</v>
      </c>
      <c r="BR43" s="477">
        <v>3808</v>
      </c>
      <c r="BS43" s="477">
        <v>89</v>
      </c>
      <c r="BT43" s="477">
        <v>8555</v>
      </c>
      <c r="BU43" s="477">
        <v>2582</v>
      </c>
      <c r="BV43" s="477">
        <v>5641</v>
      </c>
      <c r="BW43" s="477">
        <v>3809</v>
      </c>
      <c r="BX43" s="477">
        <v>11603</v>
      </c>
      <c r="BY43" s="477">
        <v>5607</v>
      </c>
      <c r="BZ43" s="477">
        <v>7868</v>
      </c>
      <c r="CA43" s="477">
        <v>2594</v>
      </c>
      <c r="CB43" s="477">
        <v>9904</v>
      </c>
      <c r="CC43" s="477">
        <v>7334</v>
      </c>
      <c r="CD43" s="477">
        <v>1300</v>
      </c>
      <c r="CE43" s="477">
        <v>3773</v>
      </c>
      <c r="CF43" s="477">
        <v>1142</v>
      </c>
      <c r="CG43" s="477">
        <v>16466</v>
      </c>
      <c r="CH43" s="477">
        <v>30483</v>
      </c>
      <c r="CI43" s="477">
        <v>7943</v>
      </c>
      <c r="CJ43" s="477">
        <v>63750</v>
      </c>
      <c r="CK43" s="477">
        <v>12908</v>
      </c>
      <c r="CL43" s="477">
        <v>314796</v>
      </c>
    </row>
    <row r="44" spans="1:90">
      <c r="A44" s="80">
        <f>ROWS($A$3:A42)</f>
        <v>40</v>
      </c>
      <c r="B44" s="388" t="s">
        <v>20</v>
      </c>
      <c r="C44" s="584">
        <v>2022</v>
      </c>
      <c r="D44" s="259" t="s">
        <v>241</v>
      </c>
      <c r="E44" s="483">
        <v>45110</v>
      </c>
      <c r="F44" s="154">
        <f>IF(ISERROR(F43/F123)=TRUE,"*",F43/F123)</f>
        <v>59.589473684210525</v>
      </c>
      <c r="G44" s="155">
        <f>IF(ISERROR(G43/G123)=TRUE,"*",G43/G123)</f>
        <v>65.83280757097792</v>
      </c>
      <c r="H44" s="155">
        <f>IF(ISERROR(H43/H123)=TRUE,"*",H43/H123)</f>
        <v>42.613021214337969</v>
      </c>
      <c r="I44" s="156">
        <f>IF(ISERROR(I43/I123)=TRUE,"*",I43/I123)</f>
        <v>63.807827616534738</v>
      </c>
      <c r="J44" s="281"/>
      <c r="K44" s="154">
        <f t="shared" ref="K44:BV44" si="137">IF(ISERROR(K43/K123)=TRUE,"*",K43/K123)</f>
        <v>62.571808510638299</v>
      </c>
      <c r="L44" s="155">
        <f t="shared" si="137"/>
        <v>51.465116279069768</v>
      </c>
      <c r="M44" s="155">
        <f t="shared" si="137"/>
        <v>52.367924528301884</v>
      </c>
      <c r="N44" s="155">
        <f t="shared" si="137"/>
        <v>63.539393939393939</v>
      </c>
      <c r="O44" s="155">
        <f t="shared" si="137"/>
        <v>62.861386138613859</v>
      </c>
      <c r="P44" s="155">
        <f t="shared" si="137"/>
        <v>55.327272727272728</v>
      </c>
      <c r="Q44" s="155">
        <f t="shared" si="137"/>
        <v>64.673913043478265</v>
      </c>
      <c r="R44" s="155">
        <f t="shared" si="137"/>
        <v>53.283783783783782</v>
      </c>
      <c r="S44" s="155">
        <f t="shared" si="137"/>
        <v>42.911111111111111</v>
      </c>
      <c r="T44" s="155">
        <f t="shared" si="137"/>
        <v>63.28448275862069</v>
      </c>
      <c r="U44" s="552">
        <f t="shared" si="137"/>
        <v>60.016286644951137</v>
      </c>
      <c r="V44" s="155">
        <f t="shared" si="137"/>
        <v>16</v>
      </c>
      <c r="W44" s="155">
        <f t="shared" si="137"/>
        <v>65.65517241379311</v>
      </c>
      <c r="X44" s="155">
        <f t="shared" si="137"/>
        <v>69.166666666666671</v>
      </c>
      <c r="Y44" s="155">
        <f t="shared" si="137"/>
        <v>67.424999999999997</v>
      </c>
      <c r="Z44" s="155">
        <f t="shared" si="137"/>
        <v>69.358695652173907</v>
      </c>
      <c r="AA44" s="155">
        <f t="shared" si="137"/>
        <v>59.767441860465119</v>
      </c>
      <c r="AB44" s="552">
        <f t="shared" si="137"/>
        <v>68.118644067796609</v>
      </c>
      <c r="AC44" s="155">
        <f t="shared" si="137"/>
        <v>41.587813620071685</v>
      </c>
      <c r="AD44" s="155">
        <f t="shared" si="137"/>
        <v>29.678160919540229</v>
      </c>
      <c r="AE44" s="155">
        <f t="shared" si="137"/>
        <v>31.205776173285198</v>
      </c>
      <c r="AF44" s="155">
        <f t="shared" si="137"/>
        <v>35.534246575342465</v>
      </c>
      <c r="AG44" s="155">
        <f t="shared" si="137"/>
        <v>30.165775401069517</v>
      </c>
      <c r="AH44" s="155">
        <f t="shared" si="137"/>
        <v>62.444444444444443</v>
      </c>
      <c r="AI44" s="155">
        <f t="shared" si="137"/>
        <v>39.677083333333336</v>
      </c>
      <c r="AJ44" s="155">
        <f t="shared" si="137"/>
        <v>83.68656716417911</v>
      </c>
      <c r="AK44" s="552">
        <f t="shared" si="137"/>
        <v>56.594285714285711</v>
      </c>
      <c r="AL44" s="155">
        <f t="shared" si="137"/>
        <v>82.021739130434781</v>
      </c>
      <c r="AM44" s="155">
        <f t="shared" si="137"/>
        <v>66.411764705882348</v>
      </c>
      <c r="AN44" s="155">
        <f t="shared" si="137"/>
        <v>63.056379821958458</v>
      </c>
      <c r="AO44" s="155">
        <f t="shared" si="137"/>
        <v>69.188679245283012</v>
      </c>
      <c r="AP44" s="155">
        <f t="shared" si="137"/>
        <v>76.470588235294116</v>
      </c>
      <c r="AQ44" s="155">
        <f t="shared" si="137"/>
        <v>69.026737967914443</v>
      </c>
      <c r="AR44" s="155">
        <f t="shared" si="137"/>
        <v>50.916666666666664</v>
      </c>
      <c r="AS44" s="156">
        <f t="shared" si="137"/>
        <v>60.301369863013697</v>
      </c>
      <c r="AT44" s="155" t="str">
        <f t="shared" si="137"/>
        <v>*</v>
      </c>
      <c r="AU44" s="155">
        <f t="shared" si="137"/>
        <v>64.673913043478265</v>
      </c>
      <c r="AV44" s="155">
        <f t="shared" si="137"/>
        <v>42.911111111111111</v>
      </c>
      <c r="AW44" s="155">
        <f t="shared" si="137"/>
        <v>63.539393939393939</v>
      </c>
      <c r="AX44" s="155">
        <f t="shared" si="137"/>
        <v>61.609375</v>
      </c>
      <c r="AY44" s="155">
        <f t="shared" si="137"/>
        <v>51.465116279069768</v>
      </c>
      <c r="AZ44" s="155" t="str">
        <f t="shared" si="137"/>
        <v>*</v>
      </c>
      <c r="BA44" s="155">
        <f t="shared" si="137"/>
        <v>56.351851851851855</v>
      </c>
      <c r="BB44" s="155">
        <f t="shared" si="137"/>
        <v>63.28448275862069</v>
      </c>
      <c r="BC44" s="155">
        <f t="shared" si="137"/>
        <v>60.016286644951137</v>
      </c>
      <c r="BD44" s="155">
        <f t="shared" si="137"/>
        <v>52.367924528301884</v>
      </c>
      <c r="BE44" s="155">
        <f t="shared" si="137"/>
        <v>62.861386138613859</v>
      </c>
      <c r="BF44" s="552">
        <f t="shared" si="137"/>
        <v>62.571808510638299</v>
      </c>
      <c r="BG44" s="155" t="str">
        <f t="shared" si="137"/>
        <v>*</v>
      </c>
      <c r="BH44" s="155" t="str">
        <f t="shared" si="137"/>
        <v>*</v>
      </c>
      <c r="BI44" s="155">
        <f t="shared" si="137"/>
        <v>77.8125</v>
      </c>
      <c r="BJ44" s="155">
        <f t="shared" si="137"/>
        <v>16</v>
      </c>
      <c r="BK44" s="155" t="str">
        <f t="shared" si="137"/>
        <v>*</v>
      </c>
      <c r="BL44" s="155" t="str">
        <f t="shared" si="137"/>
        <v>*</v>
      </c>
      <c r="BM44" s="155">
        <f t="shared" si="137"/>
        <v>69.358695652173907</v>
      </c>
      <c r="BN44" s="155">
        <f t="shared" si="137"/>
        <v>67.424999999999997</v>
      </c>
      <c r="BO44" s="155" t="str">
        <f t="shared" si="137"/>
        <v>*</v>
      </c>
      <c r="BP44" s="155">
        <f t="shared" si="137"/>
        <v>68.118644067796609</v>
      </c>
      <c r="BQ44" s="155">
        <f t="shared" si="137"/>
        <v>61.19047619047619</v>
      </c>
      <c r="BR44" s="552">
        <f t="shared" si="137"/>
        <v>65.65517241379311</v>
      </c>
      <c r="BS44" s="155">
        <f t="shared" si="137"/>
        <v>22.25</v>
      </c>
      <c r="BT44" s="155">
        <f t="shared" si="137"/>
        <v>31.336996336996336</v>
      </c>
      <c r="BU44" s="155">
        <f t="shared" si="137"/>
        <v>29.678160919540229</v>
      </c>
      <c r="BV44" s="155">
        <f t="shared" si="137"/>
        <v>30.165775401069517</v>
      </c>
      <c r="BW44" s="155">
        <f t="shared" ref="BW44:CL44" si="138">IF(ISERROR(BW43/BW123)=TRUE,"*",BW43/BW123)</f>
        <v>39.677083333333336</v>
      </c>
      <c r="BX44" s="155">
        <f t="shared" si="138"/>
        <v>41.587813620071685</v>
      </c>
      <c r="BY44" s="155">
        <f t="shared" si="138"/>
        <v>83.68656716417911</v>
      </c>
      <c r="BZ44" s="155">
        <f t="shared" si="138"/>
        <v>62.444444444444443</v>
      </c>
      <c r="CA44" s="155">
        <f t="shared" si="138"/>
        <v>35.534246575342465</v>
      </c>
      <c r="CB44" s="552">
        <f t="shared" si="138"/>
        <v>56.594285714285711</v>
      </c>
      <c r="CC44" s="155">
        <f t="shared" si="138"/>
        <v>69.188679245283012</v>
      </c>
      <c r="CD44" s="155">
        <f t="shared" si="138"/>
        <v>76.470588235294116</v>
      </c>
      <c r="CE44" s="155">
        <f t="shared" si="138"/>
        <v>82.021739130434781</v>
      </c>
      <c r="CF44" s="155">
        <f t="shared" si="138"/>
        <v>87.84615384615384</v>
      </c>
      <c r="CG44" s="155">
        <f t="shared" si="138"/>
        <v>59.017921146953405</v>
      </c>
      <c r="CH44" s="155">
        <f t="shared" si="138"/>
        <v>66.411764705882348</v>
      </c>
      <c r="CI44" s="155">
        <f t="shared" si="138"/>
        <v>50.916666666666664</v>
      </c>
      <c r="CJ44" s="155">
        <f t="shared" si="138"/>
        <v>63.056379821958458</v>
      </c>
      <c r="CK44" s="156">
        <f t="shared" si="138"/>
        <v>69.026737967914443</v>
      </c>
      <c r="CL44" s="320">
        <f t="shared" si="138"/>
        <v>57.465498357064625</v>
      </c>
    </row>
    <row r="45" spans="1:90">
      <c r="A45" s="80">
        <f>ROWS($A$3:A43)</f>
        <v>41</v>
      </c>
      <c r="B45" s="92" t="s">
        <v>74</v>
      </c>
      <c r="C45" s="202">
        <v>2020</v>
      </c>
      <c r="D45" s="259" t="s">
        <v>7</v>
      </c>
      <c r="E45" s="483">
        <v>44379</v>
      </c>
      <c r="F45" s="154">
        <v>915009</v>
      </c>
      <c r="G45" s="155">
        <v>68743</v>
      </c>
      <c r="H45" s="155">
        <v>103557</v>
      </c>
      <c r="I45" s="156">
        <v>583100</v>
      </c>
      <c r="J45" s="281"/>
      <c r="K45" s="154">
        <f t="shared" si="113"/>
        <v>135241</v>
      </c>
      <c r="L45" s="155">
        <f t="shared" si="114"/>
        <v>9447</v>
      </c>
      <c r="M45" s="155">
        <f t="shared" si="115"/>
        <v>107656</v>
      </c>
      <c r="N45" s="155">
        <f t="shared" si="116"/>
        <v>22867</v>
      </c>
      <c r="O45" s="155">
        <f t="shared" si="117"/>
        <v>35904</v>
      </c>
      <c r="P45" s="806">
        <f>IF(ISERROR(AZ45+BA45),BA45,AZ45+BA45)</f>
        <v>21541</v>
      </c>
      <c r="Q45" s="155">
        <f>'2022'!AU45</f>
        <v>16637</v>
      </c>
      <c r="R45" s="806">
        <f>IF(ISERROR(AT45+AX45),AX45,AT45+AX45)</f>
        <v>28484</v>
      </c>
      <c r="S45" s="155" t="str">
        <f t="shared" si="118"/>
        <v>.</v>
      </c>
      <c r="T45" s="155">
        <f t="shared" si="119"/>
        <v>132742</v>
      </c>
      <c r="U45" s="552">
        <f t="shared" si="119"/>
        <v>398991</v>
      </c>
      <c r="V45" s="806">
        <f>IF(ISERROR(BG45+BJ45),BJ45,(BG45+BJ45))</f>
        <v>3148</v>
      </c>
      <c r="W45" s="155">
        <f t="shared" si="120"/>
        <v>10582</v>
      </c>
      <c r="X45" s="806">
        <f>IF(ISERROR(BH45+BI45),BI45,(BH45+BI45))</f>
        <v>2127</v>
      </c>
      <c r="Y45" s="806">
        <f>IF(ISERROR(BK45+BL45+BN45),BN45,(BK45+BL45+BN45))</f>
        <v>12433</v>
      </c>
      <c r="Z45" s="155">
        <f t="shared" si="121"/>
        <v>30622</v>
      </c>
      <c r="AA45" s="806">
        <f>IF(ISERROR(BO45+BQ45),BQ45,(BO45+BQ45))</f>
        <v>3983</v>
      </c>
      <c r="AB45" s="552">
        <f t="shared" si="122"/>
        <v>4177</v>
      </c>
      <c r="AC45" s="155">
        <f t="shared" si="123"/>
        <v>18403</v>
      </c>
      <c r="AD45" s="155">
        <f t="shared" si="124"/>
        <v>2058</v>
      </c>
      <c r="AE45" s="806">
        <f>IF(ISERROR(BS45+BT45),BT45,(BS45+BT45))</f>
        <v>6129</v>
      </c>
      <c r="AF45" s="155" t="str">
        <f t="shared" si="125"/>
        <v>.</v>
      </c>
      <c r="AG45" s="155">
        <f t="shared" si="126"/>
        <v>21690</v>
      </c>
      <c r="AH45" s="155">
        <f t="shared" si="127"/>
        <v>11262</v>
      </c>
      <c r="AI45" s="155">
        <f t="shared" si="128"/>
        <v>25878</v>
      </c>
      <c r="AJ45" s="155">
        <f t="shared" si="129"/>
        <v>6860</v>
      </c>
      <c r="AK45" s="552">
        <f t="shared" si="130"/>
        <v>9101</v>
      </c>
      <c r="AL45" s="155">
        <f t="shared" si="131"/>
        <v>6555</v>
      </c>
      <c r="AM45" s="155">
        <f t="shared" si="132"/>
        <v>155679</v>
      </c>
      <c r="AN45" s="155">
        <f t="shared" si="133"/>
        <v>45759</v>
      </c>
      <c r="AO45" s="155">
        <f t="shared" si="134"/>
        <v>19032</v>
      </c>
      <c r="AP45" s="155">
        <f t="shared" si="134"/>
        <v>10505</v>
      </c>
      <c r="AQ45" s="155">
        <f t="shared" si="135"/>
        <v>97988</v>
      </c>
      <c r="AR45" s="155">
        <f t="shared" si="136"/>
        <v>11792</v>
      </c>
      <c r="AS45" s="156">
        <f>CF45+CG45</f>
        <v>235790</v>
      </c>
      <c r="AT45" s="155" t="s">
        <v>41</v>
      </c>
      <c r="AU45" s="155">
        <v>16637</v>
      </c>
      <c r="AV45" s="155" t="s">
        <v>304</v>
      </c>
      <c r="AW45" s="155">
        <v>22867</v>
      </c>
      <c r="AX45" s="155">
        <v>28484</v>
      </c>
      <c r="AY45" s="155">
        <v>9447</v>
      </c>
      <c r="AZ45" s="155" t="s">
        <v>304</v>
      </c>
      <c r="BA45" s="155">
        <v>21541</v>
      </c>
      <c r="BB45" s="155">
        <v>132742</v>
      </c>
      <c r="BC45" s="155">
        <v>398991</v>
      </c>
      <c r="BD45" s="776">
        <v>107656</v>
      </c>
      <c r="BE45" s="776">
        <v>35904</v>
      </c>
      <c r="BF45" s="804">
        <v>135241</v>
      </c>
      <c r="BG45" s="155" t="s">
        <v>41</v>
      </c>
      <c r="BH45" s="155" t="s">
        <v>304</v>
      </c>
      <c r="BI45" s="155">
        <v>2127</v>
      </c>
      <c r="BJ45" s="155">
        <v>3148</v>
      </c>
      <c r="BK45" s="155" t="s">
        <v>304</v>
      </c>
      <c r="BL45" s="155" t="s">
        <v>304</v>
      </c>
      <c r="BM45" s="155">
        <v>30622</v>
      </c>
      <c r="BN45" s="155">
        <v>12433</v>
      </c>
      <c r="BO45" s="155" t="s">
        <v>304</v>
      </c>
      <c r="BP45" s="155">
        <v>4177</v>
      </c>
      <c r="BQ45" s="155">
        <v>3983</v>
      </c>
      <c r="BR45" s="804">
        <v>10582</v>
      </c>
      <c r="BS45" s="805" t="s">
        <v>304</v>
      </c>
      <c r="BT45" s="155">
        <v>6129</v>
      </c>
      <c r="BU45" s="155">
        <v>2058</v>
      </c>
      <c r="BV45" s="155">
        <v>21690</v>
      </c>
      <c r="BW45" s="155">
        <v>25878</v>
      </c>
      <c r="BX45" s="155">
        <v>18403</v>
      </c>
      <c r="BY45" s="155">
        <v>6860</v>
      </c>
      <c r="BZ45" s="155">
        <v>11262</v>
      </c>
      <c r="CA45" s="155" t="s">
        <v>304</v>
      </c>
      <c r="CB45" s="552">
        <v>9101</v>
      </c>
      <c r="CC45" s="155">
        <v>19032</v>
      </c>
      <c r="CD45" s="155">
        <v>10505</v>
      </c>
      <c r="CE45" s="155">
        <v>6555</v>
      </c>
      <c r="CF45" s="155">
        <v>12117</v>
      </c>
      <c r="CG45" s="155">
        <v>223673</v>
      </c>
      <c r="CH45" s="155">
        <v>155679</v>
      </c>
      <c r="CI45" s="155">
        <v>11792</v>
      </c>
      <c r="CJ45" s="155">
        <v>45759</v>
      </c>
      <c r="CK45" s="156">
        <v>97988</v>
      </c>
      <c r="CL45" s="320">
        <v>1670409</v>
      </c>
    </row>
    <row r="46" spans="1:90">
      <c r="A46" s="80">
        <f>ROWS($A$3:A44)</f>
        <v>42</v>
      </c>
      <c r="B46" s="92" t="s">
        <v>8</v>
      </c>
      <c r="C46" s="203"/>
      <c r="D46" s="259" t="s">
        <v>7</v>
      </c>
      <c r="E46" s="483">
        <v>44379</v>
      </c>
      <c r="F46" s="154">
        <v>80943</v>
      </c>
      <c r="G46" s="155">
        <v>3583</v>
      </c>
      <c r="H46" s="155">
        <v>8315</v>
      </c>
      <c r="I46" s="156">
        <v>43624</v>
      </c>
      <c r="J46" s="281"/>
      <c r="K46" s="154">
        <f t="shared" si="113"/>
        <v>14887</v>
      </c>
      <c r="L46" s="155" t="str">
        <f t="shared" si="114"/>
        <v>.</v>
      </c>
      <c r="M46" s="155">
        <f t="shared" si="115"/>
        <v>9605</v>
      </c>
      <c r="N46" s="155">
        <f t="shared" si="116"/>
        <v>2330</v>
      </c>
      <c r="O46" s="155">
        <f t="shared" si="117"/>
        <v>1908</v>
      </c>
      <c r="P46" s="806">
        <f>IF(ISERROR(AZ46+BA46),BA46,AZ46+BA46)</f>
        <v>1712</v>
      </c>
      <c r="Q46" s="155">
        <f>'2022'!AU46</f>
        <v>1225</v>
      </c>
      <c r="R46" s="806">
        <f>IF(ISERROR(AT46+AX46),AX46,AT46+AX46)</f>
        <v>1946</v>
      </c>
      <c r="S46" s="155" t="str">
        <f t="shared" si="118"/>
        <v>.</v>
      </c>
      <c r="T46" s="155">
        <f t="shared" si="119"/>
        <v>12736</v>
      </c>
      <c r="U46" s="552">
        <f t="shared" si="119"/>
        <v>33599</v>
      </c>
      <c r="V46" s="806" t="str">
        <f>IF(ISERROR(BG46+BJ46),BJ46,(BG46+BJ46))</f>
        <v>.</v>
      </c>
      <c r="W46" s="155">
        <f t="shared" si="120"/>
        <v>863</v>
      </c>
      <c r="X46" s="806" t="str">
        <f>IF(ISERROR(BH46+BI46),BI46,(BH46+BI46))</f>
        <v>.</v>
      </c>
      <c r="Y46" s="806">
        <f>IF(ISERROR(BK46+BL46+BN46),BN46,(BK46+BL46+BN46))</f>
        <v>816</v>
      </c>
      <c r="Z46" s="155">
        <f t="shared" si="121"/>
        <v>1333</v>
      </c>
      <c r="AA46" s="806" t="str">
        <f>IF(ISERROR(BO46+BQ46),BQ46,(BO46+BQ46))</f>
        <v>.</v>
      </c>
      <c r="AB46" s="552">
        <f t="shared" si="122"/>
        <v>288</v>
      </c>
      <c r="AC46" s="155">
        <f t="shared" si="123"/>
        <v>1449</v>
      </c>
      <c r="AD46" s="155" t="str">
        <f t="shared" si="124"/>
        <v>.</v>
      </c>
      <c r="AE46" s="806">
        <f>IF(ISERROR(BS46+BT46),BT46,(BS46+BT46))</f>
        <v>338</v>
      </c>
      <c r="AF46" s="155" t="str">
        <f t="shared" si="125"/>
        <v>.</v>
      </c>
      <c r="AG46" s="155">
        <f t="shared" si="126"/>
        <v>1945</v>
      </c>
      <c r="AH46" s="155">
        <f t="shared" si="127"/>
        <v>851</v>
      </c>
      <c r="AI46" s="155">
        <f t="shared" si="128"/>
        <v>1802</v>
      </c>
      <c r="AJ46" s="155">
        <f t="shared" si="129"/>
        <v>1055</v>
      </c>
      <c r="AK46" s="552">
        <f t="shared" si="130"/>
        <v>754</v>
      </c>
      <c r="AL46" s="155">
        <f t="shared" si="131"/>
        <v>430</v>
      </c>
      <c r="AM46" s="155">
        <f t="shared" si="132"/>
        <v>12339</v>
      </c>
      <c r="AN46" s="155">
        <f t="shared" si="133"/>
        <v>4425</v>
      </c>
      <c r="AO46" s="155">
        <f t="shared" si="134"/>
        <v>1402</v>
      </c>
      <c r="AP46" s="155">
        <f t="shared" si="134"/>
        <v>310</v>
      </c>
      <c r="AQ46" s="155">
        <f t="shared" si="135"/>
        <v>7623</v>
      </c>
      <c r="AR46" s="155">
        <f t="shared" si="136"/>
        <v>698</v>
      </c>
      <c r="AS46" s="156">
        <f>CF46+CG46</f>
        <v>16397</v>
      </c>
      <c r="AT46" s="155" t="s">
        <v>41</v>
      </c>
      <c r="AU46" s="776">
        <v>1225</v>
      </c>
      <c r="AV46" s="155" t="s">
        <v>304</v>
      </c>
      <c r="AW46" s="776">
        <v>2330</v>
      </c>
      <c r="AX46" s="776">
        <v>1946</v>
      </c>
      <c r="AY46" s="155" t="s">
        <v>304</v>
      </c>
      <c r="AZ46" s="155" t="s">
        <v>41</v>
      </c>
      <c r="BA46" s="776">
        <v>1712</v>
      </c>
      <c r="BB46" s="776">
        <v>12736</v>
      </c>
      <c r="BC46" s="776">
        <v>33599</v>
      </c>
      <c r="BD46" s="776">
        <v>9605</v>
      </c>
      <c r="BE46" s="776">
        <v>1908</v>
      </c>
      <c r="BF46" s="804">
        <v>14887</v>
      </c>
      <c r="BG46" s="155" t="s">
        <v>41</v>
      </c>
      <c r="BH46" s="155" t="s">
        <v>41</v>
      </c>
      <c r="BI46" s="155" t="s">
        <v>304</v>
      </c>
      <c r="BJ46" s="155" t="s">
        <v>304</v>
      </c>
      <c r="BK46" s="155" t="s">
        <v>41</v>
      </c>
      <c r="BL46" s="155" t="s">
        <v>41</v>
      </c>
      <c r="BM46" s="776">
        <v>1333</v>
      </c>
      <c r="BN46" s="776">
        <v>816</v>
      </c>
      <c r="BO46" s="155" t="s">
        <v>304</v>
      </c>
      <c r="BP46" s="776">
        <v>288</v>
      </c>
      <c r="BQ46" s="155" t="s">
        <v>304</v>
      </c>
      <c r="BR46" s="804">
        <v>863</v>
      </c>
      <c r="BS46" s="805" t="s">
        <v>304</v>
      </c>
      <c r="BT46" s="776">
        <v>338</v>
      </c>
      <c r="BU46" s="155" t="s">
        <v>304</v>
      </c>
      <c r="BV46" s="776">
        <v>1945</v>
      </c>
      <c r="BW46" s="776">
        <v>1802</v>
      </c>
      <c r="BX46" s="776">
        <v>1449</v>
      </c>
      <c r="BY46" s="776">
        <v>1055</v>
      </c>
      <c r="BZ46" s="776">
        <v>851</v>
      </c>
      <c r="CA46" s="155" t="s">
        <v>304</v>
      </c>
      <c r="CB46" s="804">
        <v>754</v>
      </c>
      <c r="CC46" s="776">
        <v>1402</v>
      </c>
      <c r="CD46" s="776">
        <v>310</v>
      </c>
      <c r="CE46" s="776">
        <v>430</v>
      </c>
      <c r="CF46" s="776">
        <v>611</v>
      </c>
      <c r="CG46" s="776">
        <v>15786</v>
      </c>
      <c r="CH46" s="155">
        <v>12339</v>
      </c>
      <c r="CI46" s="155">
        <v>698</v>
      </c>
      <c r="CJ46" s="155">
        <v>4425</v>
      </c>
      <c r="CK46" s="777">
        <v>7623</v>
      </c>
      <c r="CL46" s="795">
        <v>136465</v>
      </c>
    </row>
    <row r="47" spans="1:90">
      <c r="A47" s="80">
        <f>ROWS($A$3:A45)</f>
        <v>43</v>
      </c>
      <c r="B47" s="388" t="s">
        <v>19</v>
      </c>
      <c r="C47" s="252"/>
      <c r="D47" s="259" t="s">
        <v>241</v>
      </c>
      <c r="E47" s="483">
        <v>44379</v>
      </c>
      <c r="F47" s="154">
        <f>F125/F124</f>
        <v>293.42363877822044</v>
      </c>
      <c r="G47" s="155">
        <f>G125/G124</f>
        <v>155.67100977198697</v>
      </c>
      <c r="H47" s="155">
        <f>H125/H124</f>
        <v>71.355835240274601</v>
      </c>
      <c r="I47" s="156">
        <f>I125/I124</f>
        <v>291.69797421731124</v>
      </c>
      <c r="J47" s="281"/>
      <c r="K47" s="154">
        <f t="shared" si="113"/>
        <v>192.32300884955751</v>
      </c>
      <c r="L47" s="155">
        <f t="shared" si="114"/>
        <v>69.118421052631575</v>
      </c>
      <c r="M47" s="155">
        <f t="shared" si="115"/>
        <v>306.17415730337081</v>
      </c>
      <c r="N47" s="155">
        <f t="shared" si="116"/>
        <v>199.60714285714286</v>
      </c>
      <c r="O47" s="155">
        <f t="shared" si="117"/>
        <v>308.40229885057471</v>
      </c>
      <c r="P47" s="806">
        <f>IF(ISERROR((BA45*BA47+AZ45*AZ47)/P45),BA47,(BA45*BA47+AZ45*AZ47)/P45)</f>
        <v>212.38596491228071</v>
      </c>
      <c r="Q47" s="155">
        <f>'2022'!AU47</f>
        <v>191.21276595744681</v>
      </c>
      <c r="R47" s="806">
        <f>IF(ISERROR((AT47*AT45+AX45*AX47)/R45),AX47,(AT47*AT45+AX45*AX47)/R45)</f>
        <v>318.66071428571428</v>
      </c>
      <c r="S47" s="155" t="str">
        <f>AV47</f>
        <v>*</v>
      </c>
      <c r="T47" s="155">
        <f t="shared" si="119"/>
        <v>325.69565217391306</v>
      </c>
      <c r="U47" s="552">
        <f t="shared" si="119"/>
        <v>387.14145383104125</v>
      </c>
      <c r="V47" s="806">
        <f>IF(ISERROR((BG47*BG45+BJ45*BJ47)/V45),BJ47,(BG47*BG45+BJ45*BJ47)/V45)</f>
        <v>109.78947368421052</v>
      </c>
      <c r="W47" s="155">
        <f t="shared" si="120"/>
        <v>99.478260869565219</v>
      </c>
      <c r="X47" s="806">
        <f>IF(ISERROR((BH45*BH47+BI45*BI47)/X45),BI47,(BH45*BH47+BI45*BI47)/X45)</f>
        <v>80.16</v>
      </c>
      <c r="Y47" s="806">
        <f>IF(ISERROR(BK47*BK45+BL47*BL45+BN47*BN45)/Y45,BN47,(BK47*BK45+BL47*BL45+BN47*BN45)/Y45)</f>
        <v>188.74468085106383</v>
      </c>
      <c r="Z47" s="155">
        <f t="shared" si="121"/>
        <v>281.63414634146341</v>
      </c>
      <c r="AA47" s="807">
        <f>IF(ISERROR((BO47*BO45+BQ47*BQ45)/AA45),BQ47,(BO47*BO45+BQ47*BQ45)/AA45)</f>
        <v>101.25</v>
      </c>
      <c r="AB47" s="552">
        <f t="shared" si="122"/>
        <v>46.073170731707314</v>
      </c>
      <c r="AC47" s="155">
        <f t="shared" si="123"/>
        <v>91.743119266055047</v>
      </c>
      <c r="AD47" s="155" t="str">
        <f t="shared" si="124"/>
        <v>*</v>
      </c>
      <c r="AE47" s="806">
        <f>IF(ISERROR((BS45*BS47+BT45*BT47)/AE45),BT47,(BS45*BS47+BT45*BT47)/AE45)</f>
        <v>37.992307692307691</v>
      </c>
      <c r="AF47" s="155" t="str">
        <f t="shared" si="125"/>
        <v>.</v>
      </c>
      <c r="AG47" s="155">
        <f t="shared" si="126"/>
        <v>52.435779816513758</v>
      </c>
      <c r="AH47" s="155">
        <f t="shared" si="127"/>
        <v>118.75925925925925</v>
      </c>
      <c r="AI47" s="155">
        <f t="shared" si="128"/>
        <v>167.91818181818181</v>
      </c>
      <c r="AJ47" s="155">
        <f t="shared" si="129"/>
        <v>75.264705882352942</v>
      </c>
      <c r="AK47" s="552">
        <f t="shared" si="130"/>
        <v>56.735632183908045</v>
      </c>
      <c r="AL47" s="155">
        <f t="shared" si="131"/>
        <v>116.66666666666667</v>
      </c>
      <c r="AM47" s="155">
        <f t="shared" si="132"/>
        <v>341.85185185185185</v>
      </c>
      <c r="AN47" s="155">
        <f t="shared" si="133"/>
        <v>191.08</v>
      </c>
      <c r="AO47" s="155">
        <f t="shared" si="134"/>
        <v>104.78409090909091</v>
      </c>
      <c r="AP47" s="155">
        <f t="shared" si="134"/>
        <v>198.90625</v>
      </c>
      <c r="AQ47" s="155">
        <f t="shared" si="135"/>
        <v>316.38596491228071</v>
      </c>
      <c r="AR47" s="155">
        <f t="shared" si="136"/>
        <v>139</v>
      </c>
      <c r="AS47" s="532">
        <f>(CF45*CF47+CG45*CG47)/AS45</f>
        <v>373.29831432338455</v>
      </c>
      <c r="AT47" s="155" t="s">
        <v>58</v>
      </c>
      <c r="AU47" s="155">
        <f t="shared" ref="AU47:CJ47" si="139">AU125/AU124</f>
        <v>191.21276595744681</v>
      </c>
      <c r="AV47" s="155" t="s">
        <v>233</v>
      </c>
      <c r="AW47" s="155">
        <f t="shared" si="139"/>
        <v>199.60714285714286</v>
      </c>
      <c r="AX47" s="155">
        <f t="shared" si="139"/>
        <v>318.66071428571428</v>
      </c>
      <c r="AY47" s="155">
        <f t="shared" si="139"/>
        <v>69.118421052631575</v>
      </c>
      <c r="AZ47" s="155" t="s">
        <v>58</v>
      </c>
      <c r="BA47" s="155">
        <f t="shared" si="139"/>
        <v>212.38596491228071</v>
      </c>
      <c r="BB47" s="155">
        <f t="shared" si="139"/>
        <v>325.69565217391306</v>
      </c>
      <c r="BC47" s="155">
        <f t="shared" si="139"/>
        <v>387.14145383104125</v>
      </c>
      <c r="BD47" s="155">
        <f t="shared" si="139"/>
        <v>306.17415730337081</v>
      </c>
      <c r="BE47" s="155">
        <f t="shared" si="139"/>
        <v>308.40229885057471</v>
      </c>
      <c r="BF47" s="552">
        <f t="shared" si="139"/>
        <v>192.32300884955751</v>
      </c>
      <c r="BG47" s="155" t="s">
        <v>58</v>
      </c>
      <c r="BH47" s="155" t="s">
        <v>233</v>
      </c>
      <c r="BI47" s="155">
        <f t="shared" si="139"/>
        <v>80.16</v>
      </c>
      <c r="BJ47" s="155">
        <f t="shared" si="139"/>
        <v>109.78947368421052</v>
      </c>
      <c r="BK47" s="155" t="str">
        <f>IF(ISERROR(BK125/BK124),"-",(BK125/BK124))</f>
        <v>-</v>
      </c>
      <c r="BL47" s="155" t="s">
        <v>58</v>
      </c>
      <c r="BM47" s="155">
        <f t="shared" si="139"/>
        <v>281.63414634146341</v>
      </c>
      <c r="BN47" s="155">
        <f t="shared" si="139"/>
        <v>188.74468085106383</v>
      </c>
      <c r="BO47" s="155" t="s">
        <v>58</v>
      </c>
      <c r="BP47" s="155">
        <f t="shared" si="139"/>
        <v>46.073170731707314</v>
      </c>
      <c r="BQ47" s="155">
        <f t="shared" si="139"/>
        <v>101.25</v>
      </c>
      <c r="BR47" s="552">
        <f t="shared" si="139"/>
        <v>99.478260869565219</v>
      </c>
      <c r="BS47" s="805" t="s">
        <v>304</v>
      </c>
      <c r="BT47" s="155">
        <f t="shared" si="139"/>
        <v>37.992307692307691</v>
      </c>
      <c r="BU47" s="155" t="s">
        <v>233</v>
      </c>
      <c r="BV47" s="155">
        <f t="shared" si="139"/>
        <v>52.435779816513758</v>
      </c>
      <c r="BW47" s="155">
        <f t="shared" si="139"/>
        <v>167.91818181818181</v>
      </c>
      <c r="BX47" s="155">
        <f t="shared" si="139"/>
        <v>91.743119266055047</v>
      </c>
      <c r="BY47" s="155">
        <f t="shared" si="139"/>
        <v>75.264705882352942</v>
      </c>
      <c r="BZ47" s="155">
        <f t="shared" si="139"/>
        <v>118.75925925925925</v>
      </c>
      <c r="CA47" s="155" t="str">
        <f>IF(ISERROR(CA125/CA124),".","CA125"/124)</f>
        <v>.</v>
      </c>
      <c r="CB47" s="552">
        <f t="shared" si="139"/>
        <v>56.735632183908045</v>
      </c>
      <c r="CC47" s="155">
        <f t="shared" si="139"/>
        <v>104.78409090909091</v>
      </c>
      <c r="CD47" s="155">
        <f t="shared" si="139"/>
        <v>198.90625</v>
      </c>
      <c r="CE47" s="155">
        <f t="shared" si="139"/>
        <v>116.66666666666667</v>
      </c>
      <c r="CF47" s="155">
        <f t="shared" si="139"/>
        <v>521.93333333333328</v>
      </c>
      <c r="CG47" s="155">
        <f t="shared" si="139"/>
        <v>365.24633431085044</v>
      </c>
      <c r="CH47" s="155">
        <f t="shared" si="139"/>
        <v>341.85185185185185</v>
      </c>
      <c r="CI47" s="155">
        <f t="shared" si="139"/>
        <v>139</v>
      </c>
      <c r="CJ47" s="155">
        <f t="shared" si="139"/>
        <v>191.08</v>
      </c>
      <c r="CK47" s="156">
        <f>CK125/CK124</f>
        <v>316.38596491228071</v>
      </c>
      <c r="CL47" s="320">
        <f>CL125/CL124</f>
        <v>230.27723297111052</v>
      </c>
    </row>
    <row r="48" spans="1:90">
      <c r="A48" s="80">
        <f>ROWS($A$3:A46)</f>
        <v>44</v>
      </c>
      <c r="B48" s="196" t="s">
        <v>239</v>
      </c>
      <c r="C48" s="202">
        <v>2020</v>
      </c>
      <c r="D48" s="259" t="s">
        <v>7</v>
      </c>
      <c r="E48" s="483">
        <v>44379</v>
      </c>
      <c r="F48" s="154">
        <v>20224</v>
      </c>
      <c r="G48" s="155">
        <v>12047</v>
      </c>
      <c r="H48" s="155">
        <v>14687</v>
      </c>
      <c r="I48" s="156">
        <v>17801</v>
      </c>
      <c r="J48" s="281"/>
      <c r="K48" s="154">
        <f t="shared" si="113"/>
        <v>3186</v>
      </c>
      <c r="L48" s="155">
        <f t="shared" si="114"/>
        <v>2500</v>
      </c>
      <c r="M48" s="155">
        <f t="shared" si="115"/>
        <v>960</v>
      </c>
      <c r="N48" s="155">
        <f t="shared" si="116"/>
        <v>1840</v>
      </c>
      <c r="O48" s="155">
        <f t="shared" si="117"/>
        <v>668</v>
      </c>
      <c r="P48" s="155">
        <f>'2022'!BA48</f>
        <v>1461</v>
      </c>
      <c r="Q48" s="155">
        <f>'2022'!AU48</f>
        <v>2354</v>
      </c>
      <c r="R48" s="155">
        <f>AX48</f>
        <v>2167</v>
      </c>
      <c r="S48" s="155">
        <f t="shared" si="118"/>
        <v>2639</v>
      </c>
      <c r="T48" s="155">
        <f t="shared" si="119"/>
        <v>760</v>
      </c>
      <c r="U48" s="552">
        <f t="shared" si="119"/>
        <v>1486</v>
      </c>
      <c r="V48" s="155">
        <f>BG48+BJ48</f>
        <v>991</v>
      </c>
      <c r="W48" s="155">
        <f t="shared" si="120"/>
        <v>854</v>
      </c>
      <c r="X48" s="155">
        <f>BH48+BI48</f>
        <v>2767</v>
      </c>
      <c r="Y48" s="155">
        <f>BK48+BL48+BN48</f>
        <v>2898</v>
      </c>
      <c r="Z48" s="155">
        <f t="shared" si="121"/>
        <v>1655</v>
      </c>
      <c r="AA48" s="155">
        <f>BO48+BQ48</f>
        <v>1481</v>
      </c>
      <c r="AB48" s="552">
        <f t="shared" si="122"/>
        <v>1401</v>
      </c>
      <c r="AC48" s="155">
        <f t="shared" si="123"/>
        <v>1210</v>
      </c>
      <c r="AD48" s="155">
        <f t="shared" si="124"/>
        <v>903</v>
      </c>
      <c r="AE48" s="155">
        <f>BS48+BT48</f>
        <v>2776</v>
      </c>
      <c r="AF48" s="155">
        <f t="shared" si="125"/>
        <v>1857</v>
      </c>
      <c r="AG48" s="155">
        <f t="shared" si="126"/>
        <v>1854</v>
      </c>
      <c r="AH48" s="155">
        <f t="shared" si="127"/>
        <v>1924</v>
      </c>
      <c r="AI48" s="155">
        <f t="shared" si="128"/>
        <v>966</v>
      </c>
      <c r="AJ48" s="155">
        <f t="shared" si="129"/>
        <v>835</v>
      </c>
      <c r="AK48" s="552">
        <f t="shared" si="130"/>
        <v>2362</v>
      </c>
      <c r="AL48" s="155">
        <f t="shared" si="131"/>
        <v>1619</v>
      </c>
      <c r="AM48" s="155">
        <f t="shared" si="132"/>
        <v>2355</v>
      </c>
      <c r="AN48" s="155" t="str">
        <f t="shared" si="133"/>
        <v>4047</v>
      </c>
      <c r="AO48" s="155">
        <f t="shared" si="134"/>
        <v>2927</v>
      </c>
      <c r="AP48" s="155">
        <f t="shared" si="134"/>
        <v>1203</v>
      </c>
      <c r="AQ48" s="155">
        <f t="shared" si="135"/>
        <v>1767</v>
      </c>
      <c r="AR48" s="155">
        <f t="shared" si="136"/>
        <v>1627</v>
      </c>
      <c r="AS48" s="156">
        <f>CF48+CG48</f>
        <v>2256</v>
      </c>
      <c r="AT48" s="776">
        <v>151</v>
      </c>
      <c r="AU48" s="776">
        <v>2354</v>
      </c>
      <c r="AV48" s="776">
        <v>2639</v>
      </c>
      <c r="AW48" s="776">
        <v>1840</v>
      </c>
      <c r="AX48" s="776">
        <v>2167</v>
      </c>
      <c r="AY48" s="776">
        <v>2500</v>
      </c>
      <c r="AZ48" s="776">
        <v>52</v>
      </c>
      <c r="BA48" s="776">
        <v>1461</v>
      </c>
      <c r="BB48" s="776">
        <v>760</v>
      </c>
      <c r="BC48" s="776">
        <v>1486</v>
      </c>
      <c r="BD48" s="776">
        <v>960</v>
      </c>
      <c r="BE48" s="776">
        <v>668</v>
      </c>
      <c r="BF48" s="804">
        <v>3186</v>
      </c>
      <c r="BG48" s="776">
        <v>70</v>
      </c>
      <c r="BH48" s="776">
        <v>138</v>
      </c>
      <c r="BI48" s="776">
        <v>2629</v>
      </c>
      <c r="BJ48" s="776">
        <v>921</v>
      </c>
      <c r="BK48" s="776">
        <v>81</v>
      </c>
      <c r="BL48" s="776">
        <v>569</v>
      </c>
      <c r="BM48" s="776">
        <v>1655</v>
      </c>
      <c r="BN48" s="776">
        <v>2248</v>
      </c>
      <c r="BO48" s="776">
        <v>65</v>
      </c>
      <c r="BP48" s="776">
        <v>1401</v>
      </c>
      <c r="BQ48" s="776">
        <v>1416</v>
      </c>
      <c r="BR48" s="804">
        <v>854</v>
      </c>
      <c r="BS48" s="155" t="s">
        <v>474</v>
      </c>
      <c r="BT48" s="776">
        <v>2481</v>
      </c>
      <c r="BU48" s="776">
        <v>903</v>
      </c>
      <c r="BV48" s="776">
        <v>1854</v>
      </c>
      <c r="BW48" s="776">
        <v>966</v>
      </c>
      <c r="BX48" s="776">
        <v>1210</v>
      </c>
      <c r="BY48" s="776">
        <v>835</v>
      </c>
      <c r="BZ48" s="776">
        <v>1924</v>
      </c>
      <c r="CA48" s="776">
        <v>1857</v>
      </c>
      <c r="CB48" s="804">
        <v>2362</v>
      </c>
      <c r="CC48" s="776">
        <v>2927</v>
      </c>
      <c r="CD48" s="776">
        <v>1203</v>
      </c>
      <c r="CE48" s="776">
        <v>1619</v>
      </c>
      <c r="CF48" s="776">
        <v>268</v>
      </c>
      <c r="CG48" s="776">
        <v>1988</v>
      </c>
      <c r="CH48" s="776">
        <v>2355</v>
      </c>
      <c r="CI48" s="776">
        <v>1627</v>
      </c>
      <c r="CJ48" s="155" t="s">
        <v>475</v>
      </c>
      <c r="CK48" s="777">
        <v>1767</v>
      </c>
      <c r="CL48" s="795">
        <v>64759</v>
      </c>
    </row>
    <row r="49" spans="1:90">
      <c r="A49" s="80">
        <f>ROWS($A$3:A47)</f>
        <v>45</v>
      </c>
      <c r="B49" s="92" t="s">
        <v>75</v>
      </c>
      <c r="C49" s="202">
        <v>2020</v>
      </c>
      <c r="D49" s="259" t="s">
        <v>7</v>
      </c>
      <c r="E49" s="483">
        <v>44379</v>
      </c>
      <c r="F49" s="154">
        <v>87177</v>
      </c>
      <c r="G49" s="155">
        <v>36830</v>
      </c>
      <c r="H49" s="155">
        <v>42882</v>
      </c>
      <c r="I49" s="156">
        <v>74082</v>
      </c>
      <c r="J49" s="281"/>
      <c r="K49" s="154">
        <f t="shared" si="113"/>
        <v>10403</v>
      </c>
      <c r="L49" s="155">
        <f t="shared" si="114"/>
        <v>7613</v>
      </c>
      <c r="M49" s="155">
        <f t="shared" si="115"/>
        <v>3999</v>
      </c>
      <c r="N49" s="155">
        <f t="shared" si="116"/>
        <v>10105</v>
      </c>
      <c r="O49" s="155">
        <f t="shared" si="117"/>
        <v>8740</v>
      </c>
      <c r="P49" s="155">
        <f>'2022'!BA49</f>
        <v>8371</v>
      </c>
      <c r="Q49" s="155">
        <f>'2022'!AU49</f>
        <v>4998</v>
      </c>
      <c r="R49" s="155">
        <f>AX49</f>
        <v>2482</v>
      </c>
      <c r="S49" s="155">
        <f t="shared" si="118"/>
        <v>14151</v>
      </c>
      <c r="T49" s="155">
        <f t="shared" si="119"/>
        <v>3982</v>
      </c>
      <c r="U49" s="552">
        <f t="shared" si="119"/>
        <v>12234</v>
      </c>
      <c r="V49" s="155">
        <f>BG49+BJ49</f>
        <v>2836</v>
      </c>
      <c r="W49" s="155">
        <f t="shared" si="120"/>
        <v>8299</v>
      </c>
      <c r="X49" s="155">
        <f>BH49+BI49</f>
        <v>4219</v>
      </c>
      <c r="Y49" s="155">
        <f>BN49</f>
        <v>4754</v>
      </c>
      <c r="Z49" s="155">
        <f t="shared" si="121"/>
        <v>1964</v>
      </c>
      <c r="AA49" s="155">
        <f>BQ49</f>
        <v>1662</v>
      </c>
      <c r="AB49" s="552">
        <f t="shared" si="122"/>
        <v>10769</v>
      </c>
      <c r="AC49" s="155">
        <f t="shared" si="123"/>
        <v>3300</v>
      </c>
      <c r="AD49" s="155">
        <f t="shared" si="124"/>
        <v>2282</v>
      </c>
      <c r="AE49" s="155">
        <f>BS49+BT49</f>
        <v>7623</v>
      </c>
      <c r="AF49" s="155">
        <f t="shared" si="125"/>
        <v>4236</v>
      </c>
      <c r="AG49" s="155">
        <f t="shared" si="126"/>
        <v>5671</v>
      </c>
      <c r="AH49" s="155">
        <f t="shared" si="127"/>
        <v>4892</v>
      </c>
      <c r="AI49" s="155">
        <f t="shared" si="128"/>
        <v>6171</v>
      </c>
      <c r="AJ49" s="155">
        <f t="shared" si="129"/>
        <v>5269</v>
      </c>
      <c r="AK49" s="552">
        <f t="shared" si="130"/>
        <v>3438</v>
      </c>
      <c r="AL49" s="155">
        <f t="shared" si="131"/>
        <v>17847</v>
      </c>
      <c r="AM49" s="155">
        <f t="shared" si="132"/>
        <v>3440</v>
      </c>
      <c r="AN49" s="155">
        <f t="shared" si="133"/>
        <v>5022</v>
      </c>
      <c r="AO49" s="155">
        <f t="shared" si="134"/>
        <v>20650</v>
      </c>
      <c r="AP49" s="155">
        <f t="shared" si="134"/>
        <v>7110</v>
      </c>
      <c r="AQ49" s="155">
        <f t="shared" si="135"/>
        <v>4240</v>
      </c>
      <c r="AR49" s="155">
        <f t="shared" si="136"/>
        <v>5155</v>
      </c>
      <c r="AS49" s="156">
        <f>CG49</f>
        <v>10436</v>
      </c>
      <c r="AT49" s="155" t="s">
        <v>304</v>
      </c>
      <c r="AU49" s="155">
        <v>4998</v>
      </c>
      <c r="AV49" s="155">
        <v>14151</v>
      </c>
      <c r="AW49" s="155">
        <v>10105</v>
      </c>
      <c r="AX49" s="155">
        <v>2482</v>
      </c>
      <c r="AY49" s="155">
        <v>7613</v>
      </c>
      <c r="AZ49" s="155" t="s">
        <v>304</v>
      </c>
      <c r="BA49" s="155">
        <v>8371</v>
      </c>
      <c r="BB49" s="155">
        <v>3982</v>
      </c>
      <c r="BC49" s="155">
        <v>12234</v>
      </c>
      <c r="BD49" s="155">
        <v>3999</v>
      </c>
      <c r="BE49" s="155">
        <v>8740</v>
      </c>
      <c r="BF49" s="552">
        <v>10403</v>
      </c>
      <c r="BG49" s="155"/>
      <c r="BH49" s="155">
        <v>168</v>
      </c>
      <c r="BI49" s="155">
        <v>4051</v>
      </c>
      <c r="BJ49" s="155">
        <v>2836</v>
      </c>
      <c r="BK49" s="155" t="s">
        <v>41</v>
      </c>
      <c r="BL49" s="155" t="s">
        <v>304</v>
      </c>
      <c r="BM49" s="155">
        <v>1964</v>
      </c>
      <c r="BN49" s="155">
        <v>4754</v>
      </c>
      <c r="BO49" s="155">
        <v>546</v>
      </c>
      <c r="BP49" s="155">
        <v>10769</v>
      </c>
      <c r="BQ49" s="155">
        <v>1662</v>
      </c>
      <c r="BR49" s="552">
        <v>8299</v>
      </c>
      <c r="BS49" s="155">
        <v>2029</v>
      </c>
      <c r="BT49" s="155">
        <v>5594</v>
      </c>
      <c r="BU49" s="155">
        <v>2282</v>
      </c>
      <c r="BV49" s="155">
        <v>5671</v>
      </c>
      <c r="BW49" s="155">
        <v>6171</v>
      </c>
      <c r="BX49" s="155">
        <v>3300</v>
      </c>
      <c r="BY49" s="155">
        <v>5269</v>
      </c>
      <c r="BZ49" s="155">
        <v>4892</v>
      </c>
      <c r="CA49" s="155">
        <v>4236</v>
      </c>
      <c r="CB49" s="552">
        <v>3438</v>
      </c>
      <c r="CC49" s="155">
        <v>20650</v>
      </c>
      <c r="CD49" s="155">
        <v>7110</v>
      </c>
      <c r="CE49" s="155">
        <v>17847</v>
      </c>
      <c r="CF49" s="155">
        <v>182</v>
      </c>
      <c r="CG49" s="155">
        <v>10436</v>
      </c>
      <c r="CH49" s="155">
        <v>3440</v>
      </c>
      <c r="CI49" s="155">
        <v>5155</v>
      </c>
      <c r="CJ49" s="155">
        <v>5022</v>
      </c>
      <c r="CK49" s="156">
        <v>4240</v>
      </c>
      <c r="CL49" s="320">
        <v>240971</v>
      </c>
    </row>
    <row r="50" spans="1:90">
      <c r="A50" s="80">
        <f>ROWS($A$3:A48)</f>
        <v>46</v>
      </c>
      <c r="B50" s="52" t="s">
        <v>76</v>
      </c>
      <c r="C50" s="202">
        <v>2020</v>
      </c>
      <c r="D50" s="259" t="s">
        <v>21</v>
      </c>
      <c r="E50" s="483">
        <v>44482</v>
      </c>
      <c r="F50" s="154">
        <v>70.099999999999994</v>
      </c>
      <c r="G50" s="155">
        <v>38.1</v>
      </c>
      <c r="H50" s="155">
        <v>55.8</v>
      </c>
      <c r="I50" s="156">
        <v>85.5</v>
      </c>
      <c r="J50" s="281"/>
      <c r="K50" s="154">
        <f t="shared" si="113"/>
        <v>104.3</v>
      </c>
      <c r="L50" s="155">
        <f t="shared" si="114"/>
        <v>76</v>
      </c>
      <c r="M50" s="155">
        <f t="shared" si="115"/>
        <v>37.4</v>
      </c>
      <c r="N50" s="155">
        <f t="shared" si="116"/>
        <v>98</v>
      </c>
      <c r="O50" s="155">
        <f t="shared" si="117"/>
        <v>74.900000000000006</v>
      </c>
      <c r="P50" s="531">
        <f>(AZ50*AZ35+BA50*BA35)/P35</f>
        <v>22.896655304275608</v>
      </c>
      <c r="Q50" s="155">
        <f>'2022'!AU50</f>
        <v>49.7</v>
      </c>
      <c r="R50" s="531">
        <f>(AT50*AT35+AX50*AX35)/R35</f>
        <v>44.290021255816626</v>
      </c>
      <c r="S50" s="155">
        <f t="shared" si="118"/>
        <v>53.1</v>
      </c>
      <c r="T50" s="155">
        <f t="shared" si="119"/>
        <v>74.2</v>
      </c>
      <c r="U50" s="552">
        <f t="shared" si="119"/>
        <v>112.7</v>
      </c>
      <c r="V50" s="531">
        <f>(BG50*BG35+BJ50*BJ35)/V35</f>
        <v>20.241930862659608</v>
      </c>
      <c r="W50" s="155">
        <f t="shared" si="120"/>
        <v>58.9</v>
      </c>
      <c r="X50" s="531">
        <f>(BH50*BH35+BI50*BI35)/X35</f>
        <v>18.231748179492225</v>
      </c>
      <c r="Y50" s="531">
        <f>(BK50*BK35+BL50*BL35+BN50*BN35)/Y35</f>
        <v>30.491024046434497</v>
      </c>
      <c r="Z50" s="155">
        <f t="shared" si="121"/>
        <v>45.3</v>
      </c>
      <c r="AA50" s="531">
        <f>(BO50*BO35+BQ50*BQ35)/AA35</f>
        <v>46.200895028699293</v>
      </c>
      <c r="AB50" s="552">
        <f t="shared" si="122"/>
        <v>68.2</v>
      </c>
      <c r="AC50" s="155">
        <f t="shared" si="123"/>
        <v>69.400000000000006</v>
      </c>
      <c r="AD50" s="155">
        <f t="shared" si="124"/>
        <v>48.1</v>
      </c>
      <c r="AE50" s="531">
        <f>(BS50*BS35+BT50*BT35)/AE35</f>
        <v>47.862711409395978</v>
      </c>
      <c r="AF50" s="155">
        <f t="shared" si="125"/>
        <v>54.1</v>
      </c>
      <c r="AG50" s="155">
        <f t="shared" si="126"/>
        <v>42.1</v>
      </c>
      <c r="AH50" s="155">
        <f t="shared" si="127"/>
        <v>64</v>
      </c>
      <c r="AI50" s="155">
        <f t="shared" si="128"/>
        <v>52.9</v>
      </c>
      <c r="AJ50" s="155">
        <f t="shared" si="129"/>
        <v>57.2</v>
      </c>
      <c r="AK50" s="552">
        <f t="shared" si="130"/>
        <v>73.099999999999994</v>
      </c>
      <c r="AL50" s="155">
        <f t="shared" si="131"/>
        <v>41.8</v>
      </c>
      <c r="AM50" s="155">
        <f t="shared" si="132"/>
        <v>107.4</v>
      </c>
      <c r="AN50" s="155">
        <f t="shared" si="133"/>
        <v>133</v>
      </c>
      <c r="AO50" s="155">
        <f t="shared" si="134"/>
        <v>56.5</v>
      </c>
      <c r="AP50" s="155">
        <f t="shared" si="134"/>
        <v>35</v>
      </c>
      <c r="AQ50" s="155">
        <f t="shared" si="135"/>
        <v>71.099999999999994</v>
      </c>
      <c r="AR50" s="155">
        <f t="shared" si="136"/>
        <v>57.1</v>
      </c>
      <c r="AS50" s="532">
        <f>(CF50*CF35+CG50*CG35)/AS35</f>
        <v>83.226425194040502</v>
      </c>
      <c r="AT50" s="466">
        <v>32.4</v>
      </c>
      <c r="AU50" s="466">
        <v>49.7</v>
      </c>
      <c r="AV50" s="466">
        <v>53.1</v>
      </c>
      <c r="AW50" s="466">
        <v>98</v>
      </c>
      <c r="AX50" s="466">
        <v>45.2</v>
      </c>
      <c r="AY50" s="466">
        <v>76</v>
      </c>
      <c r="AZ50" s="466">
        <v>4.2</v>
      </c>
      <c r="BA50" s="466">
        <v>24.3</v>
      </c>
      <c r="BB50" s="466">
        <v>74.2</v>
      </c>
      <c r="BC50" s="466">
        <v>112.7</v>
      </c>
      <c r="BD50" s="466">
        <v>37.4</v>
      </c>
      <c r="BE50" s="466">
        <v>74.900000000000006</v>
      </c>
      <c r="BF50" s="558">
        <v>104.3</v>
      </c>
      <c r="BG50" s="466">
        <v>24.7</v>
      </c>
      <c r="BH50" s="466">
        <v>18.7</v>
      </c>
      <c r="BI50" s="466">
        <v>18.2</v>
      </c>
      <c r="BJ50" s="466">
        <v>19.8</v>
      </c>
      <c r="BK50" s="466">
        <v>22.6</v>
      </c>
      <c r="BL50" s="466">
        <v>20.7</v>
      </c>
      <c r="BM50" s="466">
        <v>45.3</v>
      </c>
      <c r="BN50" s="466">
        <v>31.6</v>
      </c>
      <c r="BO50" s="466">
        <v>22.6</v>
      </c>
      <c r="BP50" s="466">
        <v>68.2</v>
      </c>
      <c r="BQ50" s="466">
        <v>47.4</v>
      </c>
      <c r="BR50" s="558">
        <v>58.9</v>
      </c>
      <c r="BS50" s="466">
        <v>23.4</v>
      </c>
      <c r="BT50" s="466">
        <v>49.6</v>
      </c>
      <c r="BU50" s="466">
        <v>48.1</v>
      </c>
      <c r="BV50" s="466">
        <v>42.1</v>
      </c>
      <c r="BW50" s="466">
        <v>52.9</v>
      </c>
      <c r="BX50" s="466">
        <v>69.400000000000006</v>
      </c>
      <c r="BY50" s="466">
        <v>57.2</v>
      </c>
      <c r="BZ50" s="466">
        <v>64</v>
      </c>
      <c r="CA50" s="466">
        <v>54.1</v>
      </c>
      <c r="CB50" s="558">
        <v>73.099999999999994</v>
      </c>
      <c r="CC50" s="466">
        <v>56.5</v>
      </c>
      <c r="CD50" s="466">
        <v>35</v>
      </c>
      <c r="CE50" s="466">
        <v>41.8</v>
      </c>
      <c r="CF50" s="466">
        <v>71</v>
      </c>
      <c r="CG50" s="466">
        <v>84</v>
      </c>
      <c r="CH50" s="466">
        <v>107.4</v>
      </c>
      <c r="CI50" s="466">
        <v>57.1</v>
      </c>
      <c r="CJ50" s="466">
        <v>133</v>
      </c>
      <c r="CK50" s="466">
        <v>71.099999999999994</v>
      </c>
      <c r="CL50" s="319">
        <v>66.900000000000006</v>
      </c>
    </row>
    <row r="51" spans="1:90" ht="12" customHeight="1">
      <c r="A51" s="80">
        <f>ROWS($A$3:A49)</f>
        <v>47</v>
      </c>
      <c r="B51" s="707" t="s">
        <v>92</v>
      </c>
      <c r="C51" s="584">
        <v>2021</v>
      </c>
      <c r="D51" s="259" t="s">
        <v>9</v>
      </c>
      <c r="E51" s="483">
        <v>44858</v>
      </c>
      <c r="F51" s="154">
        <v>7680.614745953585</v>
      </c>
      <c r="G51" s="155">
        <v>7802.6548250011938</v>
      </c>
      <c r="H51" s="155">
        <v>6571.1941813261164</v>
      </c>
      <c r="I51" s="156">
        <v>7615.1416724257087</v>
      </c>
      <c r="J51" s="281"/>
      <c r="K51" s="541">
        <f t="shared" si="113"/>
        <v>8188.5361488038152</v>
      </c>
      <c r="L51" s="542">
        <f t="shared" si="114"/>
        <v>7263.5914332784187</v>
      </c>
      <c r="M51" s="542">
        <f t="shared" si="115"/>
        <v>7868.4784412116878</v>
      </c>
      <c r="N51" s="542">
        <f t="shared" si="116"/>
        <v>7055.2082331441761</v>
      </c>
      <c r="O51" s="542">
        <f t="shared" si="117"/>
        <v>7188.412660333257</v>
      </c>
      <c r="P51" s="531">
        <f>IF(ISERROR(P95/P42)=TRUE,0,ROUND(P95/P42*1000,0))</f>
        <v>7285</v>
      </c>
      <c r="Q51" s="542">
        <f>AU51</f>
        <v>7665.757162346521</v>
      </c>
      <c r="R51" s="531">
        <f>IF(ISERROR(R95/R42)=TRUE,0,ROUND(R95/R42*1000,0))</f>
        <v>6828</v>
      </c>
      <c r="S51" s="542">
        <f t="shared" si="118"/>
        <v>6300.1038421599169</v>
      </c>
      <c r="T51" s="542">
        <f t="shared" si="119"/>
        <v>8185.2120646770036</v>
      </c>
      <c r="U51" s="554">
        <f t="shared" si="119"/>
        <v>7566.8407834414948</v>
      </c>
      <c r="V51" s="531">
        <f>IF(ISERROR(V95/V42)=TRUE,0,ROUND(V95/V42*1000,0))</f>
        <v>2774</v>
      </c>
      <c r="W51" s="542">
        <f t="shared" si="120"/>
        <v>7741.1698219836107</v>
      </c>
      <c r="X51" s="531">
        <f>IF(ISERROR(X95/X42)=TRUE,0,ROUND(X95/X42*1000,0))</f>
        <v>3356</v>
      </c>
      <c r="Y51" s="531">
        <f>IF(ISERROR(Y95/Y42)=TRUE,0,ROUND(Y95/Y42*1000,0))</f>
        <v>6110</v>
      </c>
      <c r="Z51" s="542">
        <f t="shared" si="121"/>
        <v>8220.1412342646599</v>
      </c>
      <c r="AA51" s="531">
        <f>IF(ISERROR(AA95/AA42)=TRUE,0,ROUND(AA95/AA42*1000,0))</f>
        <v>5360</v>
      </c>
      <c r="AB51" s="554">
        <f t="shared" si="122"/>
        <v>7350.3039513677813</v>
      </c>
      <c r="AC51" s="542">
        <f t="shared" si="123"/>
        <v>6719.0638297872338</v>
      </c>
      <c r="AD51" s="542" t="str">
        <f t="shared" si="124"/>
        <v>*</v>
      </c>
      <c r="AE51" s="531">
        <f>IF(ISERROR(AE95/AE42)=TRUE,0,ROUND(AE95/AE42*1000,0))</f>
        <v>4609</v>
      </c>
      <c r="AF51" s="542">
        <f t="shared" si="125"/>
        <v>6235.3164077302008</v>
      </c>
      <c r="AG51" s="542">
        <f t="shared" si="126"/>
        <v>5636.0369609856261</v>
      </c>
      <c r="AH51" s="542">
        <f t="shared" si="127"/>
        <v>7668.5089812837587</v>
      </c>
      <c r="AI51" s="542">
        <f t="shared" si="128"/>
        <v>6397.8440711957883</v>
      </c>
      <c r="AJ51" s="542">
        <f t="shared" si="129"/>
        <v>8104.0852575488452</v>
      </c>
      <c r="AK51" s="554">
        <f t="shared" si="130"/>
        <v>7550.1730103806231</v>
      </c>
      <c r="AL51" s="542">
        <f t="shared" si="131"/>
        <v>7730.5232558139533</v>
      </c>
      <c r="AM51" s="542">
        <f t="shared" si="132"/>
        <v>7655.4965932914047</v>
      </c>
      <c r="AN51" s="542">
        <f t="shared" si="133"/>
        <v>7541.2006462846475</v>
      </c>
      <c r="AO51" s="542">
        <f t="shared" si="134"/>
        <v>7673.519736842105</v>
      </c>
      <c r="AP51" s="542">
        <f t="shared" si="134"/>
        <v>7942.8783382789316</v>
      </c>
      <c r="AQ51" s="542">
        <f t="shared" si="135"/>
        <v>7903.1572317140381</v>
      </c>
      <c r="AR51" s="542">
        <f t="shared" si="136"/>
        <v>7250.6921721620938</v>
      </c>
      <c r="AS51" s="532">
        <f>IF(ISERROR(AS95/AS42)=TRUE,0,ROUND(AS95/AS42*1000,0))</f>
        <v>6441</v>
      </c>
      <c r="AT51" s="542" t="s">
        <v>233</v>
      </c>
      <c r="AU51" s="542">
        <v>7665.757162346521</v>
      </c>
      <c r="AV51" s="542">
        <v>6300.1038421599169</v>
      </c>
      <c r="AW51" s="542">
        <v>7055.2082331441761</v>
      </c>
      <c r="AX51" s="542">
        <v>8052.5398406374507</v>
      </c>
      <c r="AY51" s="542">
        <v>7263.5914332784187</v>
      </c>
      <c r="AZ51" s="542" t="s">
        <v>233</v>
      </c>
      <c r="BA51" s="856">
        <v>7328.6235988667886</v>
      </c>
      <c r="BB51" s="856">
        <v>8185.2120646770036</v>
      </c>
      <c r="BC51" s="856">
        <v>7566.8407834414948</v>
      </c>
      <c r="BD51" s="856">
        <v>7868.4784412116878</v>
      </c>
      <c r="BE51" s="856">
        <v>7188.412660333257</v>
      </c>
      <c r="BF51" s="856">
        <v>8188.5361488038152</v>
      </c>
      <c r="BG51" s="542" t="s">
        <v>233</v>
      </c>
      <c r="BH51" s="542" t="s">
        <v>233</v>
      </c>
      <c r="BI51" s="542">
        <v>6971.7741935483873</v>
      </c>
      <c r="BJ51" s="542">
        <v>1500</v>
      </c>
      <c r="BK51" s="542" t="s">
        <v>233</v>
      </c>
      <c r="BL51" s="542" t="s">
        <v>233</v>
      </c>
      <c r="BM51" s="542">
        <v>8220.1412342646599</v>
      </c>
      <c r="BN51" s="542">
        <v>8688.1273797161648</v>
      </c>
      <c r="BO51" s="542" t="s">
        <v>233</v>
      </c>
      <c r="BP51" s="542">
        <v>7350.3039513677813</v>
      </c>
      <c r="BQ51" s="542">
        <v>7371.3740458015263</v>
      </c>
      <c r="BR51" s="562">
        <v>7741.1698219836107</v>
      </c>
      <c r="BS51" s="542" t="s">
        <v>233</v>
      </c>
      <c r="BT51" s="542">
        <v>6035.1000351000348</v>
      </c>
      <c r="BU51" s="542" t="s">
        <v>233</v>
      </c>
      <c r="BV51" s="542">
        <v>5636.0369609856261</v>
      </c>
      <c r="BW51" s="542">
        <v>6397.8440711957883</v>
      </c>
      <c r="BX51" s="542">
        <v>6719.0638297872338</v>
      </c>
      <c r="BY51" s="542">
        <v>8104.0852575488452</v>
      </c>
      <c r="BZ51" s="542">
        <v>7668.5089812837587</v>
      </c>
      <c r="CA51" s="542">
        <v>6235.3164077302008</v>
      </c>
      <c r="CB51" s="562">
        <v>7550.1730103806231</v>
      </c>
      <c r="CC51" s="542">
        <v>7673.519736842105</v>
      </c>
      <c r="CD51" s="542">
        <v>7942.8783382789316</v>
      </c>
      <c r="CE51" s="542">
        <v>7730.5232558139533</v>
      </c>
      <c r="CF51" s="542">
        <v>8898.7701040681168</v>
      </c>
      <c r="CG51" s="542">
        <v>7621.0399759543134</v>
      </c>
      <c r="CH51" s="542">
        <v>7655.4965932914047</v>
      </c>
      <c r="CI51" s="542">
        <v>7250.6921721620938</v>
      </c>
      <c r="CJ51" s="542">
        <v>7541.2006462846475</v>
      </c>
      <c r="CK51" s="543">
        <v>7903.1572317140381</v>
      </c>
      <c r="CL51" s="553">
        <v>7503.6453064499246</v>
      </c>
    </row>
    <row r="52" spans="1:90">
      <c r="A52" s="80">
        <f>ROWS($A$3:A50)</f>
        <v>48</v>
      </c>
      <c r="B52" s="388" t="s">
        <v>357</v>
      </c>
      <c r="C52" s="586">
        <v>2021</v>
      </c>
      <c r="D52" s="259" t="s">
        <v>358</v>
      </c>
      <c r="E52" s="483">
        <v>44858</v>
      </c>
      <c r="F52" s="154">
        <v>695.66399999999999</v>
      </c>
      <c r="G52" s="155">
        <v>163.411</v>
      </c>
      <c r="H52" s="155">
        <v>388.48899999999998</v>
      </c>
      <c r="I52" s="156">
        <v>1101.9110000000001</v>
      </c>
      <c r="J52" s="281"/>
      <c r="K52" s="536">
        <f t="shared" si="113"/>
        <v>188.702</v>
      </c>
      <c r="L52" s="537">
        <f t="shared" si="114"/>
        <v>48.499000000000002</v>
      </c>
      <c r="M52" s="537">
        <f t="shared" si="115"/>
        <v>46.311</v>
      </c>
      <c r="N52" s="537">
        <f t="shared" si="116"/>
        <v>73.352999999999994</v>
      </c>
      <c r="O52" s="537">
        <f t="shared" si="117"/>
        <v>47.146999999999998</v>
      </c>
      <c r="P52" s="537">
        <f>BA52</f>
        <v>23.591000000000001</v>
      </c>
      <c r="Q52" s="537">
        <f>AU52</f>
        <v>22.475999999999999</v>
      </c>
      <c r="R52" s="537">
        <f>AX52</f>
        <v>32.338999999999999</v>
      </c>
      <c r="S52" s="537">
        <f t="shared" si="118"/>
        <v>12.134</v>
      </c>
      <c r="T52" s="537">
        <f t="shared" si="119"/>
        <v>59.085999999999999</v>
      </c>
      <c r="U52" s="561">
        <f t="shared" si="119"/>
        <v>142.02600000000001</v>
      </c>
      <c r="V52" s="537">
        <f>BJ52</f>
        <v>0.192</v>
      </c>
      <c r="W52" s="537">
        <f t="shared" si="120"/>
        <v>27.396000000000001</v>
      </c>
      <c r="X52" s="537">
        <f>BI52</f>
        <v>8.6449999999999996</v>
      </c>
      <c r="Y52" s="537">
        <f>BN52</f>
        <v>25.1</v>
      </c>
      <c r="Z52" s="537">
        <f t="shared" si="121"/>
        <v>53.545999999999999</v>
      </c>
      <c r="AA52" s="537">
        <f>BQ52</f>
        <v>19.312999999999999</v>
      </c>
      <c r="AB52" s="561">
        <f t="shared" si="122"/>
        <v>29.018999999999998</v>
      </c>
      <c r="AC52" s="537">
        <f t="shared" si="123"/>
        <v>78.948999999999998</v>
      </c>
      <c r="AD52" s="537" t="str">
        <f t="shared" si="124"/>
        <v>*</v>
      </c>
      <c r="AE52" s="537">
        <f>BT52</f>
        <v>51.582000000000001</v>
      </c>
      <c r="AF52" s="537">
        <f t="shared" si="125"/>
        <v>16.454999999999998</v>
      </c>
      <c r="AG52" s="537">
        <f t="shared" si="126"/>
        <v>32.936999999999998</v>
      </c>
      <c r="AH52" s="537">
        <f t="shared" si="127"/>
        <v>61.048999999999999</v>
      </c>
      <c r="AI52" s="537">
        <f t="shared" si="128"/>
        <v>25.521000000000001</v>
      </c>
      <c r="AJ52" s="537">
        <f t="shared" si="129"/>
        <v>45.625999999999998</v>
      </c>
      <c r="AK52" s="561">
        <f t="shared" si="130"/>
        <v>76.37</v>
      </c>
      <c r="AL52" s="537">
        <f t="shared" si="131"/>
        <v>26.593</v>
      </c>
      <c r="AM52" s="537">
        <f t="shared" si="132"/>
        <v>233.70699999999999</v>
      </c>
      <c r="AN52" s="537">
        <f t="shared" si="133"/>
        <v>480.74400000000003</v>
      </c>
      <c r="AO52" s="537">
        <f t="shared" si="134"/>
        <v>55.985999999999997</v>
      </c>
      <c r="AP52" s="537">
        <f t="shared" si="134"/>
        <v>10.707000000000001</v>
      </c>
      <c r="AQ52" s="537">
        <f t="shared" si="135"/>
        <v>100.378</v>
      </c>
      <c r="AR52" s="537">
        <f t="shared" si="136"/>
        <v>57.613999999999997</v>
      </c>
      <c r="AS52" s="538">
        <f>CG52</f>
        <v>126.776</v>
      </c>
      <c r="AT52" s="542" t="s">
        <v>233</v>
      </c>
      <c r="AU52" s="537">
        <v>22.475999999999999</v>
      </c>
      <c r="AV52" s="537">
        <v>12.134</v>
      </c>
      <c r="AW52" s="537">
        <v>73.352999999999994</v>
      </c>
      <c r="AX52" s="537">
        <v>32.338999999999999</v>
      </c>
      <c r="AY52" s="537">
        <v>48.499000000000002</v>
      </c>
      <c r="AZ52" s="542" t="s">
        <v>233</v>
      </c>
      <c r="BA52" s="537">
        <v>23.591000000000001</v>
      </c>
      <c r="BB52" s="537">
        <v>59.085999999999999</v>
      </c>
      <c r="BC52" s="537">
        <v>142.02600000000001</v>
      </c>
      <c r="BD52" s="537">
        <v>46.311</v>
      </c>
      <c r="BE52" s="537">
        <v>47.146999999999998</v>
      </c>
      <c r="BF52" s="563">
        <v>188.702</v>
      </c>
      <c r="BG52" s="542" t="s">
        <v>233</v>
      </c>
      <c r="BH52" s="542" t="s">
        <v>233</v>
      </c>
      <c r="BI52" s="537">
        <v>8.6449999999999996</v>
      </c>
      <c r="BJ52" s="537">
        <v>0.192</v>
      </c>
      <c r="BK52" s="537">
        <v>0.2</v>
      </c>
      <c r="BL52" s="542" t="s">
        <v>233</v>
      </c>
      <c r="BM52" s="537">
        <v>53.545999999999999</v>
      </c>
      <c r="BN52" s="537">
        <v>25.1</v>
      </c>
      <c r="BO52" s="542" t="s">
        <v>233</v>
      </c>
      <c r="BP52" s="537">
        <v>29.018999999999998</v>
      </c>
      <c r="BQ52" s="537">
        <v>19.312999999999999</v>
      </c>
      <c r="BR52" s="563">
        <v>27.396000000000001</v>
      </c>
      <c r="BS52" s="542" t="s">
        <v>233</v>
      </c>
      <c r="BT52" s="537">
        <v>51.582000000000001</v>
      </c>
      <c r="BU52" s="542" t="s">
        <v>233</v>
      </c>
      <c r="BV52" s="537">
        <v>32.936999999999998</v>
      </c>
      <c r="BW52" s="537">
        <v>25.521000000000001</v>
      </c>
      <c r="BX52" s="537">
        <v>78.948999999999998</v>
      </c>
      <c r="BY52" s="537">
        <v>45.625999999999998</v>
      </c>
      <c r="BZ52" s="537">
        <v>61.048999999999999</v>
      </c>
      <c r="CA52" s="537">
        <v>16.454999999999998</v>
      </c>
      <c r="CB52" s="563">
        <v>76.37</v>
      </c>
      <c r="CC52" s="537">
        <v>55.985999999999997</v>
      </c>
      <c r="CD52" s="537">
        <v>10.707000000000001</v>
      </c>
      <c r="CE52" s="537">
        <v>26.593</v>
      </c>
      <c r="CF52" s="537">
        <v>9.4060000000000006</v>
      </c>
      <c r="CG52" s="537">
        <v>126.776</v>
      </c>
      <c r="CH52" s="537">
        <v>233.70699999999999</v>
      </c>
      <c r="CI52" s="537">
        <v>57.613999999999997</v>
      </c>
      <c r="CJ52" s="537">
        <v>480.74400000000003</v>
      </c>
      <c r="CK52" s="538">
        <v>100.378</v>
      </c>
      <c r="CL52" s="564">
        <v>2366.1770000000001</v>
      </c>
    </row>
    <row r="53" spans="1:90">
      <c r="A53" s="80">
        <f>ROWS($A$3:A51)</f>
        <v>49</v>
      </c>
      <c r="B53" s="498" t="str">
        <f>"Änderung der Milcherzeugung "&amp;C51&amp;"/"&amp;"2010"</f>
        <v>Änderung der Milcherzeugung 2021/2010</v>
      </c>
      <c r="C53" s="587">
        <v>2021</v>
      </c>
      <c r="D53" s="259" t="s">
        <v>3</v>
      </c>
      <c r="E53" s="483">
        <v>44858</v>
      </c>
      <c r="F53" s="539">
        <f>F52/'2010'!F52%-100</f>
        <v>7.4882571075401643</v>
      </c>
      <c r="G53" s="521">
        <f>G52/'2010'!G52%-100</f>
        <v>9.1589846359385518</v>
      </c>
      <c r="H53" s="521">
        <f>H52/'2010'!H52%-100</f>
        <v>4.8673705897499531E-2</v>
      </c>
      <c r="I53" s="540">
        <f>I52/'2010'!I52%-100</f>
        <v>4.6349824328174094</v>
      </c>
      <c r="J53" s="382"/>
      <c r="K53" s="536">
        <f>K52/'2010'!K52%-100</f>
        <v>8.5742232451093088</v>
      </c>
      <c r="L53" s="537">
        <f>L52/'2010'!L52%-100</f>
        <v>10.225000000000009</v>
      </c>
      <c r="M53" s="537">
        <f>M52/'2010'!M52%-100</f>
        <v>5.4920273348519402</v>
      </c>
      <c r="N53" s="537">
        <f>N52/'2010'!N52%-100</f>
        <v>21.646766169154219</v>
      </c>
      <c r="O53" s="537">
        <f>O52/'2010'!O52%-100</f>
        <v>2.2711496746203892</v>
      </c>
      <c r="P53" s="521">
        <f>P52/'2010'!P52%-100</f>
        <v>-17.80139372822299</v>
      </c>
      <c r="Q53" s="537">
        <f>Q52/'2010'!Q52%-100</f>
        <v>23.494505494505489</v>
      </c>
      <c r="R53" s="521">
        <f>R52/'2010'!R52%-100</f>
        <v>-0.18827160493827932</v>
      </c>
      <c r="S53" s="537">
        <f>S52/'2010'!S52%-100</f>
        <v>-5.9379844961240309</v>
      </c>
      <c r="T53" s="537">
        <f>T52/'2010'!T52%-100</f>
        <v>30.432671081677711</v>
      </c>
      <c r="U53" s="561">
        <f>U52/'2010'!U52%-100</f>
        <v>0.2300635144672043</v>
      </c>
      <c r="V53" s="521">
        <f>V52/'2010'!V52%-100</f>
        <v>-90.4</v>
      </c>
      <c r="W53" s="537">
        <f>W52/'2010'!W52%-100</f>
        <v>13.676348547717836</v>
      </c>
      <c r="X53" s="521">
        <f>X52/'2010'!X52%-100</f>
        <v>29.029850746268636</v>
      </c>
      <c r="Y53" s="521">
        <f>Y52/'2010'!Y52%-100</f>
        <v>0.40000000000000568</v>
      </c>
      <c r="Z53" s="537">
        <f>Z52/'2010'!Z52%-100</f>
        <v>6.4532803180914442</v>
      </c>
      <c r="AA53" s="521">
        <f>AA52/'2010'!AA52%-100</f>
        <v>-50.479487179487187</v>
      </c>
      <c r="AB53" s="561">
        <f>AB52/'2010'!AB52%-100</f>
        <v>31.307692307692292</v>
      </c>
      <c r="AC53" s="537">
        <f>AC52/'2010'!AC52%-100</f>
        <v>15.930983847283414</v>
      </c>
      <c r="AD53" s="537" t="e">
        <f>AD52/'2010'!AD52%-100</f>
        <v>#VALUE!</v>
      </c>
      <c r="AE53" s="521">
        <f>AE52/'2010'!AE52%-100</f>
        <v>-12.572881355932196</v>
      </c>
      <c r="AF53" s="537">
        <f>AF52/'2010'!AF52%-100</f>
        <v>-12.473404255319153</v>
      </c>
      <c r="AG53" s="537">
        <f>AG52/'2010'!AG52%-100</f>
        <v>-19.073710073710089</v>
      </c>
      <c r="AH53" s="537">
        <f>AH52/'2010'!AH52%-100</f>
        <v>3.1233108108107928</v>
      </c>
      <c r="AI53" s="537">
        <f>AI52/'2010'!AI52%-100</f>
        <v>-9.4999999999999858</v>
      </c>
      <c r="AJ53" s="537">
        <f>AJ52/'2010'!AJ52%-100</f>
        <v>32.249275362318855</v>
      </c>
      <c r="AK53" s="561">
        <f>AK52/'2010'!AK52%-100</f>
        <v>25.608552631578959</v>
      </c>
      <c r="AL53" s="537">
        <f>AL52/'2010'!AL52%-100</f>
        <v>19.788288288288285</v>
      </c>
      <c r="AM53" s="537">
        <f>AM52/'2010'!AM52%-100</f>
        <v>2.6832161687170526</v>
      </c>
      <c r="AN53" s="537">
        <f>AN52/'2010'!AN52%-100</f>
        <v>3.3191489361702082</v>
      </c>
      <c r="AO53" s="537">
        <f>AO52/'2010'!AO52%-100</f>
        <v>7.2528735632183867</v>
      </c>
      <c r="AP53" s="537">
        <f>AP52/'2010'!AP52%-100</f>
        <v>11.53125</v>
      </c>
      <c r="AQ53" s="537">
        <f>AQ52/'2010'!AQ52%-100</f>
        <v>22.711491442542794</v>
      </c>
      <c r="AR53" s="537">
        <f>AR52/'2010'!AR52%-100</f>
        <v>-11.226502311248083</v>
      </c>
      <c r="AS53" s="540">
        <f>AS52/'2010'!AS52%-100</f>
        <v>-2.1034749034749041</v>
      </c>
      <c r="AT53" s="857" t="s">
        <v>233</v>
      </c>
      <c r="AU53" s="521">
        <f>AU52/'2010'!AU52%-100</f>
        <v>24.86666666666666</v>
      </c>
      <c r="AV53" s="521">
        <f>AV52/'2010'!AV52%-100</f>
        <v>-5.9379844961240309</v>
      </c>
      <c r="AW53" s="521">
        <f>AW52/'2010'!AW52%-100</f>
        <v>21.646766169154219</v>
      </c>
      <c r="AX53" s="521">
        <f>AX52/'2010'!AX52%-100</f>
        <v>7.08278145695364</v>
      </c>
      <c r="AY53" s="521">
        <f>AY52/'2010'!AY52%-100</f>
        <v>10.225000000000009</v>
      </c>
      <c r="AZ53" s="521" t="s">
        <v>233</v>
      </c>
      <c r="BA53" s="521">
        <f>BA52/'2010'!BA52%-100</f>
        <v>-17.80139372822299</v>
      </c>
      <c r="BB53" s="521">
        <f>BB52/'2010'!BB52%-100</f>
        <v>30.432671081677711</v>
      </c>
      <c r="BC53" s="521">
        <f>BC52/'2010'!BC52%-100</f>
        <v>0.2300635144672043</v>
      </c>
      <c r="BD53" s="521">
        <f>BD52/'2010'!BD52%-100</f>
        <v>5.4920273348519402</v>
      </c>
      <c r="BE53" s="521">
        <f>BE52/'2010'!BE52%-100</f>
        <v>2.2711496746203892</v>
      </c>
      <c r="BF53" s="559">
        <f>BF52/'2010'!BF52%-100</f>
        <v>8.5742232451093088</v>
      </c>
      <c r="BG53" s="521" t="s">
        <v>233</v>
      </c>
      <c r="BH53" s="521" t="s">
        <v>233</v>
      </c>
      <c r="BI53" s="521">
        <f>BI52/'2010'!BI52%-100</f>
        <v>29.029850746268636</v>
      </c>
      <c r="BJ53" s="521">
        <f>BJ52/'2010'!BJ52%-100</f>
        <v>-90.4</v>
      </c>
      <c r="BK53" s="521" t="s">
        <v>233</v>
      </c>
      <c r="BL53" s="521" t="s">
        <v>233</v>
      </c>
      <c r="BM53" s="521">
        <f>BM52/'2010'!BM52%-100</f>
        <v>6.4532803180914442</v>
      </c>
      <c r="BN53" s="521">
        <f>BN52/'2010'!BN52%-100</f>
        <v>0.40000000000000568</v>
      </c>
      <c r="BO53" s="521" t="s">
        <v>233</v>
      </c>
      <c r="BP53" s="521">
        <f>BP52/'2010'!BP52%-100</f>
        <v>31.307692307692292</v>
      </c>
      <c r="BQ53" s="521">
        <f>BQ52/'2010'!BQ52%-100</f>
        <v>-0.95897435897437333</v>
      </c>
      <c r="BR53" s="559">
        <f>BR52/'2010'!BR52%-100</f>
        <v>13.676348547717836</v>
      </c>
      <c r="BS53" s="521" t="s">
        <v>233</v>
      </c>
      <c r="BT53" s="521">
        <f>BT52/'2010'!BT52%-100</f>
        <v>-12.572881355932196</v>
      </c>
      <c r="BU53" s="521" t="e">
        <f>BU52/'2010'!BU52%-100</f>
        <v>#VALUE!</v>
      </c>
      <c r="BV53" s="521">
        <f>BV52/'2010'!BV52%-100</f>
        <v>-19.073710073710089</v>
      </c>
      <c r="BW53" s="521">
        <f>BW52/'2010'!BW52%-100</f>
        <v>-9.4999999999999858</v>
      </c>
      <c r="BX53" s="521">
        <f>BX52/'2010'!BX52%-100</f>
        <v>15.930983847283414</v>
      </c>
      <c r="BY53" s="521">
        <f>BY52/'2010'!BY52%-100</f>
        <v>32.249275362318855</v>
      </c>
      <c r="BZ53" s="521">
        <f>BZ52/'2010'!BZ52%-100</f>
        <v>3.1233108108107928</v>
      </c>
      <c r="CA53" s="521">
        <f>CA52/'2010'!CA52%-100</f>
        <v>-12.473404255319153</v>
      </c>
      <c r="CB53" s="559">
        <f>CB52/'2010'!CB52%-100</f>
        <v>25.608552631578959</v>
      </c>
      <c r="CC53" s="521">
        <f>CC52/'2010'!CC52%-100</f>
        <v>7.2528735632183867</v>
      </c>
      <c r="CD53" s="521">
        <f>CD52/'2010'!CD52%-100</f>
        <v>11.53125</v>
      </c>
      <c r="CE53" s="521">
        <f>CE52/'2010'!CE52%-100</f>
        <v>19.788288288288285</v>
      </c>
      <c r="CF53" s="521" t="s">
        <v>233</v>
      </c>
      <c r="CG53" s="521">
        <f>CG52/'2010'!CG52%-100</f>
        <v>-2.1034749034749041</v>
      </c>
      <c r="CH53" s="521">
        <f>CH52/'2010'!CH52%-100</f>
        <v>2.6832161687170526</v>
      </c>
      <c r="CI53" s="521">
        <f>CI52/'2010'!CI52%-100</f>
        <v>-11.226502311248083</v>
      </c>
      <c r="CJ53" s="521">
        <f>CJ52/'2010'!CJ52%-100</f>
        <v>3.3191489361702082</v>
      </c>
      <c r="CK53" s="540">
        <f>CK52/'2010'!CK52%-100</f>
        <v>22.711491442542794</v>
      </c>
      <c r="CL53" s="560">
        <f>CL52/'2010'!CL52%-100</f>
        <v>6.0352677571140418</v>
      </c>
    </row>
    <row r="54" spans="1:90">
      <c r="A54" s="80">
        <f>ROWS($A$3:A52)</f>
        <v>50</v>
      </c>
      <c r="B54" s="499" t="str">
        <f>"Änderung der Milchkühe "&amp;C54&amp;"/"&amp;C97</f>
        <v>Änderung der Milchkühe 2022/2001</v>
      </c>
      <c r="C54" s="588">
        <v>2022</v>
      </c>
      <c r="D54" s="262" t="s">
        <v>3</v>
      </c>
      <c r="E54" s="483">
        <v>44858</v>
      </c>
      <c r="F54" s="544">
        <f>IF(ISERROR(F42/F97)=FALSE,ROUND((F42-F97)/F97%,3)," -")</f>
        <v>-14.641</v>
      </c>
      <c r="G54" s="545">
        <f>IF(ISERROR(G42/G97)=FALSE,ROUND((G42-G97)/G97%,3)," -")</f>
        <v>-8.6349999999999998</v>
      </c>
      <c r="H54" s="545">
        <f>IF(ISERROR(H42/H97)=FALSE,ROUND((H42-H97)/H97%,3)," -")</f>
        <v>-3.8170000000000002</v>
      </c>
      <c r="I54" s="546">
        <f>IF(ISERROR(I42/I97)=FALSE,ROUND((I42-I97)/I97%,3)," -")</f>
        <v>-15.516</v>
      </c>
      <c r="J54" s="597"/>
      <c r="K54" s="565">
        <f t="shared" si="113"/>
        <v>-7.3070000000000004</v>
      </c>
      <c r="L54" s="566">
        <f t="shared" si="114"/>
        <v>-7.0460000000000003</v>
      </c>
      <c r="M54" s="566">
        <f t="shared" si="115"/>
        <v>-32.383000000000003</v>
      </c>
      <c r="N54" s="566">
        <f t="shared" si="116"/>
        <v>-2.4849999999999999</v>
      </c>
      <c r="O54" s="566">
        <f t="shared" si="117"/>
        <v>-22.405000000000001</v>
      </c>
      <c r="P54" s="545">
        <f>IF(ISERROR(P42/P97)=FALSE,ROUND((P42-P97)/P97%,3)," -")</f>
        <v>-44.280999999999999</v>
      </c>
      <c r="Q54" s="566">
        <f>'2010'!AU54</f>
        <v>2.2530000000000001</v>
      </c>
      <c r="R54" s="545">
        <f>IF(ISERROR(R42/R97)=FALSE,ROUND((R42-R97)/R97%,3)," -")</f>
        <v>-33.668999999999997</v>
      </c>
      <c r="S54" s="566">
        <f t="shared" si="118"/>
        <v>-19.515999999999998</v>
      </c>
      <c r="T54" s="566">
        <f t="shared" si="119"/>
        <v>-5.6260000000000003</v>
      </c>
      <c r="U54" s="567">
        <f t="shared" si="119"/>
        <v>-15.882</v>
      </c>
      <c r="V54" s="545">
        <f>IF(ISERROR(V42/V97)=FALSE,ROUND((V42-V97)/V97%,3)," -")</f>
        <v>-6.548</v>
      </c>
      <c r="W54" s="566">
        <f t="shared" si="120"/>
        <v>-0.65300000000000002</v>
      </c>
      <c r="X54" s="545">
        <f>IF(ISERROR(X42/X97)=FALSE,ROUND((X42-X97)/X97%,3)," -")</f>
        <v>-9.2769999999999992</v>
      </c>
      <c r="Y54" s="545">
        <f>IF(ISERROR(Y42/Y97)=FALSE,ROUND((Y42-Y97)/Y97%,3)," -")</f>
        <v>-28.213000000000001</v>
      </c>
      <c r="Z54" s="566">
        <f t="shared" si="121"/>
        <v>-21.806000000000001</v>
      </c>
      <c r="AA54" s="545">
        <f>IF(ISERROR(AA42/AA97)=FALSE,ROUND((AA42-AA97)/AA97%,3)," -")</f>
        <v>5.0880000000000001</v>
      </c>
      <c r="AB54" s="567">
        <f t="shared" si="122"/>
        <v>17.204000000000001</v>
      </c>
      <c r="AC54" s="566">
        <f t="shared" si="123"/>
        <v>-1.415</v>
      </c>
      <c r="AD54" s="566">
        <f t="shared" si="124"/>
        <v>-8.4120000000000008</v>
      </c>
      <c r="AE54" s="545">
        <f>IF(ISERROR(AE42/AE97)=FALSE,ROUND((AE42-AE97)/AE97%,3)," -")</f>
        <v>-2.855</v>
      </c>
      <c r="AF54" s="566">
        <f t="shared" si="125"/>
        <v>5.3949999999999996</v>
      </c>
      <c r="AG54" s="566">
        <f t="shared" si="126"/>
        <v>-16.939</v>
      </c>
      <c r="AH54" s="566">
        <f t="shared" si="127"/>
        <v>-11.984999999999999</v>
      </c>
      <c r="AI54" s="566">
        <f t="shared" si="128"/>
        <v>-23.6</v>
      </c>
      <c r="AJ54" s="566">
        <f t="shared" si="129"/>
        <v>17.957000000000001</v>
      </c>
      <c r="AK54" s="567">
        <f t="shared" si="130"/>
        <v>11.109</v>
      </c>
      <c r="AL54" s="566">
        <f t="shared" si="131"/>
        <v>61.706000000000003</v>
      </c>
      <c r="AM54" s="566">
        <f t="shared" si="132"/>
        <v>-18.899999999999999</v>
      </c>
      <c r="AN54" s="566">
        <f t="shared" si="133"/>
        <v>-15.117000000000001</v>
      </c>
      <c r="AO54" s="566">
        <f t="shared" si="134"/>
        <v>-17.298999999999999</v>
      </c>
      <c r="AP54" s="566">
        <f t="shared" si="134"/>
        <v>-9.141</v>
      </c>
      <c r="AQ54" s="566">
        <f t="shared" si="135"/>
        <v>-9.4580000000000002</v>
      </c>
      <c r="AR54" s="566">
        <f t="shared" si="136"/>
        <v>-32.375999999999998</v>
      </c>
      <c r="AS54" s="546">
        <f t="shared" ref="AS54:CL54" si="140">IF(ISERROR(AS42/AS97)=FALSE,ROUND((AS42-AS97)/AS97%,3)," -")</f>
        <v>-17.632999999999999</v>
      </c>
      <c r="AT54" s="545" t="str">
        <f t="shared" si="140"/>
        <v xml:space="preserve"> -</v>
      </c>
      <c r="AU54" s="545">
        <f t="shared" si="140"/>
        <v>1.224</v>
      </c>
      <c r="AV54" s="545">
        <f t="shared" si="140"/>
        <v>-19.515999999999998</v>
      </c>
      <c r="AW54" s="545">
        <f t="shared" si="140"/>
        <v>-2.4849999999999999</v>
      </c>
      <c r="AX54" s="545">
        <f t="shared" si="140"/>
        <v>-28.155000000000001</v>
      </c>
      <c r="AY54" s="545">
        <f t="shared" si="140"/>
        <v>-7.0460000000000003</v>
      </c>
      <c r="AZ54" s="545" t="str">
        <f t="shared" si="140"/>
        <v xml:space="preserve"> -</v>
      </c>
      <c r="BA54" s="545">
        <f t="shared" si="140"/>
        <v>-41.996000000000002</v>
      </c>
      <c r="BB54" s="545">
        <f t="shared" si="140"/>
        <v>-5.6260000000000003</v>
      </c>
      <c r="BC54" s="545">
        <f t="shared" si="140"/>
        <v>-15.882</v>
      </c>
      <c r="BD54" s="545">
        <f t="shared" si="140"/>
        <v>-32.383000000000003</v>
      </c>
      <c r="BE54" s="545">
        <f t="shared" si="140"/>
        <v>-22.405000000000001</v>
      </c>
      <c r="BF54" s="568">
        <f t="shared" si="140"/>
        <v>-7.3070000000000004</v>
      </c>
      <c r="BG54" s="545" t="str">
        <f t="shared" si="140"/>
        <v xml:space="preserve"> -</v>
      </c>
      <c r="BH54" s="545" t="str">
        <f t="shared" si="140"/>
        <v xml:space="preserve"> -</v>
      </c>
      <c r="BI54" s="545">
        <f t="shared" si="140"/>
        <v>-4.1230000000000002</v>
      </c>
      <c r="BJ54" s="545">
        <f t="shared" si="140"/>
        <v>-6.548</v>
      </c>
      <c r="BK54" s="545">
        <f t="shared" si="140"/>
        <v>-68.75</v>
      </c>
      <c r="BL54" s="545">
        <f t="shared" si="140"/>
        <v>-79.486999999999995</v>
      </c>
      <c r="BM54" s="545">
        <f t="shared" si="140"/>
        <v>-21.806000000000001</v>
      </c>
      <c r="BN54" s="545">
        <f t="shared" si="140"/>
        <v>-23.873000000000001</v>
      </c>
      <c r="BO54" s="545" t="str">
        <f t="shared" si="140"/>
        <v xml:space="preserve"> -</v>
      </c>
      <c r="BP54" s="545">
        <f t="shared" si="140"/>
        <v>17.204000000000001</v>
      </c>
      <c r="BQ54" s="545">
        <f t="shared" si="140"/>
        <v>8.8119999999999994</v>
      </c>
      <c r="BR54" s="568">
        <f t="shared" si="140"/>
        <v>-0.65300000000000002</v>
      </c>
      <c r="BS54" s="545" t="str">
        <f t="shared" si="140"/>
        <v xml:space="preserve"> -</v>
      </c>
      <c r="BT54" s="545">
        <f t="shared" si="140"/>
        <v>-4.5410000000000004</v>
      </c>
      <c r="BU54" s="545">
        <f t="shared" si="140"/>
        <v>-8.4120000000000008</v>
      </c>
      <c r="BV54" s="545">
        <f t="shared" si="140"/>
        <v>-16.939</v>
      </c>
      <c r="BW54" s="545">
        <f t="shared" si="140"/>
        <v>-23.6</v>
      </c>
      <c r="BX54" s="545">
        <f t="shared" si="140"/>
        <v>-1.415</v>
      </c>
      <c r="BY54" s="545">
        <f t="shared" si="140"/>
        <v>17.957000000000001</v>
      </c>
      <c r="BZ54" s="545">
        <f t="shared" si="140"/>
        <v>-11.984999999999999</v>
      </c>
      <c r="CA54" s="545">
        <f t="shared" si="140"/>
        <v>5.3949999999999996</v>
      </c>
      <c r="CB54" s="568">
        <f t="shared" si="140"/>
        <v>11.109</v>
      </c>
      <c r="CC54" s="545">
        <f t="shared" si="140"/>
        <v>-17.298999999999999</v>
      </c>
      <c r="CD54" s="545">
        <f t="shared" si="140"/>
        <v>-9.141</v>
      </c>
      <c r="CE54" s="545">
        <f t="shared" si="140"/>
        <v>61.706000000000003</v>
      </c>
      <c r="CF54" s="545">
        <f t="shared" si="140"/>
        <v>17.763999999999999</v>
      </c>
      <c r="CG54" s="545">
        <f t="shared" si="140"/>
        <v>-19.224</v>
      </c>
      <c r="CH54" s="545">
        <f t="shared" si="140"/>
        <v>-18.899999999999999</v>
      </c>
      <c r="CI54" s="545">
        <f t="shared" si="140"/>
        <v>-32.375999999999998</v>
      </c>
      <c r="CJ54" s="545">
        <f t="shared" si="140"/>
        <v>-15.117000000000001</v>
      </c>
      <c r="CK54" s="546">
        <f t="shared" si="140"/>
        <v>-9.4580000000000002</v>
      </c>
      <c r="CL54" s="569">
        <f t="shared" si="140"/>
        <v>-12.492000000000001</v>
      </c>
    </row>
    <row r="55" spans="1:90" ht="14.25">
      <c r="A55" s="80">
        <f>ROWS($A$3:A53)</f>
        <v>51</v>
      </c>
      <c r="B55" s="59" t="s">
        <v>208</v>
      </c>
      <c r="C55" s="203">
        <v>0</v>
      </c>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c r="A56" s="80">
        <f>ROWS($A$3:A54)</f>
        <v>52</v>
      </c>
      <c r="B56" s="92" t="s">
        <v>54</v>
      </c>
      <c r="C56" s="584">
        <v>2021</v>
      </c>
      <c r="D56" s="259" t="s">
        <v>13</v>
      </c>
      <c r="E56" s="483">
        <v>44427</v>
      </c>
      <c r="F56" s="154">
        <v>15641.38</v>
      </c>
      <c r="G56" s="155">
        <v>18956.47</v>
      </c>
      <c r="H56" s="155">
        <v>32209.38</v>
      </c>
      <c r="I56" s="156">
        <v>19982.77</v>
      </c>
      <c r="J56" s="281"/>
      <c r="K56" s="154">
        <f t="shared" ref="K56:K63" si="141">BF56</f>
        <v>42</v>
      </c>
      <c r="L56" s="155">
        <f t="shared" ref="L56:L63" si="142">AY56</f>
        <v>26</v>
      </c>
      <c r="M56" s="155">
        <f t="shared" ref="M56:M63" si="143">BD56</f>
        <v>36</v>
      </c>
      <c r="N56" s="155">
        <f t="shared" ref="N56:N63" si="144">AW56</f>
        <v>20</v>
      </c>
      <c r="O56" s="155">
        <f t="shared" ref="O56:O63" si="145">BE56</f>
        <v>15</v>
      </c>
      <c r="P56" s="155">
        <f>AZ56+BA56</f>
        <v>25</v>
      </c>
      <c r="Q56" s="155">
        <f>AU56</f>
        <v>20</v>
      </c>
      <c r="R56" s="155">
        <f t="shared" ref="R56:R63" si="146">AT56+AX56</f>
        <v>27</v>
      </c>
      <c r="S56" s="155">
        <f t="shared" ref="S56:S63" si="147">AV56</f>
        <v>29</v>
      </c>
      <c r="T56" s="155">
        <f t="shared" ref="T56:U63" si="148">BB56</f>
        <v>21</v>
      </c>
      <c r="U56" s="552">
        <f t="shared" si="148"/>
        <v>18</v>
      </c>
      <c r="V56" s="155">
        <f t="shared" ref="V56:V63" si="149">BG56+BJ56</f>
        <v>36</v>
      </c>
      <c r="W56" s="155">
        <f t="shared" ref="W56:W63" si="150">BR56</f>
        <v>18</v>
      </c>
      <c r="X56" s="155">
        <f t="shared" ref="X56:X63" si="151">BH56+BI56</f>
        <v>51</v>
      </c>
      <c r="Y56" s="155">
        <f t="shared" ref="Y56:Y63" si="152">BK56+BL56+BN56</f>
        <v>65</v>
      </c>
      <c r="Z56" s="155">
        <f t="shared" ref="Z56:Z63" si="153">BM56</f>
        <v>27</v>
      </c>
      <c r="AA56" s="155">
        <f t="shared" ref="AA56:AA63" si="154">BO56+BQ56</f>
        <v>34</v>
      </c>
      <c r="AB56" s="552">
        <f t="shared" ref="AB56:AB63" si="155">BP56</f>
        <v>26</v>
      </c>
      <c r="AC56" s="155">
        <f t="shared" ref="AC56:AC63" si="156">BX56</f>
        <v>26</v>
      </c>
      <c r="AD56" s="155">
        <f t="shared" ref="AD56:AD63" si="157">BU56</f>
        <v>19</v>
      </c>
      <c r="AE56" s="155">
        <f t="shared" ref="AE56:AE63" si="158">BS56+BT56</f>
        <v>56</v>
      </c>
      <c r="AF56" s="155">
        <f t="shared" ref="AF56:AF63" si="159">CA56</f>
        <v>26</v>
      </c>
      <c r="AG56" s="155">
        <f t="shared" ref="AG56:AG63" si="160">BV56</f>
        <v>23</v>
      </c>
      <c r="AH56" s="155">
        <f t="shared" ref="AH56:AH63" si="161">BZ56</f>
        <v>66</v>
      </c>
      <c r="AI56" s="155">
        <f t="shared" ref="AI56:AI63" si="162">BW56</f>
        <v>10</v>
      </c>
      <c r="AJ56" s="155">
        <f t="shared" ref="AJ56:AJ63" si="163">BY56</f>
        <v>26</v>
      </c>
      <c r="AK56" s="552">
        <f t="shared" ref="AK56:AK63" si="164">CB56</f>
        <v>37</v>
      </c>
      <c r="AL56" s="155">
        <f t="shared" ref="AL56:AL63" si="165">CE56</f>
        <v>53</v>
      </c>
      <c r="AM56" s="155">
        <f t="shared" ref="AM56:AM63" si="166">CH56</f>
        <v>31</v>
      </c>
      <c r="AN56" s="155">
        <f t="shared" ref="AN56:AN63" si="167">CJ56</f>
        <v>75</v>
      </c>
      <c r="AO56" s="155">
        <f t="shared" ref="AO56:AP63" si="168">CC56</f>
        <v>42</v>
      </c>
      <c r="AP56" s="155">
        <f t="shared" si="168"/>
        <v>22</v>
      </c>
      <c r="AQ56" s="155">
        <f t="shared" ref="AQ56:AQ63" si="169">CK56</f>
        <v>24</v>
      </c>
      <c r="AR56" s="155">
        <f t="shared" ref="AR56:AR63" si="170">CI56</f>
        <v>33</v>
      </c>
      <c r="AS56" s="156">
        <f t="shared" ref="AS56:AS63" si="171">CF56+CG56</f>
        <v>35</v>
      </c>
      <c r="AT56" s="155">
        <v>7</v>
      </c>
      <c r="AU56" s="155">
        <v>20</v>
      </c>
      <c r="AV56" s="155">
        <v>29</v>
      </c>
      <c r="AW56" s="155">
        <v>20</v>
      </c>
      <c r="AX56" s="155">
        <v>20</v>
      </c>
      <c r="AY56" s="155">
        <v>26</v>
      </c>
      <c r="AZ56" s="155">
        <v>5</v>
      </c>
      <c r="BA56" s="155">
        <v>20</v>
      </c>
      <c r="BB56" s="155">
        <v>21</v>
      </c>
      <c r="BC56" s="155">
        <v>18</v>
      </c>
      <c r="BD56" s="155">
        <v>36</v>
      </c>
      <c r="BE56" s="155">
        <v>15</v>
      </c>
      <c r="BF56" s="552">
        <v>42</v>
      </c>
      <c r="BG56" s="155">
        <v>7</v>
      </c>
      <c r="BH56" s="155">
        <v>9</v>
      </c>
      <c r="BI56" s="155">
        <v>42</v>
      </c>
      <c r="BJ56" s="155">
        <v>29</v>
      </c>
      <c r="BK56" s="155">
        <v>5</v>
      </c>
      <c r="BL56" s="155">
        <v>9</v>
      </c>
      <c r="BM56" s="155">
        <v>27</v>
      </c>
      <c r="BN56" s="155">
        <v>51</v>
      </c>
      <c r="BO56" s="155">
        <v>3</v>
      </c>
      <c r="BP56" s="155">
        <v>26</v>
      </c>
      <c r="BQ56" s="155">
        <v>31</v>
      </c>
      <c r="BR56" s="552">
        <v>18</v>
      </c>
      <c r="BS56" s="155">
        <v>7</v>
      </c>
      <c r="BT56" s="155">
        <v>49</v>
      </c>
      <c r="BU56" s="155">
        <v>19</v>
      </c>
      <c r="BV56" s="155">
        <v>23</v>
      </c>
      <c r="BW56" s="155">
        <v>10</v>
      </c>
      <c r="BX56" s="155">
        <v>26</v>
      </c>
      <c r="BY56" s="155">
        <v>26</v>
      </c>
      <c r="BZ56" s="155">
        <v>66</v>
      </c>
      <c r="CA56" s="155">
        <v>26</v>
      </c>
      <c r="CB56" s="552">
        <v>37</v>
      </c>
      <c r="CC56" s="155">
        <v>42</v>
      </c>
      <c r="CD56" s="155">
        <v>22</v>
      </c>
      <c r="CE56" s="155">
        <v>53</v>
      </c>
      <c r="CF56" s="155">
        <v>2</v>
      </c>
      <c r="CG56" s="155">
        <v>33</v>
      </c>
      <c r="CH56" s="155">
        <v>31</v>
      </c>
      <c r="CI56" s="155">
        <v>33</v>
      </c>
      <c r="CJ56" s="155">
        <v>75</v>
      </c>
      <c r="CK56" s="156">
        <v>24</v>
      </c>
      <c r="CL56" s="320">
        <v>1140</v>
      </c>
    </row>
    <row r="57" spans="1:90">
      <c r="A57" s="80">
        <f>ROWS($A$3:A55)</f>
        <v>53</v>
      </c>
      <c r="B57" s="92"/>
      <c r="C57" s="203"/>
      <c r="D57" s="259" t="s">
        <v>1</v>
      </c>
      <c r="E57" s="483">
        <v>44427</v>
      </c>
      <c r="F57" s="154">
        <v>259</v>
      </c>
      <c r="G57" s="155">
        <v>230</v>
      </c>
      <c r="H57" s="155">
        <v>269</v>
      </c>
      <c r="I57" s="156">
        <v>300</v>
      </c>
      <c r="J57" s="281"/>
      <c r="K57" s="154">
        <f t="shared" si="141"/>
        <v>2049.35</v>
      </c>
      <c r="L57" s="155">
        <f t="shared" si="142"/>
        <v>833.36</v>
      </c>
      <c r="M57" s="155">
        <f t="shared" si="143"/>
        <v>1093.8499999999999</v>
      </c>
      <c r="N57" s="155">
        <f t="shared" si="144"/>
        <v>2887.55</v>
      </c>
      <c r="O57" s="155">
        <f t="shared" si="145"/>
        <v>1364.82</v>
      </c>
      <c r="P57" s="155">
        <f>AZ57+BA57</f>
        <v>489.16999999999996</v>
      </c>
      <c r="Q57" s="155">
        <f t="shared" ref="Q57:Q63" si="172">AU57</f>
        <v>733.65</v>
      </c>
      <c r="R57" s="155">
        <f t="shared" si="146"/>
        <v>1999.5900000000001</v>
      </c>
      <c r="S57" s="155">
        <f t="shared" si="147"/>
        <v>2320.5700000000002</v>
      </c>
      <c r="T57" s="155">
        <f t="shared" si="148"/>
        <v>486.16</v>
      </c>
      <c r="U57" s="552">
        <f t="shared" si="148"/>
        <v>1383.29</v>
      </c>
      <c r="V57" s="155">
        <f t="shared" si="149"/>
        <v>4719.07</v>
      </c>
      <c r="W57" s="155">
        <f t="shared" si="150"/>
        <v>1205.5999999999999</v>
      </c>
      <c r="X57" s="155">
        <f t="shared" si="151"/>
        <v>3946.0600000000004</v>
      </c>
      <c r="Y57" s="155">
        <f>BK57+BL57+BN57</f>
        <v>3851</v>
      </c>
      <c r="Z57" s="155">
        <f t="shared" si="153"/>
        <v>1069.8900000000001</v>
      </c>
      <c r="AA57" s="155">
        <f t="shared" si="154"/>
        <v>1932.94</v>
      </c>
      <c r="AB57" s="552">
        <f t="shared" si="155"/>
        <v>2231.92</v>
      </c>
      <c r="AC57" s="155">
        <f t="shared" si="156"/>
        <v>2085.39</v>
      </c>
      <c r="AD57" s="155">
        <f t="shared" si="157"/>
        <v>3872.7</v>
      </c>
      <c r="AE57" s="155">
        <f t="shared" si="158"/>
        <v>6678.9699999999993</v>
      </c>
      <c r="AF57" s="155">
        <f t="shared" si="159"/>
        <v>6162.82</v>
      </c>
      <c r="AG57" s="155">
        <f t="shared" si="160"/>
        <v>3109.84</v>
      </c>
      <c r="AH57" s="155">
        <f t="shared" si="161"/>
        <v>3685.29</v>
      </c>
      <c r="AI57" s="155">
        <f t="shared" si="162"/>
        <v>437.31</v>
      </c>
      <c r="AJ57" s="155">
        <f t="shared" si="163"/>
        <v>2527.09</v>
      </c>
      <c r="AK57" s="552">
        <f t="shared" si="164"/>
        <v>3649.96</v>
      </c>
      <c r="AL57" s="155">
        <f t="shared" si="165"/>
        <v>1561.57</v>
      </c>
      <c r="AM57" s="155">
        <f t="shared" si="166"/>
        <v>3592.83</v>
      </c>
      <c r="AN57" s="155">
        <f t="shared" si="167"/>
        <v>6340.95</v>
      </c>
      <c r="AO57" s="155">
        <f t="shared" si="168"/>
        <v>1973.33</v>
      </c>
      <c r="AP57" s="155">
        <f t="shared" si="168"/>
        <v>1193.76</v>
      </c>
      <c r="AQ57" s="155">
        <f t="shared" si="169"/>
        <v>2215.06</v>
      </c>
      <c r="AR57" s="155">
        <f t="shared" si="170"/>
        <v>1204.5</v>
      </c>
      <c r="AS57" s="156">
        <f t="shared" si="171"/>
        <v>1900.77</v>
      </c>
      <c r="AT57" s="155">
        <v>1353.19</v>
      </c>
      <c r="AU57" s="155">
        <v>733.65</v>
      </c>
      <c r="AV57" s="155">
        <v>2320.5700000000002</v>
      </c>
      <c r="AW57" s="155">
        <v>2887.55</v>
      </c>
      <c r="AX57" s="155">
        <v>646.4</v>
      </c>
      <c r="AY57" s="155">
        <v>833.36</v>
      </c>
      <c r="AZ57" s="155">
        <v>97.85</v>
      </c>
      <c r="BA57" s="155">
        <v>391.32</v>
      </c>
      <c r="BB57" s="155">
        <v>486.16</v>
      </c>
      <c r="BC57" s="155">
        <v>1383.29</v>
      </c>
      <c r="BD57" s="155">
        <v>1093.8499999999999</v>
      </c>
      <c r="BE57" s="155">
        <v>1364.82</v>
      </c>
      <c r="BF57" s="552">
        <v>2049.35</v>
      </c>
      <c r="BG57" s="155">
        <v>692.79</v>
      </c>
      <c r="BH57" s="155">
        <v>728.74</v>
      </c>
      <c r="BI57" s="155">
        <v>3217.32</v>
      </c>
      <c r="BJ57" s="155">
        <v>4026.28</v>
      </c>
      <c r="BK57" s="155">
        <v>85.43</v>
      </c>
      <c r="BL57" s="155">
        <v>699.57</v>
      </c>
      <c r="BM57" s="155">
        <v>1069.8900000000001</v>
      </c>
      <c r="BN57" s="155">
        <v>3066</v>
      </c>
      <c r="BO57" s="155">
        <v>196.8</v>
      </c>
      <c r="BP57" s="155">
        <v>2231.92</v>
      </c>
      <c r="BQ57" s="155">
        <v>1736.14</v>
      </c>
      <c r="BR57" s="552">
        <v>1205.5999999999999</v>
      </c>
      <c r="BS57" s="155">
        <v>683.11</v>
      </c>
      <c r="BT57" s="155">
        <v>5995.86</v>
      </c>
      <c r="BU57" s="155">
        <v>3872.7</v>
      </c>
      <c r="BV57" s="155">
        <v>3109.84</v>
      </c>
      <c r="BW57" s="155">
        <v>437.31</v>
      </c>
      <c r="BX57" s="155">
        <v>2085.39</v>
      </c>
      <c r="BY57" s="155">
        <v>2527.09</v>
      </c>
      <c r="BZ57" s="155">
        <v>3685.29</v>
      </c>
      <c r="CA57" s="155">
        <v>6162.82</v>
      </c>
      <c r="CB57" s="552">
        <v>3649.96</v>
      </c>
      <c r="CC57" s="155">
        <v>1973.33</v>
      </c>
      <c r="CD57" s="155">
        <v>1193.76</v>
      </c>
      <c r="CE57" s="155">
        <v>1561.57</v>
      </c>
      <c r="CF57" s="155">
        <v>137.05000000000001</v>
      </c>
      <c r="CG57" s="155">
        <v>1763.72</v>
      </c>
      <c r="CH57" s="155">
        <v>3592.83</v>
      </c>
      <c r="CI57" s="155">
        <v>1204.5</v>
      </c>
      <c r="CJ57" s="155">
        <v>6340.95</v>
      </c>
      <c r="CK57" s="156">
        <v>2215.06</v>
      </c>
      <c r="CL57" s="320">
        <v>86789.979999999981</v>
      </c>
    </row>
    <row r="58" spans="1:90">
      <c r="A58" s="80">
        <f>ROWS($A$3:A56)</f>
        <v>54</v>
      </c>
      <c r="B58" s="92" t="s">
        <v>231</v>
      </c>
      <c r="C58" s="584">
        <v>2021</v>
      </c>
      <c r="D58" s="259" t="s">
        <v>13</v>
      </c>
      <c r="E58" s="483">
        <v>44427</v>
      </c>
      <c r="F58" s="154">
        <v>93048.61</v>
      </c>
      <c r="G58" s="155">
        <v>97804.2</v>
      </c>
      <c r="H58" s="155">
        <v>132519.88</v>
      </c>
      <c r="I58" s="156">
        <v>94581.15</v>
      </c>
      <c r="J58" s="281"/>
      <c r="K58" s="154">
        <f t="shared" si="141"/>
        <v>14</v>
      </c>
      <c r="L58" s="155">
        <f t="shared" si="142"/>
        <v>5</v>
      </c>
      <c r="M58" s="155">
        <f t="shared" si="143"/>
        <v>10</v>
      </c>
      <c r="N58" s="155">
        <f t="shared" si="144"/>
        <v>8</v>
      </c>
      <c r="O58" s="155">
        <f t="shared" si="145"/>
        <v>6</v>
      </c>
      <c r="P58" s="155">
        <f>AZ58+BA58</f>
        <v>12</v>
      </c>
      <c r="Q58" s="155">
        <f t="shared" si="172"/>
        <v>5</v>
      </c>
      <c r="R58" s="155">
        <f t="shared" si="146"/>
        <v>9</v>
      </c>
      <c r="S58" s="155">
        <f t="shared" si="147"/>
        <v>7</v>
      </c>
      <c r="T58" s="155">
        <f t="shared" si="148"/>
        <v>6</v>
      </c>
      <c r="U58" s="552">
        <f t="shared" si="148"/>
        <v>13</v>
      </c>
      <c r="V58" s="155">
        <f t="shared" si="149"/>
        <v>18</v>
      </c>
      <c r="W58" s="155">
        <f t="shared" si="150"/>
        <v>7</v>
      </c>
      <c r="X58" s="155">
        <f t="shared" si="151"/>
        <v>25</v>
      </c>
      <c r="Y58" s="155">
        <f t="shared" si="152"/>
        <v>18</v>
      </c>
      <c r="Z58" s="155">
        <f t="shared" si="153"/>
        <v>8</v>
      </c>
      <c r="AA58" s="155">
        <f t="shared" si="154"/>
        <v>12</v>
      </c>
      <c r="AB58" s="552">
        <f t="shared" si="155"/>
        <v>8</v>
      </c>
      <c r="AC58" s="155">
        <f t="shared" si="156"/>
        <v>8</v>
      </c>
      <c r="AD58" s="155">
        <f t="shared" si="157"/>
        <v>8</v>
      </c>
      <c r="AE58" s="155">
        <f t="shared" si="158"/>
        <v>21</v>
      </c>
      <c r="AF58" s="155">
        <f t="shared" si="159"/>
        <v>9</v>
      </c>
      <c r="AG58" s="155">
        <f t="shared" si="160"/>
        <v>14</v>
      </c>
      <c r="AH58" s="155">
        <f t="shared" si="161"/>
        <v>9</v>
      </c>
      <c r="AI58" s="155">
        <f t="shared" si="162"/>
        <v>8</v>
      </c>
      <c r="AJ58" s="155">
        <f t="shared" si="163"/>
        <v>8</v>
      </c>
      <c r="AK58" s="552">
        <f t="shared" si="164"/>
        <v>13</v>
      </c>
      <c r="AL58" s="155">
        <f t="shared" si="165"/>
        <v>17</v>
      </c>
      <c r="AM58" s="155">
        <f t="shared" si="166"/>
        <v>9</v>
      </c>
      <c r="AN58" s="155">
        <f t="shared" si="167"/>
        <v>16</v>
      </c>
      <c r="AO58" s="155">
        <f t="shared" si="168"/>
        <v>14</v>
      </c>
      <c r="AP58" s="155">
        <f t="shared" si="168"/>
        <v>6</v>
      </c>
      <c r="AQ58" s="155">
        <f t="shared" si="169"/>
        <v>12</v>
      </c>
      <c r="AR58" s="155">
        <f t="shared" si="170"/>
        <v>9</v>
      </c>
      <c r="AS58" s="156">
        <f t="shared" si="171"/>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384</v>
      </c>
    </row>
    <row r="59" spans="1:90">
      <c r="A59" s="80">
        <f>ROWS($A$3:A57)</f>
        <v>55</v>
      </c>
      <c r="B59" s="92"/>
      <c r="C59" s="203"/>
      <c r="D59" s="259" t="s">
        <v>1</v>
      </c>
      <c r="E59" s="483">
        <v>44427</v>
      </c>
      <c r="F59" s="154">
        <v>56</v>
      </c>
      <c r="G59" s="155">
        <v>53</v>
      </c>
      <c r="H59" s="155">
        <v>67</v>
      </c>
      <c r="I59" s="156">
        <v>62</v>
      </c>
      <c r="J59" s="281"/>
      <c r="K59" s="154">
        <f t="shared" si="141"/>
        <v>10672.53</v>
      </c>
      <c r="L59" s="155">
        <f t="shared" si="142"/>
        <v>3129.65</v>
      </c>
      <c r="M59" s="155">
        <f t="shared" si="143"/>
        <v>8345.65</v>
      </c>
      <c r="N59" s="155">
        <f t="shared" si="144"/>
        <v>9512.31</v>
      </c>
      <c r="O59" s="155">
        <f t="shared" si="145"/>
        <v>7320.3</v>
      </c>
      <c r="P59" s="155">
        <f>AZ59+BA59</f>
        <v>11693.300000000001</v>
      </c>
      <c r="Q59" s="155">
        <f t="shared" si="172"/>
        <v>6968.23</v>
      </c>
      <c r="R59" s="155">
        <f t="shared" si="146"/>
        <v>10380.52</v>
      </c>
      <c r="S59" s="155">
        <f t="shared" si="147"/>
        <v>9004.48</v>
      </c>
      <c r="T59" s="155">
        <f t="shared" si="148"/>
        <v>8654.1299999999992</v>
      </c>
      <c r="U59" s="552">
        <f t="shared" si="148"/>
        <v>7367.52</v>
      </c>
      <c r="V59" s="155">
        <f t="shared" si="149"/>
        <v>14852.68</v>
      </c>
      <c r="W59" s="155">
        <f t="shared" si="150"/>
        <v>5795.21</v>
      </c>
      <c r="X59" s="155">
        <f t="shared" si="151"/>
        <v>30194.800000000003</v>
      </c>
      <c r="Y59" s="155">
        <f t="shared" si="152"/>
        <v>19870.919999999998</v>
      </c>
      <c r="Z59" s="155">
        <f t="shared" si="153"/>
        <v>9713.0400000000009</v>
      </c>
      <c r="AA59" s="155">
        <f t="shared" si="154"/>
        <v>11902.8</v>
      </c>
      <c r="AB59" s="552">
        <f t="shared" si="155"/>
        <v>5474.77</v>
      </c>
      <c r="AC59" s="155">
        <f t="shared" si="156"/>
        <v>8463.31</v>
      </c>
      <c r="AD59" s="155">
        <f t="shared" si="157"/>
        <v>10471.969999999999</v>
      </c>
      <c r="AE59" s="155">
        <f t="shared" si="158"/>
        <v>23006.15</v>
      </c>
      <c r="AF59" s="155">
        <f t="shared" si="159"/>
        <v>16168.5</v>
      </c>
      <c r="AG59" s="155">
        <f t="shared" si="160"/>
        <v>18712.52</v>
      </c>
      <c r="AH59" s="155">
        <f t="shared" si="161"/>
        <v>14590.58</v>
      </c>
      <c r="AI59" s="155">
        <f t="shared" si="162"/>
        <v>6020.15</v>
      </c>
      <c r="AJ59" s="155">
        <f t="shared" si="163"/>
        <v>12388.04</v>
      </c>
      <c r="AK59" s="552">
        <f t="shared" si="164"/>
        <v>22698.65</v>
      </c>
      <c r="AL59" s="155">
        <f t="shared" si="165"/>
        <v>12361.67</v>
      </c>
      <c r="AM59" s="155">
        <f t="shared" si="166"/>
        <v>8293.2900000000009</v>
      </c>
      <c r="AN59" s="155">
        <f t="shared" si="167"/>
        <v>12823.6</v>
      </c>
      <c r="AO59" s="155">
        <f t="shared" si="168"/>
        <v>22552.34</v>
      </c>
      <c r="AP59" s="155">
        <f t="shared" si="168"/>
        <v>12979.59</v>
      </c>
      <c r="AQ59" s="155">
        <f t="shared" si="169"/>
        <v>9901.57</v>
      </c>
      <c r="AR59" s="155">
        <f t="shared" si="170"/>
        <v>4021.54</v>
      </c>
      <c r="AS59" s="156">
        <f t="shared" si="171"/>
        <v>11647.560000000001</v>
      </c>
      <c r="AT59" s="155">
        <v>2327.62</v>
      </c>
      <c r="AU59" s="155">
        <v>6968.23</v>
      </c>
      <c r="AV59" s="155">
        <v>9004.48</v>
      </c>
      <c r="AW59" s="155">
        <v>9512.31</v>
      </c>
      <c r="AX59" s="155">
        <v>8052.9</v>
      </c>
      <c r="AY59" s="155">
        <v>3129.65</v>
      </c>
      <c r="AZ59" s="155">
        <v>1059.26</v>
      </c>
      <c r="BA59" s="155">
        <v>10634.04</v>
      </c>
      <c r="BB59" s="155">
        <v>8654.1299999999992</v>
      </c>
      <c r="BC59" s="155">
        <v>7367.52</v>
      </c>
      <c r="BD59" s="155">
        <v>8345.65</v>
      </c>
      <c r="BE59" s="155">
        <v>7320.3</v>
      </c>
      <c r="BF59" s="552">
        <v>10672.53</v>
      </c>
      <c r="BG59" s="155">
        <v>1507</v>
      </c>
      <c r="BH59" s="155">
        <v>4343.0600000000004</v>
      </c>
      <c r="BI59" s="155">
        <v>25851.74</v>
      </c>
      <c r="BJ59" s="155">
        <v>13345.68</v>
      </c>
      <c r="BK59" s="155">
        <v>2366.7600000000002</v>
      </c>
      <c r="BL59" s="155">
        <v>1719.25</v>
      </c>
      <c r="BM59" s="155">
        <v>9713.0400000000009</v>
      </c>
      <c r="BN59" s="155">
        <v>15784.91</v>
      </c>
      <c r="BO59" s="155">
        <v>1452.84</v>
      </c>
      <c r="BP59" s="155">
        <v>5474.77</v>
      </c>
      <c r="BQ59" s="155">
        <v>10449.959999999999</v>
      </c>
      <c r="BR59" s="552">
        <v>5795.21</v>
      </c>
      <c r="BS59" s="155">
        <v>3366.29</v>
      </c>
      <c r="BT59" s="155">
        <v>19639.86</v>
      </c>
      <c r="BU59" s="155">
        <v>10471.969999999999</v>
      </c>
      <c r="BV59" s="155">
        <v>18712.52</v>
      </c>
      <c r="BW59" s="155">
        <v>6020.15</v>
      </c>
      <c r="BX59" s="155">
        <v>8463.31</v>
      </c>
      <c r="BY59" s="155">
        <v>12388.04</v>
      </c>
      <c r="BZ59" s="155">
        <v>14590.58</v>
      </c>
      <c r="CA59" s="155">
        <v>16168.5</v>
      </c>
      <c r="CB59" s="552">
        <v>22698.65</v>
      </c>
      <c r="CC59" s="155">
        <v>22552.34</v>
      </c>
      <c r="CD59" s="155">
        <v>12979.59</v>
      </c>
      <c r="CE59" s="155">
        <v>12361.67</v>
      </c>
      <c r="CF59" s="155">
        <v>539.45000000000005</v>
      </c>
      <c r="CG59" s="155">
        <v>11108.11</v>
      </c>
      <c r="CH59" s="155">
        <v>8293.2900000000009</v>
      </c>
      <c r="CI59" s="155">
        <v>4021.54</v>
      </c>
      <c r="CJ59" s="155">
        <v>12823.6</v>
      </c>
      <c r="CK59" s="156">
        <v>9901.57</v>
      </c>
      <c r="CL59" s="320">
        <v>417953.87</v>
      </c>
    </row>
    <row r="60" spans="1:90">
      <c r="A60" s="80">
        <f>ROWS($A$3:A58)</f>
        <v>56</v>
      </c>
      <c r="B60" s="92" t="s">
        <v>232</v>
      </c>
      <c r="C60" s="584">
        <v>2021</v>
      </c>
      <c r="D60" s="259" t="s">
        <v>13</v>
      </c>
      <c r="E60" s="483">
        <v>44427</v>
      </c>
      <c r="F60" s="154">
        <v>68891.14</v>
      </c>
      <c r="G60" s="281">
        <v>56091.88</v>
      </c>
      <c r="H60" s="281">
        <v>182455.92</v>
      </c>
      <c r="I60" s="156">
        <v>84327.33</v>
      </c>
      <c r="J60" s="281"/>
      <c r="K60" s="154">
        <f t="shared" si="141"/>
        <v>6</v>
      </c>
      <c r="L60" s="155">
        <f t="shared" si="142"/>
        <v>2</v>
      </c>
      <c r="M60" s="155">
        <f t="shared" si="143"/>
        <v>2</v>
      </c>
      <c r="N60" s="155">
        <f t="shared" si="144"/>
        <v>3</v>
      </c>
      <c r="O60" s="155">
        <f t="shared" si="145"/>
        <v>3</v>
      </c>
      <c r="P60" s="155">
        <f>BA60</f>
        <v>3</v>
      </c>
      <c r="Q60" s="155">
        <f t="shared" si="172"/>
        <v>1</v>
      </c>
      <c r="R60" s="155">
        <f t="shared" si="146"/>
        <v>5</v>
      </c>
      <c r="S60" s="155">
        <f t="shared" si="147"/>
        <v>4</v>
      </c>
      <c r="T60" s="155">
        <f t="shared" si="148"/>
        <v>2</v>
      </c>
      <c r="U60" s="552">
        <f t="shared" si="148"/>
        <v>3</v>
      </c>
      <c r="V60" s="155">
        <f t="shared" si="149"/>
        <v>6</v>
      </c>
      <c r="W60" s="155">
        <f t="shared" si="150"/>
        <v>1</v>
      </c>
      <c r="X60" s="155">
        <f t="shared" si="151"/>
        <v>9</v>
      </c>
      <c r="Y60" s="155">
        <f t="shared" si="152"/>
        <v>9</v>
      </c>
      <c r="Z60" s="155">
        <f t="shared" si="153"/>
        <v>3</v>
      </c>
      <c r="AA60" s="155">
        <f>BQ60</f>
        <v>3</v>
      </c>
      <c r="AB60" s="552">
        <f t="shared" si="155"/>
        <v>2</v>
      </c>
      <c r="AC60" s="155">
        <f t="shared" si="156"/>
        <v>3</v>
      </c>
      <c r="AD60" s="155">
        <f t="shared" si="157"/>
        <v>7</v>
      </c>
      <c r="AE60" s="155">
        <f t="shared" si="158"/>
        <v>14</v>
      </c>
      <c r="AF60" s="155">
        <f t="shared" si="159"/>
        <v>3</v>
      </c>
      <c r="AG60" s="155">
        <f t="shared" si="160"/>
        <v>12</v>
      </c>
      <c r="AH60" s="155">
        <f t="shared" si="161"/>
        <v>6</v>
      </c>
      <c r="AI60" s="155">
        <f t="shared" si="162"/>
        <v>5</v>
      </c>
      <c r="AJ60" s="155">
        <f t="shared" si="163"/>
        <v>3</v>
      </c>
      <c r="AK60" s="552">
        <f t="shared" si="164"/>
        <v>2</v>
      </c>
      <c r="AL60" s="155">
        <f t="shared" si="165"/>
        <v>3</v>
      </c>
      <c r="AM60" s="155">
        <f t="shared" si="166"/>
        <v>2</v>
      </c>
      <c r="AN60" s="155">
        <f t="shared" si="167"/>
        <v>7</v>
      </c>
      <c r="AO60" s="155">
        <f t="shared" si="168"/>
        <v>3</v>
      </c>
      <c r="AP60" s="155">
        <f t="shared" si="168"/>
        <v>5</v>
      </c>
      <c r="AQ60" s="155">
        <f t="shared" si="169"/>
        <v>3</v>
      </c>
      <c r="AR60" s="155">
        <f t="shared" si="170"/>
        <v>3</v>
      </c>
      <c r="AS60" s="156">
        <f t="shared" si="171"/>
        <v>5</v>
      </c>
      <c r="AT60" s="155">
        <v>1</v>
      </c>
      <c r="AU60" s="281">
        <v>1</v>
      </c>
      <c r="AV60" s="281">
        <v>4</v>
      </c>
      <c r="AW60" s="281">
        <v>3</v>
      </c>
      <c r="AX60" s="281">
        <v>4</v>
      </c>
      <c r="AY60" s="281">
        <v>2</v>
      </c>
      <c r="AZ60" s="281" t="s">
        <v>233</v>
      </c>
      <c r="BA60" s="281">
        <v>3</v>
      </c>
      <c r="BB60" s="281">
        <v>2</v>
      </c>
      <c r="BC60" s="281">
        <v>3</v>
      </c>
      <c r="BD60" s="281">
        <v>2</v>
      </c>
      <c r="BE60" s="281">
        <v>3</v>
      </c>
      <c r="BF60" s="552">
        <v>6</v>
      </c>
      <c r="BG60" s="281">
        <v>1</v>
      </c>
      <c r="BH60" s="281">
        <v>3</v>
      </c>
      <c r="BI60" s="281">
        <v>6</v>
      </c>
      <c r="BJ60" s="281">
        <v>5</v>
      </c>
      <c r="BK60" s="281">
        <v>1</v>
      </c>
      <c r="BL60" s="281">
        <v>1</v>
      </c>
      <c r="BM60" s="281">
        <v>3</v>
      </c>
      <c r="BN60" s="281">
        <v>7</v>
      </c>
      <c r="BO60" s="281" t="s">
        <v>233</v>
      </c>
      <c r="BP60" s="281">
        <v>2</v>
      </c>
      <c r="BQ60" s="281">
        <v>3</v>
      </c>
      <c r="BR60" s="552">
        <v>1</v>
      </c>
      <c r="BS60" s="281">
        <v>3</v>
      </c>
      <c r="BT60" s="281">
        <v>11</v>
      </c>
      <c r="BU60" s="281">
        <v>7</v>
      </c>
      <c r="BV60" s="281">
        <v>12</v>
      </c>
      <c r="BW60" s="281">
        <v>5</v>
      </c>
      <c r="BX60" s="281">
        <v>3</v>
      </c>
      <c r="BY60" s="281">
        <v>3</v>
      </c>
      <c r="BZ60" s="281">
        <v>6</v>
      </c>
      <c r="CA60" s="281">
        <v>3</v>
      </c>
      <c r="CB60" s="552">
        <v>2</v>
      </c>
      <c r="CC60" s="281">
        <v>3</v>
      </c>
      <c r="CD60" s="281">
        <v>5</v>
      </c>
      <c r="CE60" s="281">
        <v>3</v>
      </c>
      <c r="CF60" s="281">
        <v>1</v>
      </c>
      <c r="CG60" s="281">
        <v>4</v>
      </c>
      <c r="CH60" s="281">
        <v>2</v>
      </c>
      <c r="CI60" s="281">
        <v>3</v>
      </c>
      <c r="CJ60" s="281">
        <v>7</v>
      </c>
      <c r="CK60" s="156">
        <v>3</v>
      </c>
      <c r="CL60" s="320">
        <v>153</v>
      </c>
    </row>
    <row r="61" spans="1:90">
      <c r="A61" s="80">
        <f>ROWS($A$3:A59)</f>
        <v>57</v>
      </c>
      <c r="B61" s="52"/>
      <c r="C61" s="203"/>
      <c r="D61" s="259" t="s">
        <v>1</v>
      </c>
      <c r="E61" s="483">
        <v>44427</v>
      </c>
      <c r="F61" s="154">
        <v>21</v>
      </c>
      <c r="G61" s="155">
        <v>23</v>
      </c>
      <c r="H61" s="155">
        <v>34</v>
      </c>
      <c r="I61" s="156">
        <v>23</v>
      </c>
      <c r="J61" s="281"/>
      <c r="K61" s="154">
        <f t="shared" si="141"/>
        <v>3634.42</v>
      </c>
      <c r="L61" s="155">
        <f t="shared" si="142"/>
        <v>2443.54</v>
      </c>
      <c r="M61" s="155">
        <f t="shared" si="143"/>
        <v>2641.61</v>
      </c>
      <c r="N61" s="155">
        <f t="shared" si="144"/>
        <v>19363.93</v>
      </c>
      <c r="O61" s="155">
        <f t="shared" si="145"/>
        <v>7564.35</v>
      </c>
      <c r="P61" s="155">
        <f>BA61</f>
        <v>2388.2199999999998</v>
      </c>
      <c r="Q61" s="155">
        <f t="shared" si="172"/>
        <v>5376.71</v>
      </c>
      <c r="R61" s="155">
        <f t="shared" si="146"/>
        <v>6533.71</v>
      </c>
      <c r="S61" s="155">
        <f t="shared" si="147"/>
        <v>17053.38</v>
      </c>
      <c r="T61" s="155">
        <f t="shared" si="148"/>
        <v>688.8</v>
      </c>
      <c r="U61" s="552">
        <f t="shared" si="148"/>
        <v>1202.48</v>
      </c>
      <c r="V61" s="155">
        <f t="shared" si="149"/>
        <v>14584.45</v>
      </c>
      <c r="W61" s="155">
        <f t="shared" si="150"/>
        <v>17301.650000000001</v>
      </c>
      <c r="X61" s="155">
        <f t="shared" si="151"/>
        <v>12587.51</v>
      </c>
      <c r="Y61" s="155">
        <f t="shared" si="152"/>
        <v>6428.2</v>
      </c>
      <c r="Z61" s="155">
        <f t="shared" si="153"/>
        <v>213.7</v>
      </c>
      <c r="AA61" s="155">
        <f>BQ61</f>
        <v>2397.67</v>
      </c>
      <c r="AB61" s="552">
        <f t="shared" si="155"/>
        <v>2578.6999999999998</v>
      </c>
      <c r="AC61" s="155">
        <f t="shared" si="156"/>
        <v>49856.34</v>
      </c>
      <c r="AD61" s="155">
        <f t="shared" si="157"/>
        <v>12424.61</v>
      </c>
      <c r="AE61" s="155">
        <f t="shared" si="158"/>
        <v>30539.51</v>
      </c>
      <c r="AF61" s="155">
        <f t="shared" si="159"/>
        <v>10872.16</v>
      </c>
      <c r="AG61" s="155">
        <f t="shared" si="160"/>
        <v>27067.919999999998</v>
      </c>
      <c r="AH61" s="155">
        <f t="shared" si="161"/>
        <v>9510.5499999999993</v>
      </c>
      <c r="AI61" s="155">
        <f t="shared" si="162"/>
        <v>3033.91</v>
      </c>
      <c r="AJ61" s="155">
        <f t="shared" si="163"/>
        <v>21433.61</v>
      </c>
      <c r="AK61" s="552">
        <f t="shared" si="164"/>
        <v>17717.32</v>
      </c>
      <c r="AL61" s="155">
        <f t="shared" si="165"/>
        <v>20299.060000000001</v>
      </c>
      <c r="AM61" s="155">
        <f t="shared" si="166"/>
        <v>2946.88</v>
      </c>
      <c r="AN61" s="155">
        <f t="shared" si="167"/>
        <v>8770.92</v>
      </c>
      <c r="AO61" s="155">
        <f t="shared" si="168"/>
        <v>22418.87</v>
      </c>
      <c r="AP61" s="155">
        <f t="shared" si="168"/>
        <v>13819.81</v>
      </c>
      <c r="AQ61" s="155">
        <f t="shared" si="169"/>
        <v>8215.6299999999992</v>
      </c>
      <c r="AR61" s="155">
        <f t="shared" si="170"/>
        <v>877</v>
      </c>
      <c r="AS61" s="156">
        <f t="shared" si="171"/>
        <v>6979.1500000000005</v>
      </c>
      <c r="AT61" s="155">
        <v>3.01</v>
      </c>
      <c r="AU61" s="155">
        <v>5376.71</v>
      </c>
      <c r="AV61" s="155">
        <v>17053.38</v>
      </c>
      <c r="AW61" s="155">
        <v>19363.93</v>
      </c>
      <c r="AX61" s="155">
        <v>6530.7</v>
      </c>
      <c r="AY61" s="155">
        <v>2443.54</v>
      </c>
      <c r="AZ61" s="155" t="s">
        <v>233</v>
      </c>
      <c r="BA61" s="155">
        <v>2388.2199999999998</v>
      </c>
      <c r="BB61" s="155">
        <v>688.8</v>
      </c>
      <c r="BC61" s="155">
        <v>1202.48</v>
      </c>
      <c r="BD61" s="155">
        <v>2641.61</v>
      </c>
      <c r="BE61" s="155">
        <v>7564.35</v>
      </c>
      <c r="BF61" s="552">
        <v>3634.42</v>
      </c>
      <c r="BG61" s="155">
        <v>360.45</v>
      </c>
      <c r="BH61" s="155">
        <v>2915.73</v>
      </c>
      <c r="BI61" s="155">
        <v>9671.7800000000007</v>
      </c>
      <c r="BJ61" s="155">
        <v>14224</v>
      </c>
      <c r="BK61" s="155">
        <v>3.96</v>
      </c>
      <c r="BL61" s="155">
        <v>400.67</v>
      </c>
      <c r="BM61" s="155">
        <v>213.7</v>
      </c>
      <c r="BN61" s="155">
        <v>6023.57</v>
      </c>
      <c r="BO61" s="155" t="s">
        <v>233</v>
      </c>
      <c r="BP61" s="155">
        <v>2578.6999999999998</v>
      </c>
      <c r="BQ61" s="155">
        <v>2397.67</v>
      </c>
      <c r="BR61" s="552">
        <v>17301.650000000001</v>
      </c>
      <c r="BS61" s="155">
        <v>3003.57</v>
      </c>
      <c r="BT61" s="155">
        <v>27535.94</v>
      </c>
      <c r="BU61" s="155">
        <v>12424.61</v>
      </c>
      <c r="BV61" s="155">
        <v>27067.919999999998</v>
      </c>
      <c r="BW61" s="155">
        <v>3033.91</v>
      </c>
      <c r="BX61" s="155">
        <v>49856.34</v>
      </c>
      <c r="BY61" s="155">
        <v>21433.61</v>
      </c>
      <c r="BZ61" s="155">
        <v>9510.5499999999993</v>
      </c>
      <c r="CA61" s="155">
        <v>10872.16</v>
      </c>
      <c r="CB61" s="552">
        <v>17717.32</v>
      </c>
      <c r="CC61" s="155">
        <v>22418.87</v>
      </c>
      <c r="CD61" s="155">
        <v>13819.81</v>
      </c>
      <c r="CE61" s="155">
        <v>20299.060000000001</v>
      </c>
      <c r="CF61" s="155">
        <v>113.85</v>
      </c>
      <c r="CG61" s="155">
        <v>6865.3</v>
      </c>
      <c r="CH61" s="155">
        <v>2946.88</v>
      </c>
      <c r="CI61" s="155">
        <v>877</v>
      </c>
      <c r="CJ61" s="155">
        <v>8770.92</v>
      </c>
      <c r="CK61" s="156">
        <v>8215.6299999999992</v>
      </c>
      <c r="CL61" s="320">
        <v>391766.28000000009</v>
      </c>
    </row>
    <row r="62" spans="1:90">
      <c r="A62" s="80">
        <f>ROWS($A$3:A60)</f>
        <v>58</v>
      </c>
      <c r="B62" s="92" t="s">
        <v>56</v>
      </c>
      <c r="C62" s="584">
        <v>2022</v>
      </c>
      <c r="D62" s="259" t="s">
        <v>13</v>
      </c>
      <c r="E62" s="483">
        <v>45125</v>
      </c>
      <c r="F62" s="872">
        <v>766</v>
      </c>
      <c r="G62" s="864">
        <v>403</v>
      </c>
      <c r="H62" s="864">
        <v>974</v>
      </c>
      <c r="I62" s="868">
        <v>371</v>
      </c>
      <c r="J62" s="281"/>
      <c r="K62" s="154">
        <f t="shared" si="141"/>
        <v>81</v>
      </c>
      <c r="L62" s="155">
        <f t="shared" si="142"/>
        <v>179</v>
      </c>
      <c r="M62" s="155">
        <f t="shared" si="143"/>
        <v>48</v>
      </c>
      <c r="N62" s="155">
        <f t="shared" si="144"/>
        <v>42</v>
      </c>
      <c r="O62" s="155">
        <f t="shared" si="145"/>
        <v>18</v>
      </c>
      <c r="P62" s="155">
        <f>AZ62+BA62</f>
        <v>118</v>
      </c>
      <c r="Q62" s="155">
        <f t="shared" si="172"/>
        <v>32</v>
      </c>
      <c r="R62" s="155">
        <f t="shared" si="146"/>
        <v>50</v>
      </c>
      <c r="S62" s="155">
        <f t="shared" si="147"/>
        <v>42</v>
      </c>
      <c r="T62" s="155">
        <f t="shared" si="148"/>
        <v>67</v>
      </c>
      <c r="U62" s="552">
        <f t="shared" si="148"/>
        <v>89</v>
      </c>
      <c r="V62" s="155">
        <f t="shared" si="149"/>
        <v>81</v>
      </c>
      <c r="W62" s="155">
        <f t="shared" si="150"/>
        <v>47</v>
      </c>
      <c r="X62" s="155">
        <f t="shared" si="151"/>
        <v>56</v>
      </c>
      <c r="Y62" s="155">
        <f t="shared" si="152"/>
        <v>67</v>
      </c>
      <c r="Z62" s="155">
        <f t="shared" si="153"/>
        <v>41</v>
      </c>
      <c r="AA62" s="155">
        <f t="shared" si="154"/>
        <v>48</v>
      </c>
      <c r="AB62" s="552">
        <f t="shared" si="155"/>
        <v>63</v>
      </c>
      <c r="AC62" s="155">
        <f t="shared" si="156"/>
        <v>125</v>
      </c>
      <c r="AD62" s="155">
        <f t="shared" si="157"/>
        <v>70</v>
      </c>
      <c r="AE62" s="155">
        <f t="shared" si="158"/>
        <v>135</v>
      </c>
      <c r="AF62" s="155">
        <f t="shared" si="159"/>
        <v>134</v>
      </c>
      <c r="AG62" s="155">
        <f t="shared" si="160"/>
        <v>138</v>
      </c>
      <c r="AH62" s="155">
        <f t="shared" si="161"/>
        <v>100</v>
      </c>
      <c r="AI62" s="155">
        <f t="shared" si="162"/>
        <v>42</v>
      </c>
      <c r="AJ62" s="155">
        <f t="shared" si="163"/>
        <v>46</v>
      </c>
      <c r="AK62" s="552">
        <f t="shared" si="164"/>
        <v>184</v>
      </c>
      <c r="AL62" s="155">
        <f t="shared" si="165"/>
        <v>41</v>
      </c>
      <c r="AM62" s="155">
        <f t="shared" si="166"/>
        <v>48</v>
      </c>
      <c r="AN62" s="155">
        <f t="shared" si="167"/>
        <v>77</v>
      </c>
      <c r="AO62" s="155">
        <f t="shared" si="168"/>
        <v>44</v>
      </c>
      <c r="AP62" s="155">
        <f t="shared" si="168"/>
        <v>16</v>
      </c>
      <c r="AQ62" s="155">
        <f t="shared" si="169"/>
        <v>62</v>
      </c>
      <c r="AR62" s="155">
        <f t="shared" si="170"/>
        <v>42</v>
      </c>
      <c r="AS62" s="156">
        <f t="shared" si="171"/>
        <v>41</v>
      </c>
      <c r="AT62" s="479">
        <v>3</v>
      </c>
      <c r="AU62" s="493">
        <v>32</v>
      </c>
      <c r="AV62" s="493">
        <v>42</v>
      </c>
      <c r="AW62" s="493">
        <v>42</v>
      </c>
      <c r="AX62" s="864">
        <v>47</v>
      </c>
      <c r="AY62" s="864">
        <v>179</v>
      </c>
      <c r="AZ62" s="493">
        <v>10</v>
      </c>
      <c r="BA62" s="493">
        <v>108</v>
      </c>
      <c r="BB62" s="864">
        <v>67</v>
      </c>
      <c r="BC62" s="864">
        <v>89</v>
      </c>
      <c r="BD62" s="493">
        <v>48</v>
      </c>
      <c r="BE62" s="493">
        <v>18</v>
      </c>
      <c r="BF62" s="480">
        <v>81</v>
      </c>
      <c r="BG62" s="493">
        <v>10</v>
      </c>
      <c r="BH62" s="493">
        <v>5</v>
      </c>
      <c r="BI62" s="864">
        <v>51</v>
      </c>
      <c r="BJ62" s="493">
        <v>71</v>
      </c>
      <c r="BK62" s="493">
        <v>9</v>
      </c>
      <c r="BL62" s="493">
        <v>3</v>
      </c>
      <c r="BM62" s="493">
        <v>41</v>
      </c>
      <c r="BN62" s="864">
        <v>55</v>
      </c>
      <c r="BO62" s="864">
        <v>7</v>
      </c>
      <c r="BP62" s="864">
        <v>63</v>
      </c>
      <c r="BQ62" s="864">
        <v>41</v>
      </c>
      <c r="BR62" s="866">
        <v>47</v>
      </c>
      <c r="BS62" s="865">
        <v>10</v>
      </c>
      <c r="BT62" s="865">
        <v>125</v>
      </c>
      <c r="BU62" s="864">
        <v>70</v>
      </c>
      <c r="BV62" s="865">
        <v>138</v>
      </c>
      <c r="BW62" s="865">
        <v>42</v>
      </c>
      <c r="BX62" s="865">
        <v>125</v>
      </c>
      <c r="BY62" s="865">
        <v>46</v>
      </c>
      <c r="BZ62" s="865">
        <v>100</v>
      </c>
      <c r="CA62" s="865">
        <v>134</v>
      </c>
      <c r="CB62" s="867">
        <v>184</v>
      </c>
      <c r="CC62" s="865">
        <v>44</v>
      </c>
      <c r="CD62" s="865">
        <v>16</v>
      </c>
      <c r="CE62" s="865">
        <v>41</v>
      </c>
      <c r="CF62" s="865">
        <v>3</v>
      </c>
      <c r="CG62" s="865">
        <v>38</v>
      </c>
      <c r="CH62" s="865">
        <v>48</v>
      </c>
      <c r="CI62" s="864">
        <v>42</v>
      </c>
      <c r="CJ62" s="864">
        <v>77</v>
      </c>
      <c r="CK62" s="869">
        <v>62</v>
      </c>
      <c r="CL62" s="871">
        <v>2514</v>
      </c>
    </row>
    <row r="63" spans="1:90">
      <c r="A63" s="80">
        <f>ROWS($A$3:A61)</f>
        <v>59</v>
      </c>
      <c r="B63" s="92"/>
      <c r="C63" s="203"/>
      <c r="D63" s="259" t="s">
        <v>1</v>
      </c>
      <c r="E63" s="483">
        <v>45125</v>
      </c>
      <c r="F63" s="872">
        <v>281140</v>
      </c>
      <c r="G63" s="864">
        <v>206939</v>
      </c>
      <c r="H63" s="864">
        <v>163366</v>
      </c>
      <c r="I63" s="868">
        <v>310631</v>
      </c>
      <c r="J63" s="281"/>
      <c r="K63" s="154">
        <f t="shared" si="141"/>
        <v>42080</v>
      </c>
      <c r="L63" s="155">
        <f t="shared" si="142"/>
        <v>10586</v>
      </c>
      <c r="M63" s="155">
        <f t="shared" si="143"/>
        <v>50159</v>
      </c>
      <c r="N63" s="155">
        <f t="shared" si="144"/>
        <v>21150</v>
      </c>
      <c r="O63" s="155">
        <f t="shared" si="145"/>
        <v>57769</v>
      </c>
      <c r="P63" s="155">
        <f>AZ63+BA63</f>
        <v>27494</v>
      </c>
      <c r="Q63" s="155">
        <f t="shared" si="172"/>
        <v>26994</v>
      </c>
      <c r="R63" s="155">
        <f t="shared" si="146"/>
        <v>16419</v>
      </c>
      <c r="S63" s="155">
        <f t="shared" si="147"/>
        <v>9237</v>
      </c>
      <c r="T63" s="155">
        <f t="shared" si="148"/>
        <v>12395</v>
      </c>
      <c r="U63" s="552">
        <f t="shared" si="148"/>
        <v>6918</v>
      </c>
      <c r="V63" s="155">
        <f t="shared" si="149"/>
        <v>21119</v>
      </c>
      <c r="W63" s="155">
        <f t="shared" si="150"/>
        <v>15222</v>
      </c>
      <c r="X63" s="155">
        <f t="shared" si="151"/>
        <v>43413</v>
      </c>
      <c r="Y63" s="155">
        <f t="shared" si="152"/>
        <v>39764</v>
      </c>
      <c r="Z63" s="155">
        <f t="shared" si="153"/>
        <v>29126</v>
      </c>
      <c r="AA63" s="155">
        <f t="shared" si="154"/>
        <v>28883</v>
      </c>
      <c r="AB63" s="552">
        <f t="shared" si="155"/>
        <v>29412</v>
      </c>
      <c r="AC63" s="155">
        <f t="shared" si="156"/>
        <v>21036</v>
      </c>
      <c r="AD63" s="155">
        <f t="shared" si="157"/>
        <v>10496</v>
      </c>
      <c r="AE63" s="155">
        <f t="shared" si="158"/>
        <v>22658</v>
      </c>
      <c r="AF63" s="155">
        <f t="shared" si="159"/>
        <v>10107</v>
      </c>
      <c r="AG63" s="155">
        <f t="shared" si="160"/>
        <v>19348</v>
      </c>
      <c r="AH63" s="155">
        <f t="shared" si="161"/>
        <v>23278</v>
      </c>
      <c r="AI63" s="155">
        <f t="shared" si="162"/>
        <v>17848</v>
      </c>
      <c r="AJ63" s="155">
        <f t="shared" si="163"/>
        <v>17065</v>
      </c>
      <c r="AK63" s="552">
        <f t="shared" si="164"/>
        <v>21530</v>
      </c>
      <c r="AL63" s="155">
        <f t="shared" si="165"/>
        <v>30644</v>
      </c>
      <c r="AM63" s="155">
        <f t="shared" si="166"/>
        <v>30633</v>
      </c>
      <c r="AN63" s="155">
        <f t="shared" si="167"/>
        <v>23980</v>
      </c>
      <c r="AO63" s="155">
        <f t="shared" si="168"/>
        <v>65506</v>
      </c>
      <c r="AP63" s="155">
        <f t="shared" si="168"/>
        <v>12293</v>
      </c>
      <c r="AQ63" s="155">
        <f t="shared" si="169"/>
        <v>43665</v>
      </c>
      <c r="AR63" s="155">
        <f t="shared" si="170"/>
        <v>8773</v>
      </c>
      <c r="AS63" s="156">
        <f t="shared" si="171"/>
        <v>95138</v>
      </c>
      <c r="AT63" s="479">
        <v>1242</v>
      </c>
      <c r="AU63" s="479">
        <v>26994</v>
      </c>
      <c r="AV63" s="479">
        <v>9237</v>
      </c>
      <c r="AW63" s="479">
        <v>21150</v>
      </c>
      <c r="AX63" s="864">
        <v>15177</v>
      </c>
      <c r="AY63" s="864">
        <v>10586</v>
      </c>
      <c r="AZ63" s="479">
        <v>2865</v>
      </c>
      <c r="BA63" s="479">
        <v>24629</v>
      </c>
      <c r="BB63" s="864">
        <v>12395</v>
      </c>
      <c r="BC63" s="864">
        <v>6918</v>
      </c>
      <c r="BD63" s="479">
        <v>50159</v>
      </c>
      <c r="BE63" s="479">
        <v>57769</v>
      </c>
      <c r="BF63" s="480">
        <v>42080</v>
      </c>
      <c r="BG63" s="479">
        <v>3657</v>
      </c>
      <c r="BH63" s="479">
        <v>6736</v>
      </c>
      <c r="BI63" s="864">
        <v>36677</v>
      </c>
      <c r="BJ63" s="479">
        <v>17462</v>
      </c>
      <c r="BK63" s="479">
        <v>3735</v>
      </c>
      <c r="BL63" s="479">
        <v>1624</v>
      </c>
      <c r="BM63" s="479">
        <v>29126</v>
      </c>
      <c r="BN63" s="864">
        <v>34405</v>
      </c>
      <c r="BO63" s="864">
        <v>3966</v>
      </c>
      <c r="BP63" s="864">
        <v>29412</v>
      </c>
      <c r="BQ63" s="864">
        <v>24917</v>
      </c>
      <c r="BR63" s="866">
        <v>15222</v>
      </c>
      <c r="BS63" s="865">
        <v>1941</v>
      </c>
      <c r="BT63" s="865">
        <v>20717</v>
      </c>
      <c r="BU63" s="864">
        <v>10496</v>
      </c>
      <c r="BV63" s="865">
        <v>19348</v>
      </c>
      <c r="BW63" s="865">
        <v>17848</v>
      </c>
      <c r="BX63" s="865">
        <v>21036</v>
      </c>
      <c r="BY63" s="865">
        <v>17065</v>
      </c>
      <c r="BZ63" s="865">
        <v>23278</v>
      </c>
      <c r="CA63" s="865">
        <v>10107</v>
      </c>
      <c r="CB63" s="867">
        <v>21530</v>
      </c>
      <c r="CC63" s="865">
        <v>65506</v>
      </c>
      <c r="CD63" s="865">
        <v>12293</v>
      </c>
      <c r="CE63" s="865">
        <v>30644</v>
      </c>
      <c r="CF63" s="865">
        <v>834</v>
      </c>
      <c r="CG63" s="865">
        <v>94304</v>
      </c>
      <c r="CH63" s="865">
        <v>30633</v>
      </c>
      <c r="CI63" s="864">
        <v>8773</v>
      </c>
      <c r="CJ63" s="864">
        <v>23980</v>
      </c>
      <c r="CK63" s="869">
        <v>43665</v>
      </c>
      <c r="CL63" s="870">
        <v>962076</v>
      </c>
    </row>
    <row r="64" spans="1:90">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c r="A65" s="80">
        <f>ROWS($A$3:A63)</f>
        <v>61</v>
      </c>
      <c r="B65" s="53" t="str">
        <f>'Stand der Daten'!B66</f>
        <v>Gebietskulisse</v>
      </c>
      <c r="C65" s="202">
        <v>2019</v>
      </c>
      <c r="D65" s="259" t="s">
        <v>59</v>
      </c>
      <c r="E65" s="483">
        <v>44427</v>
      </c>
      <c r="F65" s="530">
        <f>SUM(AT65:BF65)</f>
        <v>192827</v>
      </c>
      <c r="G65" s="531">
        <f>SUM(BG65:BR65)</f>
        <v>101270</v>
      </c>
      <c r="H65" s="531">
        <f>SUM(BS65:CB65)</f>
        <v>234357</v>
      </c>
      <c r="I65" s="532">
        <f>SUM(CC65:CK65)</f>
        <v>265433</v>
      </c>
      <c r="J65" s="281"/>
      <c r="K65" s="541">
        <f>BF65</f>
        <v>34070</v>
      </c>
      <c r="L65" s="542">
        <f>AY65</f>
        <v>17769</v>
      </c>
      <c r="M65" s="542">
        <f>BD65</f>
        <v>38212</v>
      </c>
      <c r="N65" s="542">
        <f>AW65</f>
        <v>24689</v>
      </c>
      <c r="O65" s="542">
        <f>BE65</f>
        <v>12206</v>
      </c>
      <c r="P65" s="542">
        <f>'2022'!AZ65+'2022'!BA65</f>
        <v>3840</v>
      </c>
      <c r="Q65" s="542">
        <f>'2022'!AU65</f>
        <v>12496</v>
      </c>
      <c r="R65" s="542">
        <f>AT65+AX65</f>
        <v>6896</v>
      </c>
      <c r="S65" s="542">
        <f>AV65</f>
        <v>16400</v>
      </c>
      <c r="T65" s="542">
        <f t="shared" ref="T65:U66" si="173">BB65</f>
        <v>9524</v>
      </c>
      <c r="U65" s="554">
        <f t="shared" si="173"/>
        <v>16725</v>
      </c>
      <c r="V65" s="542">
        <f>BG65+BJ65</f>
        <v>5956</v>
      </c>
      <c r="W65" s="542">
        <f>BR65</f>
        <v>20777</v>
      </c>
      <c r="X65" s="542">
        <f>BH65+BI65</f>
        <v>5768</v>
      </c>
      <c r="Y65" s="542">
        <f>BK65+BL65+BN65</f>
        <v>11527</v>
      </c>
      <c r="Z65" s="542">
        <f>BM65</f>
        <v>24225</v>
      </c>
      <c r="AA65" s="542">
        <f>BO65+BQ65</f>
        <v>13196</v>
      </c>
      <c r="AB65" s="554">
        <f>BP65</f>
        <v>19821</v>
      </c>
      <c r="AC65" s="542">
        <f>BX65</f>
        <v>41771</v>
      </c>
      <c r="AD65" s="542">
        <f>BU65</f>
        <v>11620</v>
      </c>
      <c r="AE65" s="542">
        <f>BS65+BT65</f>
        <v>29964</v>
      </c>
      <c r="AF65" s="542">
        <f>CA65</f>
        <v>16899</v>
      </c>
      <c r="AG65" s="542">
        <f>BV65</f>
        <v>22356</v>
      </c>
      <c r="AH65" s="542">
        <f>BZ65</f>
        <v>15982</v>
      </c>
      <c r="AI65" s="542">
        <f>BW65</f>
        <v>31624</v>
      </c>
      <c r="AJ65" s="542">
        <f>BY65</f>
        <v>27338</v>
      </c>
      <c r="AK65" s="554">
        <f>CB65</f>
        <v>36803</v>
      </c>
      <c r="AL65" s="542">
        <f>CE65</f>
        <v>33847</v>
      </c>
      <c r="AM65" s="542">
        <f>CH65</f>
        <v>22959</v>
      </c>
      <c r="AN65" s="542">
        <f>CJ65</f>
        <v>63471</v>
      </c>
      <c r="AO65" s="542">
        <f t="shared" ref="AO65:AP66" si="174">CC65</f>
        <v>48198</v>
      </c>
      <c r="AP65" s="542">
        <f t="shared" si="174"/>
        <v>7545</v>
      </c>
      <c r="AQ65" s="542">
        <f>CK65</f>
        <v>45777</v>
      </c>
      <c r="AR65" s="542">
        <f>CI65</f>
        <v>7894</v>
      </c>
      <c r="AS65" s="543">
        <f>CF65+CG65</f>
        <v>35742</v>
      </c>
      <c r="AT65" s="155">
        <v>354</v>
      </c>
      <c r="AU65" s="155">
        <v>12496</v>
      </c>
      <c r="AV65" s="155">
        <v>16400</v>
      </c>
      <c r="AW65" s="155">
        <v>24689</v>
      </c>
      <c r="AX65" s="155">
        <v>6542</v>
      </c>
      <c r="AY65" s="155">
        <v>17769</v>
      </c>
      <c r="AZ65" s="155"/>
      <c r="BA65" s="155">
        <v>3840</v>
      </c>
      <c r="BB65" s="155">
        <v>9524</v>
      </c>
      <c r="BC65" s="155">
        <v>16725</v>
      </c>
      <c r="BD65" s="155">
        <v>38212</v>
      </c>
      <c r="BE65" s="155">
        <v>12206</v>
      </c>
      <c r="BF65" s="552">
        <v>34070</v>
      </c>
      <c r="BG65" s="155">
        <v>1312</v>
      </c>
      <c r="BH65" s="155"/>
      <c r="BI65" s="155">
        <v>5768</v>
      </c>
      <c r="BJ65" s="155">
        <v>4644</v>
      </c>
      <c r="BK65" s="155"/>
      <c r="BL65" s="155"/>
      <c r="BM65" s="155">
        <v>24225</v>
      </c>
      <c r="BN65" s="155">
        <v>11527</v>
      </c>
      <c r="BO65" s="155">
        <v>1295</v>
      </c>
      <c r="BP65" s="155">
        <v>19821</v>
      </c>
      <c r="BQ65" s="155">
        <v>11901</v>
      </c>
      <c r="BR65" s="552">
        <v>20777</v>
      </c>
      <c r="BS65" s="155">
        <v>226</v>
      </c>
      <c r="BT65" s="155">
        <v>29738</v>
      </c>
      <c r="BU65" s="155">
        <v>11620</v>
      </c>
      <c r="BV65" s="155">
        <v>22356</v>
      </c>
      <c r="BW65" s="155">
        <v>31624</v>
      </c>
      <c r="BX65" s="155">
        <v>41771</v>
      </c>
      <c r="BY65" s="155">
        <v>27338</v>
      </c>
      <c r="BZ65" s="155">
        <v>15982</v>
      </c>
      <c r="CA65" s="155">
        <v>16899</v>
      </c>
      <c r="CB65" s="552">
        <v>36803</v>
      </c>
      <c r="CC65" s="155">
        <v>48198</v>
      </c>
      <c r="CD65" s="155">
        <v>7545</v>
      </c>
      <c r="CE65" s="155">
        <v>33847</v>
      </c>
      <c r="CF65" s="155"/>
      <c r="CG65" s="155">
        <v>35742</v>
      </c>
      <c r="CH65" s="155">
        <v>22959</v>
      </c>
      <c r="CI65" s="155">
        <v>7894</v>
      </c>
      <c r="CJ65" s="155">
        <v>63471</v>
      </c>
      <c r="CK65" s="156">
        <v>45777</v>
      </c>
      <c r="CL65" s="301">
        <v>793887</v>
      </c>
    </row>
    <row r="66" spans="1:90">
      <c r="A66" s="80">
        <f>ROWS($A$3:A64)</f>
        <v>62</v>
      </c>
      <c r="B66" s="92" t="s">
        <v>364</v>
      </c>
      <c r="C66" s="203">
        <v>2019</v>
      </c>
      <c r="D66" s="259" t="s">
        <v>59</v>
      </c>
      <c r="E66" s="483">
        <v>44427</v>
      </c>
      <c r="F66" s="530">
        <f>SUM(AT66:BF66)</f>
        <v>7437</v>
      </c>
      <c r="G66" s="531">
        <f>SUM(BG66:BR66)</f>
        <v>3766</v>
      </c>
      <c r="H66" s="531">
        <f>SUM(BS66:CB66)</f>
        <v>77865</v>
      </c>
      <c r="I66" s="532">
        <f>SUM(CC66:CK66)</f>
        <v>22790</v>
      </c>
      <c r="J66" s="281"/>
      <c r="K66" s="154">
        <f>BF66</f>
        <v>416</v>
      </c>
      <c r="L66" s="155">
        <f>AY66</f>
        <v>0</v>
      </c>
      <c r="M66" s="155">
        <f>BD66</f>
        <v>0</v>
      </c>
      <c r="N66" s="155">
        <f>AW66</f>
        <v>5858</v>
      </c>
      <c r="O66" s="155">
        <f>BE66</f>
        <v>0</v>
      </c>
      <c r="P66" s="155">
        <f>'2022'!AZ66+'2022'!BA66</f>
        <v>0</v>
      </c>
      <c r="Q66" s="155">
        <f>'2022'!AU66</f>
        <v>0</v>
      </c>
      <c r="R66" s="155">
        <f>AT66+AX66</f>
        <v>0</v>
      </c>
      <c r="S66" s="155">
        <f>AV66</f>
        <v>1163</v>
      </c>
      <c r="T66" s="155">
        <f t="shared" si="173"/>
        <v>0</v>
      </c>
      <c r="U66" s="552">
        <f t="shared" si="173"/>
        <v>0</v>
      </c>
      <c r="V66" s="155">
        <f>BG66+BJ66</f>
        <v>669</v>
      </c>
      <c r="W66" s="155">
        <f>BR66</f>
        <v>2289</v>
      </c>
      <c r="X66" s="155">
        <f>BH66+BI66</f>
        <v>0</v>
      </c>
      <c r="Y66" s="155">
        <f>BK66+BL66+BN66</f>
        <v>0</v>
      </c>
      <c r="Z66" s="155">
        <f>BM66</f>
        <v>0</v>
      </c>
      <c r="AA66" s="155">
        <f>BO66+BQ66</f>
        <v>0</v>
      </c>
      <c r="AB66" s="552">
        <f>BP66</f>
        <v>808</v>
      </c>
      <c r="AC66" s="155">
        <f>BX66</f>
        <v>14517</v>
      </c>
      <c r="AD66" s="155">
        <f>BU66</f>
        <v>2623</v>
      </c>
      <c r="AE66" s="155">
        <f>BS66+BT66</f>
        <v>20377</v>
      </c>
      <c r="AF66" s="155">
        <f>CA66</f>
        <v>9391</v>
      </c>
      <c r="AG66" s="155">
        <f>BV66</f>
        <v>2964</v>
      </c>
      <c r="AH66" s="155">
        <f>BZ66</f>
        <v>0</v>
      </c>
      <c r="AI66" s="155">
        <f>BW66</f>
        <v>2426</v>
      </c>
      <c r="AJ66" s="155">
        <f>BY66</f>
        <v>10802</v>
      </c>
      <c r="AK66" s="552">
        <f>CB66</f>
        <v>14765</v>
      </c>
      <c r="AL66" s="155">
        <f>CE66</f>
        <v>15108</v>
      </c>
      <c r="AM66" s="155">
        <f>CH66</f>
        <v>0</v>
      </c>
      <c r="AN66" s="155">
        <f>CJ66</f>
        <v>1466</v>
      </c>
      <c r="AO66" s="155">
        <f t="shared" si="174"/>
        <v>1458</v>
      </c>
      <c r="AP66" s="155">
        <f t="shared" si="174"/>
        <v>0</v>
      </c>
      <c r="AQ66" s="155">
        <f>CK66</f>
        <v>2935</v>
      </c>
      <c r="AR66" s="155">
        <f>CI66</f>
        <v>401</v>
      </c>
      <c r="AS66" s="156">
        <f>CF66+CG66</f>
        <v>1422</v>
      </c>
      <c r="AT66" s="155"/>
      <c r="AU66" s="155"/>
      <c r="AV66" s="155">
        <v>1163</v>
      </c>
      <c r="AW66" s="155">
        <v>5858</v>
      </c>
      <c r="AX66" s="155"/>
      <c r="AY66" s="155"/>
      <c r="AZ66" s="155"/>
      <c r="BA66" s="155"/>
      <c r="BB66" s="155"/>
      <c r="BC66" s="155"/>
      <c r="BD66" s="155"/>
      <c r="BE66" s="155"/>
      <c r="BF66" s="552">
        <v>416</v>
      </c>
      <c r="BG66" s="155"/>
      <c r="BH66" s="155"/>
      <c r="BI66" s="155"/>
      <c r="BJ66" s="155">
        <v>669</v>
      </c>
      <c r="BK66" s="155"/>
      <c r="BL66" s="155"/>
      <c r="BM66" s="155"/>
      <c r="BN66" s="155"/>
      <c r="BO66" s="155"/>
      <c r="BP66" s="155">
        <v>808</v>
      </c>
      <c r="BQ66" s="155"/>
      <c r="BR66" s="552">
        <v>2289</v>
      </c>
      <c r="BS66" s="155"/>
      <c r="BT66" s="155">
        <v>20377</v>
      </c>
      <c r="BU66" s="155">
        <v>2623</v>
      </c>
      <c r="BV66" s="155">
        <v>2964</v>
      </c>
      <c r="BW66" s="155">
        <v>2426</v>
      </c>
      <c r="BX66" s="155">
        <v>14517</v>
      </c>
      <c r="BY66" s="155">
        <v>10802</v>
      </c>
      <c r="BZ66" s="155"/>
      <c r="CA66" s="155">
        <v>9391</v>
      </c>
      <c r="CB66" s="552">
        <v>14765</v>
      </c>
      <c r="CC66" s="155">
        <v>1458</v>
      </c>
      <c r="CD66" s="155"/>
      <c r="CE66" s="155">
        <v>15108</v>
      </c>
      <c r="CF66" s="155"/>
      <c r="CG66" s="155">
        <v>1422</v>
      </c>
      <c r="CH66" s="155"/>
      <c r="CI66" s="155">
        <v>401</v>
      </c>
      <c r="CJ66" s="155">
        <v>1466</v>
      </c>
      <c r="CK66" s="156">
        <v>2935</v>
      </c>
      <c r="CL66" s="320">
        <v>111858</v>
      </c>
    </row>
    <row r="67" spans="1:90">
      <c r="A67" s="80">
        <f>ROWS($A$3:A65)</f>
        <v>63</v>
      </c>
      <c r="B67" s="92" t="s">
        <v>363</v>
      </c>
      <c r="C67" s="202">
        <v>2019</v>
      </c>
      <c r="D67" s="259" t="s">
        <v>3</v>
      </c>
      <c r="E67" s="483">
        <v>44427</v>
      </c>
      <c r="F67" s="154">
        <f>IF(F65/F35%&gt;100,100,F65/F35%)</f>
        <v>41.63722814351604</v>
      </c>
      <c r="G67" s="155">
        <f>IF(G65/G35%&gt;100,100,G65/G35%)</f>
        <v>49.94895115587407</v>
      </c>
      <c r="H67" s="155">
        <f>IF(H65/H35%&gt;100,100,H65/H35%)</f>
        <v>74.118807935709754</v>
      </c>
      <c r="I67" s="156">
        <f>IF(I65/I35%&gt;100,100,I65/I35%)</f>
        <v>62.306168341885474</v>
      </c>
      <c r="J67" s="281"/>
      <c r="K67" s="154">
        <f t="shared" ref="K67:BV67" si="175">IF(K65/K35%&gt;100,100,K65/K35%)</f>
        <v>53.733932655153382</v>
      </c>
      <c r="L67" s="155">
        <f t="shared" si="175"/>
        <v>70.136175251628188</v>
      </c>
      <c r="M67" s="155">
        <f t="shared" si="175"/>
        <v>56.593601895734594</v>
      </c>
      <c r="N67" s="155">
        <f t="shared" si="175"/>
        <v>88.313778795249675</v>
      </c>
      <c r="O67" s="155">
        <f t="shared" si="175"/>
        <v>46.659021406727824</v>
      </c>
      <c r="P67" s="155">
        <f t="shared" si="175"/>
        <v>6.6444033014378912</v>
      </c>
      <c r="Q67" s="155">
        <f t="shared" si="175"/>
        <v>55.579771382822571</v>
      </c>
      <c r="R67" s="155">
        <f t="shared" si="175"/>
        <v>19.808123168840122</v>
      </c>
      <c r="S67" s="155">
        <f t="shared" si="175"/>
        <v>81.539302938398052</v>
      </c>
      <c r="T67" s="155">
        <f t="shared" si="175"/>
        <v>22.766171057034949</v>
      </c>
      <c r="U67" s="552">
        <f t="shared" si="175"/>
        <v>22.094375016512984</v>
      </c>
      <c r="V67" s="155">
        <f t="shared" si="175"/>
        <v>37.097477421364061</v>
      </c>
      <c r="W67" s="155">
        <f t="shared" si="175"/>
        <v>100</v>
      </c>
      <c r="X67" s="155">
        <f t="shared" si="175"/>
        <v>14.190120055107261</v>
      </c>
      <c r="Y67" s="155">
        <f t="shared" si="175"/>
        <v>26.550119771512804</v>
      </c>
      <c r="Z67" s="155">
        <f t="shared" si="175"/>
        <v>53.211351755041079</v>
      </c>
      <c r="AA67" s="155">
        <f t="shared" si="175"/>
        <v>64.189123455589055</v>
      </c>
      <c r="AB67" s="552">
        <f t="shared" si="175"/>
        <v>100</v>
      </c>
      <c r="AC67" s="155">
        <f t="shared" si="175"/>
        <v>100</v>
      </c>
      <c r="AD67" s="155">
        <f t="shared" si="175"/>
        <v>52.271704903283847</v>
      </c>
      <c r="AE67" s="155">
        <f t="shared" si="175"/>
        <v>57.457334611697028</v>
      </c>
      <c r="AF67" s="155">
        <f t="shared" si="175"/>
        <v>74.28131868131868</v>
      </c>
      <c r="AG67" s="155">
        <f t="shared" si="175"/>
        <v>39.982830775834316</v>
      </c>
      <c r="AH67" s="155">
        <f t="shared" si="175"/>
        <v>48.425900675696155</v>
      </c>
      <c r="AI67" s="155">
        <f t="shared" si="175"/>
        <v>100</v>
      </c>
      <c r="AJ67" s="155">
        <f t="shared" si="175"/>
        <v>100</v>
      </c>
      <c r="AK67" s="552">
        <f t="shared" si="175"/>
        <v>96.694779433015412</v>
      </c>
      <c r="AL67" s="155">
        <f t="shared" si="175"/>
        <v>98.223976319684269</v>
      </c>
      <c r="AM67" s="155">
        <f t="shared" si="175"/>
        <v>30.528555282228577</v>
      </c>
      <c r="AN67" s="155">
        <f t="shared" si="175"/>
        <v>73.841267625296666</v>
      </c>
      <c r="AO67" s="155">
        <f t="shared" si="175"/>
        <v>100</v>
      </c>
      <c r="AP67" s="155">
        <f t="shared" si="175"/>
        <v>37.666616744046728</v>
      </c>
      <c r="AQ67" s="155">
        <f t="shared" si="175"/>
        <v>83.811494168695873</v>
      </c>
      <c r="AR67" s="155">
        <f t="shared" si="175"/>
        <v>23.877797943133693</v>
      </c>
      <c r="AS67" s="156">
        <f t="shared" si="175"/>
        <v>45.552680881434561</v>
      </c>
      <c r="AT67" s="155">
        <f t="shared" si="175"/>
        <v>14.303030303030303</v>
      </c>
      <c r="AU67" s="155">
        <f t="shared" si="175"/>
        <v>55.579771382822571</v>
      </c>
      <c r="AV67" s="155">
        <f t="shared" si="175"/>
        <v>81.539302938398052</v>
      </c>
      <c r="AW67" s="155">
        <f t="shared" si="175"/>
        <v>88.313778795249675</v>
      </c>
      <c r="AX67" s="155">
        <f t="shared" si="175"/>
        <v>20.229444324190606</v>
      </c>
      <c r="AY67" s="155">
        <f t="shared" si="175"/>
        <v>70.136175251628188</v>
      </c>
      <c r="AZ67" s="155">
        <f t="shared" si="175"/>
        <v>0</v>
      </c>
      <c r="BA67" s="155">
        <f t="shared" si="175"/>
        <v>7.143122884035864</v>
      </c>
      <c r="BB67" s="155">
        <f t="shared" si="175"/>
        <v>22.766171057034949</v>
      </c>
      <c r="BC67" s="155">
        <f t="shared" si="175"/>
        <v>22.094375016512984</v>
      </c>
      <c r="BD67" s="155">
        <f t="shared" si="175"/>
        <v>56.593601895734594</v>
      </c>
      <c r="BE67" s="155">
        <f t="shared" si="175"/>
        <v>46.659021406727824</v>
      </c>
      <c r="BF67" s="552">
        <f t="shared" si="175"/>
        <v>53.733932655153382</v>
      </c>
      <c r="BG67" s="155">
        <f t="shared" si="175"/>
        <v>90.607734806629836</v>
      </c>
      <c r="BH67" s="155">
        <f t="shared" si="175"/>
        <v>0</v>
      </c>
      <c r="BI67" s="155">
        <f t="shared" si="175"/>
        <v>15.152231591667324</v>
      </c>
      <c r="BJ67" s="155">
        <f t="shared" si="175"/>
        <v>31.79297597042514</v>
      </c>
      <c r="BK67" s="155">
        <f t="shared" si="175"/>
        <v>0</v>
      </c>
      <c r="BL67" s="155">
        <f t="shared" si="175"/>
        <v>0</v>
      </c>
      <c r="BM67" s="155">
        <f t="shared" si="175"/>
        <v>53.211351755041079</v>
      </c>
      <c r="BN67" s="155">
        <f t="shared" si="175"/>
        <v>29.800930713547054</v>
      </c>
      <c r="BO67" s="155">
        <f t="shared" si="175"/>
        <v>100</v>
      </c>
      <c r="BP67" s="155">
        <f t="shared" si="175"/>
        <v>100</v>
      </c>
      <c r="BQ67" s="155">
        <f t="shared" si="175"/>
        <v>60.831118380699245</v>
      </c>
      <c r="BR67" s="552">
        <f t="shared" si="175"/>
        <v>100</v>
      </c>
      <c r="BS67" s="155">
        <f t="shared" si="175"/>
        <v>6.5355696934644305</v>
      </c>
      <c r="BT67" s="155">
        <f t="shared" si="175"/>
        <v>61.073687669432346</v>
      </c>
      <c r="BU67" s="155">
        <f t="shared" si="175"/>
        <v>52.271704903283847</v>
      </c>
      <c r="BV67" s="155">
        <f t="shared" si="175"/>
        <v>39.982830775834316</v>
      </c>
      <c r="BW67" s="155">
        <f t="shared" ref="BW67:CL67" si="176">IF(BW65/BW35%&gt;100,100,BW65/BW35%)</f>
        <v>100</v>
      </c>
      <c r="BX67" s="155">
        <f t="shared" si="176"/>
        <v>100</v>
      </c>
      <c r="BY67" s="155">
        <f t="shared" si="176"/>
        <v>100</v>
      </c>
      <c r="BZ67" s="155">
        <f t="shared" si="176"/>
        <v>48.425900675696155</v>
      </c>
      <c r="CA67" s="155">
        <f t="shared" si="176"/>
        <v>74.28131868131868</v>
      </c>
      <c r="CB67" s="552">
        <f t="shared" si="176"/>
        <v>96.694779433015412</v>
      </c>
      <c r="CC67" s="155">
        <f t="shared" si="176"/>
        <v>100</v>
      </c>
      <c r="CD67" s="155">
        <f t="shared" si="176"/>
        <v>37.666616744046728</v>
      </c>
      <c r="CE67" s="155">
        <f t="shared" si="176"/>
        <v>98.223976319684269</v>
      </c>
      <c r="CF67" s="155">
        <f t="shared" si="176"/>
        <v>0</v>
      </c>
      <c r="CG67" s="155">
        <f t="shared" si="176"/>
        <v>48.434832100170745</v>
      </c>
      <c r="CH67" s="155">
        <f t="shared" si="176"/>
        <v>30.528555282228577</v>
      </c>
      <c r="CI67" s="155">
        <f t="shared" si="176"/>
        <v>23.877797943133693</v>
      </c>
      <c r="CJ67" s="155">
        <f t="shared" si="176"/>
        <v>73.841267625296666</v>
      </c>
      <c r="CK67" s="156">
        <f t="shared" si="176"/>
        <v>83.811494168695873</v>
      </c>
      <c r="CL67" s="320">
        <f t="shared" si="176"/>
        <v>56.381497134716277</v>
      </c>
    </row>
    <row r="68" spans="1:90">
      <c r="A68" s="80">
        <f>ROWS($A$3:A66)</f>
        <v>64</v>
      </c>
      <c r="B68" s="59" t="s">
        <v>81</v>
      </c>
      <c r="C68" s="252"/>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c r="A69" s="80">
        <f>ROWS($A$3:A67)</f>
        <v>65</v>
      </c>
      <c r="B69" s="92" t="s">
        <v>265</v>
      </c>
      <c r="C69" s="252">
        <v>2022</v>
      </c>
      <c r="D69" s="259" t="s">
        <v>13</v>
      </c>
      <c r="E69" s="483">
        <v>45125</v>
      </c>
      <c r="F69" s="530">
        <f>SUM(AT69:BF69)</f>
        <v>1084</v>
      </c>
      <c r="G69" s="531">
        <f>SUM(BG69:BR69)</f>
        <v>378</v>
      </c>
      <c r="H69" s="531">
        <f>SUM(BS69:CB69)</f>
        <v>1317</v>
      </c>
      <c r="I69" s="532">
        <f>SUM(CC69:CK69)</f>
        <v>1292</v>
      </c>
      <c r="J69" s="382"/>
      <c r="K69" s="154">
        <f>BF69</f>
        <v>160</v>
      </c>
      <c r="L69" s="155">
        <f>AY69</f>
        <v>107</v>
      </c>
      <c r="M69" s="155">
        <f>BD69</f>
        <v>189</v>
      </c>
      <c r="N69" s="155">
        <f>AW69</f>
        <v>64</v>
      </c>
      <c r="O69" s="155">
        <f>BE69</f>
        <v>66</v>
      </c>
      <c r="P69" s="155">
        <f>SUM(AZ69,BA69)</f>
        <v>87</v>
      </c>
      <c r="Q69" s="155">
        <f>'2010'!AU69</f>
        <v>29</v>
      </c>
      <c r="R69" s="155">
        <f>SUM(AT69+AX69)</f>
        <v>59</v>
      </c>
      <c r="S69" s="155">
        <f>AV69</f>
        <v>52</v>
      </c>
      <c r="T69" s="155">
        <f>BB69</f>
        <v>81</v>
      </c>
      <c r="U69" s="552">
        <f>BC69</f>
        <v>172</v>
      </c>
      <c r="V69" s="155">
        <f>SUM(BG69,BJ69)</f>
        <v>22</v>
      </c>
      <c r="W69" s="155">
        <f>BR69</f>
        <v>52</v>
      </c>
      <c r="X69" s="155">
        <f>SUM(BH69,BI69)</f>
        <v>69</v>
      </c>
      <c r="Y69" s="155">
        <f>SUM(BK69,BL69,BN69)</f>
        <v>57</v>
      </c>
      <c r="Z69" s="155">
        <f>BM69</f>
        <v>65</v>
      </c>
      <c r="AA69" s="155">
        <f>SUM(BO69,BQ69)</f>
        <v>66</v>
      </c>
      <c r="AB69" s="552">
        <f>BP69</f>
        <v>47</v>
      </c>
      <c r="AC69" s="155">
        <f>BX69</f>
        <v>176</v>
      </c>
      <c r="AD69" s="155">
        <f>BU69</f>
        <v>77</v>
      </c>
      <c r="AE69" s="155">
        <f>SUM(BS69+BT69)</f>
        <v>321</v>
      </c>
      <c r="AF69" s="155">
        <f>CA69</f>
        <v>109</v>
      </c>
      <c r="AG69" s="155">
        <f>BV69</f>
        <v>167</v>
      </c>
      <c r="AH69" s="155">
        <f>BZ69</f>
        <v>107</v>
      </c>
      <c r="AI69" s="155">
        <f>BW69</f>
        <v>100</v>
      </c>
      <c r="AJ69" s="155">
        <f>BY69</f>
        <v>56</v>
      </c>
      <c r="AK69" s="552">
        <f>CB69</f>
        <v>204</v>
      </c>
      <c r="AL69" s="155">
        <f>CE69</f>
        <v>114</v>
      </c>
      <c r="AM69" s="155">
        <f>CH69</f>
        <v>120</v>
      </c>
      <c r="AN69" s="155">
        <f>CJ69</f>
        <v>410</v>
      </c>
      <c r="AO69" s="155">
        <f>CC69</f>
        <v>154</v>
      </c>
      <c r="AP69" s="155">
        <f>CD69</f>
        <v>68</v>
      </c>
      <c r="AQ69" s="155">
        <f>CK69</f>
        <v>132</v>
      </c>
      <c r="AR69" s="155">
        <f>CI69</f>
        <v>152</v>
      </c>
      <c r="AS69" s="156">
        <f>SUM(CF69:CG69)</f>
        <v>142</v>
      </c>
      <c r="AT69" s="477">
        <v>9</v>
      </c>
      <c r="AU69" s="477">
        <v>47</v>
      </c>
      <c r="AV69" s="477">
        <v>52</v>
      </c>
      <c r="AW69" s="477">
        <v>64</v>
      </c>
      <c r="AX69" s="477">
        <v>50</v>
      </c>
      <c r="AY69" s="477">
        <v>107</v>
      </c>
      <c r="AZ69" s="477">
        <v>8</v>
      </c>
      <c r="BA69" s="477">
        <v>79</v>
      </c>
      <c r="BB69" s="477">
        <v>81</v>
      </c>
      <c r="BC69" s="477">
        <v>172</v>
      </c>
      <c r="BD69" s="477">
        <v>189</v>
      </c>
      <c r="BE69" s="477">
        <v>66</v>
      </c>
      <c r="BF69" s="477">
        <v>160</v>
      </c>
      <c r="BG69" s="477">
        <v>6</v>
      </c>
      <c r="BH69" s="477">
        <v>7</v>
      </c>
      <c r="BI69" s="477">
        <v>62</v>
      </c>
      <c r="BJ69" s="477">
        <v>16</v>
      </c>
      <c r="BK69" s="477">
        <v>4</v>
      </c>
      <c r="BL69" s="477"/>
      <c r="BM69" s="477">
        <v>65</v>
      </c>
      <c r="BN69" s="477">
        <v>53</v>
      </c>
      <c r="BO69" s="477">
        <v>1</v>
      </c>
      <c r="BP69" s="477">
        <v>47</v>
      </c>
      <c r="BQ69" s="477">
        <v>65</v>
      </c>
      <c r="BR69" s="477">
        <v>52</v>
      </c>
      <c r="BS69" s="477">
        <v>12</v>
      </c>
      <c r="BT69" s="477">
        <v>309</v>
      </c>
      <c r="BU69" s="477">
        <v>77</v>
      </c>
      <c r="BV69" s="477">
        <v>167</v>
      </c>
      <c r="BW69" s="477">
        <v>100</v>
      </c>
      <c r="BX69" s="477">
        <v>176</v>
      </c>
      <c r="BY69" s="477">
        <v>56</v>
      </c>
      <c r="BZ69" s="477">
        <v>107</v>
      </c>
      <c r="CA69" s="477">
        <v>109</v>
      </c>
      <c r="CB69" s="477">
        <v>204</v>
      </c>
      <c r="CC69" s="477">
        <v>154</v>
      </c>
      <c r="CD69" s="477">
        <v>68</v>
      </c>
      <c r="CE69" s="477">
        <v>114</v>
      </c>
      <c r="CF69" s="477">
        <v>3</v>
      </c>
      <c r="CG69" s="477">
        <v>139</v>
      </c>
      <c r="CH69" s="477">
        <v>120</v>
      </c>
      <c r="CI69" s="477">
        <v>152</v>
      </c>
      <c r="CJ69" s="477">
        <v>410</v>
      </c>
      <c r="CK69" s="477">
        <v>132</v>
      </c>
      <c r="CL69" s="477">
        <v>4071</v>
      </c>
    </row>
    <row r="70" spans="1:90">
      <c r="A70" s="80">
        <f>ROWS($A$3:A68)</f>
        <v>66</v>
      </c>
      <c r="B70" s="92" t="s">
        <v>70</v>
      </c>
      <c r="C70" s="203">
        <v>2022</v>
      </c>
      <c r="D70" s="259" t="s">
        <v>1</v>
      </c>
      <c r="E70" s="483">
        <v>45125</v>
      </c>
      <c r="F70" s="530">
        <f>SUM(AT70:BF70)</f>
        <v>51729.312100000003</v>
      </c>
      <c r="G70" s="531">
        <f>SUM(BG70:BR70)</f>
        <v>20919.716199999999</v>
      </c>
      <c r="H70" s="531">
        <f>SUM(BS70:CB70)</f>
        <v>52070.058599999997</v>
      </c>
      <c r="I70" s="532">
        <f>SUM(CC70:CK70)</f>
        <v>62242.325400000002</v>
      </c>
      <c r="J70" s="281"/>
      <c r="K70" s="154">
        <f>BF70</f>
        <v>7121.5539000000008</v>
      </c>
      <c r="L70" s="155">
        <f>AY70</f>
        <v>3662.9994999999985</v>
      </c>
      <c r="M70" s="155">
        <f>BD70</f>
        <v>11302.746400000002</v>
      </c>
      <c r="N70" s="155">
        <f>AW70</f>
        <v>3259.2444999999998</v>
      </c>
      <c r="O70" s="155">
        <f>BE70</f>
        <v>3773.6611999999991</v>
      </c>
      <c r="P70" s="155">
        <f>SUM(AZ70,BA70)</f>
        <v>4044.8767000000016</v>
      </c>
      <c r="Q70" s="155">
        <f>'2010'!AU70</f>
        <v>1115</v>
      </c>
      <c r="R70" s="155">
        <f>SUM(AT70+AX70)</f>
        <v>2541.4205000000002</v>
      </c>
      <c r="S70" s="155">
        <f>AV70</f>
        <v>1873.3978</v>
      </c>
      <c r="T70" s="155">
        <f>BB70</f>
        <v>4528.2102999999997</v>
      </c>
      <c r="U70" s="552">
        <f>BC70</f>
        <v>7316.7551000000021</v>
      </c>
      <c r="V70" s="155">
        <f>SUM(BG70,BJ70)</f>
        <v>1069.6604000000002</v>
      </c>
      <c r="W70" s="155">
        <f>BR70</f>
        <v>2453.5643999999998</v>
      </c>
      <c r="X70" s="155">
        <f>SUM(BH70,BI70)</f>
        <v>4122.0652000000009</v>
      </c>
      <c r="Y70" s="155">
        <f>SUM(BK70,BL70,BN70)</f>
        <v>3081.3456999999994</v>
      </c>
      <c r="Z70" s="155">
        <f>BM70</f>
        <v>3805.8387999999986</v>
      </c>
      <c r="AA70" s="155">
        <f>SUM(BO70,BQ70)</f>
        <v>4410.6651999999995</v>
      </c>
      <c r="AB70" s="552">
        <f>BP70</f>
        <v>1976.5765000000006</v>
      </c>
      <c r="AC70" s="155">
        <f>BX70</f>
        <v>7209.4495999999981</v>
      </c>
      <c r="AD70" s="155">
        <f>BU70</f>
        <v>2421.0967999999989</v>
      </c>
      <c r="AE70" s="155">
        <f>SUM(BS70+BT70)</f>
        <v>10298.6427</v>
      </c>
      <c r="AF70" s="155">
        <f>CA70</f>
        <v>3793.8114</v>
      </c>
      <c r="AG70" s="155">
        <f>BV70</f>
        <v>5685.193000000002</v>
      </c>
      <c r="AH70" s="155">
        <f>BZ70</f>
        <v>5440.2740999999987</v>
      </c>
      <c r="AI70" s="155">
        <f>BW70</f>
        <v>4436.4640000000018</v>
      </c>
      <c r="AJ70" s="155">
        <f>BY70</f>
        <v>3490.8781999999987</v>
      </c>
      <c r="AK70" s="552">
        <f>CB70</f>
        <v>9294.2487999999994</v>
      </c>
      <c r="AL70" s="155">
        <f>CE70</f>
        <v>7318.4256999999971</v>
      </c>
      <c r="AM70" s="155">
        <f>CH70</f>
        <v>6572.3437000000013</v>
      </c>
      <c r="AN70" s="155">
        <f>CJ70</f>
        <v>17337.854399999997</v>
      </c>
      <c r="AO70" s="155">
        <f>CC70</f>
        <v>7111.7808000000032</v>
      </c>
      <c r="AP70" s="155">
        <f>CD70</f>
        <v>4686.7306000000026</v>
      </c>
      <c r="AQ70" s="155">
        <f>CK70</f>
        <v>6959.5504999999966</v>
      </c>
      <c r="AR70" s="155">
        <f>CI70</f>
        <v>5598.2027000000016</v>
      </c>
      <c r="AS70" s="156">
        <f>SUM(CF70:CG70)</f>
        <v>6657.4370000000035</v>
      </c>
      <c r="AT70" s="859">
        <v>268.66929999999996</v>
      </c>
      <c r="AU70" s="859">
        <v>2304.4461999999999</v>
      </c>
      <c r="AV70" s="859">
        <v>1873.3978</v>
      </c>
      <c r="AW70" s="859">
        <v>3259.2444999999998</v>
      </c>
      <c r="AX70" s="859">
        <v>2272.7512000000002</v>
      </c>
      <c r="AY70" s="859">
        <v>3662.9994999999985</v>
      </c>
      <c r="AZ70" s="859">
        <v>271.5068</v>
      </c>
      <c r="BA70" s="859">
        <v>3773.3699000000015</v>
      </c>
      <c r="BB70" s="859">
        <v>4528.2102999999997</v>
      </c>
      <c r="BC70" s="859">
        <v>7316.7551000000021</v>
      </c>
      <c r="BD70" s="859">
        <v>11302.746400000002</v>
      </c>
      <c r="BE70" s="859">
        <v>3773.6611999999991</v>
      </c>
      <c r="BF70" s="859">
        <v>7121.5539000000008</v>
      </c>
      <c r="BG70" s="859">
        <v>277.09050000000002</v>
      </c>
      <c r="BH70" s="859">
        <v>207.19829999999999</v>
      </c>
      <c r="BI70" s="859">
        <v>3914.8669000000009</v>
      </c>
      <c r="BJ70" s="859">
        <v>792.56990000000008</v>
      </c>
      <c r="BK70" s="859">
        <v>92.417200000000008</v>
      </c>
      <c r="BL70" s="859"/>
      <c r="BM70" s="859">
        <v>3805.8387999999986</v>
      </c>
      <c r="BN70" s="859">
        <v>2988.9284999999995</v>
      </c>
      <c r="BO70" s="859">
        <v>89.111500000000007</v>
      </c>
      <c r="BP70" s="859">
        <v>1976.5765000000006</v>
      </c>
      <c r="BQ70" s="859">
        <v>4321.5536999999995</v>
      </c>
      <c r="BR70" s="859">
        <v>2453.5643999999998</v>
      </c>
      <c r="BS70" s="859">
        <v>512.50440000000003</v>
      </c>
      <c r="BT70" s="859">
        <v>9786.1383000000005</v>
      </c>
      <c r="BU70" s="859">
        <v>2421.0967999999989</v>
      </c>
      <c r="BV70" s="859">
        <v>5685.193000000002</v>
      </c>
      <c r="BW70" s="859">
        <v>4436.4640000000018</v>
      </c>
      <c r="BX70" s="859">
        <v>7209.4495999999981</v>
      </c>
      <c r="BY70" s="859">
        <v>3490.8781999999987</v>
      </c>
      <c r="BZ70" s="859">
        <v>5440.2740999999987</v>
      </c>
      <c r="CA70" s="859">
        <v>3793.8114</v>
      </c>
      <c r="CB70" s="859">
        <v>9294.2487999999994</v>
      </c>
      <c r="CC70" s="859">
        <v>7111.7808000000032</v>
      </c>
      <c r="CD70" s="859">
        <v>4686.7306000000026</v>
      </c>
      <c r="CE70" s="859">
        <v>7318.4256999999971</v>
      </c>
      <c r="CF70" s="859">
        <v>162.11840000000001</v>
      </c>
      <c r="CG70" s="859">
        <v>6495.3186000000032</v>
      </c>
      <c r="CH70" s="859">
        <v>6572.3437000000013</v>
      </c>
      <c r="CI70" s="859">
        <v>5598.2027000000016</v>
      </c>
      <c r="CJ70" s="859">
        <v>17337.854399999997</v>
      </c>
      <c r="CK70" s="859">
        <v>6959.5504999999966</v>
      </c>
      <c r="CL70" s="859">
        <v>186961.41229999956</v>
      </c>
    </row>
    <row r="71" spans="1:90">
      <c r="A71" s="80">
        <f>ROWS($A$3:A69)</f>
        <v>67</v>
      </c>
      <c r="B71" s="54" t="s">
        <v>266</v>
      </c>
      <c r="C71" s="202"/>
      <c r="D71" s="259" t="s">
        <v>1</v>
      </c>
      <c r="E71" s="483">
        <v>45125</v>
      </c>
      <c r="F71" s="539">
        <f>IF(ISERROR(F70/F69)=FALSE,F70/F69," -")</f>
        <v>47.7207676199262</v>
      </c>
      <c r="G71" s="521">
        <f>IF(ISERROR(G70/G69)=FALSE,G70/G69," -")</f>
        <v>55.343164550264547</v>
      </c>
      <c r="H71" s="521">
        <f>IF(ISERROR(H70/H69)=FALSE,H70/H69," -")</f>
        <v>39.536870615034168</v>
      </c>
      <c r="I71" s="540">
        <f>IF(ISERROR(I70/I69)=FALSE,I70/I69," -")</f>
        <v>48.175174458204339</v>
      </c>
      <c r="J71" s="281"/>
      <c r="K71" s="154">
        <f t="shared" ref="K71:BV71" si="177">IF(ISERROR(K70/K69)=FALSE,K70/K69," -")</f>
        <v>44.509711875000008</v>
      </c>
      <c r="L71" s="155">
        <f t="shared" si="177"/>
        <v>34.233640186915871</v>
      </c>
      <c r="M71" s="155">
        <f t="shared" si="177"/>
        <v>59.802891005291016</v>
      </c>
      <c r="N71" s="155">
        <f t="shared" si="177"/>
        <v>50.925695312499997</v>
      </c>
      <c r="O71" s="155">
        <f t="shared" si="177"/>
        <v>57.176684848484832</v>
      </c>
      <c r="P71" s="155">
        <f t="shared" si="177"/>
        <v>46.492835632183926</v>
      </c>
      <c r="Q71" s="155">
        <f t="shared" si="177"/>
        <v>38.448275862068968</v>
      </c>
      <c r="R71" s="155">
        <f t="shared" si="177"/>
        <v>43.074923728813559</v>
      </c>
      <c r="S71" s="155">
        <f t="shared" si="177"/>
        <v>36.026880769230772</v>
      </c>
      <c r="T71" s="155">
        <f t="shared" si="177"/>
        <v>55.903830864197531</v>
      </c>
      <c r="U71" s="552">
        <f t="shared" si="177"/>
        <v>42.539273837209315</v>
      </c>
      <c r="V71" s="155">
        <f t="shared" si="177"/>
        <v>48.620927272727279</v>
      </c>
      <c r="W71" s="155">
        <f t="shared" si="177"/>
        <v>47.183930769230763</v>
      </c>
      <c r="X71" s="155">
        <f t="shared" si="177"/>
        <v>59.740075362318855</v>
      </c>
      <c r="Y71" s="155">
        <f t="shared" si="177"/>
        <v>54.058696491228062</v>
      </c>
      <c r="Z71" s="155">
        <f t="shared" si="177"/>
        <v>58.551366153846132</v>
      </c>
      <c r="AA71" s="155">
        <f t="shared" si="177"/>
        <v>66.828260606060596</v>
      </c>
      <c r="AB71" s="552">
        <f t="shared" si="177"/>
        <v>42.054819148936183</v>
      </c>
      <c r="AC71" s="155">
        <f t="shared" si="177"/>
        <v>40.96278181818181</v>
      </c>
      <c r="AD71" s="155">
        <f t="shared" si="177"/>
        <v>31.44281558441557</v>
      </c>
      <c r="AE71" s="155">
        <f t="shared" si="177"/>
        <v>32.082999065420559</v>
      </c>
      <c r="AF71" s="155">
        <f t="shared" si="177"/>
        <v>34.805609174311925</v>
      </c>
      <c r="AG71" s="155">
        <f t="shared" si="177"/>
        <v>34.04307185628744</v>
      </c>
      <c r="AH71" s="155">
        <f t="shared" si="177"/>
        <v>50.843683177570078</v>
      </c>
      <c r="AI71" s="155">
        <f t="shared" si="177"/>
        <v>44.364640000000016</v>
      </c>
      <c r="AJ71" s="155">
        <f t="shared" si="177"/>
        <v>62.337110714285693</v>
      </c>
      <c r="AK71" s="552">
        <f t="shared" si="177"/>
        <v>45.560043137254901</v>
      </c>
      <c r="AL71" s="155">
        <f t="shared" si="177"/>
        <v>64.196716666666646</v>
      </c>
      <c r="AM71" s="155">
        <f t="shared" si="177"/>
        <v>54.769530833333341</v>
      </c>
      <c r="AN71" s="155">
        <f t="shared" si="177"/>
        <v>42.287449756097551</v>
      </c>
      <c r="AO71" s="155">
        <f t="shared" si="177"/>
        <v>46.180394805194823</v>
      </c>
      <c r="AP71" s="155">
        <f t="shared" si="177"/>
        <v>68.922508823529455</v>
      </c>
      <c r="AQ71" s="155">
        <f t="shared" si="177"/>
        <v>52.7238674242424</v>
      </c>
      <c r="AR71" s="155">
        <f t="shared" si="177"/>
        <v>36.830280921052641</v>
      </c>
      <c r="AS71" s="156">
        <f t="shared" si="177"/>
        <v>46.8833591549296</v>
      </c>
      <c r="AT71" s="155">
        <f t="shared" si="177"/>
        <v>29.852144444444441</v>
      </c>
      <c r="AU71" s="155">
        <f t="shared" si="177"/>
        <v>49.030770212765951</v>
      </c>
      <c r="AV71" s="155">
        <f t="shared" si="177"/>
        <v>36.026880769230772</v>
      </c>
      <c r="AW71" s="155">
        <f t="shared" si="177"/>
        <v>50.925695312499997</v>
      </c>
      <c r="AX71" s="155">
        <f t="shared" si="177"/>
        <v>45.455024000000002</v>
      </c>
      <c r="AY71" s="155">
        <f t="shared" si="177"/>
        <v>34.233640186915871</v>
      </c>
      <c r="AZ71" s="155">
        <f t="shared" si="177"/>
        <v>33.93835</v>
      </c>
      <c r="BA71" s="155">
        <f t="shared" si="177"/>
        <v>47.764175949367107</v>
      </c>
      <c r="BB71" s="155">
        <f t="shared" si="177"/>
        <v>55.903830864197531</v>
      </c>
      <c r="BC71" s="155">
        <f t="shared" si="177"/>
        <v>42.539273837209315</v>
      </c>
      <c r="BD71" s="155">
        <f t="shared" si="177"/>
        <v>59.802891005291016</v>
      </c>
      <c r="BE71" s="155">
        <f t="shared" si="177"/>
        <v>57.176684848484832</v>
      </c>
      <c r="BF71" s="552">
        <f t="shared" si="177"/>
        <v>44.509711875000008</v>
      </c>
      <c r="BG71" s="155">
        <f t="shared" si="177"/>
        <v>46.181750000000001</v>
      </c>
      <c r="BH71" s="155">
        <f t="shared" si="177"/>
        <v>29.59975714285714</v>
      </c>
      <c r="BI71" s="155">
        <f t="shared" si="177"/>
        <v>63.14301451612905</v>
      </c>
      <c r="BJ71" s="155">
        <f t="shared" si="177"/>
        <v>49.535618750000005</v>
      </c>
      <c r="BK71" s="155">
        <f t="shared" si="177"/>
        <v>23.104300000000002</v>
      </c>
      <c r="BL71" s="155" t="str">
        <f t="shared" si="177"/>
        <v xml:space="preserve"> -</v>
      </c>
      <c r="BM71" s="155">
        <f t="shared" si="177"/>
        <v>58.551366153846132</v>
      </c>
      <c r="BN71" s="155">
        <f t="shared" si="177"/>
        <v>56.394877358490554</v>
      </c>
      <c r="BO71" s="155">
        <f t="shared" si="177"/>
        <v>89.111500000000007</v>
      </c>
      <c r="BP71" s="155">
        <f t="shared" si="177"/>
        <v>42.054819148936183</v>
      </c>
      <c r="BQ71" s="155">
        <f t="shared" si="177"/>
        <v>66.485441538461529</v>
      </c>
      <c r="BR71" s="552">
        <f t="shared" si="177"/>
        <v>47.183930769230763</v>
      </c>
      <c r="BS71" s="155">
        <f t="shared" si="177"/>
        <v>42.7087</v>
      </c>
      <c r="BT71" s="155">
        <f t="shared" si="177"/>
        <v>31.670350485436895</v>
      </c>
      <c r="BU71" s="155">
        <f t="shared" si="177"/>
        <v>31.44281558441557</v>
      </c>
      <c r="BV71" s="155">
        <f t="shared" si="177"/>
        <v>34.04307185628744</v>
      </c>
      <c r="BW71" s="155">
        <f t="shared" ref="BW71:CK71" si="178">IF(ISERROR(BW70/BW69)=FALSE,BW70/BW69," -")</f>
        <v>44.364640000000016</v>
      </c>
      <c r="BX71" s="155">
        <f t="shared" si="178"/>
        <v>40.96278181818181</v>
      </c>
      <c r="BY71" s="155">
        <f t="shared" si="178"/>
        <v>62.337110714285693</v>
      </c>
      <c r="BZ71" s="155">
        <f t="shared" si="178"/>
        <v>50.843683177570078</v>
      </c>
      <c r="CA71" s="155">
        <f t="shared" si="178"/>
        <v>34.805609174311925</v>
      </c>
      <c r="CB71" s="552">
        <f t="shared" si="178"/>
        <v>45.560043137254901</v>
      </c>
      <c r="CC71" s="155">
        <f t="shared" si="178"/>
        <v>46.180394805194823</v>
      </c>
      <c r="CD71" s="155">
        <f t="shared" si="178"/>
        <v>68.922508823529455</v>
      </c>
      <c r="CE71" s="155">
        <f t="shared" si="178"/>
        <v>64.196716666666646</v>
      </c>
      <c r="CF71" s="155">
        <f t="shared" si="178"/>
        <v>54.039466666666669</v>
      </c>
      <c r="CG71" s="155">
        <f t="shared" si="178"/>
        <v>46.728910791366928</v>
      </c>
      <c r="CH71" s="155">
        <f t="shared" si="178"/>
        <v>54.769530833333341</v>
      </c>
      <c r="CI71" s="155">
        <f t="shared" si="178"/>
        <v>36.830280921052641</v>
      </c>
      <c r="CJ71" s="155">
        <f t="shared" si="178"/>
        <v>42.287449756097551</v>
      </c>
      <c r="CK71" s="156">
        <f t="shared" si="178"/>
        <v>52.7238674242424</v>
      </c>
      <c r="CL71" s="320">
        <f>IF(OR(CL69&lt;0.1,CL70&lt;0.1),0,CL70/CL69)</f>
        <v>45.925181110292201</v>
      </c>
    </row>
    <row r="72" spans="1:90">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c r="A73" s="80">
        <f>ROWS($A$3:A71)</f>
        <v>69</v>
      </c>
      <c r="B73" s="92" t="s">
        <v>84</v>
      </c>
      <c r="C73" s="203">
        <v>2020</v>
      </c>
      <c r="D73" s="259" t="s">
        <v>13</v>
      </c>
      <c r="E73" s="483">
        <v>44483</v>
      </c>
      <c r="F73" s="154">
        <v>3479</v>
      </c>
      <c r="G73" s="155">
        <v>1699</v>
      </c>
      <c r="H73" s="155">
        <v>2427</v>
      </c>
      <c r="I73" s="156">
        <v>3167</v>
      </c>
      <c r="J73" s="281"/>
      <c r="K73" s="154">
        <f t="shared" ref="K73:K78" si="179">BF73</f>
        <v>397</v>
      </c>
      <c r="L73" s="155">
        <f t="shared" ref="L73:L78" si="180">AY73</f>
        <v>153</v>
      </c>
      <c r="M73" s="155">
        <f t="shared" ref="M73:M78" si="181">BD73</f>
        <v>663</v>
      </c>
      <c r="N73" s="155">
        <f t="shared" ref="N73:N78" si="182">AW73</f>
        <v>144</v>
      </c>
      <c r="O73" s="155">
        <f t="shared" ref="O73:O78" si="183">BE73</f>
        <v>186</v>
      </c>
      <c r="P73" s="155">
        <f t="shared" ref="P73:P78" si="184">SUM(AZ73,BA73)</f>
        <v>477</v>
      </c>
      <c r="Q73" s="155">
        <f>'2010'!AU73</f>
        <v>256</v>
      </c>
      <c r="R73" s="155">
        <f t="shared" ref="R73:R78" si="185">SUM(AT73,AX73)</f>
        <v>321</v>
      </c>
      <c r="S73" s="155">
        <f t="shared" ref="S73:S78" si="186">AV73</f>
        <v>174</v>
      </c>
      <c r="T73" s="155">
        <f t="shared" ref="T73:U78" si="187">BB73</f>
        <v>248</v>
      </c>
      <c r="U73" s="552">
        <f t="shared" si="187"/>
        <v>444</v>
      </c>
      <c r="V73" s="155">
        <f t="shared" ref="V73:V78" si="188">SUM(BG73,BJ73)</f>
        <v>134</v>
      </c>
      <c r="W73" s="155">
        <f t="shared" ref="W73:W78" si="189">BR73</f>
        <v>177</v>
      </c>
      <c r="X73" s="155">
        <f t="shared" ref="X73:X78" si="190">SUM(BH73,BI73)</f>
        <v>344</v>
      </c>
      <c r="Y73" s="155">
        <f t="shared" ref="Y73:Y78" si="191">SUM(BK73,BL73,BN73)</f>
        <v>434</v>
      </c>
      <c r="Z73" s="155">
        <f t="shared" ref="Z73:Z78" si="192">BM73</f>
        <v>369</v>
      </c>
      <c r="AA73" s="155">
        <f t="shared" ref="AA73:AA78" si="193">SUM(BO73,BQ73)</f>
        <v>132</v>
      </c>
      <c r="AB73" s="552">
        <f t="shared" ref="AB73:AB78" si="194">BP73</f>
        <v>109</v>
      </c>
      <c r="AC73" s="155">
        <f t="shared" ref="AC73:AC78" si="195">BX73</f>
        <v>269</v>
      </c>
      <c r="AD73" s="155">
        <f t="shared" ref="AD73:AD78" si="196">BU73</f>
        <v>170</v>
      </c>
      <c r="AE73" s="155">
        <f t="shared" ref="AE73:AE78" si="197">SUM(BS73,BT73)</f>
        <v>374</v>
      </c>
      <c r="AF73" s="155">
        <f t="shared" ref="AF73:AF78" si="198">CA73</f>
        <v>149</v>
      </c>
      <c r="AG73" s="155">
        <f t="shared" ref="AG73:AG78" si="199">BV73</f>
        <v>504</v>
      </c>
      <c r="AH73" s="155">
        <f t="shared" ref="AH73:AH78" si="200">BZ73</f>
        <v>226</v>
      </c>
      <c r="AI73" s="155">
        <f t="shared" ref="AI73:AI78" si="201">BW73</f>
        <v>267</v>
      </c>
      <c r="AJ73" s="155">
        <f t="shared" ref="AJ73:AJ78" si="202">BY73</f>
        <v>170</v>
      </c>
      <c r="AK73" s="552">
        <f t="shared" ref="AK73:AK78" si="203">CB73</f>
        <v>298</v>
      </c>
      <c r="AL73" s="155">
        <f t="shared" ref="AL73:AL78" si="204">CE73</f>
        <v>324</v>
      </c>
      <c r="AM73" s="155">
        <f t="shared" ref="AM73:AM78" si="205">CH73</f>
        <v>499</v>
      </c>
      <c r="AN73" s="155">
        <f t="shared" ref="AN73:AN78" si="206">CJ73</f>
        <v>356</v>
      </c>
      <c r="AO73" s="155">
        <f t="shared" ref="AO73:AP78" si="207">CC73</f>
        <v>403</v>
      </c>
      <c r="AP73" s="155">
        <f t="shared" si="207"/>
        <v>187</v>
      </c>
      <c r="AQ73" s="155">
        <f t="shared" ref="AQ73:AQ78" si="208">CK73</f>
        <v>459</v>
      </c>
      <c r="AR73" s="155">
        <f t="shared" ref="AR73:AR78" si="209">CI73</f>
        <v>230</v>
      </c>
      <c r="AS73" s="156">
        <f t="shared" ref="AS73:AS78" si="210">SUM(CF73,CG73)</f>
        <v>709</v>
      </c>
      <c r="AT73" s="155">
        <v>29</v>
      </c>
      <c r="AU73" s="155">
        <v>272</v>
      </c>
      <c r="AV73" s="281">
        <v>174</v>
      </c>
      <c r="AW73" s="281">
        <v>144</v>
      </c>
      <c r="AX73" s="281">
        <v>292</v>
      </c>
      <c r="AY73" s="281">
        <v>153</v>
      </c>
      <c r="AZ73" s="281">
        <v>50</v>
      </c>
      <c r="BA73" s="281">
        <v>427</v>
      </c>
      <c r="BB73" s="281">
        <v>248</v>
      </c>
      <c r="BC73" s="281">
        <v>444</v>
      </c>
      <c r="BD73" s="281">
        <v>663</v>
      </c>
      <c r="BE73" s="281">
        <v>186</v>
      </c>
      <c r="BF73" s="552">
        <v>397</v>
      </c>
      <c r="BG73" s="281">
        <v>5</v>
      </c>
      <c r="BH73" s="281">
        <v>31</v>
      </c>
      <c r="BI73" s="281">
        <v>313</v>
      </c>
      <c r="BJ73" s="281">
        <v>129</v>
      </c>
      <c r="BK73" s="281">
        <v>27</v>
      </c>
      <c r="BL73" s="281">
        <v>32</v>
      </c>
      <c r="BM73" s="281">
        <v>369</v>
      </c>
      <c r="BN73" s="281">
        <v>375</v>
      </c>
      <c r="BO73" s="281">
        <v>6</v>
      </c>
      <c r="BP73" s="281">
        <v>109</v>
      </c>
      <c r="BQ73" s="281">
        <v>126</v>
      </c>
      <c r="BR73" s="552">
        <v>177</v>
      </c>
      <c r="BS73" s="281">
        <v>20</v>
      </c>
      <c r="BT73" s="281">
        <v>354</v>
      </c>
      <c r="BU73" s="281">
        <v>170</v>
      </c>
      <c r="BV73" s="281">
        <v>504</v>
      </c>
      <c r="BW73" s="281">
        <v>267</v>
      </c>
      <c r="BX73" s="281">
        <v>269</v>
      </c>
      <c r="BY73" s="281">
        <v>170</v>
      </c>
      <c r="BZ73" s="281">
        <v>226</v>
      </c>
      <c r="CA73" s="281">
        <v>149</v>
      </c>
      <c r="CB73" s="552">
        <v>298</v>
      </c>
      <c r="CC73" s="281">
        <v>403</v>
      </c>
      <c r="CD73" s="281">
        <v>187</v>
      </c>
      <c r="CE73" s="281">
        <v>324</v>
      </c>
      <c r="CF73" s="281">
        <v>54</v>
      </c>
      <c r="CG73" s="281">
        <v>655</v>
      </c>
      <c r="CH73" s="281">
        <v>499</v>
      </c>
      <c r="CI73" s="281">
        <v>230</v>
      </c>
      <c r="CJ73" s="281">
        <v>356</v>
      </c>
      <c r="CK73" s="156">
        <v>459</v>
      </c>
      <c r="CL73" s="320">
        <v>10772</v>
      </c>
    </row>
    <row r="74" spans="1:90">
      <c r="A74" s="80">
        <f>ROWS($A$3:A72)</f>
        <v>70</v>
      </c>
      <c r="B74" s="92" t="s">
        <v>85</v>
      </c>
      <c r="C74" s="203"/>
      <c r="D74" s="259" t="s">
        <v>13</v>
      </c>
      <c r="E74" s="483">
        <v>44483</v>
      </c>
      <c r="F74" s="154">
        <v>346</v>
      </c>
      <c r="G74" s="155">
        <v>151</v>
      </c>
      <c r="H74" s="155">
        <v>228</v>
      </c>
      <c r="I74" s="156">
        <v>139</v>
      </c>
      <c r="J74" s="281"/>
      <c r="K74" s="154">
        <f t="shared" si="179"/>
        <v>29</v>
      </c>
      <c r="L74" s="155">
        <f t="shared" si="180"/>
        <v>58</v>
      </c>
      <c r="M74" s="155">
        <f t="shared" si="181"/>
        <v>9</v>
      </c>
      <c r="N74" s="155">
        <f t="shared" si="182"/>
        <v>20</v>
      </c>
      <c r="O74" s="155">
        <f t="shared" si="183"/>
        <v>7</v>
      </c>
      <c r="P74" s="155">
        <f t="shared" si="184"/>
        <v>43</v>
      </c>
      <c r="Q74" s="155">
        <f>'2010'!AU74</f>
        <v>20</v>
      </c>
      <c r="R74" s="155">
        <f t="shared" si="185"/>
        <v>98</v>
      </c>
      <c r="S74" s="155">
        <f t="shared" si="186"/>
        <v>44</v>
      </c>
      <c r="T74" s="155">
        <f t="shared" si="187"/>
        <v>10</v>
      </c>
      <c r="U74" s="552">
        <f t="shared" si="187"/>
        <v>13</v>
      </c>
      <c r="V74" s="155">
        <f t="shared" si="188"/>
        <v>14</v>
      </c>
      <c r="W74" s="155">
        <f t="shared" si="189"/>
        <v>7</v>
      </c>
      <c r="X74" s="155">
        <f t="shared" si="190"/>
        <v>36</v>
      </c>
      <c r="Y74" s="155">
        <f t="shared" si="191"/>
        <v>53</v>
      </c>
      <c r="Z74" s="155">
        <f t="shared" si="192"/>
        <v>7</v>
      </c>
      <c r="AA74" s="155">
        <f t="shared" si="193"/>
        <v>20</v>
      </c>
      <c r="AB74" s="552">
        <f t="shared" si="194"/>
        <v>14</v>
      </c>
      <c r="AC74" s="155">
        <f t="shared" si="195"/>
        <v>7</v>
      </c>
      <c r="AD74" s="155">
        <f t="shared" si="196"/>
        <v>21</v>
      </c>
      <c r="AE74" s="155">
        <f t="shared" si="197"/>
        <v>36</v>
      </c>
      <c r="AF74" s="155">
        <f t="shared" si="198"/>
        <v>16</v>
      </c>
      <c r="AG74" s="155">
        <f t="shared" si="199"/>
        <v>59</v>
      </c>
      <c r="AH74" s="155">
        <f t="shared" si="200"/>
        <v>69</v>
      </c>
      <c r="AI74" s="155">
        <f t="shared" si="201"/>
        <v>7</v>
      </c>
      <c r="AJ74" s="155">
        <f t="shared" si="202"/>
        <v>4</v>
      </c>
      <c r="AK74" s="552">
        <f t="shared" si="203"/>
        <v>9</v>
      </c>
      <c r="AL74" s="155">
        <f t="shared" si="204"/>
        <v>8</v>
      </c>
      <c r="AM74" s="155">
        <f t="shared" si="205"/>
        <v>20</v>
      </c>
      <c r="AN74" s="155">
        <f t="shared" si="206"/>
        <v>26</v>
      </c>
      <c r="AO74" s="155">
        <f t="shared" si="207"/>
        <v>19</v>
      </c>
      <c r="AP74" s="155">
        <f t="shared" si="207"/>
        <v>15</v>
      </c>
      <c r="AQ74" s="155">
        <f t="shared" si="208"/>
        <v>9</v>
      </c>
      <c r="AR74" s="155">
        <f t="shared" si="209"/>
        <v>18</v>
      </c>
      <c r="AS74" s="156">
        <f t="shared" si="210"/>
        <v>24</v>
      </c>
      <c r="AT74" s="155">
        <v>28</v>
      </c>
      <c r="AU74" s="155">
        <v>15</v>
      </c>
      <c r="AV74" s="155">
        <v>44</v>
      </c>
      <c r="AW74" s="155">
        <v>20</v>
      </c>
      <c r="AX74" s="155">
        <v>70</v>
      </c>
      <c r="AY74" s="155">
        <v>58</v>
      </c>
      <c r="AZ74" s="155">
        <v>10</v>
      </c>
      <c r="BA74" s="155">
        <v>33</v>
      </c>
      <c r="BB74" s="155">
        <v>10</v>
      </c>
      <c r="BC74" s="155">
        <v>13</v>
      </c>
      <c r="BD74" s="155">
        <v>9</v>
      </c>
      <c r="BE74" s="155">
        <v>7</v>
      </c>
      <c r="BF74" s="552">
        <v>29</v>
      </c>
      <c r="BG74" s="155">
        <v>3</v>
      </c>
      <c r="BH74" s="155">
        <v>9</v>
      </c>
      <c r="BI74" s="155">
        <v>27</v>
      </c>
      <c r="BJ74" s="155">
        <v>11</v>
      </c>
      <c r="BK74" s="155">
        <v>15</v>
      </c>
      <c r="BL74" s="155">
        <v>9</v>
      </c>
      <c r="BM74" s="155">
        <v>7</v>
      </c>
      <c r="BN74" s="155">
        <v>29</v>
      </c>
      <c r="BO74" s="155">
        <v>7</v>
      </c>
      <c r="BP74" s="155">
        <v>14</v>
      </c>
      <c r="BQ74" s="155">
        <v>13</v>
      </c>
      <c r="BR74" s="552">
        <v>7</v>
      </c>
      <c r="BS74" s="155">
        <v>5</v>
      </c>
      <c r="BT74" s="155">
        <v>31</v>
      </c>
      <c r="BU74" s="155">
        <v>21</v>
      </c>
      <c r="BV74" s="155">
        <v>59</v>
      </c>
      <c r="BW74" s="155">
        <v>7</v>
      </c>
      <c r="BX74" s="155">
        <v>7</v>
      </c>
      <c r="BY74" s="155">
        <v>4</v>
      </c>
      <c r="BZ74" s="155">
        <v>69</v>
      </c>
      <c r="CA74" s="155">
        <v>16</v>
      </c>
      <c r="CB74" s="552">
        <v>9</v>
      </c>
      <c r="CC74" s="155">
        <v>19</v>
      </c>
      <c r="CD74" s="155">
        <v>15</v>
      </c>
      <c r="CE74" s="155">
        <v>8</v>
      </c>
      <c r="CF74" s="155">
        <v>9</v>
      </c>
      <c r="CG74" s="155">
        <v>15</v>
      </c>
      <c r="CH74" s="155">
        <v>20</v>
      </c>
      <c r="CI74" s="155">
        <v>18</v>
      </c>
      <c r="CJ74" s="155">
        <v>26</v>
      </c>
      <c r="CK74" s="156">
        <v>9</v>
      </c>
      <c r="CL74" s="320">
        <v>864</v>
      </c>
    </row>
    <row r="75" spans="1:90">
      <c r="A75" s="80">
        <f>ROWS($A$3:A73)</f>
        <v>71</v>
      </c>
      <c r="B75" s="92" t="s">
        <v>86</v>
      </c>
      <c r="C75" s="203"/>
      <c r="D75" s="259" t="s">
        <v>13</v>
      </c>
      <c r="E75" s="483">
        <v>44483</v>
      </c>
      <c r="F75" s="154">
        <v>2424</v>
      </c>
      <c r="G75" s="281">
        <v>635</v>
      </c>
      <c r="H75" s="281">
        <v>3565</v>
      </c>
      <c r="I75" s="156">
        <v>899</v>
      </c>
      <c r="J75" s="281"/>
      <c r="K75" s="154">
        <f t="shared" si="179"/>
        <v>13</v>
      </c>
      <c r="L75" s="155">
        <f t="shared" si="180"/>
        <v>338</v>
      </c>
      <c r="M75" s="155">
        <f t="shared" si="181"/>
        <v>159</v>
      </c>
      <c r="N75" s="155">
        <f t="shared" si="182"/>
        <v>23</v>
      </c>
      <c r="O75" s="155">
        <f t="shared" si="183"/>
        <v>3</v>
      </c>
      <c r="P75" s="155">
        <f t="shared" si="184"/>
        <v>1032</v>
      </c>
      <c r="Q75" s="155">
        <f>'2010'!AU75</f>
        <v>31</v>
      </c>
      <c r="R75" s="155">
        <f t="shared" si="185"/>
        <v>506</v>
      </c>
      <c r="S75" s="155">
        <f t="shared" si="186"/>
        <v>68</v>
      </c>
      <c r="T75" s="155">
        <f t="shared" si="187"/>
        <v>256</v>
      </c>
      <c r="U75" s="552">
        <f t="shared" si="187"/>
        <v>8</v>
      </c>
      <c r="V75" s="155">
        <f t="shared" si="188"/>
        <v>224</v>
      </c>
      <c r="W75" s="155">
        <f t="shared" si="189"/>
        <v>3</v>
      </c>
      <c r="X75" s="155">
        <f t="shared" si="190"/>
        <v>131</v>
      </c>
      <c r="Y75" s="155">
        <f t="shared" si="191"/>
        <v>163</v>
      </c>
      <c r="Z75" s="155">
        <f t="shared" si="192"/>
        <v>57</v>
      </c>
      <c r="AA75" s="155">
        <f t="shared" si="193"/>
        <v>54</v>
      </c>
      <c r="AB75" s="552">
        <f t="shared" si="194"/>
        <v>3</v>
      </c>
      <c r="AC75" s="155">
        <f t="shared" si="195"/>
        <v>2</v>
      </c>
      <c r="AD75" s="155">
        <f t="shared" si="196"/>
        <v>448</v>
      </c>
      <c r="AE75" s="155">
        <f t="shared" si="197"/>
        <v>1305</v>
      </c>
      <c r="AF75" s="155">
        <f t="shared" si="198"/>
        <v>191</v>
      </c>
      <c r="AG75" s="155">
        <f t="shared" si="199"/>
        <v>1492</v>
      </c>
      <c r="AH75" s="155">
        <f t="shared" si="200"/>
        <v>93</v>
      </c>
      <c r="AI75" s="155">
        <f t="shared" si="201"/>
        <v>4</v>
      </c>
      <c r="AJ75" s="155" t="str">
        <f t="shared" si="202"/>
        <v>–</v>
      </c>
      <c r="AK75" s="552">
        <f t="shared" si="203"/>
        <v>30</v>
      </c>
      <c r="AL75" s="155">
        <f t="shared" si="204"/>
        <v>6</v>
      </c>
      <c r="AM75" s="155">
        <f t="shared" si="205"/>
        <v>8</v>
      </c>
      <c r="AN75" s="155">
        <f t="shared" si="206"/>
        <v>117</v>
      </c>
      <c r="AO75" s="155">
        <f t="shared" si="207"/>
        <v>24</v>
      </c>
      <c r="AP75" s="155">
        <f t="shared" si="207"/>
        <v>14</v>
      </c>
      <c r="AQ75" s="155">
        <f t="shared" si="208"/>
        <v>11</v>
      </c>
      <c r="AR75" s="155">
        <f t="shared" si="209"/>
        <v>708</v>
      </c>
      <c r="AS75" s="156">
        <f t="shared" si="210"/>
        <v>11</v>
      </c>
      <c r="AT75" s="155">
        <v>100</v>
      </c>
      <c r="AU75" s="281">
        <v>18</v>
      </c>
      <c r="AV75" s="281">
        <v>68</v>
      </c>
      <c r="AW75" s="281">
        <v>23</v>
      </c>
      <c r="AX75" s="281">
        <v>406</v>
      </c>
      <c r="AY75" s="281">
        <v>338</v>
      </c>
      <c r="AZ75" s="281">
        <v>84</v>
      </c>
      <c r="BA75" s="281">
        <v>948</v>
      </c>
      <c r="BB75" s="281">
        <v>256</v>
      </c>
      <c r="BC75" s="281">
        <v>8</v>
      </c>
      <c r="BD75" s="281">
        <v>159</v>
      </c>
      <c r="BE75" s="281">
        <v>3</v>
      </c>
      <c r="BF75" s="552">
        <v>13</v>
      </c>
      <c r="BG75" s="281">
        <v>60</v>
      </c>
      <c r="BH75" s="281">
        <v>5</v>
      </c>
      <c r="BI75" s="281">
        <v>126</v>
      </c>
      <c r="BJ75" s="281">
        <v>164</v>
      </c>
      <c r="BK75" s="281">
        <v>9</v>
      </c>
      <c r="BL75" s="281" t="s">
        <v>41</v>
      </c>
      <c r="BM75" s="281">
        <v>57</v>
      </c>
      <c r="BN75" s="281">
        <v>154</v>
      </c>
      <c r="BO75" s="281" t="s">
        <v>41</v>
      </c>
      <c r="BP75" s="281">
        <v>3</v>
      </c>
      <c r="BQ75" s="281">
        <v>54</v>
      </c>
      <c r="BR75" s="552">
        <v>3</v>
      </c>
      <c r="BS75" s="281">
        <v>118</v>
      </c>
      <c r="BT75" s="281">
        <v>1187</v>
      </c>
      <c r="BU75" s="281">
        <v>448</v>
      </c>
      <c r="BV75" s="281">
        <v>1492</v>
      </c>
      <c r="BW75" s="281">
        <v>4</v>
      </c>
      <c r="BX75" s="281">
        <v>2</v>
      </c>
      <c r="BY75" s="281" t="s">
        <v>41</v>
      </c>
      <c r="BZ75" s="281">
        <v>93</v>
      </c>
      <c r="CA75" s="281">
        <v>191</v>
      </c>
      <c r="CB75" s="552">
        <v>30</v>
      </c>
      <c r="CC75" s="281">
        <v>24</v>
      </c>
      <c r="CD75" s="281">
        <v>14</v>
      </c>
      <c r="CE75" s="281">
        <v>6</v>
      </c>
      <c r="CF75" s="281">
        <v>1</v>
      </c>
      <c r="CG75" s="281">
        <v>10</v>
      </c>
      <c r="CH75" s="281">
        <v>8</v>
      </c>
      <c r="CI75" s="281">
        <v>708</v>
      </c>
      <c r="CJ75" s="281">
        <v>117</v>
      </c>
      <c r="CK75" s="156">
        <v>11</v>
      </c>
      <c r="CL75" s="320">
        <v>7523</v>
      </c>
    </row>
    <row r="76" spans="1:90">
      <c r="A76" s="80">
        <f>ROWS($A$3:A74)</f>
        <v>72</v>
      </c>
      <c r="B76" s="92" t="s">
        <v>87</v>
      </c>
      <c r="C76" s="203"/>
      <c r="D76" s="259" t="s">
        <v>13</v>
      </c>
      <c r="E76" s="483">
        <v>44483</v>
      </c>
      <c r="F76" s="154">
        <v>3638</v>
      </c>
      <c r="G76" s="155">
        <v>1200</v>
      </c>
      <c r="H76" s="155">
        <v>4530</v>
      </c>
      <c r="I76" s="156">
        <v>4371</v>
      </c>
      <c r="J76" s="281"/>
      <c r="K76" s="154">
        <f t="shared" si="179"/>
        <v>918</v>
      </c>
      <c r="L76" s="155">
        <f t="shared" si="180"/>
        <v>375</v>
      </c>
      <c r="M76" s="155">
        <f t="shared" si="181"/>
        <v>171</v>
      </c>
      <c r="N76" s="155">
        <f t="shared" si="182"/>
        <v>423</v>
      </c>
      <c r="O76" s="155">
        <f t="shared" si="183"/>
        <v>193</v>
      </c>
      <c r="P76" s="155">
        <f t="shared" si="184"/>
        <v>127</v>
      </c>
      <c r="Q76" s="155">
        <f>'2010'!AU76</f>
        <v>122</v>
      </c>
      <c r="R76" s="155">
        <f t="shared" si="185"/>
        <v>120</v>
      </c>
      <c r="S76" s="155">
        <f t="shared" si="186"/>
        <v>214</v>
      </c>
      <c r="T76" s="155">
        <f t="shared" si="187"/>
        <v>225</v>
      </c>
      <c r="U76" s="552">
        <f t="shared" si="187"/>
        <v>744</v>
      </c>
      <c r="V76" s="155">
        <f t="shared" si="188"/>
        <v>106</v>
      </c>
      <c r="W76" s="155">
        <f t="shared" si="189"/>
        <v>221</v>
      </c>
      <c r="X76" s="155">
        <f t="shared" si="190"/>
        <v>141</v>
      </c>
      <c r="Y76" s="155">
        <f t="shared" si="191"/>
        <v>164</v>
      </c>
      <c r="Z76" s="155">
        <f t="shared" si="192"/>
        <v>213</v>
      </c>
      <c r="AA76" s="155">
        <f t="shared" si="193"/>
        <v>121</v>
      </c>
      <c r="AB76" s="552">
        <f t="shared" si="194"/>
        <v>234</v>
      </c>
      <c r="AC76" s="155">
        <f t="shared" si="195"/>
        <v>577</v>
      </c>
      <c r="AD76" s="155">
        <f t="shared" si="196"/>
        <v>447</v>
      </c>
      <c r="AE76" s="155">
        <f t="shared" si="197"/>
        <v>806</v>
      </c>
      <c r="AF76" s="155">
        <f t="shared" si="198"/>
        <v>482</v>
      </c>
      <c r="AG76" s="155">
        <f t="shared" si="199"/>
        <v>758</v>
      </c>
      <c r="AH76" s="155">
        <f t="shared" si="200"/>
        <v>294</v>
      </c>
      <c r="AI76" s="155">
        <f t="shared" si="201"/>
        <v>324</v>
      </c>
      <c r="AJ76" s="155">
        <f t="shared" si="202"/>
        <v>192</v>
      </c>
      <c r="AK76" s="552">
        <f t="shared" si="203"/>
        <v>650</v>
      </c>
      <c r="AL76" s="155">
        <f t="shared" si="204"/>
        <v>308</v>
      </c>
      <c r="AM76" s="155">
        <f t="shared" si="205"/>
        <v>793</v>
      </c>
      <c r="AN76" s="155">
        <f t="shared" si="206"/>
        <v>1592</v>
      </c>
      <c r="AO76" s="155">
        <f t="shared" si="207"/>
        <v>387</v>
      </c>
      <c r="AP76" s="155">
        <f t="shared" si="207"/>
        <v>91</v>
      </c>
      <c r="AQ76" s="155">
        <f t="shared" si="208"/>
        <v>408</v>
      </c>
      <c r="AR76" s="155">
        <f t="shared" si="209"/>
        <v>266</v>
      </c>
      <c r="AS76" s="156">
        <f t="shared" si="210"/>
        <v>526</v>
      </c>
      <c r="AT76" s="155">
        <v>9</v>
      </c>
      <c r="AU76" s="155">
        <v>128</v>
      </c>
      <c r="AV76" s="155">
        <v>214</v>
      </c>
      <c r="AW76" s="155">
        <v>423</v>
      </c>
      <c r="AX76" s="155">
        <v>111</v>
      </c>
      <c r="AY76" s="155">
        <v>375</v>
      </c>
      <c r="AZ76" s="155">
        <v>1</v>
      </c>
      <c r="BA76" s="155">
        <v>126</v>
      </c>
      <c r="BB76" s="155">
        <v>225</v>
      </c>
      <c r="BC76" s="155">
        <v>744</v>
      </c>
      <c r="BD76" s="155">
        <v>171</v>
      </c>
      <c r="BE76" s="155">
        <v>193</v>
      </c>
      <c r="BF76" s="552">
        <v>918</v>
      </c>
      <c r="BG76" s="155">
        <v>13</v>
      </c>
      <c r="BH76" s="155">
        <v>9</v>
      </c>
      <c r="BI76" s="155">
        <v>132</v>
      </c>
      <c r="BJ76" s="155">
        <v>93</v>
      </c>
      <c r="BK76" s="155">
        <v>3</v>
      </c>
      <c r="BL76" s="155">
        <v>7</v>
      </c>
      <c r="BM76" s="155">
        <v>213</v>
      </c>
      <c r="BN76" s="155">
        <v>154</v>
      </c>
      <c r="BO76" s="155">
        <v>6</v>
      </c>
      <c r="BP76" s="155">
        <v>234</v>
      </c>
      <c r="BQ76" s="155">
        <v>115</v>
      </c>
      <c r="BR76" s="552">
        <v>221</v>
      </c>
      <c r="BS76" s="155">
        <v>16</v>
      </c>
      <c r="BT76" s="155">
        <v>790</v>
      </c>
      <c r="BU76" s="155">
        <v>447</v>
      </c>
      <c r="BV76" s="155">
        <v>758</v>
      </c>
      <c r="BW76" s="155">
        <v>324</v>
      </c>
      <c r="BX76" s="155">
        <v>577</v>
      </c>
      <c r="BY76" s="155">
        <v>192</v>
      </c>
      <c r="BZ76" s="155">
        <v>294</v>
      </c>
      <c r="CA76" s="155">
        <v>482</v>
      </c>
      <c r="CB76" s="552">
        <v>650</v>
      </c>
      <c r="CC76" s="155">
        <v>387</v>
      </c>
      <c r="CD76" s="155">
        <v>91</v>
      </c>
      <c r="CE76" s="155">
        <v>308</v>
      </c>
      <c r="CF76" s="155">
        <v>22</v>
      </c>
      <c r="CG76" s="155">
        <v>504</v>
      </c>
      <c r="CH76" s="155">
        <v>793</v>
      </c>
      <c r="CI76" s="155">
        <v>266</v>
      </c>
      <c r="CJ76" s="155">
        <v>1592</v>
      </c>
      <c r="CK76" s="156">
        <v>408</v>
      </c>
      <c r="CL76" s="320">
        <v>13739</v>
      </c>
    </row>
    <row r="77" spans="1:90">
      <c r="A77" s="80">
        <f>ROWS($A$3:A75)</f>
        <v>73</v>
      </c>
      <c r="B77" s="92" t="s">
        <v>88</v>
      </c>
      <c r="C77" s="614"/>
      <c r="D77" s="259" t="s">
        <v>13</v>
      </c>
      <c r="E77" s="483">
        <v>44483</v>
      </c>
      <c r="F77" s="154">
        <v>806</v>
      </c>
      <c r="G77" s="155">
        <v>59</v>
      </c>
      <c r="H77" s="155">
        <v>117</v>
      </c>
      <c r="I77" s="156">
        <v>464</v>
      </c>
      <c r="J77" s="281"/>
      <c r="K77" s="154">
        <f t="shared" si="179"/>
        <v>104</v>
      </c>
      <c r="L77" s="155">
        <f t="shared" si="180"/>
        <v>11</v>
      </c>
      <c r="M77" s="155">
        <f t="shared" si="181"/>
        <v>85</v>
      </c>
      <c r="N77" s="155">
        <f t="shared" si="182"/>
        <v>20</v>
      </c>
      <c r="O77" s="155">
        <f t="shared" si="183"/>
        <v>31</v>
      </c>
      <c r="P77" s="155">
        <f t="shared" si="184"/>
        <v>21</v>
      </c>
      <c r="Q77" s="155">
        <f>'2010'!AU77</f>
        <v>14</v>
      </c>
      <c r="R77" s="155">
        <f t="shared" si="185"/>
        <v>28</v>
      </c>
      <c r="S77" s="155">
        <f t="shared" si="186"/>
        <v>8</v>
      </c>
      <c r="T77" s="155">
        <f t="shared" si="187"/>
        <v>114</v>
      </c>
      <c r="U77" s="552">
        <f t="shared" si="187"/>
        <v>374</v>
      </c>
      <c r="V77" s="155">
        <f t="shared" si="188"/>
        <v>5</v>
      </c>
      <c r="W77" s="155">
        <f t="shared" si="189"/>
        <v>7</v>
      </c>
      <c r="X77" s="155">
        <f t="shared" si="190"/>
        <v>2</v>
      </c>
      <c r="Y77" s="155">
        <f t="shared" si="191"/>
        <v>15</v>
      </c>
      <c r="Z77" s="155">
        <f t="shared" si="192"/>
        <v>23</v>
      </c>
      <c r="AA77" s="155">
        <f t="shared" si="193"/>
        <v>4</v>
      </c>
      <c r="AB77" s="552">
        <f t="shared" si="194"/>
        <v>3</v>
      </c>
      <c r="AC77" s="155">
        <f t="shared" si="195"/>
        <v>14</v>
      </c>
      <c r="AD77" s="155">
        <f t="shared" si="196"/>
        <v>6</v>
      </c>
      <c r="AE77" s="155">
        <f t="shared" si="197"/>
        <v>10</v>
      </c>
      <c r="AF77" s="155">
        <f t="shared" si="198"/>
        <v>2</v>
      </c>
      <c r="AG77" s="155">
        <f t="shared" si="199"/>
        <v>26</v>
      </c>
      <c r="AH77" s="155">
        <f t="shared" si="200"/>
        <v>12</v>
      </c>
      <c r="AI77" s="155">
        <f t="shared" si="201"/>
        <v>25</v>
      </c>
      <c r="AJ77" s="155">
        <f t="shared" si="202"/>
        <v>9</v>
      </c>
      <c r="AK77" s="552">
        <f t="shared" si="203"/>
        <v>13</v>
      </c>
      <c r="AL77" s="155">
        <f t="shared" si="204"/>
        <v>8</v>
      </c>
      <c r="AM77" s="155">
        <f t="shared" si="205"/>
        <v>102</v>
      </c>
      <c r="AN77" s="155">
        <f t="shared" si="206"/>
        <v>41</v>
      </c>
      <c r="AO77" s="155">
        <f t="shared" si="207"/>
        <v>20</v>
      </c>
      <c r="AP77" s="155">
        <f t="shared" si="207"/>
        <v>6</v>
      </c>
      <c r="AQ77" s="155">
        <f t="shared" si="208"/>
        <v>76</v>
      </c>
      <c r="AR77" s="155">
        <f t="shared" si="209"/>
        <v>12</v>
      </c>
      <c r="AS77" s="156">
        <f t="shared" si="210"/>
        <v>199</v>
      </c>
      <c r="AT77" s="155">
        <v>1</v>
      </c>
      <c r="AU77" s="155">
        <v>10</v>
      </c>
      <c r="AV77" s="155">
        <v>8</v>
      </c>
      <c r="AW77" s="155">
        <v>20</v>
      </c>
      <c r="AX77" s="155">
        <v>27</v>
      </c>
      <c r="AY77" s="155">
        <v>11</v>
      </c>
      <c r="AZ77" s="155" t="s">
        <v>41</v>
      </c>
      <c r="BA77" s="155">
        <v>21</v>
      </c>
      <c r="BB77" s="155">
        <v>114</v>
      </c>
      <c r="BC77" s="155">
        <v>374</v>
      </c>
      <c r="BD77" s="155">
        <v>85</v>
      </c>
      <c r="BE77" s="155">
        <v>31</v>
      </c>
      <c r="BF77" s="552">
        <v>104</v>
      </c>
      <c r="BG77" s="155" t="s">
        <v>41</v>
      </c>
      <c r="BH77" s="155" t="s">
        <v>41</v>
      </c>
      <c r="BI77" s="155">
        <v>2</v>
      </c>
      <c r="BJ77" s="155">
        <v>5</v>
      </c>
      <c r="BK77" s="155">
        <v>1</v>
      </c>
      <c r="BL77" s="155" t="s">
        <v>41</v>
      </c>
      <c r="BM77" s="155">
        <v>23</v>
      </c>
      <c r="BN77" s="155">
        <v>14</v>
      </c>
      <c r="BO77" s="155" t="s">
        <v>41</v>
      </c>
      <c r="BP77" s="155">
        <v>3</v>
      </c>
      <c r="BQ77" s="155">
        <v>4</v>
      </c>
      <c r="BR77" s="552">
        <v>7</v>
      </c>
      <c r="BS77" s="155">
        <v>1</v>
      </c>
      <c r="BT77" s="155">
        <v>9</v>
      </c>
      <c r="BU77" s="155">
        <v>6</v>
      </c>
      <c r="BV77" s="155">
        <v>26</v>
      </c>
      <c r="BW77" s="155">
        <v>25</v>
      </c>
      <c r="BX77" s="155">
        <v>14</v>
      </c>
      <c r="BY77" s="155">
        <v>9</v>
      </c>
      <c r="BZ77" s="155">
        <v>12</v>
      </c>
      <c r="CA77" s="155">
        <v>2</v>
      </c>
      <c r="CB77" s="552">
        <v>13</v>
      </c>
      <c r="CC77" s="281">
        <v>20</v>
      </c>
      <c r="CD77" s="281">
        <v>6</v>
      </c>
      <c r="CE77" s="281">
        <v>8</v>
      </c>
      <c r="CF77" s="281">
        <v>7</v>
      </c>
      <c r="CG77" s="281">
        <v>192</v>
      </c>
      <c r="CH77" s="281">
        <v>102</v>
      </c>
      <c r="CI77" s="281">
        <v>12</v>
      </c>
      <c r="CJ77" s="281">
        <v>41</v>
      </c>
      <c r="CK77" s="156">
        <v>76</v>
      </c>
      <c r="CL77" s="320">
        <v>1446</v>
      </c>
    </row>
    <row r="78" spans="1:90">
      <c r="A78" s="80">
        <f>ROWS($A$3:A76)</f>
        <v>74</v>
      </c>
      <c r="B78" s="92" t="s">
        <v>89</v>
      </c>
      <c r="C78" s="591"/>
      <c r="D78" s="259" t="s">
        <v>13</v>
      </c>
      <c r="E78" s="483">
        <v>44483</v>
      </c>
      <c r="F78" s="154">
        <v>1736</v>
      </c>
      <c r="G78" s="155">
        <v>662</v>
      </c>
      <c r="H78" s="155">
        <v>1121</v>
      </c>
      <c r="I78" s="156">
        <v>1222</v>
      </c>
      <c r="J78" s="281"/>
      <c r="K78" s="154">
        <f t="shared" si="179"/>
        <v>167</v>
      </c>
      <c r="L78" s="155">
        <f t="shared" si="180"/>
        <v>123</v>
      </c>
      <c r="M78" s="155">
        <f t="shared" si="181"/>
        <v>181</v>
      </c>
      <c r="N78" s="155">
        <f t="shared" si="182"/>
        <v>76</v>
      </c>
      <c r="O78" s="155">
        <f t="shared" si="183"/>
        <v>95</v>
      </c>
      <c r="P78" s="155">
        <f t="shared" si="184"/>
        <v>222</v>
      </c>
      <c r="Q78" s="155">
        <f>'2010'!AU78</f>
        <v>161</v>
      </c>
      <c r="R78" s="155">
        <f t="shared" si="185"/>
        <v>230</v>
      </c>
      <c r="S78" s="155">
        <f t="shared" si="186"/>
        <v>121</v>
      </c>
      <c r="T78" s="155">
        <f t="shared" si="187"/>
        <v>189</v>
      </c>
      <c r="U78" s="552">
        <f t="shared" si="187"/>
        <v>220</v>
      </c>
      <c r="V78" s="155">
        <f t="shared" si="188"/>
        <v>56</v>
      </c>
      <c r="W78" s="155">
        <f t="shared" si="189"/>
        <v>55</v>
      </c>
      <c r="X78" s="155">
        <f t="shared" si="190"/>
        <v>114</v>
      </c>
      <c r="Y78" s="155">
        <f t="shared" si="191"/>
        <v>134</v>
      </c>
      <c r="Z78" s="155">
        <f t="shared" si="192"/>
        <v>133</v>
      </c>
      <c r="AA78" s="155">
        <f t="shared" si="193"/>
        <v>102</v>
      </c>
      <c r="AB78" s="552">
        <f t="shared" si="194"/>
        <v>68</v>
      </c>
      <c r="AC78" s="155">
        <f t="shared" si="195"/>
        <v>85</v>
      </c>
      <c r="AD78" s="155">
        <f t="shared" si="196"/>
        <v>94</v>
      </c>
      <c r="AE78" s="155">
        <f t="shared" si="197"/>
        <v>175</v>
      </c>
      <c r="AF78" s="155">
        <f t="shared" si="198"/>
        <v>106</v>
      </c>
      <c r="AG78" s="155">
        <f t="shared" si="199"/>
        <v>322</v>
      </c>
      <c r="AH78" s="155">
        <f t="shared" si="200"/>
        <v>97</v>
      </c>
      <c r="AI78" s="155">
        <f t="shared" si="201"/>
        <v>107</v>
      </c>
      <c r="AJ78" s="155">
        <f t="shared" si="202"/>
        <v>41</v>
      </c>
      <c r="AK78" s="552">
        <f t="shared" si="203"/>
        <v>94</v>
      </c>
      <c r="AL78" s="155">
        <f t="shared" si="204"/>
        <v>46</v>
      </c>
      <c r="AM78" s="155">
        <f t="shared" si="205"/>
        <v>211</v>
      </c>
      <c r="AN78" s="155">
        <f t="shared" si="206"/>
        <v>118</v>
      </c>
      <c r="AO78" s="155">
        <f t="shared" si="207"/>
        <v>144</v>
      </c>
      <c r="AP78" s="155">
        <f t="shared" si="207"/>
        <v>64</v>
      </c>
      <c r="AQ78" s="155">
        <f t="shared" si="208"/>
        <v>172</v>
      </c>
      <c r="AR78" s="155">
        <f t="shared" si="209"/>
        <v>178</v>
      </c>
      <c r="AS78" s="156">
        <f t="shared" si="210"/>
        <v>289</v>
      </c>
      <c r="AT78" s="281">
        <v>15</v>
      </c>
      <c r="AU78" s="281">
        <v>112</v>
      </c>
      <c r="AV78" s="281">
        <v>121</v>
      </c>
      <c r="AW78" s="281">
        <v>76</v>
      </c>
      <c r="AX78" s="281">
        <v>215</v>
      </c>
      <c r="AY78" s="281">
        <v>123</v>
      </c>
      <c r="AZ78" s="281">
        <v>13</v>
      </c>
      <c r="BA78" s="281">
        <v>209</v>
      </c>
      <c r="BB78" s="281">
        <v>189</v>
      </c>
      <c r="BC78" s="281">
        <v>220</v>
      </c>
      <c r="BD78" s="281">
        <v>181</v>
      </c>
      <c r="BE78" s="281">
        <v>95</v>
      </c>
      <c r="BF78" s="299">
        <v>167</v>
      </c>
      <c r="BG78" s="281">
        <v>3</v>
      </c>
      <c r="BH78" s="281">
        <v>12</v>
      </c>
      <c r="BI78" s="281">
        <v>102</v>
      </c>
      <c r="BJ78" s="281">
        <v>53</v>
      </c>
      <c r="BK78" s="281">
        <v>11</v>
      </c>
      <c r="BL78" s="281">
        <v>7</v>
      </c>
      <c r="BM78" s="281">
        <v>133</v>
      </c>
      <c r="BN78" s="281">
        <v>116</v>
      </c>
      <c r="BO78" s="281">
        <v>4</v>
      </c>
      <c r="BP78" s="281">
        <v>68</v>
      </c>
      <c r="BQ78" s="281">
        <v>98</v>
      </c>
      <c r="BR78" s="299">
        <v>55</v>
      </c>
      <c r="BS78" s="281">
        <v>18</v>
      </c>
      <c r="BT78" s="281">
        <v>157</v>
      </c>
      <c r="BU78" s="281">
        <v>94</v>
      </c>
      <c r="BV78" s="281">
        <v>322</v>
      </c>
      <c r="BW78" s="281">
        <v>107</v>
      </c>
      <c r="BX78" s="281">
        <v>85</v>
      </c>
      <c r="BY78" s="281">
        <v>41</v>
      </c>
      <c r="BZ78" s="281">
        <v>97</v>
      </c>
      <c r="CA78" s="281">
        <v>106</v>
      </c>
      <c r="CB78" s="299">
        <v>94</v>
      </c>
      <c r="CC78" s="281">
        <v>144</v>
      </c>
      <c r="CD78" s="281">
        <v>64</v>
      </c>
      <c r="CE78" s="281">
        <v>46</v>
      </c>
      <c r="CF78" s="155">
        <v>14</v>
      </c>
      <c r="CG78" s="281">
        <v>275</v>
      </c>
      <c r="CH78" s="281">
        <v>211</v>
      </c>
      <c r="CI78" s="281">
        <v>178</v>
      </c>
      <c r="CJ78" s="281">
        <v>118</v>
      </c>
      <c r="CK78" s="300">
        <v>172</v>
      </c>
      <c r="CL78" s="553">
        <v>4741</v>
      </c>
    </row>
    <row r="79" spans="1:90">
      <c r="A79" s="80">
        <f>ROWS($A$3:A77)</f>
        <v>75</v>
      </c>
      <c r="B79" s="59" t="s">
        <v>79</v>
      </c>
      <c r="C79" s="591"/>
      <c r="D79" s="254"/>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553" t="s">
        <v>57</v>
      </c>
    </row>
    <row r="80" spans="1:90">
      <c r="A80" s="80">
        <f>ROWS($A$3:A78)</f>
        <v>76</v>
      </c>
      <c r="B80" s="800" t="s">
        <v>90</v>
      </c>
      <c r="C80" s="813">
        <v>2022</v>
      </c>
      <c r="D80" s="254" t="s">
        <v>13</v>
      </c>
      <c r="E80" s="483">
        <v>44854</v>
      </c>
      <c r="F80" s="530">
        <f>SUM(AT80:BF80)</f>
        <v>14303</v>
      </c>
      <c r="G80" s="531">
        <f>SUM(BG80:BR80)</f>
        <v>4779</v>
      </c>
      <c r="H80" s="531">
        <f>SUM(BS80:CB80)</f>
        <v>12099</v>
      </c>
      <c r="I80" s="532">
        <f>SUM(CC80:CK80)</f>
        <v>11806</v>
      </c>
      <c r="J80" s="281"/>
      <c r="K80" s="530">
        <f>BF80</f>
        <v>2128</v>
      </c>
      <c r="L80" s="531">
        <f>AY80</f>
        <v>974</v>
      </c>
      <c r="M80" s="531">
        <f>BD80</f>
        <v>1670</v>
      </c>
      <c r="N80" s="531">
        <f>AW80</f>
        <v>795</v>
      </c>
      <c r="O80" s="531">
        <f>BE80</f>
        <v>626</v>
      </c>
      <c r="P80" s="531">
        <f>AZ80+BA80</f>
        <v>1793</v>
      </c>
      <c r="Q80" s="531">
        <f>AU80</f>
        <v>625</v>
      </c>
      <c r="R80" s="531">
        <f>AT80+AX80</f>
        <v>1435</v>
      </c>
      <c r="S80" s="531">
        <f>AV80</f>
        <v>596</v>
      </c>
      <c r="T80" s="531">
        <f t="shared" ref="T80:U83" si="211">BB80</f>
        <v>1352</v>
      </c>
      <c r="U80" s="555">
        <f t="shared" si="211"/>
        <v>2309</v>
      </c>
      <c r="V80" s="531">
        <f>BG80+BJ80</f>
        <v>528</v>
      </c>
      <c r="W80" s="531">
        <f>BR80</f>
        <v>630</v>
      </c>
      <c r="X80" s="531">
        <f>BH80+BI80</f>
        <v>776</v>
      </c>
      <c r="Y80" s="531">
        <f>BK80+BL80+BN80</f>
        <v>908</v>
      </c>
      <c r="Z80" s="531">
        <f>BM80</f>
        <v>966</v>
      </c>
      <c r="AA80" s="531">
        <f>BO80+BQ80</f>
        <v>453</v>
      </c>
      <c r="AB80" s="555">
        <f>BP80</f>
        <v>518</v>
      </c>
      <c r="AC80" s="531">
        <f>BX80</f>
        <v>1159</v>
      </c>
      <c r="AD80" s="531">
        <f>BU80</f>
        <v>1067</v>
      </c>
      <c r="AE80" s="531">
        <f>BS80+BT80</f>
        <v>2260</v>
      </c>
      <c r="AF80" s="531">
        <f>CA80</f>
        <v>966</v>
      </c>
      <c r="AG80" s="531">
        <f>BV80</f>
        <v>3065</v>
      </c>
      <c r="AH80" s="531">
        <f>BZ80</f>
        <v>899</v>
      </c>
      <c r="AI80" s="531">
        <f>BW80</f>
        <v>912</v>
      </c>
      <c r="AJ80" s="531">
        <f>BY80</f>
        <v>467</v>
      </c>
      <c r="AK80" s="555">
        <f>CB80</f>
        <v>1304</v>
      </c>
      <c r="AL80" s="531">
        <f>CE80</f>
        <v>822</v>
      </c>
      <c r="AM80" s="531">
        <f>CH80</f>
        <v>1847</v>
      </c>
      <c r="AN80" s="531">
        <f>CJ80</f>
        <v>2785</v>
      </c>
      <c r="AO80" s="531">
        <f t="shared" ref="AO80:AP83" si="212">CC80</f>
        <v>1123</v>
      </c>
      <c r="AP80" s="531">
        <f t="shared" si="212"/>
        <v>417</v>
      </c>
      <c r="AQ80" s="531">
        <f>CK80</f>
        <v>1365</v>
      </c>
      <c r="AR80" s="531">
        <f>CI80</f>
        <v>1428</v>
      </c>
      <c r="AS80" s="532">
        <f>CF80+CG80</f>
        <v>2019</v>
      </c>
      <c r="AT80" s="604">
        <v>179</v>
      </c>
      <c r="AU80" s="604">
        <v>625</v>
      </c>
      <c r="AV80" s="604">
        <v>596</v>
      </c>
      <c r="AW80" s="604">
        <v>795</v>
      </c>
      <c r="AX80" s="604">
        <v>1256</v>
      </c>
      <c r="AY80" s="604">
        <v>974</v>
      </c>
      <c r="AZ80" s="604">
        <v>153</v>
      </c>
      <c r="BA80" s="604">
        <v>1640</v>
      </c>
      <c r="BB80" s="604">
        <v>1352</v>
      </c>
      <c r="BC80" s="604">
        <v>2309</v>
      </c>
      <c r="BD80" s="604">
        <v>1670</v>
      </c>
      <c r="BE80" s="604">
        <v>626</v>
      </c>
      <c r="BF80" s="604">
        <v>2128</v>
      </c>
      <c r="BG80" s="604">
        <v>68</v>
      </c>
      <c r="BH80" s="604">
        <v>50</v>
      </c>
      <c r="BI80" s="604">
        <v>726</v>
      </c>
      <c r="BJ80" s="604">
        <v>460</v>
      </c>
      <c r="BK80" s="604">
        <v>55</v>
      </c>
      <c r="BL80" s="604">
        <v>51</v>
      </c>
      <c r="BM80" s="604">
        <v>966</v>
      </c>
      <c r="BN80" s="604">
        <v>802</v>
      </c>
      <c r="BO80" s="604">
        <v>17</v>
      </c>
      <c r="BP80" s="604">
        <v>518</v>
      </c>
      <c r="BQ80" s="604">
        <v>436</v>
      </c>
      <c r="BR80" s="604">
        <v>630</v>
      </c>
      <c r="BS80" s="604">
        <v>135</v>
      </c>
      <c r="BT80" s="604">
        <v>2125</v>
      </c>
      <c r="BU80" s="604">
        <v>1067</v>
      </c>
      <c r="BV80" s="604">
        <v>3065</v>
      </c>
      <c r="BW80" s="604">
        <v>912</v>
      </c>
      <c r="BX80" s="604">
        <v>1159</v>
      </c>
      <c r="BY80" s="604">
        <v>467</v>
      </c>
      <c r="BZ80" s="604">
        <v>899</v>
      </c>
      <c r="CA80" s="604">
        <v>966</v>
      </c>
      <c r="CB80" s="604">
        <v>1304</v>
      </c>
      <c r="CC80" s="604">
        <v>1123</v>
      </c>
      <c r="CD80" s="604">
        <v>417</v>
      </c>
      <c r="CE80" s="604">
        <v>822</v>
      </c>
      <c r="CF80" s="604">
        <v>113</v>
      </c>
      <c r="CG80" s="604">
        <v>1906</v>
      </c>
      <c r="CH80" s="604">
        <v>1847</v>
      </c>
      <c r="CI80" s="604">
        <v>1428</v>
      </c>
      <c r="CJ80" s="604">
        <v>2785</v>
      </c>
      <c r="CK80" s="604">
        <v>1365</v>
      </c>
      <c r="CL80" s="604">
        <v>42987</v>
      </c>
    </row>
    <row r="81" spans="1:94">
      <c r="A81" s="80">
        <f>ROWS($A$3:A79)</f>
        <v>77</v>
      </c>
      <c r="B81" s="836" t="s">
        <v>365</v>
      </c>
      <c r="C81" s="837">
        <v>2018</v>
      </c>
      <c r="D81" s="838" t="s">
        <v>13</v>
      </c>
      <c r="E81" s="858">
        <v>43556</v>
      </c>
      <c r="F81" s="783">
        <f>SUM(AT81:BF81)</f>
        <v>1051934</v>
      </c>
      <c r="G81" s="784">
        <f>SUM(BG81:BR81)</f>
        <v>683020</v>
      </c>
      <c r="H81" s="784">
        <f>SUM(BS81:CB81)</f>
        <v>686923</v>
      </c>
      <c r="I81" s="785">
        <f>SUM(CC81:CK81)</f>
        <v>605541</v>
      </c>
      <c r="J81" s="852"/>
      <c r="K81" s="783">
        <f>BF81</f>
        <v>80307</v>
      </c>
      <c r="L81" s="784">
        <f>AY81</f>
        <v>126309</v>
      </c>
      <c r="M81" s="784">
        <f>BD81</f>
        <v>102788</v>
      </c>
      <c r="N81" s="784">
        <f>AW81</f>
        <v>54520</v>
      </c>
      <c r="O81" s="784">
        <f>BE81</f>
        <v>30671</v>
      </c>
      <c r="P81" s="784">
        <f>AZ81+BA81</f>
        <v>156058</v>
      </c>
      <c r="Q81" s="784">
        <f>AU81</f>
        <v>103910</v>
      </c>
      <c r="R81" s="784">
        <f>AT81+AX81</f>
        <v>149663</v>
      </c>
      <c r="S81" s="784">
        <f>AV81</f>
        <v>109933</v>
      </c>
      <c r="T81" s="784">
        <f t="shared" si="211"/>
        <v>52348</v>
      </c>
      <c r="U81" s="787">
        <f t="shared" si="211"/>
        <v>85427</v>
      </c>
      <c r="V81" s="784">
        <f>BG81+BJ81</f>
        <v>94413</v>
      </c>
      <c r="W81" s="784">
        <f>BR81</f>
        <v>51818</v>
      </c>
      <c r="X81" s="784">
        <f>BH81+BI81</f>
        <v>177344</v>
      </c>
      <c r="Y81" s="784">
        <f>BK81+BL81+BN81</f>
        <v>103639</v>
      </c>
      <c r="Z81" s="784">
        <f>BM81</f>
        <v>80827</v>
      </c>
      <c r="AA81" s="784">
        <f>BO81+BQ81</f>
        <v>115545</v>
      </c>
      <c r="AB81" s="787">
        <f>BP81</f>
        <v>59434</v>
      </c>
      <c r="AC81" s="784">
        <f>BX81</f>
        <v>38990</v>
      </c>
      <c r="AD81" s="784">
        <f>BU81</f>
        <v>57907</v>
      </c>
      <c r="AE81" s="784">
        <f>BS81+BT81</f>
        <v>106778</v>
      </c>
      <c r="AF81" s="784">
        <f>CA81</f>
        <v>74549</v>
      </c>
      <c r="AG81" s="784">
        <f>BV81</f>
        <v>143880</v>
      </c>
      <c r="AH81" s="784">
        <f>BZ81</f>
        <v>61673</v>
      </c>
      <c r="AI81" s="784">
        <f>BW81</f>
        <v>62398</v>
      </c>
      <c r="AJ81" s="784">
        <f>BY81</f>
        <v>75614</v>
      </c>
      <c r="AK81" s="787">
        <f>CB81</f>
        <v>65134</v>
      </c>
      <c r="AL81" s="784">
        <f>CE81</f>
        <v>105903</v>
      </c>
      <c r="AM81" s="784">
        <f>CH81</f>
        <v>75723</v>
      </c>
      <c r="AN81" s="784">
        <f>CJ81</f>
        <v>63231</v>
      </c>
      <c r="AO81" s="784">
        <f t="shared" si="212"/>
        <v>82105</v>
      </c>
      <c r="AP81" s="784">
        <f t="shared" si="212"/>
        <v>95467</v>
      </c>
      <c r="AQ81" s="784">
        <f>CK81</f>
        <v>71902</v>
      </c>
      <c r="AR81" s="784">
        <f>CI81</f>
        <v>34652</v>
      </c>
      <c r="AS81" s="785">
        <f>CF81+CG81</f>
        <v>76558</v>
      </c>
      <c r="AT81" s="784">
        <v>12790</v>
      </c>
      <c r="AU81" s="784">
        <v>103910</v>
      </c>
      <c r="AV81" s="784">
        <v>109933</v>
      </c>
      <c r="AW81" s="784">
        <v>54520</v>
      </c>
      <c r="AX81" s="784">
        <v>136873</v>
      </c>
      <c r="AY81" s="784">
        <v>126309</v>
      </c>
      <c r="AZ81" s="784">
        <v>15863</v>
      </c>
      <c r="BA81" s="784">
        <v>140195</v>
      </c>
      <c r="BB81" s="784">
        <v>52348</v>
      </c>
      <c r="BC81" s="784">
        <v>85427</v>
      </c>
      <c r="BD81" s="784">
        <v>102788</v>
      </c>
      <c r="BE81" s="784">
        <v>30671</v>
      </c>
      <c r="BF81" s="787">
        <v>80307</v>
      </c>
      <c r="BG81" s="784">
        <v>12179</v>
      </c>
      <c r="BH81" s="784">
        <v>10620</v>
      </c>
      <c r="BI81" s="784">
        <v>166724</v>
      </c>
      <c r="BJ81" s="784">
        <v>82234</v>
      </c>
      <c r="BK81" s="784">
        <v>3770</v>
      </c>
      <c r="BL81" s="784">
        <v>5418</v>
      </c>
      <c r="BM81" s="784">
        <v>80827</v>
      </c>
      <c r="BN81" s="784">
        <v>94451</v>
      </c>
      <c r="BO81" s="784">
        <v>4816</v>
      </c>
      <c r="BP81" s="784">
        <v>59434</v>
      </c>
      <c r="BQ81" s="784">
        <v>110729</v>
      </c>
      <c r="BR81" s="787">
        <v>51818</v>
      </c>
      <c r="BS81" s="784">
        <v>9346</v>
      </c>
      <c r="BT81" s="784">
        <v>97432</v>
      </c>
      <c r="BU81" s="784">
        <v>57907</v>
      </c>
      <c r="BV81" s="784">
        <v>143880</v>
      </c>
      <c r="BW81" s="784">
        <v>62398</v>
      </c>
      <c r="BX81" s="784">
        <v>38990</v>
      </c>
      <c r="BY81" s="784">
        <v>75614</v>
      </c>
      <c r="BZ81" s="784">
        <v>61673</v>
      </c>
      <c r="CA81" s="784">
        <v>74549</v>
      </c>
      <c r="CB81" s="787">
        <v>65134</v>
      </c>
      <c r="CC81" s="784">
        <v>82105</v>
      </c>
      <c r="CD81" s="784">
        <v>95467</v>
      </c>
      <c r="CE81" s="784">
        <v>105903</v>
      </c>
      <c r="CF81" s="784">
        <v>5866</v>
      </c>
      <c r="CG81" s="784">
        <v>70692</v>
      </c>
      <c r="CH81" s="784">
        <v>75723</v>
      </c>
      <c r="CI81" s="784">
        <v>34652</v>
      </c>
      <c r="CJ81" s="784">
        <v>63231</v>
      </c>
      <c r="CK81" s="785">
        <v>71902</v>
      </c>
      <c r="CL81" s="791">
        <f>SUM(AT81:CK81)</f>
        <v>3027418</v>
      </c>
    </row>
    <row r="82" spans="1:94">
      <c r="A82" s="80">
        <f>ROWS($A$3:A80)</f>
        <v>78</v>
      </c>
      <c r="B82" s="839" t="s">
        <v>367</v>
      </c>
      <c r="C82" s="837">
        <v>2018</v>
      </c>
      <c r="D82" s="838" t="s">
        <v>13</v>
      </c>
      <c r="E82" s="858">
        <v>43556</v>
      </c>
      <c r="F82" s="853">
        <f t="shared" ref="F82:AQ82" si="213">F81/F80</f>
        <v>73.546388869467947</v>
      </c>
      <c r="G82" s="842">
        <f t="shared" si="213"/>
        <v>142.92111320359908</v>
      </c>
      <c r="H82" s="842">
        <f t="shared" si="213"/>
        <v>56.775188032068769</v>
      </c>
      <c r="I82" s="843">
        <f t="shared" si="213"/>
        <v>51.290953752329322</v>
      </c>
      <c r="J82" s="852"/>
      <c r="K82" s="853">
        <f t="shared" si="213"/>
        <v>37.738251879699249</v>
      </c>
      <c r="L82" s="842">
        <f t="shared" si="213"/>
        <v>129.68069815195071</v>
      </c>
      <c r="M82" s="842">
        <f t="shared" si="213"/>
        <v>61.549700598802396</v>
      </c>
      <c r="N82" s="842">
        <f t="shared" si="213"/>
        <v>68.578616352201252</v>
      </c>
      <c r="O82" s="842">
        <f t="shared" si="213"/>
        <v>48.995207667731627</v>
      </c>
      <c r="P82" s="842">
        <f>P81/P80</f>
        <v>87.037367540435028</v>
      </c>
      <c r="Q82" s="842">
        <f t="shared" si="213"/>
        <v>166.256</v>
      </c>
      <c r="R82" s="842">
        <f t="shared" si="213"/>
        <v>104.29477351916377</v>
      </c>
      <c r="S82" s="842">
        <f t="shared" si="213"/>
        <v>184.45134228187919</v>
      </c>
      <c r="T82" s="842">
        <f t="shared" si="213"/>
        <v>38.718934911242606</v>
      </c>
      <c r="U82" s="844">
        <f t="shared" si="213"/>
        <v>36.997401472498915</v>
      </c>
      <c r="V82" s="842">
        <f t="shared" si="213"/>
        <v>178.8125</v>
      </c>
      <c r="W82" s="842">
        <f t="shared" si="213"/>
        <v>82.250793650793653</v>
      </c>
      <c r="X82" s="842">
        <f t="shared" si="213"/>
        <v>228.53608247422682</v>
      </c>
      <c r="Y82" s="842">
        <f t="shared" si="213"/>
        <v>114.1398678414097</v>
      </c>
      <c r="Z82" s="842">
        <f t="shared" si="213"/>
        <v>83.671842650103514</v>
      </c>
      <c r="AA82" s="842">
        <f t="shared" si="213"/>
        <v>255.06622516556291</v>
      </c>
      <c r="AB82" s="844">
        <f t="shared" si="213"/>
        <v>114.73745173745174</v>
      </c>
      <c r="AC82" s="842">
        <f t="shared" si="213"/>
        <v>33.641069887834341</v>
      </c>
      <c r="AD82" s="842">
        <f t="shared" si="213"/>
        <v>54.270852858481724</v>
      </c>
      <c r="AE82" s="842">
        <f t="shared" si="213"/>
        <v>47.246902654867256</v>
      </c>
      <c r="AF82" s="842">
        <f t="shared" si="213"/>
        <v>77.172877846790897</v>
      </c>
      <c r="AG82" s="842">
        <f t="shared" si="213"/>
        <v>46.94290375203915</v>
      </c>
      <c r="AH82" s="842">
        <f t="shared" si="213"/>
        <v>68.601779755283644</v>
      </c>
      <c r="AI82" s="842">
        <f t="shared" si="213"/>
        <v>68.418859649122808</v>
      </c>
      <c r="AJ82" s="842">
        <f t="shared" si="213"/>
        <v>161.91434689507494</v>
      </c>
      <c r="AK82" s="844">
        <f t="shared" si="213"/>
        <v>49.949386503067487</v>
      </c>
      <c r="AL82" s="842">
        <f t="shared" si="213"/>
        <v>128.83576642335765</v>
      </c>
      <c r="AM82" s="842">
        <f t="shared" si="213"/>
        <v>40.997834325933944</v>
      </c>
      <c r="AN82" s="842">
        <f t="shared" si="213"/>
        <v>22.704129263913824</v>
      </c>
      <c r="AO82" s="842">
        <f t="shared" si="213"/>
        <v>73.112199465716827</v>
      </c>
      <c r="AP82" s="842">
        <f t="shared" si="213"/>
        <v>228.93764988009593</v>
      </c>
      <c r="AQ82" s="842">
        <f t="shared" si="213"/>
        <v>52.675457875457873</v>
      </c>
      <c r="AR82" s="842">
        <f>AR81/AR80</f>
        <v>24.26610644257703</v>
      </c>
      <c r="AS82" s="843">
        <f>AS81/AS80</f>
        <v>37.91877166914314</v>
      </c>
      <c r="AT82" s="842">
        <f>IF(OR(AT80&lt;0.1,AT81&lt;0.1),0,AT81/AT80)</f>
        <v>71.452513966480453</v>
      </c>
      <c r="AU82" s="842">
        <f>IF(OR(AU80&lt;0.1,AU81&lt;0.1),0,AU81/AU80)</f>
        <v>166.256</v>
      </c>
      <c r="AV82" s="842">
        <f t="shared" ref="AV82:CK82" si="214">IF(OR(AV80&lt;0.1,AV81&lt;0.1),0,AV81/AV80)</f>
        <v>184.45134228187919</v>
      </c>
      <c r="AW82" s="842">
        <f t="shared" si="214"/>
        <v>68.578616352201252</v>
      </c>
      <c r="AX82" s="842">
        <f>IF(OR(AX80&lt;0.1,AX81&lt;0.1),0,AX81/AX80)</f>
        <v>108.97531847133757</v>
      </c>
      <c r="AY82" s="842">
        <f t="shared" si="214"/>
        <v>129.68069815195071</v>
      </c>
      <c r="AZ82" s="842">
        <f t="shared" si="214"/>
        <v>103.6797385620915</v>
      </c>
      <c r="BA82" s="842">
        <f t="shared" si="214"/>
        <v>85.484756097560975</v>
      </c>
      <c r="BB82" s="842">
        <f t="shared" si="214"/>
        <v>38.718934911242606</v>
      </c>
      <c r="BC82" s="842">
        <f t="shared" si="214"/>
        <v>36.997401472498915</v>
      </c>
      <c r="BD82" s="842">
        <f t="shared" si="214"/>
        <v>61.549700598802396</v>
      </c>
      <c r="BE82" s="842">
        <f t="shared" si="214"/>
        <v>48.995207667731627</v>
      </c>
      <c r="BF82" s="844">
        <f t="shared" si="214"/>
        <v>37.738251879699249</v>
      </c>
      <c r="BG82" s="842">
        <f t="shared" si="214"/>
        <v>179.10294117647058</v>
      </c>
      <c r="BH82" s="842">
        <f>IF(OR(BH80&lt;0.1,BH81&lt;0.1),0,BH81/BH80)</f>
        <v>212.4</v>
      </c>
      <c r="BI82" s="842">
        <f>IF(OR(BI80&lt;0.1,BI81&lt;0.1),0,BI81/BI80)</f>
        <v>229.6473829201102</v>
      </c>
      <c r="BJ82" s="842">
        <f>IF(OR(BJ80&lt;0.1,BJ81&lt;0.1),0,BJ81/BJ80)</f>
        <v>178.76956521739132</v>
      </c>
      <c r="BK82" s="842">
        <f t="shared" si="214"/>
        <v>68.545454545454547</v>
      </c>
      <c r="BL82" s="842">
        <f t="shared" si="214"/>
        <v>106.23529411764706</v>
      </c>
      <c r="BM82" s="842">
        <f>IF(OR(BM80&lt;0.1,BM81&lt;0.1),0,BM81/BM80)</f>
        <v>83.671842650103514</v>
      </c>
      <c r="BN82" s="842">
        <f t="shared" si="214"/>
        <v>117.76932668329177</v>
      </c>
      <c r="BO82" s="842">
        <f t="shared" si="214"/>
        <v>283.29411764705884</v>
      </c>
      <c r="BP82" s="842">
        <f t="shared" si="214"/>
        <v>114.73745173745174</v>
      </c>
      <c r="BQ82" s="842">
        <f>IF(OR(BQ80&lt;0.1,BQ81&lt;0.1),0,BQ81/BQ80)</f>
        <v>253.96559633027522</v>
      </c>
      <c r="BR82" s="844">
        <f t="shared" si="214"/>
        <v>82.250793650793653</v>
      </c>
      <c r="BS82" s="842">
        <f t="shared" si="214"/>
        <v>69.229629629629628</v>
      </c>
      <c r="BT82" s="842">
        <f t="shared" si="214"/>
        <v>45.850352941176467</v>
      </c>
      <c r="BU82" s="842">
        <f t="shared" si="214"/>
        <v>54.270852858481724</v>
      </c>
      <c r="BV82" s="842">
        <f t="shared" si="214"/>
        <v>46.94290375203915</v>
      </c>
      <c r="BW82" s="842">
        <f t="shared" si="214"/>
        <v>68.418859649122808</v>
      </c>
      <c r="BX82" s="842">
        <f t="shared" si="214"/>
        <v>33.641069887834341</v>
      </c>
      <c r="BY82" s="842">
        <f t="shared" si="214"/>
        <v>161.91434689507494</v>
      </c>
      <c r="BZ82" s="842">
        <f t="shared" si="214"/>
        <v>68.601779755283644</v>
      </c>
      <c r="CA82" s="842">
        <f t="shared" si="214"/>
        <v>77.172877846790897</v>
      </c>
      <c r="CB82" s="844">
        <f t="shared" si="214"/>
        <v>49.949386503067487</v>
      </c>
      <c r="CC82" s="842">
        <f t="shared" si="214"/>
        <v>73.112199465716827</v>
      </c>
      <c r="CD82" s="842">
        <f t="shared" si="214"/>
        <v>228.93764988009593</v>
      </c>
      <c r="CE82" s="842">
        <f t="shared" si="214"/>
        <v>128.83576642335765</v>
      </c>
      <c r="CF82" s="842">
        <f t="shared" si="214"/>
        <v>51.911504424778762</v>
      </c>
      <c r="CG82" s="842">
        <f t="shared" si="214"/>
        <v>37.089192025183628</v>
      </c>
      <c r="CH82" s="842">
        <f t="shared" si="214"/>
        <v>40.997834325933944</v>
      </c>
      <c r="CI82" s="842">
        <f t="shared" si="214"/>
        <v>24.26610644257703</v>
      </c>
      <c r="CJ82" s="842">
        <f t="shared" si="214"/>
        <v>22.704129263913824</v>
      </c>
      <c r="CK82" s="843">
        <f t="shared" si="214"/>
        <v>52.675457875457873</v>
      </c>
      <c r="CL82" s="845">
        <f>IF(OR(CL80&lt;0.1,CL81&lt;0.1),0,CL81/CL80)</f>
        <v>70.426361458115238</v>
      </c>
    </row>
    <row r="83" spans="1:94">
      <c r="A83" s="80">
        <f>ROWS($A$3:A81)</f>
        <v>79</v>
      </c>
      <c r="B83" s="779" t="s">
        <v>366</v>
      </c>
      <c r="C83" s="840">
        <v>2020</v>
      </c>
      <c r="D83" s="781" t="s">
        <v>13</v>
      </c>
      <c r="E83" s="858">
        <v>44497</v>
      </c>
      <c r="F83" s="783">
        <f>SUM(AT83:BF83)</f>
        <v>1316201</v>
      </c>
      <c r="G83" s="784">
        <f>SUM(BG83:BR83)</f>
        <v>813039</v>
      </c>
      <c r="H83" s="784">
        <f>SUM(BS83:CB83)</f>
        <v>903625</v>
      </c>
      <c r="I83" s="785">
        <f>SUM(CC83:CK83)</f>
        <v>800082</v>
      </c>
      <c r="J83" s="852"/>
      <c r="K83" s="854">
        <f>BF83</f>
        <v>114258</v>
      </c>
      <c r="L83" s="846">
        <f>AY83</f>
        <v>145813</v>
      </c>
      <c r="M83" s="846">
        <f>BD83</f>
        <v>136869</v>
      </c>
      <c r="N83" s="846">
        <f>AW83</f>
        <v>71800</v>
      </c>
      <c r="O83" s="846">
        <f>BE83</f>
        <v>43592</v>
      </c>
      <c r="P83" s="846">
        <f>AZ83+BA83</f>
        <v>187248</v>
      </c>
      <c r="Q83" s="846">
        <f>AU83</f>
        <v>118294</v>
      </c>
      <c r="R83" s="846">
        <f>AT83+AX83</f>
        <v>177816</v>
      </c>
      <c r="S83" s="846">
        <f>AV83</f>
        <v>125944</v>
      </c>
      <c r="T83" s="846">
        <f t="shared" si="211"/>
        <v>69817</v>
      </c>
      <c r="U83" s="855">
        <f t="shared" si="211"/>
        <v>124750</v>
      </c>
      <c r="V83" s="846">
        <f>BG83+BJ83</f>
        <v>109612</v>
      </c>
      <c r="W83" s="846">
        <f>BR83</f>
        <v>63680</v>
      </c>
      <c r="X83" s="846">
        <f>BH83+BI83</f>
        <v>203814</v>
      </c>
      <c r="Y83" s="846">
        <f>BK83+BL83+BN83</f>
        <v>129496</v>
      </c>
      <c r="Z83" s="846">
        <f>BM83</f>
        <v>106288</v>
      </c>
      <c r="AA83" s="846">
        <f>BO83+BQ83</f>
        <v>131207</v>
      </c>
      <c r="AB83" s="855">
        <f>BP83</f>
        <v>68942</v>
      </c>
      <c r="AC83" s="846">
        <f>BX83</f>
        <v>64715</v>
      </c>
      <c r="AD83" s="846">
        <f>BU83</f>
        <v>70223</v>
      </c>
      <c r="AE83" s="846">
        <f>BS83+BT83</f>
        <v>135370</v>
      </c>
      <c r="AF83" s="846">
        <f>CA83</f>
        <v>91854</v>
      </c>
      <c r="AG83" s="846">
        <f>BV83</f>
        <v>200064</v>
      </c>
      <c r="AH83" s="846">
        <f>BZ83</f>
        <v>85425</v>
      </c>
      <c r="AI83" s="846">
        <f>BW83</f>
        <v>82258</v>
      </c>
      <c r="AJ83" s="846">
        <f>BY83</f>
        <v>87802</v>
      </c>
      <c r="AK83" s="855">
        <f>CB83</f>
        <v>85914</v>
      </c>
      <c r="AL83" s="846">
        <f>CE83</f>
        <v>122655</v>
      </c>
      <c r="AM83" s="846">
        <f>CH83</f>
        <v>99296</v>
      </c>
      <c r="AN83" s="846">
        <f>CJ83</f>
        <v>108063</v>
      </c>
      <c r="AO83" s="846">
        <f t="shared" si="212"/>
        <v>100825</v>
      </c>
      <c r="AP83" s="846">
        <f t="shared" si="212"/>
        <v>108641</v>
      </c>
      <c r="AQ83" s="846">
        <f>CK83</f>
        <v>97112</v>
      </c>
      <c r="AR83" s="846">
        <f>CI83</f>
        <v>55223</v>
      </c>
      <c r="AS83" s="847">
        <f>CF83+CG83</f>
        <v>108267</v>
      </c>
      <c r="AT83" s="784">
        <v>14628</v>
      </c>
      <c r="AU83" s="784">
        <v>118294</v>
      </c>
      <c r="AV83" s="784">
        <v>125944</v>
      </c>
      <c r="AW83" s="784">
        <v>71800</v>
      </c>
      <c r="AX83" s="784">
        <v>163188</v>
      </c>
      <c r="AY83" s="784">
        <v>145813</v>
      </c>
      <c r="AZ83" s="784">
        <v>21400</v>
      </c>
      <c r="BA83" s="784">
        <v>165848</v>
      </c>
      <c r="BB83" s="784">
        <v>69817</v>
      </c>
      <c r="BC83" s="784">
        <v>124750</v>
      </c>
      <c r="BD83" s="784">
        <v>136869</v>
      </c>
      <c r="BE83" s="784">
        <v>43592</v>
      </c>
      <c r="BF83" s="787">
        <v>114258</v>
      </c>
      <c r="BG83" s="784">
        <v>12156</v>
      </c>
      <c r="BH83" s="784">
        <v>13106</v>
      </c>
      <c r="BI83" s="784">
        <v>190708</v>
      </c>
      <c r="BJ83" s="784">
        <v>97456</v>
      </c>
      <c r="BK83" s="784">
        <v>4787</v>
      </c>
      <c r="BL83" s="784">
        <v>8776</v>
      </c>
      <c r="BM83" s="784">
        <v>106288</v>
      </c>
      <c r="BN83" s="784">
        <v>115933</v>
      </c>
      <c r="BO83" s="784">
        <v>5096</v>
      </c>
      <c r="BP83" s="784">
        <v>68942</v>
      </c>
      <c r="BQ83" s="784">
        <v>126111</v>
      </c>
      <c r="BR83" s="787">
        <v>63680</v>
      </c>
      <c r="BS83" s="784">
        <v>11383</v>
      </c>
      <c r="BT83" s="784">
        <v>123987</v>
      </c>
      <c r="BU83" s="784">
        <v>70223</v>
      </c>
      <c r="BV83" s="784">
        <v>200064</v>
      </c>
      <c r="BW83" s="784">
        <v>82258</v>
      </c>
      <c r="BX83" s="784">
        <v>64715</v>
      </c>
      <c r="BY83" s="784">
        <v>87802</v>
      </c>
      <c r="BZ83" s="784">
        <v>85425</v>
      </c>
      <c r="CA83" s="784">
        <v>91854</v>
      </c>
      <c r="CB83" s="787">
        <v>85914</v>
      </c>
      <c r="CC83" s="784">
        <v>100825</v>
      </c>
      <c r="CD83" s="784">
        <v>108641</v>
      </c>
      <c r="CE83" s="784">
        <v>122655</v>
      </c>
      <c r="CF83" s="784">
        <v>7528</v>
      </c>
      <c r="CG83" s="784">
        <v>100739</v>
      </c>
      <c r="CH83" s="784">
        <v>99296</v>
      </c>
      <c r="CI83" s="784">
        <v>55223</v>
      </c>
      <c r="CJ83" s="784">
        <v>108063</v>
      </c>
      <c r="CK83" s="785">
        <v>97112</v>
      </c>
      <c r="CL83" s="791">
        <v>3832947</v>
      </c>
    </row>
    <row r="84" spans="1:94">
      <c r="A84" s="80">
        <f>ROWS($A$3:A82)</f>
        <v>80</v>
      </c>
      <c r="B84" s="779" t="s">
        <v>368</v>
      </c>
      <c r="C84" s="841">
        <v>2020</v>
      </c>
      <c r="D84" s="781" t="s">
        <v>13</v>
      </c>
      <c r="E84" s="858">
        <v>44497</v>
      </c>
      <c r="F84" s="783">
        <f>F83/F80</f>
        <v>92.022722505768016</v>
      </c>
      <c r="G84" s="784">
        <f>G83/G80</f>
        <v>170.12743251726303</v>
      </c>
      <c r="H84" s="784">
        <f>H83/H80</f>
        <v>74.685924456566653</v>
      </c>
      <c r="I84" s="785">
        <f>I83/I80</f>
        <v>67.769100457394543</v>
      </c>
      <c r="J84" s="786"/>
      <c r="K84" s="783">
        <f t="shared" ref="K84:BV84" si="215">K83/K80</f>
        <v>53.692669172932334</v>
      </c>
      <c r="L84" s="784">
        <f t="shared" si="215"/>
        <v>149.70533880903491</v>
      </c>
      <c r="M84" s="784">
        <f t="shared" si="215"/>
        <v>81.957485029940116</v>
      </c>
      <c r="N84" s="784">
        <f t="shared" si="215"/>
        <v>90.314465408805034</v>
      </c>
      <c r="O84" s="784">
        <f t="shared" si="215"/>
        <v>69.635782747603841</v>
      </c>
      <c r="P84" s="784">
        <f t="shared" si="215"/>
        <v>104.43279419966537</v>
      </c>
      <c r="Q84" s="784">
        <f t="shared" si="215"/>
        <v>189.2704</v>
      </c>
      <c r="R84" s="784">
        <f t="shared" si="215"/>
        <v>123.91358885017422</v>
      </c>
      <c r="S84" s="784">
        <f t="shared" si="215"/>
        <v>211.31543624161074</v>
      </c>
      <c r="T84" s="784">
        <f t="shared" si="215"/>
        <v>51.639792899408285</v>
      </c>
      <c r="U84" s="787">
        <f t="shared" si="215"/>
        <v>54.027717626678218</v>
      </c>
      <c r="V84" s="784">
        <f t="shared" si="215"/>
        <v>207.59848484848484</v>
      </c>
      <c r="W84" s="784">
        <f t="shared" si="215"/>
        <v>101.07936507936508</v>
      </c>
      <c r="X84" s="784">
        <f t="shared" si="215"/>
        <v>262.64690721649487</v>
      </c>
      <c r="Y84" s="784">
        <f t="shared" si="215"/>
        <v>142.61674008810573</v>
      </c>
      <c r="Z84" s="784">
        <f t="shared" si="215"/>
        <v>110.02898550724638</v>
      </c>
      <c r="AA84" s="784">
        <f t="shared" si="215"/>
        <v>289.64017660044152</v>
      </c>
      <c r="AB84" s="787">
        <f t="shared" si="215"/>
        <v>133.09266409266408</v>
      </c>
      <c r="AC84" s="784">
        <f t="shared" si="215"/>
        <v>55.836928386540123</v>
      </c>
      <c r="AD84" s="784">
        <f t="shared" si="215"/>
        <v>65.813495782567941</v>
      </c>
      <c r="AE84" s="784">
        <f t="shared" si="215"/>
        <v>59.898230088495573</v>
      </c>
      <c r="AF84" s="784">
        <f t="shared" si="215"/>
        <v>95.086956521739125</v>
      </c>
      <c r="AG84" s="784">
        <f t="shared" si="215"/>
        <v>65.27373572593801</v>
      </c>
      <c r="AH84" s="784">
        <f t="shared" si="215"/>
        <v>95.022246941045609</v>
      </c>
      <c r="AI84" s="784">
        <f t="shared" si="215"/>
        <v>90.195175438596493</v>
      </c>
      <c r="AJ84" s="784">
        <f t="shared" si="215"/>
        <v>188.01284796573876</v>
      </c>
      <c r="AK84" s="787">
        <f t="shared" si="215"/>
        <v>65.884969325153378</v>
      </c>
      <c r="AL84" s="784">
        <f t="shared" si="215"/>
        <v>149.21532846715328</v>
      </c>
      <c r="AM84" s="784">
        <f t="shared" si="215"/>
        <v>53.760693015701136</v>
      </c>
      <c r="AN84" s="784">
        <f t="shared" si="215"/>
        <v>38.801795332136443</v>
      </c>
      <c r="AO84" s="784">
        <f t="shared" si="215"/>
        <v>89.781834372217276</v>
      </c>
      <c r="AP84" s="784">
        <f t="shared" si="215"/>
        <v>260.52997601918463</v>
      </c>
      <c r="AQ84" s="784">
        <f t="shared" si="215"/>
        <v>71.144322344322347</v>
      </c>
      <c r="AR84" s="784">
        <f t="shared" si="215"/>
        <v>38.671568627450981</v>
      </c>
      <c r="AS84" s="785">
        <f t="shared" si="215"/>
        <v>53.624071322436848</v>
      </c>
      <c r="AT84" s="848">
        <f t="shared" si="215"/>
        <v>81.720670391061446</v>
      </c>
      <c r="AU84" s="848">
        <f t="shared" si="215"/>
        <v>189.2704</v>
      </c>
      <c r="AV84" s="848">
        <f t="shared" si="215"/>
        <v>211.31543624161074</v>
      </c>
      <c r="AW84" s="848">
        <f t="shared" si="215"/>
        <v>90.314465408805034</v>
      </c>
      <c r="AX84" s="848">
        <f t="shared" si="215"/>
        <v>129.92675159235668</v>
      </c>
      <c r="AY84" s="848">
        <f t="shared" si="215"/>
        <v>149.70533880903491</v>
      </c>
      <c r="AZ84" s="848">
        <f t="shared" si="215"/>
        <v>139.86928104575162</v>
      </c>
      <c r="BA84" s="848">
        <f t="shared" si="215"/>
        <v>101.12682926829268</v>
      </c>
      <c r="BB84" s="848">
        <f t="shared" si="215"/>
        <v>51.639792899408285</v>
      </c>
      <c r="BC84" s="848">
        <f t="shared" si="215"/>
        <v>54.027717626678218</v>
      </c>
      <c r="BD84" s="848">
        <f t="shared" si="215"/>
        <v>81.957485029940116</v>
      </c>
      <c r="BE84" s="848">
        <f t="shared" si="215"/>
        <v>69.635782747603841</v>
      </c>
      <c r="BF84" s="849">
        <f t="shared" si="215"/>
        <v>53.692669172932334</v>
      </c>
      <c r="BG84" s="848">
        <f t="shared" si="215"/>
        <v>178.76470588235293</v>
      </c>
      <c r="BH84" s="848">
        <f t="shared" si="215"/>
        <v>262.12</v>
      </c>
      <c r="BI84" s="848">
        <f t="shared" si="215"/>
        <v>262.68319559228649</v>
      </c>
      <c r="BJ84" s="848">
        <f t="shared" si="215"/>
        <v>211.8608695652174</v>
      </c>
      <c r="BK84" s="848">
        <f t="shared" si="215"/>
        <v>87.036363636363632</v>
      </c>
      <c r="BL84" s="848">
        <f t="shared" si="215"/>
        <v>172.07843137254903</v>
      </c>
      <c r="BM84" s="848">
        <f t="shared" si="215"/>
        <v>110.02898550724638</v>
      </c>
      <c r="BN84" s="848">
        <f t="shared" si="215"/>
        <v>144.55486284289276</v>
      </c>
      <c r="BO84" s="848">
        <f t="shared" si="215"/>
        <v>299.76470588235293</v>
      </c>
      <c r="BP84" s="848">
        <f t="shared" si="215"/>
        <v>133.09266409266408</v>
      </c>
      <c r="BQ84" s="848">
        <f t="shared" si="215"/>
        <v>289.24541284403671</v>
      </c>
      <c r="BR84" s="849">
        <f t="shared" si="215"/>
        <v>101.07936507936508</v>
      </c>
      <c r="BS84" s="848">
        <f t="shared" si="215"/>
        <v>84.318518518518516</v>
      </c>
      <c r="BT84" s="848">
        <f t="shared" si="215"/>
        <v>58.346823529411765</v>
      </c>
      <c r="BU84" s="848">
        <f t="shared" si="215"/>
        <v>65.813495782567941</v>
      </c>
      <c r="BV84" s="848">
        <f t="shared" si="215"/>
        <v>65.27373572593801</v>
      </c>
      <c r="BW84" s="848">
        <f t="shared" ref="BW84:CL84" si="216">BW83/BW80</f>
        <v>90.195175438596493</v>
      </c>
      <c r="BX84" s="848">
        <f t="shared" si="216"/>
        <v>55.836928386540123</v>
      </c>
      <c r="BY84" s="848">
        <f t="shared" si="216"/>
        <v>188.01284796573876</v>
      </c>
      <c r="BZ84" s="848">
        <f t="shared" si="216"/>
        <v>95.022246941045609</v>
      </c>
      <c r="CA84" s="848">
        <f t="shared" si="216"/>
        <v>95.086956521739125</v>
      </c>
      <c r="CB84" s="849">
        <f t="shared" si="216"/>
        <v>65.884969325153378</v>
      </c>
      <c r="CC84" s="848">
        <f t="shared" si="216"/>
        <v>89.781834372217276</v>
      </c>
      <c r="CD84" s="848">
        <f t="shared" si="216"/>
        <v>260.52997601918463</v>
      </c>
      <c r="CE84" s="848">
        <f t="shared" si="216"/>
        <v>149.21532846715328</v>
      </c>
      <c r="CF84" s="848">
        <f t="shared" si="216"/>
        <v>66.619469026548671</v>
      </c>
      <c r="CG84" s="848">
        <f t="shared" si="216"/>
        <v>52.853620146904511</v>
      </c>
      <c r="CH84" s="848">
        <f t="shared" si="216"/>
        <v>53.760693015701136</v>
      </c>
      <c r="CI84" s="848">
        <f t="shared" si="216"/>
        <v>38.671568627450981</v>
      </c>
      <c r="CJ84" s="848">
        <f t="shared" si="216"/>
        <v>38.801795332136443</v>
      </c>
      <c r="CK84" s="850">
        <f t="shared" si="216"/>
        <v>71.144322344322347</v>
      </c>
      <c r="CL84" s="851">
        <f t="shared" si="216"/>
        <v>89.165259264428784</v>
      </c>
    </row>
    <row r="85" spans="1:94">
      <c r="A85" s="80">
        <f>ROWS($A$3:A83)</f>
        <v>81</v>
      </c>
      <c r="B85" s="54"/>
      <c r="C85" s="266"/>
      <c r="D85" s="259"/>
      <c r="E85" s="451"/>
      <c r="F85" s="550"/>
      <c r="G85" s="550"/>
      <c r="H85" s="550"/>
      <c r="I85" s="551"/>
      <c r="J85" s="599"/>
      <c r="K85" s="154"/>
      <c r="L85" s="155"/>
      <c r="M85" s="155"/>
      <c r="N85" s="155"/>
      <c r="O85" s="155"/>
      <c r="P85" s="531"/>
      <c r="Q85" s="155"/>
      <c r="R85" s="531"/>
      <c r="S85" s="155"/>
      <c r="T85" s="155"/>
      <c r="U85" s="552"/>
      <c r="V85" s="531"/>
      <c r="W85" s="155"/>
      <c r="X85" s="531"/>
      <c r="Y85" s="531"/>
      <c r="Z85" s="155"/>
      <c r="AA85" s="531"/>
      <c r="AB85" s="552"/>
      <c r="AC85" s="155"/>
      <c r="AD85" s="155"/>
      <c r="AE85" s="531"/>
      <c r="AF85" s="155"/>
      <c r="AG85" s="155"/>
      <c r="AH85" s="155"/>
      <c r="AI85" s="155"/>
      <c r="AJ85" s="155"/>
      <c r="AK85" s="552"/>
      <c r="AL85" s="155"/>
      <c r="AM85" s="155"/>
      <c r="AN85" s="155"/>
      <c r="AO85" s="155"/>
      <c r="AP85" s="155"/>
      <c r="AQ85" s="155"/>
      <c r="AR85" s="155"/>
      <c r="AS85" s="532"/>
      <c r="AT85" s="155"/>
      <c r="AU85" s="550"/>
      <c r="AV85" s="550"/>
      <c r="AW85" s="550"/>
      <c r="AX85" s="550"/>
      <c r="AY85" s="550"/>
      <c r="AZ85" s="550"/>
      <c r="BA85" s="550"/>
      <c r="BB85" s="550"/>
      <c r="BC85" s="550"/>
      <c r="BD85" s="550"/>
      <c r="BE85" s="550"/>
      <c r="BF85" s="572"/>
      <c r="BG85" s="550"/>
      <c r="BH85" s="550"/>
      <c r="BI85" s="550"/>
      <c r="BJ85" s="550"/>
      <c r="BK85" s="550"/>
      <c r="BL85" s="550"/>
      <c r="BM85" s="550"/>
      <c r="BN85" s="550"/>
      <c r="BO85" s="550"/>
      <c r="BP85" s="550"/>
      <c r="BQ85" s="550"/>
      <c r="BR85" s="572"/>
      <c r="BS85" s="550"/>
      <c r="BT85" s="550"/>
      <c r="BU85" s="550"/>
      <c r="BV85" s="550"/>
      <c r="BW85" s="550"/>
      <c r="BX85" s="550"/>
      <c r="BY85" s="550"/>
      <c r="BZ85" s="550"/>
      <c r="CA85" s="550"/>
      <c r="CB85" s="572"/>
      <c r="CC85" s="550"/>
      <c r="CD85" s="550"/>
      <c r="CE85" s="550"/>
      <c r="CF85" s="550"/>
      <c r="CG85" s="550"/>
      <c r="CH85" s="550"/>
      <c r="CI85" s="550"/>
      <c r="CJ85" s="550"/>
      <c r="CK85" s="550"/>
      <c r="CL85" s="320"/>
    </row>
    <row r="86" spans="1:94">
      <c r="A86" s="80">
        <f>ROWS($A$3:A84)</f>
        <v>82</v>
      </c>
      <c r="B86" s="59" t="s">
        <v>189</v>
      </c>
      <c r="C86" s="586">
        <v>2020</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4" ht="12.75" customHeight="1">
      <c r="A87" s="80">
        <f>ROWS($A$3:A85)</f>
        <v>83</v>
      </c>
      <c r="B87" s="388" t="s">
        <v>292</v>
      </c>
      <c r="C87" s="205"/>
      <c r="D87" s="259" t="s">
        <v>188</v>
      </c>
      <c r="E87" s="483">
        <v>44854</v>
      </c>
      <c r="F87" s="154">
        <v>31759</v>
      </c>
      <c r="G87" s="155">
        <v>22908</v>
      </c>
      <c r="H87" s="155">
        <v>21450</v>
      </c>
      <c r="I87" s="156">
        <v>36761</v>
      </c>
      <c r="J87" s="382"/>
      <c r="K87" s="381">
        <f>BF87</f>
        <v>35582</v>
      </c>
      <c r="L87" s="384">
        <f>AY87</f>
        <v>24118</v>
      </c>
      <c r="M87" s="384">
        <f>BD87</f>
        <v>16955</v>
      </c>
      <c r="N87" s="384">
        <f>AW87</f>
        <v>25371</v>
      </c>
      <c r="O87" s="384">
        <f>BE87</f>
        <v>35612</v>
      </c>
      <c r="P87" s="384">
        <f>BA87</f>
        <v>32940</v>
      </c>
      <c r="Q87" s="384">
        <f>AU87</f>
        <v>36758</v>
      </c>
      <c r="R87" s="384">
        <f>AX87</f>
        <v>38491</v>
      </c>
      <c r="S87" s="384">
        <f>AV87</f>
        <v>37886</v>
      </c>
      <c r="T87" s="384">
        <f>BB87</f>
        <v>31626</v>
      </c>
      <c r="U87" s="385">
        <f>BC87</f>
        <v>38019</v>
      </c>
      <c r="V87" s="384">
        <f>BJ87</f>
        <v>28138</v>
      </c>
      <c r="W87" s="384">
        <f>BR87</f>
        <v>27081</v>
      </c>
      <c r="X87" s="384">
        <f>BI87</f>
        <v>24735</v>
      </c>
      <c r="Y87" s="384">
        <f>BN87</f>
        <v>26391</v>
      </c>
      <c r="Z87" s="384">
        <f>BM87</f>
        <v>15190</v>
      </c>
      <c r="AA87" s="384">
        <f>BQ87</f>
        <v>26054</v>
      </c>
      <c r="AB87" s="385">
        <f>BP87</f>
        <v>17466</v>
      </c>
      <c r="AC87" s="384">
        <f>BX87</f>
        <v>16868</v>
      </c>
      <c r="AD87" s="384">
        <f>BU87</f>
        <v>32812</v>
      </c>
      <c r="AE87" s="384">
        <f>BT87</f>
        <v>27257</v>
      </c>
      <c r="AF87" s="384">
        <f>CA87</f>
        <v>21856</v>
      </c>
      <c r="AG87" s="384">
        <f>BV87</f>
        <v>25194</v>
      </c>
      <c r="AH87" s="384">
        <f>BZ87</f>
        <v>24555</v>
      </c>
      <c r="AI87" s="384">
        <f>BW87</f>
        <v>16100</v>
      </c>
      <c r="AJ87" s="384">
        <f>BY87</f>
        <v>13813</v>
      </c>
      <c r="AK87" s="385">
        <f>CB87</f>
        <v>15660</v>
      </c>
      <c r="AL87" s="384">
        <f>CE87</f>
        <v>15007</v>
      </c>
      <c r="AM87" s="384">
        <f>CH87</f>
        <v>40462</v>
      </c>
      <c r="AN87" s="384">
        <f>CJ87</f>
        <v>42502</v>
      </c>
      <c r="AO87" s="384">
        <f>CC87</f>
        <v>20344</v>
      </c>
      <c r="AP87" s="384">
        <f>CD87</f>
        <v>30503</v>
      </c>
      <c r="AQ87" s="384">
        <f>CK87</f>
        <v>36964</v>
      </c>
      <c r="AR87" s="384">
        <f>CI87</f>
        <v>0</v>
      </c>
      <c r="AS87" s="383">
        <f>(CG100*CG87)/(CG100)</f>
        <v>43201</v>
      </c>
      <c r="AT87" s="604" t="s">
        <v>304</v>
      </c>
      <c r="AU87" s="604">
        <v>36758</v>
      </c>
      <c r="AV87" s="604">
        <v>37886</v>
      </c>
      <c r="AW87" s="604">
        <v>25371</v>
      </c>
      <c r="AX87" s="604">
        <v>38491</v>
      </c>
      <c r="AY87" s="604">
        <v>24118</v>
      </c>
      <c r="AZ87" s="604" t="s">
        <v>304</v>
      </c>
      <c r="BA87" s="604">
        <v>32940</v>
      </c>
      <c r="BB87" s="604">
        <v>31626</v>
      </c>
      <c r="BC87" s="604">
        <v>38019</v>
      </c>
      <c r="BD87" s="604">
        <v>16955</v>
      </c>
      <c r="BE87" s="604">
        <v>35612</v>
      </c>
      <c r="BF87" s="604">
        <v>35582</v>
      </c>
      <c r="BG87" s="604" t="s">
        <v>304</v>
      </c>
      <c r="BH87" s="604" t="s">
        <v>304</v>
      </c>
      <c r="BI87" s="604">
        <v>24735</v>
      </c>
      <c r="BJ87" s="604">
        <v>28138</v>
      </c>
      <c r="BK87" s="604" t="s">
        <v>304</v>
      </c>
      <c r="BL87" s="604" t="s">
        <v>304</v>
      </c>
      <c r="BM87" s="604">
        <v>15190</v>
      </c>
      <c r="BN87" s="604">
        <v>26391</v>
      </c>
      <c r="BO87" s="604" t="s">
        <v>304</v>
      </c>
      <c r="BP87" s="604">
        <v>17466</v>
      </c>
      <c r="BQ87" s="604">
        <v>26054</v>
      </c>
      <c r="BR87" s="604">
        <v>27081</v>
      </c>
      <c r="BS87" s="604" t="s">
        <v>304</v>
      </c>
      <c r="BT87" s="604">
        <v>27257</v>
      </c>
      <c r="BU87" s="604">
        <v>32812</v>
      </c>
      <c r="BV87" s="604">
        <v>25194</v>
      </c>
      <c r="BW87" s="604">
        <v>16100</v>
      </c>
      <c r="BX87" s="604">
        <v>16868</v>
      </c>
      <c r="BY87" s="604">
        <v>13813</v>
      </c>
      <c r="BZ87" s="604">
        <v>24555</v>
      </c>
      <c r="CA87" s="604">
        <v>21856</v>
      </c>
      <c r="CB87" s="604">
        <v>15660</v>
      </c>
      <c r="CC87" s="604">
        <v>20344</v>
      </c>
      <c r="CD87" s="604">
        <v>30503</v>
      </c>
      <c r="CE87" s="604">
        <v>15007</v>
      </c>
      <c r="CF87" s="604" t="s">
        <v>304</v>
      </c>
      <c r="CG87" s="604">
        <v>43201</v>
      </c>
      <c r="CH87" s="604">
        <v>40462</v>
      </c>
      <c r="CI87" s="604"/>
      <c r="CJ87" s="604">
        <v>42502</v>
      </c>
      <c r="CK87" s="604">
        <v>36964</v>
      </c>
      <c r="CL87" s="604">
        <v>27457</v>
      </c>
      <c r="CM87">
        <v>29303</v>
      </c>
    </row>
    <row r="88" spans="1:94">
      <c r="A88" s="80">
        <f>ROWS($A$3:A86)</f>
        <v>84</v>
      </c>
      <c r="B88" s="59" t="s">
        <v>190</v>
      </c>
      <c r="C88" s="814">
        <v>2022</v>
      </c>
      <c r="D88" s="259"/>
      <c r="E88" s="451"/>
      <c r="F88" s="381"/>
      <c r="G88" s="382"/>
      <c r="H88" s="384"/>
      <c r="I88" s="383"/>
      <c r="J88" s="382"/>
      <c r="K88" s="381"/>
      <c r="L88" s="384"/>
      <c r="M88" s="384"/>
      <c r="N88" s="384"/>
      <c r="O88" s="384"/>
      <c r="P88" s="384"/>
      <c r="Q88" s="384"/>
      <c r="R88" s="384"/>
      <c r="S88" s="384"/>
      <c r="T88" s="384"/>
      <c r="U88" s="385"/>
      <c r="V88" s="384"/>
      <c r="W88" s="384"/>
      <c r="X88" s="384"/>
      <c r="Y88" s="384"/>
      <c r="Z88" s="384"/>
      <c r="AA88" s="384"/>
      <c r="AB88" s="385"/>
      <c r="AC88" s="384"/>
      <c r="AD88" s="384"/>
      <c r="AE88" s="384"/>
      <c r="AF88" s="384"/>
      <c r="AG88" s="384"/>
      <c r="AH88" s="384"/>
      <c r="AI88" s="384"/>
      <c r="AJ88" s="384"/>
      <c r="AK88" s="385"/>
      <c r="AL88" s="384"/>
      <c r="AM88" s="384"/>
      <c r="AN88" s="384"/>
      <c r="AO88" s="384"/>
      <c r="AP88" s="384"/>
      <c r="AQ88" s="384"/>
      <c r="AR88" s="384"/>
      <c r="AS88" s="383"/>
      <c r="AT88" s="384"/>
      <c r="AU88" s="683"/>
      <c r="AV88" s="384"/>
      <c r="AW88" s="382"/>
      <c r="AX88" s="382"/>
      <c r="AY88" s="384"/>
      <c r="AZ88" s="384"/>
      <c r="BA88" s="382"/>
      <c r="BB88" s="382"/>
      <c r="BC88" s="382"/>
      <c r="BD88" s="382"/>
      <c r="BE88" s="384"/>
      <c r="BF88" s="385"/>
      <c r="BG88" s="384"/>
      <c r="BH88" s="384"/>
      <c r="BI88" s="382"/>
      <c r="BJ88" s="382"/>
      <c r="BK88" s="382"/>
      <c r="BL88" s="382"/>
      <c r="BM88" s="382"/>
      <c r="BN88" s="382"/>
      <c r="BO88" s="384"/>
      <c r="BP88" s="384"/>
      <c r="BQ88" s="384"/>
      <c r="BR88" s="385"/>
      <c r="BS88" s="384"/>
      <c r="BT88" s="382"/>
      <c r="BU88" s="382"/>
      <c r="BV88" s="382"/>
      <c r="BW88" s="382"/>
      <c r="BX88" s="382"/>
      <c r="BY88" s="382"/>
      <c r="BZ88" s="382"/>
      <c r="CA88" s="382"/>
      <c r="CB88" s="385"/>
      <c r="CC88" s="382"/>
      <c r="CD88" s="382"/>
      <c r="CE88" s="382"/>
      <c r="CF88" s="384"/>
      <c r="CG88" s="384"/>
      <c r="CH88" s="384"/>
      <c r="CI88" s="384"/>
      <c r="CJ88" s="382"/>
      <c r="CK88" s="383"/>
      <c r="CL88" s="386"/>
    </row>
    <row r="89" spans="1:94">
      <c r="A89" s="80">
        <f>ROWS($A$3:A87)</f>
        <v>85</v>
      </c>
      <c r="B89" s="92" t="s">
        <v>284</v>
      </c>
      <c r="C89" s="203"/>
      <c r="D89" s="259" t="s">
        <v>192</v>
      </c>
      <c r="E89" s="483">
        <v>45125</v>
      </c>
      <c r="F89" s="830">
        <v>72.2</v>
      </c>
      <c r="G89" s="830">
        <v>72.3</v>
      </c>
      <c r="H89" s="830">
        <v>75.7</v>
      </c>
      <c r="I89" s="830">
        <v>81.2</v>
      </c>
      <c r="J89" s="382"/>
      <c r="K89" s="381">
        <f>BF89</f>
        <v>78.5</v>
      </c>
      <c r="L89" s="384">
        <f>AY89</f>
        <v>63.1</v>
      </c>
      <c r="M89" s="384">
        <f>BD89</f>
        <v>61.7</v>
      </c>
      <c r="N89" s="384">
        <f>AW89</f>
        <v>82.5</v>
      </c>
      <c r="O89" s="384">
        <f>BE89</f>
        <v>69.2</v>
      </c>
      <c r="P89" s="384">
        <f>'2022'!BA89</f>
        <v>76.8</v>
      </c>
      <c r="Q89" s="384">
        <f>'2022'!AU89</f>
        <v>81.900000000000006</v>
      </c>
      <c r="R89" s="384">
        <f>AX89</f>
        <v>73.5</v>
      </c>
      <c r="S89" s="384">
        <f>AV89</f>
        <v>91.2</v>
      </c>
      <c r="T89" s="384">
        <f t="shared" ref="T89:U93" si="217">BB89</f>
        <v>65.400000000000006</v>
      </c>
      <c r="U89" s="385">
        <f t="shared" si="217"/>
        <v>75.8</v>
      </c>
      <c r="V89" s="384">
        <f>BJ89</f>
        <v>65.400000000000006</v>
      </c>
      <c r="W89" s="384">
        <f>BR89</f>
        <v>77.8</v>
      </c>
      <c r="X89" s="384">
        <f>BI89</f>
        <v>75.900000000000006</v>
      </c>
      <c r="Y89" s="384">
        <f>BN89</f>
        <v>73.8</v>
      </c>
      <c r="Z89" s="384">
        <f>BM89</f>
        <v>62</v>
      </c>
      <c r="AA89" s="384">
        <f>BQ89</f>
        <v>83.9</v>
      </c>
      <c r="AB89" s="385">
        <f>BP89</f>
        <v>88.8</v>
      </c>
      <c r="AC89" s="384" t="str">
        <f>BX89</f>
        <v>/</v>
      </c>
      <c r="AD89" s="384">
        <f>BU89</f>
        <v>71.900000000000006</v>
      </c>
      <c r="AE89" s="384">
        <f>BT89</f>
        <v>90</v>
      </c>
      <c r="AF89" s="384" t="str">
        <f>CA89</f>
        <v>/</v>
      </c>
      <c r="AG89" s="384">
        <f>BV89</f>
        <v>74</v>
      </c>
      <c r="AH89" s="384">
        <f>BZ89</f>
        <v>52.6</v>
      </c>
      <c r="AI89" s="384">
        <f>BW89</f>
        <v>73.3</v>
      </c>
      <c r="AJ89" s="384">
        <f>BY89</f>
        <v>76.900000000000006</v>
      </c>
      <c r="AK89" s="385">
        <f>CB89</f>
        <v>87.4</v>
      </c>
      <c r="AL89" s="384">
        <f>CE89</f>
        <v>69.900000000000006</v>
      </c>
      <c r="AM89" s="384">
        <f>CH89</f>
        <v>86.8</v>
      </c>
      <c r="AN89" s="384">
        <f>CJ89</f>
        <v>87.2</v>
      </c>
      <c r="AO89" s="384">
        <f t="shared" ref="AO89:AP93" si="218">CC89</f>
        <v>67.099999999999994</v>
      </c>
      <c r="AP89" s="384">
        <f t="shared" si="218"/>
        <v>75.2</v>
      </c>
      <c r="AQ89" s="384">
        <f>CK89</f>
        <v>86</v>
      </c>
      <c r="AR89" s="384" t="str">
        <f>CI89</f>
        <v>/</v>
      </c>
      <c r="AS89" s="383">
        <f>CG89</f>
        <v>81.599999999999994</v>
      </c>
      <c r="AT89" s="830" t="s">
        <v>388</v>
      </c>
      <c r="AU89" s="830">
        <v>81.900000000000006</v>
      </c>
      <c r="AV89" s="830">
        <v>91.2</v>
      </c>
      <c r="AW89" s="830">
        <v>82.5</v>
      </c>
      <c r="AX89" s="830">
        <v>73.5</v>
      </c>
      <c r="AY89" s="830">
        <v>63.1</v>
      </c>
      <c r="AZ89" s="830" t="s">
        <v>388</v>
      </c>
      <c r="BA89" s="830">
        <v>76.8</v>
      </c>
      <c r="BB89" s="830">
        <v>65.400000000000006</v>
      </c>
      <c r="BC89" s="830">
        <v>75.8</v>
      </c>
      <c r="BD89" s="830">
        <v>61.7</v>
      </c>
      <c r="BE89" s="830">
        <v>69.2</v>
      </c>
      <c r="BF89" s="830">
        <v>78.5</v>
      </c>
      <c r="BG89" s="830" t="s">
        <v>388</v>
      </c>
      <c r="BH89" s="830" t="s">
        <v>388</v>
      </c>
      <c r="BI89" s="830">
        <v>75.900000000000006</v>
      </c>
      <c r="BJ89" s="830">
        <v>65.400000000000006</v>
      </c>
      <c r="BK89" s="830" t="s">
        <v>388</v>
      </c>
      <c r="BL89" s="830" t="s">
        <v>388</v>
      </c>
      <c r="BM89" s="830">
        <v>62</v>
      </c>
      <c r="BN89" s="830">
        <v>73.8</v>
      </c>
      <c r="BO89" s="830" t="s">
        <v>388</v>
      </c>
      <c r="BP89" s="830">
        <v>88.8</v>
      </c>
      <c r="BQ89" s="830">
        <v>83.9</v>
      </c>
      <c r="BR89" s="830">
        <v>77.8</v>
      </c>
      <c r="BS89" s="830" t="s">
        <v>388</v>
      </c>
      <c r="BT89" s="830">
        <v>90</v>
      </c>
      <c r="BU89" s="830">
        <v>71.900000000000006</v>
      </c>
      <c r="BV89" s="830">
        <v>74</v>
      </c>
      <c r="BW89" s="830">
        <v>73.3</v>
      </c>
      <c r="BX89" s="830" t="s">
        <v>388</v>
      </c>
      <c r="BY89" s="830">
        <v>76.900000000000006</v>
      </c>
      <c r="BZ89" s="830">
        <v>52.6</v>
      </c>
      <c r="CA89" s="830" t="s">
        <v>388</v>
      </c>
      <c r="CB89" s="830">
        <v>87.4</v>
      </c>
      <c r="CC89" s="830">
        <v>67.099999999999994</v>
      </c>
      <c r="CD89" s="830">
        <v>75.2</v>
      </c>
      <c r="CE89" s="830">
        <v>69.900000000000006</v>
      </c>
      <c r="CF89" s="830" t="s">
        <v>388</v>
      </c>
      <c r="CG89" s="830">
        <v>81.599999999999994</v>
      </c>
      <c r="CH89" s="830">
        <v>86.8</v>
      </c>
      <c r="CI89" s="830" t="s">
        <v>388</v>
      </c>
      <c r="CJ89" s="830">
        <v>87.2</v>
      </c>
      <c r="CK89" s="830">
        <v>86</v>
      </c>
      <c r="CL89" s="830">
        <v>75.099999999999994</v>
      </c>
    </row>
    <row r="90" spans="1:94">
      <c r="A90" s="80">
        <f>ROWS($A$3:A88)</f>
        <v>86</v>
      </c>
      <c r="B90" s="92" t="s">
        <v>193</v>
      </c>
      <c r="C90" s="203"/>
      <c r="D90" s="259" t="s">
        <v>192</v>
      </c>
      <c r="E90" s="483">
        <v>45125</v>
      </c>
      <c r="F90" s="830">
        <v>698.2</v>
      </c>
      <c r="G90" s="830">
        <v>655.7</v>
      </c>
      <c r="H90" s="830" t="s">
        <v>388</v>
      </c>
      <c r="I90" s="830">
        <v>738.5</v>
      </c>
      <c r="J90" s="382"/>
      <c r="K90" s="381" t="str">
        <f>BF90</f>
        <v>/</v>
      </c>
      <c r="L90" s="384" t="str">
        <f>AY90</f>
        <v>/</v>
      </c>
      <c r="M90" s="384">
        <f>BD90</f>
        <v>692.7</v>
      </c>
      <c r="N90" s="384" t="str">
        <f>AW90</f>
        <v>-</v>
      </c>
      <c r="O90" s="384" t="str">
        <f>BE90</f>
        <v>/</v>
      </c>
      <c r="P90" s="384">
        <f>'2022'!BA90</f>
        <v>675.6</v>
      </c>
      <c r="Q90" s="384" t="str">
        <f>'2022'!AU90</f>
        <v>/</v>
      </c>
      <c r="R90" s="384">
        <f>AX90</f>
        <v>745.8</v>
      </c>
      <c r="S90" s="384" t="str">
        <f>AV90</f>
        <v>/</v>
      </c>
      <c r="T90" s="384">
        <f t="shared" si="217"/>
        <v>664.7</v>
      </c>
      <c r="U90" s="385">
        <f t="shared" si="217"/>
        <v>660.1</v>
      </c>
      <c r="V90" s="384" t="str">
        <f>BJ90</f>
        <v>-</v>
      </c>
      <c r="W90" s="384" t="str">
        <f>BR90</f>
        <v>-</v>
      </c>
      <c r="X90" s="384">
        <f>BI90</f>
        <v>663.8</v>
      </c>
      <c r="Y90" s="384">
        <f>BN90</f>
        <v>794.9</v>
      </c>
      <c r="Z90" s="384">
        <f>BM90</f>
        <v>424.7</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218"/>
        <v>/</v>
      </c>
      <c r="AP90" s="384" t="str">
        <f t="shared" si="218"/>
        <v>/</v>
      </c>
      <c r="AQ90" s="384" t="str">
        <f>CK90</f>
        <v>/</v>
      </c>
      <c r="AR90" s="384" t="str">
        <f>CI90</f>
        <v>/</v>
      </c>
      <c r="AS90" s="383" t="str">
        <f>CG90</f>
        <v>/</v>
      </c>
      <c r="AT90" s="830">
        <v>706.1</v>
      </c>
      <c r="AU90" s="830" t="s">
        <v>388</v>
      </c>
      <c r="AV90" s="830" t="s">
        <v>388</v>
      </c>
      <c r="AW90" s="830" t="s">
        <v>58</v>
      </c>
      <c r="AX90" s="830">
        <v>745.8</v>
      </c>
      <c r="AY90" s="830" t="s">
        <v>388</v>
      </c>
      <c r="AZ90" s="830" t="s">
        <v>388</v>
      </c>
      <c r="BA90" s="830">
        <v>675.6</v>
      </c>
      <c r="BB90" s="830">
        <v>664.7</v>
      </c>
      <c r="BC90" s="830">
        <v>660.1</v>
      </c>
      <c r="BD90" s="830">
        <v>692.7</v>
      </c>
      <c r="BE90" s="830" t="s">
        <v>388</v>
      </c>
      <c r="BF90" s="830" t="s">
        <v>388</v>
      </c>
      <c r="BG90" s="830" t="s">
        <v>58</v>
      </c>
      <c r="BH90" s="830" t="s">
        <v>58</v>
      </c>
      <c r="BI90" s="830">
        <v>663.8</v>
      </c>
      <c r="BJ90" s="830" t="s">
        <v>58</v>
      </c>
      <c r="BK90" s="830" t="s">
        <v>388</v>
      </c>
      <c r="BL90" s="830" t="s">
        <v>388</v>
      </c>
      <c r="BM90" s="830">
        <v>424.7</v>
      </c>
      <c r="BN90" s="830">
        <v>794.9</v>
      </c>
      <c r="BO90" s="830" t="s">
        <v>58</v>
      </c>
      <c r="BP90" s="830" t="s">
        <v>388</v>
      </c>
      <c r="BQ90" s="830" t="s">
        <v>388</v>
      </c>
      <c r="BR90" s="830" t="s">
        <v>58</v>
      </c>
      <c r="BS90" s="830" t="s">
        <v>58</v>
      </c>
      <c r="BT90" s="830" t="s">
        <v>388</v>
      </c>
      <c r="BU90" s="830" t="s">
        <v>388</v>
      </c>
      <c r="BV90" s="830" t="s">
        <v>388</v>
      </c>
      <c r="BW90" s="830" t="s">
        <v>388</v>
      </c>
      <c r="BX90" s="830" t="s">
        <v>388</v>
      </c>
      <c r="BY90" s="830" t="s">
        <v>388</v>
      </c>
      <c r="BZ90" s="830" t="s">
        <v>388</v>
      </c>
      <c r="CA90" s="830" t="s">
        <v>388</v>
      </c>
      <c r="CB90" s="830" t="s">
        <v>388</v>
      </c>
      <c r="CC90" s="830" t="s">
        <v>388</v>
      </c>
      <c r="CD90" s="830" t="s">
        <v>388</v>
      </c>
      <c r="CE90" s="830" t="s">
        <v>58</v>
      </c>
      <c r="CF90" s="830" t="s">
        <v>388</v>
      </c>
      <c r="CG90" s="830" t="s">
        <v>388</v>
      </c>
      <c r="CH90" s="830" t="s">
        <v>388</v>
      </c>
      <c r="CI90" s="830" t="s">
        <v>388</v>
      </c>
      <c r="CJ90" s="830" t="s">
        <v>388</v>
      </c>
      <c r="CK90" s="830" t="s">
        <v>388</v>
      </c>
      <c r="CL90" s="830">
        <v>692.6</v>
      </c>
    </row>
    <row r="91" spans="1:94">
      <c r="A91" s="80">
        <f>ROWS($A$3:A89)</f>
        <v>87</v>
      </c>
      <c r="B91" s="54" t="s">
        <v>194</v>
      </c>
      <c r="C91" s="252"/>
      <c r="D91" s="259" t="s">
        <v>192</v>
      </c>
      <c r="E91" s="483">
        <v>45125</v>
      </c>
      <c r="F91" s="830">
        <v>40.700000000000003</v>
      </c>
      <c r="G91" s="830">
        <v>43.9</v>
      </c>
      <c r="H91" s="830">
        <v>39.799999999999997</v>
      </c>
      <c r="I91" s="830">
        <v>43</v>
      </c>
      <c r="J91" s="598"/>
      <c r="K91" s="547">
        <f>BF91</f>
        <v>42.6</v>
      </c>
      <c r="L91" s="548" t="str">
        <f>AY91</f>
        <v>/</v>
      </c>
      <c r="M91" s="548">
        <f>BD91</f>
        <v>37.1</v>
      </c>
      <c r="N91" s="548" t="str">
        <f>AW91</f>
        <v>/</v>
      </c>
      <c r="O91" s="548" t="str">
        <f>BE91</f>
        <v>/</v>
      </c>
      <c r="P91" s="573">
        <f>'2022'!BA91</f>
        <v>45.5</v>
      </c>
      <c r="Q91" s="548">
        <f>'2022'!AU91</f>
        <v>39.4</v>
      </c>
      <c r="R91" s="573" t="str">
        <f>AX91</f>
        <v>/</v>
      </c>
      <c r="S91" s="548" t="str">
        <f>AV91</f>
        <v>/</v>
      </c>
      <c r="T91" s="548">
        <f t="shared" si="217"/>
        <v>38.200000000000003</v>
      </c>
      <c r="U91" s="570">
        <f t="shared" si="217"/>
        <v>43.1</v>
      </c>
      <c r="V91" s="573" t="str">
        <f>BJ91</f>
        <v>/</v>
      </c>
      <c r="W91" s="548">
        <f>BR91</f>
        <v>42.9</v>
      </c>
      <c r="X91" s="573">
        <f>BI91</f>
        <v>47.3</v>
      </c>
      <c r="Y91" s="573">
        <f>BN91</f>
        <v>47.1</v>
      </c>
      <c r="Z91" s="548">
        <f>BM91</f>
        <v>40.1</v>
      </c>
      <c r="AA91" s="573">
        <f>BQ91</f>
        <v>48</v>
      </c>
      <c r="AB91" s="570" t="str">
        <f>BP91</f>
        <v>/</v>
      </c>
      <c r="AC91" s="548" t="str">
        <f>BX91</f>
        <v>/</v>
      </c>
      <c r="AD91" s="548" t="str">
        <f>BU91</f>
        <v>/</v>
      </c>
      <c r="AE91" s="573" t="str">
        <f>BT91</f>
        <v>/</v>
      </c>
      <c r="AF91" s="548" t="str">
        <f>CA91</f>
        <v>/</v>
      </c>
      <c r="AG91" s="548" t="str">
        <f>BV91</f>
        <v>/</v>
      </c>
      <c r="AH91" s="548" t="str">
        <f>BZ91</f>
        <v>/</v>
      </c>
      <c r="AI91" s="548">
        <f>BW91</f>
        <v>41.5</v>
      </c>
      <c r="AJ91" s="548">
        <f>BY91</f>
        <v>41.4</v>
      </c>
      <c r="AK91" s="570" t="str">
        <f>CB91</f>
        <v>/</v>
      </c>
      <c r="AL91" s="548">
        <f>CE91</f>
        <v>37.9</v>
      </c>
      <c r="AM91" s="548">
        <f>CH91</f>
        <v>43.9</v>
      </c>
      <c r="AN91" s="548" t="str">
        <f>CJ91</f>
        <v>/</v>
      </c>
      <c r="AO91" s="548">
        <f t="shared" si="218"/>
        <v>33.299999999999997</v>
      </c>
      <c r="AP91" s="548">
        <f t="shared" si="218"/>
        <v>46.6</v>
      </c>
      <c r="AQ91" s="548">
        <f>CK91</f>
        <v>41.1</v>
      </c>
      <c r="AR91" s="548" t="str">
        <f>CI91</f>
        <v>/</v>
      </c>
      <c r="AS91" s="574">
        <f>CG91</f>
        <v>45.5</v>
      </c>
      <c r="AT91" s="830" t="s">
        <v>388</v>
      </c>
      <c r="AU91" s="830">
        <v>39.4</v>
      </c>
      <c r="AV91" s="830" t="s">
        <v>388</v>
      </c>
      <c r="AW91" s="830" t="s">
        <v>388</v>
      </c>
      <c r="AX91" s="830" t="s">
        <v>388</v>
      </c>
      <c r="AY91" s="830" t="s">
        <v>388</v>
      </c>
      <c r="AZ91" s="830" t="s">
        <v>388</v>
      </c>
      <c r="BA91" s="830">
        <v>45.5</v>
      </c>
      <c r="BB91" s="830">
        <v>38.200000000000003</v>
      </c>
      <c r="BC91" s="830">
        <v>43.1</v>
      </c>
      <c r="BD91" s="830">
        <v>37.1</v>
      </c>
      <c r="BE91" s="830" t="s">
        <v>388</v>
      </c>
      <c r="BF91" s="830">
        <v>42.6</v>
      </c>
      <c r="BG91" s="830" t="s">
        <v>58</v>
      </c>
      <c r="BH91" s="830" t="s">
        <v>58</v>
      </c>
      <c r="BI91" s="830">
        <v>47.3</v>
      </c>
      <c r="BJ91" s="830" t="s">
        <v>388</v>
      </c>
      <c r="BK91" s="830" t="s">
        <v>388</v>
      </c>
      <c r="BL91" s="830" t="s">
        <v>388</v>
      </c>
      <c r="BM91" s="830">
        <v>40.1</v>
      </c>
      <c r="BN91" s="830">
        <v>47.1</v>
      </c>
      <c r="BO91" s="830" t="s">
        <v>58</v>
      </c>
      <c r="BP91" s="830" t="s">
        <v>388</v>
      </c>
      <c r="BQ91" s="830">
        <v>48</v>
      </c>
      <c r="BR91" s="830">
        <v>42.9</v>
      </c>
      <c r="BS91" s="830" t="s">
        <v>58</v>
      </c>
      <c r="BT91" s="830" t="s">
        <v>388</v>
      </c>
      <c r="BU91" s="830" t="s">
        <v>388</v>
      </c>
      <c r="BV91" s="830" t="s">
        <v>388</v>
      </c>
      <c r="BW91" s="830">
        <v>41.5</v>
      </c>
      <c r="BX91" s="830" t="s">
        <v>388</v>
      </c>
      <c r="BY91" s="830">
        <v>41.4</v>
      </c>
      <c r="BZ91" s="830" t="s">
        <v>388</v>
      </c>
      <c r="CA91" s="830" t="s">
        <v>388</v>
      </c>
      <c r="CB91" s="830" t="s">
        <v>388</v>
      </c>
      <c r="CC91" s="830">
        <v>33.299999999999997</v>
      </c>
      <c r="CD91" s="830">
        <v>46.6</v>
      </c>
      <c r="CE91" s="830">
        <v>37.9</v>
      </c>
      <c r="CF91" s="830" t="s">
        <v>388</v>
      </c>
      <c r="CG91" s="830">
        <v>45.5</v>
      </c>
      <c r="CH91" s="830">
        <v>43.9</v>
      </c>
      <c r="CI91" s="830" t="s">
        <v>388</v>
      </c>
      <c r="CJ91" s="830" t="s">
        <v>388</v>
      </c>
      <c r="CK91" s="830">
        <v>41.1</v>
      </c>
      <c r="CL91" s="830">
        <v>41.8</v>
      </c>
    </row>
    <row r="92" spans="1:94">
      <c r="A92" s="80">
        <f>ROWS($A$3:A90)</f>
        <v>88</v>
      </c>
      <c r="B92" s="92" t="s">
        <v>195</v>
      </c>
      <c r="C92" s="203"/>
      <c r="D92" s="259" t="s">
        <v>192</v>
      </c>
      <c r="E92" s="483">
        <v>45125</v>
      </c>
      <c r="F92" s="830">
        <v>391.1</v>
      </c>
      <c r="G92" s="830">
        <v>386.1</v>
      </c>
      <c r="H92" s="830">
        <v>374.4</v>
      </c>
      <c r="I92" s="830">
        <v>451.4</v>
      </c>
      <c r="J92" s="281"/>
      <c r="K92" s="154">
        <f>BF92</f>
        <v>404.1</v>
      </c>
      <c r="L92" s="155">
        <f>AY92</f>
        <v>446.6</v>
      </c>
      <c r="M92" s="155">
        <f>BD92</f>
        <v>222.1</v>
      </c>
      <c r="N92" s="155">
        <f>AW92</f>
        <v>353.6</v>
      </c>
      <c r="O92" s="155" t="str">
        <f>BE92</f>
        <v>/</v>
      </c>
      <c r="P92" s="155">
        <f>'2022'!BA92</f>
        <v>349.2</v>
      </c>
      <c r="Q92" s="155" t="str">
        <f>'2022'!AU92</f>
        <v>/</v>
      </c>
      <c r="R92" s="155">
        <f>AX92</f>
        <v>358</v>
      </c>
      <c r="S92" s="155">
        <f>AV92</f>
        <v>397.9</v>
      </c>
      <c r="T92" s="155">
        <f t="shared" si="217"/>
        <v>343.4</v>
      </c>
      <c r="U92" s="552">
        <f t="shared" si="217"/>
        <v>411.8</v>
      </c>
      <c r="V92" s="155" t="str">
        <f>BJ92</f>
        <v>/</v>
      </c>
      <c r="W92" s="155">
        <f>BR92</f>
        <v>429.8</v>
      </c>
      <c r="X92" s="155" t="str">
        <f>BI92</f>
        <v>/</v>
      </c>
      <c r="Y92" s="155">
        <f>BN92</f>
        <v>360.7</v>
      </c>
      <c r="Z92" s="155">
        <f>BM92</f>
        <v>309.89999999999998</v>
      </c>
      <c r="AA92" s="155">
        <f>BQ92</f>
        <v>359.7</v>
      </c>
      <c r="AB92" s="552" t="str">
        <f>BP92</f>
        <v>/</v>
      </c>
      <c r="AC92" s="155" t="str">
        <f>BX92</f>
        <v>/</v>
      </c>
      <c r="AD92" s="155" t="str">
        <f>BU92</f>
        <v>/</v>
      </c>
      <c r="AE92" s="155">
        <f>BT92</f>
        <v>252</v>
      </c>
      <c r="AF92" s="155" t="str">
        <f>CA92</f>
        <v>/</v>
      </c>
      <c r="AG92" s="155" t="str">
        <f>BV92</f>
        <v>/</v>
      </c>
      <c r="AH92" s="155">
        <f>BZ92</f>
        <v>388.3</v>
      </c>
      <c r="AI92" s="155">
        <f>BW92</f>
        <v>406.7</v>
      </c>
      <c r="AJ92" s="155">
        <f>BY92</f>
        <v>456.5</v>
      </c>
      <c r="AK92" s="552">
        <f>CB92</f>
        <v>361.4</v>
      </c>
      <c r="AL92" s="155">
        <f>CE92</f>
        <v>376.8</v>
      </c>
      <c r="AM92" s="155">
        <f>CH92</f>
        <v>511.1</v>
      </c>
      <c r="AN92" s="155">
        <f>CJ92</f>
        <v>482.6</v>
      </c>
      <c r="AO92" s="155">
        <f t="shared" si="218"/>
        <v>369.5</v>
      </c>
      <c r="AP92" s="155" t="str">
        <f t="shared" si="218"/>
        <v>/</v>
      </c>
      <c r="AQ92" s="155">
        <f>CK92</f>
        <v>413.6</v>
      </c>
      <c r="AR92" s="155" t="str">
        <f>CI92</f>
        <v>/</v>
      </c>
      <c r="AS92" s="156">
        <f>CG92</f>
        <v>443.2</v>
      </c>
      <c r="AT92" s="830" t="s">
        <v>388</v>
      </c>
      <c r="AU92" s="830" t="s">
        <v>388</v>
      </c>
      <c r="AV92" s="830">
        <v>397.9</v>
      </c>
      <c r="AW92" s="830">
        <v>353.6</v>
      </c>
      <c r="AX92" s="830">
        <v>358</v>
      </c>
      <c r="AY92" s="830">
        <v>446.6</v>
      </c>
      <c r="AZ92" s="830" t="s">
        <v>388</v>
      </c>
      <c r="BA92" s="830">
        <v>349.2</v>
      </c>
      <c r="BB92" s="830">
        <v>343.4</v>
      </c>
      <c r="BC92" s="830">
        <v>411.8</v>
      </c>
      <c r="BD92" s="830">
        <v>222.1</v>
      </c>
      <c r="BE92" s="830" t="s">
        <v>388</v>
      </c>
      <c r="BF92" s="830">
        <v>404.1</v>
      </c>
      <c r="BG92" s="830" t="s">
        <v>58</v>
      </c>
      <c r="BH92" s="830" t="s">
        <v>388</v>
      </c>
      <c r="BI92" s="830" t="s">
        <v>388</v>
      </c>
      <c r="BJ92" s="830" t="s">
        <v>388</v>
      </c>
      <c r="BK92" s="830" t="s">
        <v>388</v>
      </c>
      <c r="BL92" s="830" t="s">
        <v>388</v>
      </c>
      <c r="BM92" s="830">
        <v>309.89999999999998</v>
      </c>
      <c r="BN92" s="830">
        <v>360.7</v>
      </c>
      <c r="BO92" s="830" t="s">
        <v>388</v>
      </c>
      <c r="BP92" s="830" t="s">
        <v>388</v>
      </c>
      <c r="BQ92" s="830">
        <v>359.7</v>
      </c>
      <c r="BR92" s="830">
        <v>429.8</v>
      </c>
      <c r="BS92" s="830" t="s">
        <v>388</v>
      </c>
      <c r="BT92" s="830">
        <v>252</v>
      </c>
      <c r="BU92" s="830" t="s">
        <v>388</v>
      </c>
      <c r="BV92" s="830" t="s">
        <v>388</v>
      </c>
      <c r="BW92" s="830">
        <v>406.7</v>
      </c>
      <c r="BX92" s="830" t="s">
        <v>388</v>
      </c>
      <c r="BY92" s="830">
        <v>456.5</v>
      </c>
      <c r="BZ92" s="830">
        <v>388.3</v>
      </c>
      <c r="CA92" s="830" t="s">
        <v>388</v>
      </c>
      <c r="CB92" s="830">
        <v>361.4</v>
      </c>
      <c r="CC92" s="830">
        <v>369.5</v>
      </c>
      <c r="CD92" s="830" t="s">
        <v>388</v>
      </c>
      <c r="CE92" s="830">
        <v>376.8</v>
      </c>
      <c r="CF92" s="830" t="s">
        <v>388</v>
      </c>
      <c r="CG92" s="830">
        <v>443.2</v>
      </c>
      <c r="CH92" s="830">
        <v>511.1</v>
      </c>
      <c r="CI92" s="830" t="s">
        <v>388</v>
      </c>
      <c r="CJ92" s="830">
        <v>482.6</v>
      </c>
      <c r="CK92" s="830">
        <v>413.6</v>
      </c>
      <c r="CL92" s="830">
        <v>413.8</v>
      </c>
    </row>
    <row r="93" spans="1:94" s="792" customFormat="1">
      <c r="A93" s="778">
        <f>ROWS($A$3:A91)</f>
        <v>89</v>
      </c>
      <c r="B93" s="779" t="s">
        <v>94</v>
      </c>
      <c r="C93" s="780"/>
      <c r="D93" s="781" t="s">
        <v>3</v>
      </c>
      <c r="E93" s="782"/>
      <c r="F93" s="783">
        <v>0.37</v>
      </c>
      <c r="G93" s="784">
        <v>0.37</v>
      </c>
      <c r="H93" s="784">
        <v>0.69</v>
      </c>
      <c r="I93" s="785">
        <v>0.54</v>
      </c>
      <c r="J93" s="786"/>
      <c r="K93" s="783">
        <f>BF93</f>
        <v>0.99</v>
      </c>
      <c r="L93" s="784">
        <f>AY93</f>
        <v>0.69</v>
      </c>
      <c r="M93" s="784">
        <f>BD93</f>
        <v>0.7</v>
      </c>
      <c r="N93" s="784">
        <f>AW93</f>
        <v>0.74</v>
      </c>
      <c r="O93" s="784">
        <f>BE93</f>
        <v>0.6</v>
      </c>
      <c r="P93" s="784">
        <f>(AZ35*AZ93+BA35*BA93)/P35</f>
        <v>0.12092364127143426</v>
      </c>
      <c r="Q93" s="784">
        <f>'2022'!AU93</f>
        <v>0.48</v>
      </c>
      <c r="R93" s="784">
        <f>(AT35*AT93+AX35*AX93)/R35</f>
        <v>1.7109208938932613E-2</v>
      </c>
      <c r="S93" s="784">
        <f>AV93</f>
        <v>0.56999999999999995</v>
      </c>
      <c r="T93" s="784">
        <f t="shared" si="217"/>
        <v>0.56999999999999995</v>
      </c>
      <c r="U93" s="787">
        <f t="shared" si="217"/>
        <v>0.97</v>
      </c>
      <c r="V93" s="784">
        <f>(BG35*BG93+BJ35*BJ93)/V35</f>
        <v>0.31764247897851139</v>
      </c>
      <c r="W93" s="784">
        <f>BR93</f>
        <v>0.82</v>
      </c>
      <c r="X93" s="784">
        <f>(BH35*BH93+BI35*BI93)/X35</f>
        <v>6.5555254871088375E-2</v>
      </c>
      <c r="Y93" s="784">
        <f>(BK35*BK93+BL35*BL93+BN35*BN93)/Y35</f>
        <v>0.10733116823290952</v>
      </c>
      <c r="Z93" s="784">
        <f>BM93</f>
        <v>0.7</v>
      </c>
      <c r="AA93" s="784">
        <f>(BO35*BO93+BQ35*BQ93)/AA35</f>
        <v>0.4608133086876155</v>
      </c>
      <c r="AB93" s="787">
        <f>BP93</f>
        <v>0.78</v>
      </c>
      <c r="AC93" s="784">
        <f>BX93</f>
        <v>0.65</v>
      </c>
      <c r="AD93" s="784">
        <f>BU93</f>
        <v>0.36</v>
      </c>
      <c r="AE93" s="784">
        <f>(BS35*BS93+BT35*BT93)/AE35</f>
        <v>0.11602147651006711</v>
      </c>
      <c r="AF93" s="784">
        <f>CA93</f>
        <v>0.28999999999999998</v>
      </c>
      <c r="AG93" s="784">
        <f>BV93</f>
        <v>0.34</v>
      </c>
      <c r="AH93" s="784">
        <f>BZ93</f>
        <v>0.65</v>
      </c>
      <c r="AI93" s="784">
        <f>BW93</f>
        <v>0.96</v>
      </c>
      <c r="AJ93" s="784">
        <f>BY93</f>
        <v>0.63</v>
      </c>
      <c r="AK93" s="787">
        <f>CB93</f>
        <v>0.71</v>
      </c>
      <c r="AL93" s="784">
        <f>CE93</f>
        <v>0.61</v>
      </c>
      <c r="AM93" s="784">
        <f>CH93</f>
        <v>0.2</v>
      </c>
      <c r="AN93" s="784">
        <f>CJ93</f>
        <v>0.57999999999999996</v>
      </c>
      <c r="AO93" s="784">
        <f t="shared" si="218"/>
        <v>1</v>
      </c>
      <c r="AP93" s="784">
        <f t="shared" si="218"/>
        <v>0.61</v>
      </c>
      <c r="AQ93" s="784">
        <f>CK93</f>
        <v>0.72</v>
      </c>
      <c r="AR93" s="784">
        <f>CI93</f>
        <v>0.24</v>
      </c>
      <c r="AS93" s="785">
        <f>(CF35*CF93+CG35*CG93)/AS35</f>
        <v>0.45047907931126768</v>
      </c>
      <c r="AT93" s="788">
        <v>0.11</v>
      </c>
      <c r="AU93" s="788">
        <v>0.48</v>
      </c>
      <c r="AV93" s="788">
        <v>0.56999999999999995</v>
      </c>
      <c r="AW93" s="788">
        <v>0.74</v>
      </c>
      <c r="AX93" s="788">
        <v>0.01</v>
      </c>
      <c r="AY93" s="788">
        <v>0.69</v>
      </c>
      <c r="AZ93" s="788">
        <v>0</v>
      </c>
      <c r="BA93" s="788">
        <v>0.13</v>
      </c>
      <c r="BB93" s="788">
        <v>0.56999999999999995</v>
      </c>
      <c r="BC93" s="788">
        <v>0.97</v>
      </c>
      <c r="BD93" s="788">
        <v>0.7</v>
      </c>
      <c r="BE93" s="788">
        <v>0.6</v>
      </c>
      <c r="BF93" s="789">
        <v>0.99</v>
      </c>
      <c r="BG93" s="788">
        <v>1</v>
      </c>
      <c r="BH93" s="788">
        <v>0</v>
      </c>
      <c r="BI93" s="788">
        <v>7.0000000000000007E-2</v>
      </c>
      <c r="BJ93" s="788">
        <v>0.25</v>
      </c>
      <c r="BK93" s="788">
        <v>0.01</v>
      </c>
      <c r="BL93" s="788">
        <v>0</v>
      </c>
      <c r="BM93" s="788">
        <v>0.7</v>
      </c>
      <c r="BN93" s="788">
        <v>0.12</v>
      </c>
      <c r="BO93" s="788">
        <v>0.28000000000000003</v>
      </c>
      <c r="BP93" s="788">
        <v>0.78</v>
      </c>
      <c r="BQ93" s="788">
        <v>0.47</v>
      </c>
      <c r="BR93" s="789">
        <v>0.82</v>
      </c>
      <c r="BS93" s="788">
        <v>0.06</v>
      </c>
      <c r="BT93" s="788">
        <v>0.12</v>
      </c>
      <c r="BU93" s="788">
        <v>0.36</v>
      </c>
      <c r="BV93" s="788">
        <v>0.34</v>
      </c>
      <c r="BW93" s="788">
        <v>0.96</v>
      </c>
      <c r="BX93" s="788">
        <v>0.65</v>
      </c>
      <c r="BY93" s="788">
        <v>0.63</v>
      </c>
      <c r="BZ93" s="788">
        <v>0.65</v>
      </c>
      <c r="CA93" s="788">
        <v>0.28999999999999998</v>
      </c>
      <c r="CB93" s="789">
        <v>0.71</v>
      </c>
      <c r="CC93" s="788">
        <v>1</v>
      </c>
      <c r="CD93" s="788">
        <v>0.61</v>
      </c>
      <c r="CE93" s="788">
        <v>0.61</v>
      </c>
      <c r="CF93" s="788">
        <v>0.3</v>
      </c>
      <c r="CG93" s="788">
        <v>0.46</v>
      </c>
      <c r="CH93" s="788">
        <v>0.2</v>
      </c>
      <c r="CI93" s="788">
        <v>0.24</v>
      </c>
      <c r="CJ93" s="788">
        <v>0.57999999999999996</v>
      </c>
      <c r="CK93" s="790">
        <v>0.72</v>
      </c>
      <c r="CL93" s="791">
        <v>0.54</v>
      </c>
      <c r="CM93"/>
      <c r="CN93"/>
      <c r="CO93"/>
      <c r="CP93"/>
    </row>
    <row r="94" spans="1:94">
      <c r="A94" s="80">
        <f>ROWS($A$3:A92)</f>
        <v>90</v>
      </c>
      <c r="B94" s="59" t="s">
        <v>247</v>
      </c>
      <c r="C94" s="396"/>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281"/>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4">
      <c r="A95" s="80">
        <f>ROWS($A$3:A93)</f>
        <v>91</v>
      </c>
      <c r="B95" s="236" t="s">
        <v>95</v>
      </c>
      <c r="C95" s="202">
        <v>2010</v>
      </c>
      <c r="D95" s="259" t="s">
        <v>10</v>
      </c>
      <c r="E95" s="833">
        <v>40441</v>
      </c>
      <c r="F95" s="154">
        <f>SUM(AT95:BF95)</f>
        <v>617300</v>
      </c>
      <c r="G95" s="155">
        <f>SUM(BG95:BR95)</f>
        <v>141500</v>
      </c>
      <c r="H95" s="155">
        <f>SUM(BS95:CB95)</f>
        <v>370400</v>
      </c>
      <c r="I95" s="156">
        <f>SUM(CC95:CK95)</f>
        <v>1004800</v>
      </c>
      <c r="J95" s="281"/>
      <c r="K95" s="157">
        <f>BF95</f>
        <v>165800</v>
      </c>
      <c r="L95" s="113">
        <f>AY95</f>
        <v>42000</v>
      </c>
      <c r="M95" s="113">
        <f>BD95</f>
        <v>41900</v>
      </c>
      <c r="N95" s="113">
        <f>AW95</f>
        <v>57600</v>
      </c>
      <c r="O95" s="113">
        <f>BE95</f>
        <v>44000</v>
      </c>
      <c r="P95" s="113">
        <f>'2022'!BA95</f>
        <v>27400</v>
      </c>
      <c r="Q95" s="113">
        <f>'2022'!AU95</f>
        <v>17100</v>
      </c>
      <c r="R95" s="113">
        <f>AX95</f>
        <v>28800</v>
      </c>
      <c r="S95" s="113">
        <f>AV95</f>
        <v>12300</v>
      </c>
      <c r="T95" s="113">
        <f t="shared" ref="T95:U98" si="219">BB95</f>
        <v>43200</v>
      </c>
      <c r="U95" s="112">
        <f t="shared" si="219"/>
        <v>135100</v>
      </c>
      <c r="V95" s="113">
        <f>BJ95</f>
        <v>1900</v>
      </c>
      <c r="W95" s="113">
        <f>BR95</f>
        <v>23000</v>
      </c>
      <c r="X95" s="113">
        <f>BI95</f>
        <v>6400</v>
      </c>
      <c r="Y95" s="113">
        <f>BN95</f>
        <v>22700</v>
      </c>
      <c r="Z95" s="113">
        <f>BM95</f>
        <v>47900</v>
      </c>
      <c r="AA95" s="113">
        <f>BQ95</f>
        <v>18600</v>
      </c>
      <c r="AB95" s="112">
        <f>BP95</f>
        <v>21000</v>
      </c>
      <c r="AC95" s="113">
        <f>BX95</f>
        <v>64900</v>
      </c>
      <c r="AD95" s="113">
        <f>BU95</f>
        <v>18300</v>
      </c>
      <c r="AE95" s="113">
        <f>BT95</f>
        <v>56300</v>
      </c>
      <c r="AF95" s="113">
        <f>CA95</f>
        <v>17900</v>
      </c>
      <c r="AG95" s="113">
        <f>BV95</f>
        <v>38800</v>
      </c>
      <c r="AH95" s="113">
        <f>BZ95</f>
        <v>56400</v>
      </c>
      <c r="AI95" s="113">
        <f>BW95</f>
        <v>26900</v>
      </c>
      <c r="AJ95" s="113">
        <f>BY95</f>
        <v>32900</v>
      </c>
      <c r="AK95" s="112">
        <f>CB95</f>
        <v>58000</v>
      </c>
      <c r="AL95" s="113">
        <f>CE95</f>
        <v>21200</v>
      </c>
      <c r="AM95" s="113">
        <f>CH95</f>
        <v>217100</v>
      </c>
      <c r="AN95" s="113">
        <f>CJ95</f>
        <v>443900</v>
      </c>
      <c r="AO95" s="113">
        <f t="shared" ref="AO95:AP98" si="220">CC95</f>
        <v>49800</v>
      </c>
      <c r="AP95" s="113">
        <f t="shared" si="220"/>
        <v>9200</v>
      </c>
      <c r="AQ95" s="113">
        <f>CK95</f>
        <v>78000</v>
      </c>
      <c r="AR95" s="113">
        <f>CI95</f>
        <v>62000</v>
      </c>
      <c r="AS95" s="158">
        <f>CG95</f>
        <v>123600</v>
      </c>
      <c r="AT95" s="113">
        <v>2100</v>
      </c>
      <c r="AU95" s="113">
        <v>17100</v>
      </c>
      <c r="AV95" s="113">
        <v>12300</v>
      </c>
      <c r="AW95" s="113">
        <v>57600</v>
      </c>
      <c r="AX95" s="113">
        <v>28800</v>
      </c>
      <c r="AY95" s="113">
        <v>42000</v>
      </c>
      <c r="AZ95" s="113">
        <v>0</v>
      </c>
      <c r="BA95" s="113">
        <v>27400</v>
      </c>
      <c r="BB95" s="113">
        <v>43200</v>
      </c>
      <c r="BC95" s="113">
        <v>135100</v>
      </c>
      <c r="BD95" s="113">
        <v>41900</v>
      </c>
      <c r="BE95" s="113">
        <v>44000</v>
      </c>
      <c r="BF95" s="112">
        <v>165800</v>
      </c>
      <c r="BG95" s="159">
        <v>0</v>
      </c>
      <c r="BH95" s="113">
        <v>0</v>
      </c>
      <c r="BI95" s="113">
        <v>6400</v>
      </c>
      <c r="BJ95" s="113">
        <v>1900</v>
      </c>
      <c r="BK95" s="113">
        <v>0</v>
      </c>
      <c r="BL95" s="113">
        <v>0</v>
      </c>
      <c r="BM95" s="113">
        <v>47900</v>
      </c>
      <c r="BN95" s="113">
        <v>22700</v>
      </c>
      <c r="BO95" s="159">
        <v>0</v>
      </c>
      <c r="BP95" s="113">
        <v>21000</v>
      </c>
      <c r="BQ95" s="113">
        <v>18600</v>
      </c>
      <c r="BR95" s="112">
        <v>23000</v>
      </c>
      <c r="BS95" s="159">
        <v>0</v>
      </c>
      <c r="BT95" s="113">
        <v>56300</v>
      </c>
      <c r="BU95" s="113">
        <v>18300</v>
      </c>
      <c r="BV95" s="113">
        <v>38800</v>
      </c>
      <c r="BW95" s="113">
        <v>26900</v>
      </c>
      <c r="BX95" s="113">
        <v>64900</v>
      </c>
      <c r="BY95" s="113">
        <v>32900</v>
      </c>
      <c r="BZ95" s="113">
        <v>56400</v>
      </c>
      <c r="CA95" s="113">
        <v>17900</v>
      </c>
      <c r="CB95" s="112">
        <v>58000</v>
      </c>
      <c r="CC95" s="113">
        <v>49800</v>
      </c>
      <c r="CD95" s="113">
        <v>9200</v>
      </c>
      <c r="CE95" s="113">
        <v>21200</v>
      </c>
      <c r="CF95" s="113">
        <v>0</v>
      </c>
      <c r="CG95" s="113">
        <v>123600</v>
      </c>
      <c r="CH95" s="113">
        <v>217100</v>
      </c>
      <c r="CI95" s="113">
        <v>62000</v>
      </c>
      <c r="CJ95" s="113">
        <v>443900</v>
      </c>
      <c r="CK95" s="158">
        <v>78000</v>
      </c>
      <c r="CL95" s="123">
        <v>2232162</v>
      </c>
      <c r="CM95" s="792"/>
    </row>
    <row r="96" spans="1:94">
      <c r="A96" s="80">
        <f>ROWS($A$3:A94)</f>
        <v>92</v>
      </c>
      <c r="B96" s="55" t="s">
        <v>96</v>
      </c>
      <c r="C96" s="205">
        <v>2010</v>
      </c>
      <c r="D96" s="259" t="s">
        <v>10</v>
      </c>
      <c r="E96" s="833">
        <v>40441</v>
      </c>
      <c r="F96" s="154">
        <f>SUM(AT96:BF96)</f>
        <v>617399</v>
      </c>
      <c r="G96" s="155">
        <f>SUM(BG96:BR96)</f>
        <v>142781</v>
      </c>
      <c r="H96" s="155">
        <f>SUM(BS96:CB96)</f>
        <v>370424</v>
      </c>
      <c r="I96" s="156">
        <f>SUM(CC96:CK96)</f>
        <v>1004630</v>
      </c>
      <c r="J96" s="281"/>
      <c r="K96" s="157">
        <f>BF96</f>
        <v>165837</v>
      </c>
      <c r="L96" s="113">
        <f>AY96</f>
        <v>41990</v>
      </c>
      <c r="M96" s="113">
        <f>BD96</f>
        <v>41892</v>
      </c>
      <c r="N96" s="113">
        <f>AW96</f>
        <v>57563</v>
      </c>
      <c r="O96" s="113">
        <f>BE96</f>
        <v>44020</v>
      </c>
      <c r="P96" s="113">
        <f>'2022'!BA96</f>
        <v>26046</v>
      </c>
      <c r="Q96" s="113">
        <f>'2022'!AU96</f>
        <v>17142</v>
      </c>
      <c r="R96" s="113">
        <f>AX96</f>
        <v>28784</v>
      </c>
      <c r="S96" s="113">
        <f>AV96</f>
        <v>12315</v>
      </c>
      <c r="T96" s="113">
        <f>BB96</f>
        <v>43221</v>
      </c>
      <c r="U96" s="112">
        <f>BC96</f>
        <v>135140</v>
      </c>
      <c r="V96" s="113">
        <f>BJ96</f>
        <v>1905</v>
      </c>
      <c r="W96" s="113">
        <f>BR96</f>
        <v>23030</v>
      </c>
      <c r="X96" s="113">
        <f>BI96</f>
        <v>6427</v>
      </c>
      <c r="Y96" s="113">
        <f>BN96</f>
        <v>22732</v>
      </c>
      <c r="Z96" s="113">
        <f>BM96</f>
        <v>47945</v>
      </c>
      <c r="AA96" s="113">
        <f>BQ96</f>
        <v>18389</v>
      </c>
      <c r="AB96" s="112">
        <f>BP96</f>
        <v>21039</v>
      </c>
      <c r="AC96" s="113">
        <f>BX96</f>
        <v>64945</v>
      </c>
      <c r="AD96" s="113">
        <f>BU96</f>
        <v>18303</v>
      </c>
      <c r="AE96" s="113">
        <f>BT96</f>
        <v>56256</v>
      </c>
      <c r="AF96" s="113">
        <f>CA96</f>
        <v>17921</v>
      </c>
      <c r="AG96" s="113">
        <f>BV96</f>
        <v>38783</v>
      </c>
      <c r="AH96" s="113">
        <f>BZ96</f>
        <v>56430</v>
      </c>
      <c r="AI96" s="113">
        <f>BW96</f>
        <v>26870</v>
      </c>
      <c r="AJ96" s="113">
        <f>BY96</f>
        <v>32882</v>
      </c>
      <c r="AK96" s="112">
        <f>CB96</f>
        <v>58034</v>
      </c>
      <c r="AL96" s="113">
        <f>CE96</f>
        <v>21184</v>
      </c>
      <c r="AM96" s="113">
        <f>CH96</f>
        <v>217098</v>
      </c>
      <c r="AN96" s="113">
        <f>CJ96</f>
        <v>443864</v>
      </c>
      <c r="AO96" s="113">
        <f>CC96</f>
        <v>49804</v>
      </c>
      <c r="AP96" s="113">
        <f>CD96</f>
        <v>9156</v>
      </c>
      <c r="AQ96" s="113">
        <f>CK96</f>
        <v>78000</v>
      </c>
      <c r="AR96" s="113">
        <f>CI96</f>
        <v>61951</v>
      </c>
      <c r="AS96" s="158">
        <f>CG96</f>
        <v>117483</v>
      </c>
      <c r="AT96" s="113">
        <v>2097</v>
      </c>
      <c r="AU96" s="113">
        <v>17142</v>
      </c>
      <c r="AV96" s="113">
        <v>12315</v>
      </c>
      <c r="AW96" s="113">
        <v>57563</v>
      </c>
      <c r="AX96" s="113">
        <v>28784</v>
      </c>
      <c r="AY96" s="113">
        <v>41990</v>
      </c>
      <c r="AZ96" s="113">
        <v>1352</v>
      </c>
      <c r="BA96" s="113">
        <v>26046</v>
      </c>
      <c r="BB96" s="113">
        <v>43221</v>
      </c>
      <c r="BC96" s="113">
        <v>135140</v>
      </c>
      <c r="BD96" s="113">
        <v>41892</v>
      </c>
      <c r="BE96" s="113">
        <v>44020</v>
      </c>
      <c r="BF96" s="112">
        <v>165837</v>
      </c>
      <c r="BG96" s="159">
        <v>0</v>
      </c>
      <c r="BH96" s="113">
        <v>0</v>
      </c>
      <c r="BI96" s="113">
        <v>6427</v>
      </c>
      <c r="BJ96" s="113">
        <v>1905</v>
      </c>
      <c r="BK96" s="113">
        <v>1079</v>
      </c>
      <c r="BL96" s="113">
        <v>54</v>
      </c>
      <c r="BM96" s="113">
        <v>47945</v>
      </c>
      <c r="BN96" s="113">
        <v>22732</v>
      </c>
      <c r="BO96" s="159">
        <v>181</v>
      </c>
      <c r="BP96" s="113">
        <v>21039</v>
      </c>
      <c r="BQ96" s="113">
        <v>18389</v>
      </c>
      <c r="BR96" s="112">
        <v>23030</v>
      </c>
      <c r="BS96" s="159">
        <v>0</v>
      </c>
      <c r="BT96" s="113">
        <v>56256</v>
      </c>
      <c r="BU96" s="113">
        <v>18303</v>
      </c>
      <c r="BV96" s="113">
        <v>38783</v>
      </c>
      <c r="BW96" s="113">
        <v>26870</v>
      </c>
      <c r="BX96" s="113">
        <v>64945</v>
      </c>
      <c r="BY96" s="113">
        <v>32882</v>
      </c>
      <c r="BZ96" s="113">
        <v>56430</v>
      </c>
      <c r="CA96" s="113">
        <v>17921</v>
      </c>
      <c r="CB96" s="112">
        <v>58034</v>
      </c>
      <c r="CC96" s="113">
        <v>49804</v>
      </c>
      <c r="CD96" s="113">
        <v>9156</v>
      </c>
      <c r="CE96" s="113">
        <v>21184</v>
      </c>
      <c r="CF96" s="113">
        <v>6090</v>
      </c>
      <c r="CG96" s="113">
        <v>117483</v>
      </c>
      <c r="CH96" s="113">
        <v>217098</v>
      </c>
      <c r="CI96" s="113">
        <v>61951</v>
      </c>
      <c r="CJ96" s="113">
        <v>443864</v>
      </c>
      <c r="CK96" s="158">
        <v>78000</v>
      </c>
      <c r="CL96" s="123">
        <v>2128830</v>
      </c>
      <c r="CN96" s="792"/>
      <c r="CO96" s="792"/>
      <c r="CP96" s="792"/>
    </row>
    <row r="97" spans="1:102">
      <c r="A97" s="80">
        <f>ROWS($A$3:A95)</f>
        <v>93</v>
      </c>
      <c r="B97" s="55" t="s">
        <v>77</v>
      </c>
      <c r="C97" s="203">
        <v>2001</v>
      </c>
      <c r="D97" s="259" t="s">
        <v>13</v>
      </c>
      <c r="E97" s="833">
        <v>40441</v>
      </c>
      <c r="F97" s="154">
        <v>122737</v>
      </c>
      <c r="G97" s="155">
        <v>30239</v>
      </c>
      <c r="H97" s="155">
        <v>82089</v>
      </c>
      <c r="I97" s="156">
        <v>186831</v>
      </c>
      <c r="J97" s="281"/>
      <c r="K97" s="157">
        <f>BF97</f>
        <v>29042</v>
      </c>
      <c r="L97" s="113">
        <f>AY97</f>
        <v>8671</v>
      </c>
      <c r="M97" s="113">
        <f>BD97</f>
        <v>9647</v>
      </c>
      <c r="N97" s="113">
        <f>AW97</f>
        <v>12155</v>
      </c>
      <c r="O97" s="113">
        <f>BE97</f>
        <v>8882</v>
      </c>
      <c r="P97" s="113">
        <f>'2022'!AZ97+'2022'!BA97</f>
        <v>6750</v>
      </c>
      <c r="Q97" s="113">
        <f>'2022'!AU97</f>
        <v>3596</v>
      </c>
      <c r="R97" s="113">
        <f>AT97+AX97</f>
        <v>6359</v>
      </c>
      <c r="S97" s="113">
        <f>AV97</f>
        <v>3597</v>
      </c>
      <c r="T97" s="113">
        <f t="shared" si="219"/>
        <v>9048</v>
      </c>
      <c r="U97" s="112">
        <f t="shared" si="219"/>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220"/>
        <v>10463</v>
      </c>
      <c r="AP97" s="113">
        <f t="shared" si="220"/>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c r="A98" s="80">
        <f>ROWS($A$3:A96)</f>
        <v>94</v>
      </c>
      <c r="B98" s="55" t="s">
        <v>96</v>
      </c>
      <c r="C98" s="203">
        <f>C97</f>
        <v>2001</v>
      </c>
      <c r="D98" s="259" t="s">
        <v>10</v>
      </c>
      <c r="E98" s="833">
        <v>40441</v>
      </c>
      <c r="F98" s="154">
        <v>618865</v>
      </c>
      <c r="G98" s="155">
        <v>149025</v>
      </c>
      <c r="H98" s="155">
        <v>366598</v>
      </c>
      <c r="I98" s="156">
        <v>1009287</v>
      </c>
      <c r="J98" s="281"/>
      <c r="K98" s="157">
        <f>BF98</f>
        <v>150712</v>
      </c>
      <c r="L98" s="113">
        <f>AY98</f>
        <v>42810</v>
      </c>
      <c r="M98" s="113">
        <f>BD98</f>
        <v>45971</v>
      </c>
      <c r="N98" s="113">
        <f>AW98</f>
        <v>57752</v>
      </c>
      <c r="O98" s="113">
        <f>BE98</f>
        <v>42099</v>
      </c>
      <c r="P98" s="113">
        <f>'2022'!AZ98+'2022'!BA98</f>
        <v>34324</v>
      </c>
      <c r="Q98" s="113">
        <f>'2022'!AU98</f>
        <v>18437</v>
      </c>
      <c r="R98" s="113">
        <f>AT98+AX98</f>
        <v>31700</v>
      </c>
      <c r="S98" s="113">
        <f>AV98</f>
        <v>14642</v>
      </c>
      <c r="T98" s="113">
        <f t="shared" si="219"/>
        <v>45007</v>
      </c>
      <c r="U98" s="112">
        <f t="shared" si="219"/>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220"/>
        <v>51966</v>
      </c>
      <c r="AP98" s="113">
        <f t="shared" si="220"/>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c r="A99" s="80">
        <f>ROWS($A$3:A97)</f>
        <v>95</v>
      </c>
      <c r="B99" s="602"/>
      <c r="C99" s="203"/>
      <c r="D99" s="254"/>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c r="A100" s="80">
        <f>ROWS($A$3:A98)</f>
        <v>96</v>
      </c>
      <c r="B100" s="602" t="s">
        <v>255</v>
      </c>
      <c r="C100" s="203">
        <v>2020</v>
      </c>
      <c r="D100" s="254" t="s">
        <v>13</v>
      </c>
      <c r="E100" s="833">
        <v>44858</v>
      </c>
      <c r="F100" s="154">
        <f>SUM(AT100:BF100)</f>
        <v>1898</v>
      </c>
      <c r="G100" s="155">
        <f>SUM(BG100:BR100)</f>
        <v>839</v>
      </c>
      <c r="H100" s="155">
        <f>SUM(BS100:CB100)</f>
        <v>936</v>
      </c>
      <c r="I100" s="156">
        <f>SUM(CC100:CK100)</f>
        <v>405</v>
      </c>
      <c r="J100" s="281"/>
      <c r="K100" s="157">
        <f>BF100</f>
        <v>99</v>
      </c>
      <c r="L100" s="113">
        <f>AY100</f>
        <v>117</v>
      </c>
      <c r="M100" s="113">
        <f>BD100</f>
        <v>130</v>
      </c>
      <c r="N100" s="113">
        <f>AW100</f>
        <v>99</v>
      </c>
      <c r="O100" s="113">
        <f>BE100</f>
        <v>60</v>
      </c>
      <c r="P100" s="605">
        <f>IF(ISERROR(AZ100+BA100),BA100,"FEHLER")</f>
        <v>457</v>
      </c>
      <c r="Q100" s="113">
        <f>AU100</f>
        <v>111</v>
      </c>
      <c r="R100" s="113">
        <f>AX100</f>
        <v>275</v>
      </c>
      <c r="S100" s="113">
        <f>AV100</f>
        <v>343</v>
      </c>
      <c r="T100" s="113">
        <f>BB100</f>
        <v>73</v>
      </c>
      <c r="U100" s="112">
        <f>BC100</f>
        <v>134</v>
      </c>
      <c r="V100" s="113">
        <f>BJ100</f>
        <v>34</v>
      </c>
      <c r="W100" s="113">
        <f>BR100</f>
        <v>23</v>
      </c>
      <c r="X100" s="113">
        <f>BI100</f>
        <v>323</v>
      </c>
      <c r="Y100" s="113">
        <f>BN100</f>
        <v>180</v>
      </c>
      <c r="Z100" s="113">
        <f>BM100</f>
        <v>75</v>
      </c>
      <c r="AA100" s="113">
        <f>BQ100</f>
        <v>188</v>
      </c>
      <c r="AB100" s="112">
        <f>BP100</f>
        <v>16</v>
      </c>
      <c r="AC100" s="113">
        <f>BX100</f>
        <v>58</v>
      </c>
      <c r="AD100" s="113">
        <f>BU100</f>
        <v>123</v>
      </c>
      <c r="AE100" s="113">
        <f>BT100</f>
        <v>164</v>
      </c>
      <c r="AF100" s="113">
        <f>CA100</f>
        <v>81</v>
      </c>
      <c r="AG100" s="113">
        <f>BV100</f>
        <v>253</v>
      </c>
      <c r="AH100" s="113">
        <f>BZ100</f>
        <v>62</v>
      </c>
      <c r="AI100" s="113">
        <f>BW100</f>
        <v>62</v>
      </c>
      <c r="AJ100" s="113">
        <f>BY100</f>
        <v>27</v>
      </c>
      <c r="AK100" s="112">
        <f>CB100</f>
        <v>106</v>
      </c>
      <c r="AL100" s="113">
        <f>CE100</f>
        <v>97</v>
      </c>
      <c r="AM100" s="113">
        <f>CH100</f>
        <v>61</v>
      </c>
      <c r="AN100" s="113">
        <f>CJ100</f>
        <v>18</v>
      </c>
      <c r="AO100" s="113">
        <f>CC100</f>
        <v>34</v>
      </c>
      <c r="AP100" s="113">
        <f>CD100</f>
        <v>29</v>
      </c>
      <c r="AQ100" s="113">
        <f>CK100</f>
        <v>42</v>
      </c>
      <c r="AR100" s="113">
        <f>CI100</f>
        <v>42</v>
      </c>
      <c r="AS100" s="158">
        <f>CG100</f>
        <v>82</v>
      </c>
      <c r="AT100" s="113" t="s">
        <v>304</v>
      </c>
      <c r="AU100" s="113">
        <v>111</v>
      </c>
      <c r="AV100" s="113">
        <v>343</v>
      </c>
      <c r="AW100" s="113">
        <v>99</v>
      </c>
      <c r="AX100" s="113">
        <v>275</v>
      </c>
      <c r="AY100" s="113">
        <v>117</v>
      </c>
      <c r="AZ100" s="113" t="s">
        <v>304</v>
      </c>
      <c r="BA100" s="113">
        <v>457</v>
      </c>
      <c r="BB100" s="113">
        <v>73</v>
      </c>
      <c r="BC100" s="113">
        <v>134</v>
      </c>
      <c r="BD100" s="113">
        <v>130</v>
      </c>
      <c r="BE100" s="113">
        <v>60</v>
      </c>
      <c r="BF100" s="112">
        <v>99</v>
      </c>
      <c r="BG100" s="159" t="s">
        <v>304</v>
      </c>
      <c r="BH100" s="113" t="s">
        <v>304</v>
      </c>
      <c r="BI100" s="113">
        <v>323</v>
      </c>
      <c r="BJ100" s="113">
        <v>34</v>
      </c>
      <c r="BK100" s="113" t="s">
        <v>304</v>
      </c>
      <c r="BL100" s="113" t="s">
        <v>304</v>
      </c>
      <c r="BM100" s="113">
        <v>75</v>
      </c>
      <c r="BN100" s="113">
        <v>180</v>
      </c>
      <c r="BO100" s="159" t="s">
        <v>304</v>
      </c>
      <c r="BP100" s="113">
        <v>16</v>
      </c>
      <c r="BQ100" s="113">
        <v>188</v>
      </c>
      <c r="BR100" s="112">
        <v>23</v>
      </c>
      <c r="BS100" s="159" t="s">
        <v>304</v>
      </c>
      <c r="BT100" s="113">
        <v>164</v>
      </c>
      <c r="BU100" s="113">
        <v>123</v>
      </c>
      <c r="BV100" s="113">
        <v>253</v>
      </c>
      <c r="BW100" s="113">
        <v>62</v>
      </c>
      <c r="BX100" s="113">
        <v>58</v>
      </c>
      <c r="BY100" s="113">
        <v>27</v>
      </c>
      <c r="BZ100" s="113">
        <v>62</v>
      </c>
      <c r="CA100" s="113">
        <v>81</v>
      </c>
      <c r="CB100" s="112">
        <v>106</v>
      </c>
      <c r="CC100" s="113">
        <v>34</v>
      </c>
      <c r="CD100" s="113">
        <v>29</v>
      </c>
      <c r="CE100" s="113">
        <v>97</v>
      </c>
      <c r="CF100" s="113" t="s">
        <v>304</v>
      </c>
      <c r="CG100" s="113">
        <v>82</v>
      </c>
      <c r="CH100" s="113">
        <v>61</v>
      </c>
      <c r="CI100" s="113">
        <v>42</v>
      </c>
      <c r="CJ100" s="113">
        <v>18</v>
      </c>
      <c r="CK100" s="158">
        <v>42</v>
      </c>
      <c r="CL100" s="123">
        <v>4078</v>
      </c>
    </row>
    <row r="101" spans="1:102">
      <c r="A101" s="80">
        <f>ROWS($A$3:A99)</f>
        <v>97</v>
      </c>
      <c r="B101" s="55"/>
      <c r="C101" s="203"/>
      <c r="D101" s="259"/>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c r="A102" s="80">
        <f>ROWS($A$3:A100)</f>
        <v>98</v>
      </c>
      <c r="B102" s="55"/>
      <c r="C102" s="203"/>
      <c r="D102" s="259"/>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'2022'!AZ103+'2022'!BA103</f>
        <v>0</v>
      </c>
      <c r="Q103" s="113">
        <f>'2022'!AU103</f>
        <v>0</v>
      </c>
      <c r="R103" s="113">
        <f>AT103+AX103</f>
        <v>0</v>
      </c>
      <c r="S103" s="113">
        <f>AV103</f>
        <v>0</v>
      </c>
      <c r="T103" s="113">
        <f t="shared" ref="T103:U106" si="221">BB103</f>
        <v>0</v>
      </c>
      <c r="U103" s="112">
        <f t="shared" si="221"/>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222">CC103</f>
        <v>0</v>
      </c>
      <c r="AP103" s="113">
        <f t="shared" si="222"/>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ht="13.5" thickBot="1">
      <c r="A104" s="80">
        <f>ROWS($A$3:A102)</f>
        <v>100</v>
      </c>
      <c r="B104" s="56"/>
      <c r="C104" s="206"/>
      <c r="D104" s="265"/>
      <c r="E104" s="451"/>
      <c r="F104" s="160"/>
      <c r="G104" s="161"/>
      <c r="H104" s="161"/>
      <c r="I104" s="162"/>
      <c r="J104" s="282"/>
      <c r="K104" s="163">
        <f>BF104</f>
        <v>0</v>
      </c>
      <c r="L104" s="164">
        <f>AY104</f>
        <v>0</v>
      </c>
      <c r="M104" s="164">
        <f>BD104</f>
        <v>0</v>
      </c>
      <c r="N104" s="164">
        <f>AW104</f>
        <v>0</v>
      </c>
      <c r="O104" s="164">
        <f>BE104</f>
        <v>0</v>
      </c>
      <c r="P104" s="164">
        <f>'2022'!AZ104+'2022'!BA104</f>
        <v>0</v>
      </c>
      <c r="Q104" s="164">
        <f>'2022'!AU104</f>
        <v>0</v>
      </c>
      <c r="R104" s="164">
        <f>AT104+AX104</f>
        <v>0</v>
      </c>
      <c r="S104" s="164">
        <f>AV104</f>
        <v>0</v>
      </c>
      <c r="T104" s="164">
        <f t="shared" si="221"/>
        <v>0</v>
      </c>
      <c r="U104" s="114">
        <f t="shared" si="221"/>
        <v>0</v>
      </c>
      <c r="V104" s="164">
        <f>BG104+BJ104</f>
        <v>0</v>
      </c>
      <c r="W104" s="164">
        <f>BR104</f>
        <v>0</v>
      </c>
      <c r="X104" s="164">
        <f>BH104+BI104</f>
        <v>0</v>
      </c>
      <c r="Y104" s="164">
        <f>BK104+BL104+BN104</f>
        <v>0</v>
      </c>
      <c r="Z104" s="164">
        <f>BM104</f>
        <v>0</v>
      </c>
      <c r="AA104" s="164">
        <f>BO104+BQ104</f>
        <v>0</v>
      </c>
      <c r="AB104" s="114">
        <f>BP104</f>
        <v>0</v>
      </c>
      <c r="AC104" s="164">
        <f>BX104</f>
        <v>0</v>
      </c>
      <c r="AD104" s="164">
        <f>BU104</f>
        <v>0</v>
      </c>
      <c r="AE104" s="164">
        <f>BS104+BT104</f>
        <v>0</v>
      </c>
      <c r="AF104" s="164">
        <f>CA104</f>
        <v>0</v>
      </c>
      <c r="AG104" s="164">
        <f>BV104</f>
        <v>0</v>
      </c>
      <c r="AH104" s="164">
        <f>BZ104</f>
        <v>0</v>
      </c>
      <c r="AI104" s="164">
        <f>BW104</f>
        <v>0</v>
      </c>
      <c r="AJ104" s="164">
        <f>BY104</f>
        <v>0</v>
      </c>
      <c r="AK104" s="114">
        <f>CB104</f>
        <v>0</v>
      </c>
      <c r="AL104" s="164">
        <f>CE104</f>
        <v>0</v>
      </c>
      <c r="AM104" s="164">
        <f>CH104</f>
        <v>0</v>
      </c>
      <c r="AN104" s="164">
        <f>CJ104</f>
        <v>0</v>
      </c>
      <c r="AO104" s="164">
        <f t="shared" si="222"/>
        <v>0</v>
      </c>
      <c r="AP104" s="164">
        <f t="shared" si="222"/>
        <v>0</v>
      </c>
      <c r="AQ104" s="164">
        <f>CK104</f>
        <v>0</v>
      </c>
      <c r="AR104" s="164">
        <f>CI104</f>
        <v>0</v>
      </c>
      <c r="AS104" s="165">
        <f>CF104+CG104</f>
        <v>0</v>
      </c>
      <c r="AT104" s="164"/>
      <c r="AU104" s="164"/>
      <c r="AV104" s="164"/>
      <c r="AW104" s="164"/>
      <c r="AX104" s="164"/>
      <c r="AY104" s="164"/>
      <c r="AZ104" s="164"/>
      <c r="BA104" s="164"/>
      <c r="BB104" s="164"/>
      <c r="BC104" s="164"/>
      <c r="BD104" s="164"/>
      <c r="BE104" s="164"/>
      <c r="BF104" s="114"/>
      <c r="BG104" s="166"/>
      <c r="BH104" s="164"/>
      <c r="BI104" s="164"/>
      <c r="BJ104" s="164"/>
      <c r="BK104" s="164"/>
      <c r="BL104" s="164"/>
      <c r="BM104" s="164"/>
      <c r="BN104" s="164"/>
      <c r="BO104" s="166"/>
      <c r="BP104" s="164"/>
      <c r="BQ104" s="164"/>
      <c r="BR104" s="114"/>
      <c r="BS104" s="166"/>
      <c r="BT104" s="164"/>
      <c r="BU104" s="164"/>
      <c r="BV104" s="164"/>
      <c r="BW104" s="164"/>
      <c r="BX104" s="164"/>
      <c r="BY104" s="164"/>
      <c r="BZ104" s="164"/>
      <c r="CA104" s="164"/>
      <c r="CB104" s="114"/>
      <c r="CC104" s="164"/>
      <c r="CD104" s="164"/>
      <c r="CE104" s="164"/>
      <c r="CF104" s="164"/>
      <c r="CG104" s="164"/>
      <c r="CH104" s="164"/>
      <c r="CI104" s="164"/>
      <c r="CJ104" s="164"/>
      <c r="CK104" s="165"/>
      <c r="CL104" s="124"/>
    </row>
    <row r="105" spans="1:1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'2022'!AZ105+'2022'!BA105</f>
        <v>0</v>
      </c>
      <c r="Q105" s="113">
        <f>'2022'!AU105</f>
        <v>0</v>
      </c>
      <c r="R105" s="113">
        <f>AT105+AX105</f>
        <v>0</v>
      </c>
      <c r="S105" s="113">
        <f>AV105</f>
        <v>0</v>
      </c>
      <c r="T105" s="113">
        <f t="shared" si="221"/>
        <v>0</v>
      </c>
      <c r="U105" s="112">
        <f t="shared" si="221"/>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222"/>
        <v>0</v>
      </c>
      <c r="AP105" s="113">
        <f t="shared" si="222"/>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'2022'!AZ106+'2022'!BA106</f>
        <v>0</v>
      </c>
      <c r="Q106" s="164">
        <f>'2022'!AU106</f>
        <v>0</v>
      </c>
      <c r="R106" s="164">
        <f>AT106+AX106</f>
        <v>0</v>
      </c>
      <c r="S106" s="164">
        <f>AV106</f>
        <v>0</v>
      </c>
      <c r="T106" s="164">
        <f t="shared" si="221"/>
        <v>0</v>
      </c>
      <c r="U106" s="114">
        <f t="shared" si="221"/>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222"/>
        <v>0</v>
      </c>
      <c r="AP106" s="164">
        <f t="shared" si="222"/>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c r="B107" s="57"/>
      <c r="C107" s="203"/>
      <c r="D107" s="48"/>
      <c r="E107" s="449"/>
      <c r="F107" s="155">
        <f t="shared" ref="F107:AK107" si="223">SUM(F7:F92)</f>
        <v>16517785.044338554</v>
      </c>
      <c r="G107" s="155">
        <f t="shared" si="223"/>
        <v>9850536.5183711518</v>
      </c>
      <c r="H107" s="155">
        <f t="shared" si="223"/>
        <v>10130760.456897033</v>
      </c>
      <c r="I107" s="155">
        <f t="shared" si="223"/>
        <v>10237731.716880586</v>
      </c>
      <c r="J107" s="155">
        <f t="shared" si="223"/>
        <v>0</v>
      </c>
      <c r="K107" s="155">
        <f t="shared" si="223"/>
        <v>1694104.1747125296</v>
      </c>
      <c r="L107" s="155">
        <f t="shared" si="223"/>
        <v>1431575.3686192215</v>
      </c>
      <c r="M107" s="155">
        <f t="shared" si="223"/>
        <v>1204650.6288213017</v>
      </c>
      <c r="N107" s="155">
        <f t="shared" si="223"/>
        <v>1000875.984018562</v>
      </c>
      <c r="O107" s="155">
        <f t="shared" si="223"/>
        <v>728177.98976502754</v>
      </c>
      <c r="P107" s="155">
        <f t="shared" si="223"/>
        <v>1859365.5106472371</v>
      </c>
      <c r="Q107" s="155">
        <f t="shared" si="223"/>
        <v>1364771.0055904181</v>
      </c>
      <c r="R107" s="155">
        <f t="shared" si="223"/>
        <v>3432431.7754513966</v>
      </c>
      <c r="S107" s="155">
        <f t="shared" si="223"/>
        <v>1603063.3181727421</v>
      </c>
      <c r="T107" s="155">
        <f t="shared" si="223"/>
        <v>888694.16921890806</v>
      </c>
      <c r="U107" s="155">
        <f t="shared" si="223"/>
        <v>1715839.5831414289</v>
      </c>
      <c r="V107" s="155">
        <f t="shared" si="223"/>
        <v>1105945.4498752274</v>
      </c>
      <c r="W107" s="155">
        <f t="shared" si="223"/>
        <v>710872.490097926</v>
      </c>
      <c r="X107" s="155">
        <f t="shared" si="223"/>
        <v>2466018.3336357442</v>
      </c>
      <c r="Y107" s="155">
        <f t="shared" si="223"/>
        <v>2905867.2313202093</v>
      </c>
      <c r="Z107" s="155">
        <f t="shared" si="223"/>
        <v>934188.83206342778</v>
      </c>
      <c r="AA107" s="155">
        <f t="shared" si="223"/>
        <v>1123663.3395381588</v>
      </c>
      <c r="AB107" s="155">
        <f t="shared" si="223"/>
        <v>776624.57014967746</v>
      </c>
      <c r="AC107" s="155">
        <f t="shared" si="223"/>
        <v>1070711.9471840214</v>
      </c>
      <c r="AD107" s="155" t="e">
        <f t="shared" si="223"/>
        <v>#VALUE!</v>
      </c>
      <c r="AE107" s="155">
        <f t="shared" si="223"/>
        <v>1954047.0322720441</v>
      </c>
      <c r="AF107" s="155">
        <f t="shared" si="223"/>
        <v>932424.80504491983</v>
      </c>
      <c r="AG107" s="155">
        <f t="shared" si="223"/>
        <v>1944356.6925406076</v>
      </c>
      <c r="AH107" s="155">
        <f t="shared" si="223"/>
        <v>1103006.9031561555</v>
      </c>
      <c r="AI107" s="155">
        <f t="shared" si="223"/>
        <v>794458.89173332683</v>
      </c>
      <c r="AJ107" s="155">
        <f t="shared" si="223"/>
        <v>827794.56188111147</v>
      </c>
      <c r="AK107" s="155">
        <f t="shared" si="223"/>
        <v>991134.37264360394</v>
      </c>
      <c r="AL107" s="155">
        <f t="shared" ref="AL107:CL107" si="224">SUM(AL7:AL92)</f>
        <v>1050500.0875217083</v>
      </c>
      <c r="AM107" s="155">
        <f t="shared" si="224"/>
        <v>1481886.8934119511</v>
      </c>
      <c r="AN107" s="155">
        <f t="shared" si="224"/>
        <v>1784676.7781418846</v>
      </c>
      <c r="AO107" s="155">
        <f t="shared" si="224"/>
        <v>1355128.7548963504</v>
      </c>
      <c r="AP107" s="155">
        <f t="shared" si="224"/>
        <v>921114.38671320048</v>
      </c>
      <c r="AQ107" s="155">
        <f t="shared" si="224"/>
        <v>1122981.3377509227</v>
      </c>
      <c r="AR107" s="155">
        <f t="shared" si="224"/>
        <v>846585.9437201299</v>
      </c>
      <c r="AS107" s="155">
        <f t="shared" si="224"/>
        <v>1924530.0668676647</v>
      </c>
      <c r="AT107" s="155">
        <f t="shared" si="224"/>
        <v>1734354.3057789165</v>
      </c>
      <c r="AU107" s="155">
        <f t="shared" si="224"/>
        <v>1365963.3774459409</v>
      </c>
      <c r="AV107" s="155">
        <f t="shared" si="224"/>
        <v>1603063.3181727421</v>
      </c>
      <c r="AW107" s="155">
        <f t="shared" si="224"/>
        <v>1000875.984018562</v>
      </c>
      <c r="AX107" s="155">
        <f t="shared" si="224"/>
        <v>1703057.6684452435</v>
      </c>
      <c r="AY107" s="155">
        <f t="shared" si="224"/>
        <v>1431575.3686192215</v>
      </c>
      <c r="AZ107" s="155">
        <f t="shared" si="224"/>
        <v>379364.87325897702</v>
      </c>
      <c r="BA107" s="155">
        <f t="shared" si="224"/>
        <v>1481680.1216026882</v>
      </c>
      <c r="BB107" s="155">
        <f t="shared" si="224"/>
        <v>888694.16921890806</v>
      </c>
      <c r="BC107" s="155">
        <f t="shared" si="224"/>
        <v>1715839.5831414289</v>
      </c>
      <c r="BD107" s="155">
        <f t="shared" si="224"/>
        <v>1204650.6288213017</v>
      </c>
      <c r="BE107" s="155">
        <f t="shared" si="224"/>
        <v>728177.98976502754</v>
      </c>
      <c r="BF107" s="155">
        <f t="shared" si="224"/>
        <v>1693540.1747125296</v>
      </c>
      <c r="BG107" s="155">
        <f t="shared" si="224"/>
        <v>197827.61526411271</v>
      </c>
      <c r="BH107" s="155">
        <f t="shared" si="224"/>
        <v>832379.7913212839</v>
      </c>
      <c r="BI107" s="155">
        <f t="shared" si="224"/>
        <v>1639512.4052844099</v>
      </c>
      <c r="BJ107" s="155">
        <f t="shared" si="224"/>
        <v>907952.78417345765</v>
      </c>
      <c r="BK107" s="155">
        <f t="shared" si="224"/>
        <v>432597.40751572087</v>
      </c>
      <c r="BL107" s="155">
        <f t="shared" si="224"/>
        <v>825715.97851198178</v>
      </c>
      <c r="BM107" s="155">
        <f t="shared" si="224"/>
        <v>934188.83206342778</v>
      </c>
      <c r="BN107" s="155">
        <f t="shared" si="224"/>
        <v>1654294.6388704202</v>
      </c>
      <c r="BO107" s="155">
        <f t="shared" si="224"/>
        <v>309499.95127775276</v>
      </c>
      <c r="BP107" s="155">
        <f t="shared" si="224"/>
        <v>737178.57014967757</v>
      </c>
      <c r="BQ107" s="155">
        <f t="shared" si="224"/>
        <v>865029.78057681816</v>
      </c>
      <c r="BR107" s="155">
        <f t="shared" si="224"/>
        <v>710872.490097926</v>
      </c>
      <c r="BS107" s="155">
        <f t="shared" si="224"/>
        <v>636416.72904987249</v>
      </c>
      <c r="BT107" s="155">
        <f t="shared" si="224"/>
        <v>1321343.1082658747</v>
      </c>
      <c r="BU107" s="155" t="e">
        <f t="shared" si="224"/>
        <v>#VALUE!</v>
      </c>
      <c r="BV107" s="155">
        <f t="shared" si="224"/>
        <v>1944356.6925406076</v>
      </c>
      <c r="BW107" s="155">
        <f t="shared" si="224"/>
        <v>794458.89173332683</v>
      </c>
      <c r="BX107" s="155">
        <f t="shared" si="224"/>
        <v>1070711.9471840214</v>
      </c>
      <c r="BY107" s="155">
        <f t="shared" si="224"/>
        <v>827794.56188111147</v>
      </c>
      <c r="BZ107" s="155">
        <f t="shared" si="224"/>
        <v>1103006.9031561555</v>
      </c>
      <c r="CA107" s="155">
        <f t="shared" si="224"/>
        <v>932424.80504491983</v>
      </c>
      <c r="CB107" s="155">
        <f t="shared" si="224"/>
        <v>991134.37264360394</v>
      </c>
      <c r="CC107" s="155">
        <f t="shared" si="224"/>
        <v>1355128.7548963504</v>
      </c>
      <c r="CD107" s="155">
        <f t="shared" si="224"/>
        <v>921114.38671320048</v>
      </c>
      <c r="CE107" s="155">
        <f t="shared" si="224"/>
        <v>1050500.0875217083</v>
      </c>
      <c r="CF107" s="155">
        <f t="shared" si="224"/>
        <v>443893.94419484818</v>
      </c>
      <c r="CG107" s="155">
        <f t="shared" si="224"/>
        <v>1492890.8456719797</v>
      </c>
      <c r="CH107" s="155">
        <f t="shared" si="224"/>
        <v>1481886.8934119511</v>
      </c>
      <c r="CI107" s="155">
        <f t="shared" si="224"/>
        <v>846585.9437201299</v>
      </c>
      <c r="CJ107" s="155">
        <f t="shared" si="224"/>
        <v>1784676.7781418846</v>
      </c>
      <c r="CK107" s="155">
        <f t="shared" si="224"/>
        <v>1122981.3377509227</v>
      </c>
      <c r="CL107" s="155">
        <f t="shared" si="224"/>
        <v>46623175.859176308</v>
      </c>
    </row>
    <row r="108" spans="1:102">
      <c r="B108" s="71" t="s">
        <v>477</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Q110" s="126"/>
      <c r="CR110" s="126"/>
      <c r="CS110" s="126"/>
      <c r="CT110" s="126"/>
      <c r="CU110" s="126"/>
      <c r="CV110" s="126"/>
      <c r="CW110" s="126"/>
      <c r="CX110" s="126"/>
    </row>
    <row r="111" spans="1:102" ht="1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Q111" s="126"/>
      <c r="CR111" s="126"/>
      <c r="CS111" s="126"/>
      <c r="CT111" s="126"/>
      <c r="CU111" s="126"/>
      <c r="CV111" s="126"/>
      <c r="CW111" s="126"/>
      <c r="CX111" s="126"/>
    </row>
    <row r="112" spans="1:102" ht="15">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07"/>
    </row>
    <row r="113" spans="1:94" ht="15">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c r="CM113" s="508"/>
      <c r="CN113" s="126"/>
      <c r="CO113" s="126"/>
      <c r="CP113" s="126"/>
    </row>
    <row r="114" spans="1:94">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N114" s="126"/>
      <c r="CO114" s="126"/>
      <c r="CP114" s="126"/>
    </row>
    <row r="115" spans="1:94">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4">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4" s="69" customFormat="1">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'2022'!AZ117+'2022'!BA117</f>
        <v>5400</v>
      </c>
      <c r="Q117" s="323">
        <f>'2022'!AU117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c r="CM117"/>
      <c r="CN117"/>
      <c r="CO117"/>
      <c r="CP117"/>
    </row>
    <row r="118" spans="1:94" s="69" customFormat="1">
      <c r="A118" s="327"/>
      <c r="B118" s="331" t="s">
        <v>271</v>
      </c>
      <c r="C118" s="593">
        <v>2020</v>
      </c>
      <c r="D118" s="329" t="s">
        <v>285</v>
      </c>
      <c r="E118" s="713">
        <v>45141</v>
      </c>
      <c r="F118" s="712">
        <v>849</v>
      </c>
      <c r="G118" s="712">
        <v>335</v>
      </c>
      <c r="H118" s="712">
        <v>562</v>
      </c>
      <c r="I118" s="712">
        <v>664</v>
      </c>
      <c r="J118" s="324"/>
      <c r="K118" s="323">
        <f>BF118</f>
        <v>102</v>
      </c>
      <c r="L118" s="324">
        <f>AY118</f>
        <v>62</v>
      </c>
      <c r="M118" s="324">
        <f>BD118</f>
        <v>73</v>
      </c>
      <c r="N118" s="324">
        <f>AW118</f>
        <v>43</v>
      </c>
      <c r="O118" s="324">
        <f>BE118</f>
        <v>45</v>
      </c>
      <c r="P118" s="423">
        <f>AZ118+BA118</f>
        <v>131</v>
      </c>
      <c r="Q118" s="323">
        <f>AU118</f>
        <v>27</v>
      </c>
      <c r="R118" s="423">
        <f>AT118+AX118</f>
        <v>95</v>
      </c>
      <c r="S118" s="324">
        <f>AV118</f>
        <v>38</v>
      </c>
      <c r="T118" s="324">
        <f>BB118</f>
        <v>86</v>
      </c>
      <c r="U118" s="323">
        <f>BC118</f>
        <v>149</v>
      </c>
      <c r="V118" s="423">
        <f>BG118+BJ118</f>
        <v>39</v>
      </c>
      <c r="W118" s="324">
        <f>BR118</f>
        <v>29</v>
      </c>
      <c r="X118" s="423">
        <f>BH118+BI118</f>
        <v>68</v>
      </c>
      <c r="Y118" s="423">
        <f>BK118+BL118+BN118</f>
        <v>80</v>
      </c>
      <c r="Z118" s="324">
        <f>BM118</f>
        <v>57</v>
      </c>
      <c r="AA118" s="423">
        <f>BO118+BQ118</f>
        <v>27</v>
      </c>
      <c r="AB118" s="323">
        <f>BP118</f>
        <v>35</v>
      </c>
      <c r="AC118" s="324">
        <f>BX118</f>
        <v>43</v>
      </c>
      <c r="AD118" s="324">
        <f>BU118</f>
        <v>50</v>
      </c>
      <c r="AE118" s="423">
        <f>BS118+BT118</f>
        <v>136</v>
      </c>
      <c r="AF118" s="324">
        <f>CA118</f>
        <v>38</v>
      </c>
      <c r="AG118" s="324">
        <f>BV118</f>
        <v>135</v>
      </c>
      <c r="AH118" s="324">
        <f>BZ118</f>
        <v>59</v>
      </c>
      <c r="AI118" s="324">
        <f>BW118</f>
        <v>31</v>
      </c>
      <c r="AJ118" s="324">
        <f>BY118</f>
        <v>25</v>
      </c>
      <c r="AK118" s="323">
        <f>CB118</f>
        <v>45</v>
      </c>
      <c r="AL118" s="324">
        <f>CE118</f>
        <v>40</v>
      </c>
      <c r="AM118" s="324">
        <f>CH118</f>
        <v>120</v>
      </c>
      <c r="AN118" s="324">
        <f>CJ118</f>
        <v>152</v>
      </c>
      <c r="AO118" s="324">
        <f>CC118</f>
        <v>45</v>
      </c>
      <c r="AP118" s="324">
        <f>CD118</f>
        <v>31</v>
      </c>
      <c r="AQ118" s="324">
        <f>CK118</f>
        <v>70</v>
      </c>
      <c r="AR118" s="324">
        <f>CI118</f>
        <v>90</v>
      </c>
      <c r="AS118" s="423">
        <f>CF118+CG118</f>
        <v>116</v>
      </c>
      <c r="AT118" s="712">
        <v>18</v>
      </c>
      <c r="AU118" s="712">
        <v>27</v>
      </c>
      <c r="AV118" s="712">
        <v>38</v>
      </c>
      <c r="AW118" s="712">
        <v>43</v>
      </c>
      <c r="AX118" s="712">
        <v>77</v>
      </c>
      <c r="AY118" s="712">
        <v>62</v>
      </c>
      <c r="AZ118" s="712">
        <v>15</v>
      </c>
      <c r="BA118" s="712">
        <v>116</v>
      </c>
      <c r="BB118" s="712">
        <v>86</v>
      </c>
      <c r="BC118" s="712">
        <v>149</v>
      </c>
      <c r="BD118" s="712">
        <v>73</v>
      </c>
      <c r="BE118" s="712">
        <v>45</v>
      </c>
      <c r="BF118" s="712">
        <v>102</v>
      </c>
      <c r="BG118" s="712">
        <v>8</v>
      </c>
      <c r="BH118" s="712">
        <v>11</v>
      </c>
      <c r="BI118" s="712">
        <v>57</v>
      </c>
      <c r="BJ118" s="712">
        <v>31</v>
      </c>
      <c r="BK118" s="712">
        <v>8</v>
      </c>
      <c r="BL118" s="712">
        <v>5</v>
      </c>
      <c r="BM118" s="712">
        <v>57</v>
      </c>
      <c r="BN118" s="712">
        <v>67</v>
      </c>
      <c r="BO118" s="712">
        <v>5</v>
      </c>
      <c r="BP118" s="712">
        <v>35</v>
      </c>
      <c r="BQ118" s="712">
        <v>22</v>
      </c>
      <c r="BR118" s="712">
        <v>29</v>
      </c>
      <c r="BS118" s="712">
        <v>15</v>
      </c>
      <c r="BT118" s="712">
        <v>121</v>
      </c>
      <c r="BU118" s="712">
        <v>50</v>
      </c>
      <c r="BV118" s="712">
        <v>135</v>
      </c>
      <c r="BW118" s="712">
        <v>31</v>
      </c>
      <c r="BX118" s="712">
        <v>43</v>
      </c>
      <c r="BY118" s="712">
        <v>25</v>
      </c>
      <c r="BZ118" s="712">
        <v>59</v>
      </c>
      <c r="CA118" s="712">
        <v>38</v>
      </c>
      <c r="CB118" s="712">
        <v>45</v>
      </c>
      <c r="CC118" s="712">
        <v>45</v>
      </c>
      <c r="CD118" s="712">
        <v>31</v>
      </c>
      <c r="CE118" s="712">
        <v>40</v>
      </c>
      <c r="CF118" s="712">
        <v>13</v>
      </c>
      <c r="CG118" s="712">
        <v>103</v>
      </c>
      <c r="CH118" s="712">
        <v>120</v>
      </c>
      <c r="CI118" s="712">
        <v>90</v>
      </c>
      <c r="CJ118" s="712">
        <v>152</v>
      </c>
      <c r="CK118" s="712">
        <v>70</v>
      </c>
      <c r="CL118" s="712">
        <v>2410</v>
      </c>
      <c r="CM118"/>
      <c r="CN118"/>
      <c r="CO118"/>
      <c r="CP118"/>
    </row>
    <row r="119" spans="1:94" s="69" customFormat="1">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c r="CN119"/>
      <c r="CO119"/>
      <c r="CP119"/>
    </row>
    <row r="120" spans="1:94"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4"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4"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4" s="69" customFormat="1">
      <c r="B123" s="328" t="s">
        <v>486</v>
      </c>
      <c r="C123" s="585">
        <v>2022</v>
      </c>
      <c r="D123" s="69" t="s">
        <v>13</v>
      </c>
      <c r="E123" s="486">
        <v>45110</v>
      </c>
      <c r="F123" s="477">
        <v>1520</v>
      </c>
      <c r="G123" s="477">
        <v>317</v>
      </c>
      <c r="H123" s="477">
        <v>1367</v>
      </c>
      <c r="I123" s="477">
        <v>2274</v>
      </c>
      <c r="J123" s="488"/>
      <c r="K123" s="488">
        <f>BF123</f>
        <v>376</v>
      </c>
      <c r="L123" s="488">
        <f>AY123</f>
        <v>129</v>
      </c>
      <c r="M123" s="488">
        <f>BD123</f>
        <v>106</v>
      </c>
      <c r="N123" s="488">
        <f>AW123</f>
        <v>165</v>
      </c>
      <c r="O123" s="488">
        <f>BE123</f>
        <v>101</v>
      </c>
      <c r="P123" s="488">
        <f>AZ123+BA123</f>
        <v>55</v>
      </c>
      <c r="Q123" s="488">
        <f>AU123</f>
        <v>46</v>
      </c>
      <c r="R123" s="488">
        <f t="shared" ref="R123" si="225">AT123+AX123</f>
        <v>74</v>
      </c>
      <c r="S123" s="488">
        <f>AV123</f>
        <v>45</v>
      </c>
      <c r="T123" s="488">
        <f t="shared" ref="T123:U123" si="226">BB123</f>
        <v>116</v>
      </c>
      <c r="U123" s="488">
        <f t="shared" si="226"/>
        <v>307</v>
      </c>
      <c r="V123" s="488">
        <f>BG123+BJ123</f>
        <v>7</v>
      </c>
      <c r="W123" s="488">
        <f>BR123</f>
        <v>58</v>
      </c>
      <c r="X123" s="488">
        <f>BH123+BI123</f>
        <v>18</v>
      </c>
      <c r="Y123" s="488">
        <f>BK123+BL123+BN123</f>
        <v>40</v>
      </c>
      <c r="Z123" s="488">
        <f>BM123</f>
        <v>92</v>
      </c>
      <c r="AA123" s="488">
        <f>BO123+BQ123</f>
        <v>43</v>
      </c>
      <c r="AB123" s="488">
        <f>BP123</f>
        <v>59</v>
      </c>
      <c r="AC123" s="488">
        <f>BX123</f>
        <v>279</v>
      </c>
      <c r="AD123" s="488">
        <f>BU123</f>
        <v>87</v>
      </c>
      <c r="AE123" s="488">
        <f>BS123+BT123</f>
        <v>277</v>
      </c>
      <c r="AF123" s="488">
        <f>CA123</f>
        <v>73</v>
      </c>
      <c r="AG123" s="488">
        <f>BV123</f>
        <v>187</v>
      </c>
      <c r="AH123" s="488">
        <f>BZ123</f>
        <v>126</v>
      </c>
      <c r="AI123" s="488">
        <f>BW123</f>
        <v>96</v>
      </c>
      <c r="AJ123" s="488">
        <f>BY123</f>
        <v>67</v>
      </c>
      <c r="AK123" s="488">
        <f>CB123</f>
        <v>175</v>
      </c>
      <c r="AL123" s="488">
        <f>CE123</f>
        <v>46</v>
      </c>
      <c r="AM123" s="488">
        <f>CH123</f>
        <v>459</v>
      </c>
      <c r="AN123" s="488">
        <f>CJ123</f>
        <v>1011</v>
      </c>
      <c r="AO123" s="488">
        <f t="shared" ref="AO123:AP123" si="227">CC123</f>
        <v>106</v>
      </c>
      <c r="AP123" s="488">
        <f t="shared" si="227"/>
        <v>17</v>
      </c>
      <c r="AQ123" s="488">
        <f>CK123</f>
        <v>187</v>
      </c>
      <c r="AR123" s="488">
        <f>CI123</f>
        <v>156</v>
      </c>
      <c r="AS123" s="488">
        <f>CF123+CG123</f>
        <v>292</v>
      </c>
      <c r="AT123" s="489">
        <v>10</v>
      </c>
      <c r="AU123" s="489">
        <v>46</v>
      </c>
      <c r="AV123" s="489">
        <v>45</v>
      </c>
      <c r="AW123" s="489">
        <v>165</v>
      </c>
      <c r="AX123" s="489">
        <v>64</v>
      </c>
      <c r="AY123" s="489">
        <v>129</v>
      </c>
      <c r="AZ123" s="489">
        <v>1</v>
      </c>
      <c r="BA123" s="489">
        <v>54</v>
      </c>
      <c r="BB123" s="489">
        <v>116</v>
      </c>
      <c r="BC123" s="489">
        <v>307</v>
      </c>
      <c r="BD123" s="489">
        <v>106</v>
      </c>
      <c r="BE123" s="489">
        <v>101</v>
      </c>
      <c r="BF123" s="489">
        <v>376</v>
      </c>
      <c r="BG123" s="489"/>
      <c r="BH123" s="489">
        <v>2</v>
      </c>
      <c r="BI123" s="489">
        <v>16</v>
      </c>
      <c r="BJ123" s="489">
        <v>7</v>
      </c>
      <c r="BK123" s="489"/>
      <c r="BL123" s="489"/>
      <c r="BM123" s="489">
        <v>92</v>
      </c>
      <c r="BN123" s="489">
        <v>40</v>
      </c>
      <c r="BO123" s="489">
        <v>1</v>
      </c>
      <c r="BP123" s="489">
        <v>59</v>
      </c>
      <c r="BQ123" s="489">
        <v>42</v>
      </c>
      <c r="BR123" s="489">
        <v>58</v>
      </c>
      <c r="BS123" s="489">
        <v>4</v>
      </c>
      <c r="BT123" s="489">
        <v>273</v>
      </c>
      <c r="BU123" s="489">
        <v>87</v>
      </c>
      <c r="BV123" s="489">
        <v>187</v>
      </c>
      <c r="BW123" s="489">
        <v>96</v>
      </c>
      <c r="BX123" s="489">
        <v>279</v>
      </c>
      <c r="BY123" s="489">
        <v>67</v>
      </c>
      <c r="BZ123" s="489">
        <v>126</v>
      </c>
      <c r="CA123" s="489">
        <v>73</v>
      </c>
      <c r="CB123" s="489">
        <v>175</v>
      </c>
      <c r="CC123" s="323">
        <v>106</v>
      </c>
      <c r="CD123" s="323">
        <v>17</v>
      </c>
      <c r="CE123" s="323">
        <v>46</v>
      </c>
      <c r="CF123" s="323">
        <v>13</v>
      </c>
      <c r="CG123" s="323">
        <v>279</v>
      </c>
      <c r="CH123" s="323">
        <v>459</v>
      </c>
      <c r="CI123" s="323">
        <v>156</v>
      </c>
      <c r="CJ123" s="323">
        <v>1011</v>
      </c>
      <c r="CK123" s="323">
        <v>187</v>
      </c>
      <c r="CL123">
        <v>5478</v>
      </c>
    </row>
    <row r="124" spans="1:94" s="69" customFormat="1" ht="11.25">
      <c r="B124" s="328" t="s">
        <v>236</v>
      </c>
      <c r="C124" s="322">
        <v>2020</v>
      </c>
      <c r="D124" s="69" t="s">
        <v>13</v>
      </c>
      <c r="E124" s="723">
        <v>44379</v>
      </c>
      <c r="F124" s="722" t="s">
        <v>470</v>
      </c>
      <c r="G124" s="722" t="s">
        <v>471</v>
      </c>
      <c r="H124" s="722" t="s">
        <v>472</v>
      </c>
      <c r="I124" s="722" t="s">
        <v>473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722" t="s">
        <v>41</v>
      </c>
      <c r="AU124" s="722" t="s">
        <v>436</v>
      </c>
      <c r="AV124" s="722" t="s">
        <v>437</v>
      </c>
      <c r="AW124" s="722" t="s">
        <v>438</v>
      </c>
      <c r="AX124" s="722" t="s">
        <v>438</v>
      </c>
      <c r="AY124" s="722" t="s">
        <v>439</v>
      </c>
      <c r="AZ124" s="722" t="s">
        <v>440</v>
      </c>
      <c r="BA124" s="722" t="s">
        <v>441</v>
      </c>
      <c r="BB124" s="722" t="s">
        <v>442</v>
      </c>
      <c r="BC124" s="722" t="s">
        <v>443</v>
      </c>
      <c r="BD124" s="722" t="s">
        <v>444</v>
      </c>
      <c r="BE124" s="722" t="s">
        <v>445</v>
      </c>
      <c r="BF124" s="722" t="s">
        <v>351</v>
      </c>
      <c r="BG124" s="722" t="s">
        <v>41</v>
      </c>
      <c r="BH124" s="722" t="s">
        <v>446</v>
      </c>
      <c r="BI124" s="722" t="s">
        <v>447</v>
      </c>
      <c r="BJ124" s="722" t="s">
        <v>448</v>
      </c>
      <c r="BK124" s="722" t="s">
        <v>446</v>
      </c>
      <c r="BL124" s="722" t="s">
        <v>440</v>
      </c>
      <c r="BM124" s="722" t="s">
        <v>449</v>
      </c>
      <c r="BN124" s="722" t="s">
        <v>436</v>
      </c>
      <c r="BO124" s="722" t="s">
        <v>450</v>
      </c>
      <c r="BP124" s="722" t="s">
        <v>451</v>
      </c>
      <c r="BQ124" s="722" t="s">
        <v>452</v>
      </c>
      <c r="BR124" s="722" t="s">
        <v>453</v>
      </c>
      <c r="BS124" s="722" t="s">
        <v>450</v>
      </c>
      <c r="BT124" s="722" t="s">
        <v>454</v>
      </c>
      <c r="BU124" s="722" t="s">
        <v>455</v>
      </c>
      <c r="BV124" s="722" t="s">
        <v>456</v>
      </c>
      <c r="BW124" s="722" t="s">
        <v>457</v>
      </c>
      <c r="BX124" s="722" t="s">
        <v>458</v>
      </c>
      <c r="BY124" s="722" t="s">
        <v>459</v>
      </c>
      <c r="BZ124" s="722" t="s">
        <v>460</v>
      </c>
      <c r="CA124" s="722" t="s">
        <v>461</v>
      </c>
      <c r="CB124" s="722" t="s">
        <v>445</v>
      </c>
      <c r="CC124" s="722" t="s">
        <v>462</v>
      </c>
      <c r="CD124" s="722" t="s">
        <v>463</v>
      </c>
      <c r="CE124" s="722" t="s">
        <v>452</v>
      </c>
      <c r="CF124" s="722" t="s">
        <v>464</v>
      </c>
      <c r="CG124" s="722" t="s">
        <v>465</v>
      </c>
      <c r="CH124" s="722" t="s">
        <v>466</v>
      </c>
      <c r="CI124" s="722" t="s">
        <v>461</v>
      </c>
      <c r="CJ124" s="722" t="s">
        <v>467</v>
      </c>
      <c r="CK124" s="722" t="s">
        <v>468</v>
      </c>
      <c r="CL124" s="722" t="s">
        <v>469</v>
      </c>
    </row>
    <row r="125" spans="1:94" s="329" customFormat="1" ht="11.25">
      <c r="B125" s="334" t="s">
        <v>237</v>
      </c>
      <c r="C125" s="721">
        <v>2020</v>
      </c>
      <c r="D125" s="329" t="s">
        <v>13</v>
      </c>
      <c r="E125" s="717">
        <v>44379</v>
      </c>
      <c r="F125" s="720" t="s">
        <v>432</v>
      </c>
      <c r="G125" s="720" t="s">
        <v>433</v>
      </c>
      <c r="H125" s="720" t="s">
        <v>434</v>
      </c>
      <c r="I125" s="720" t="s">
        <v>435</v>
      </c>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720" t="s">
        <v>41</v>
      </c>
      <c r="AU125" s="720" t="s">
        <v>397</v>
      </c>
      <c r="AV125" s="720" t="s">
        <v>304</v>
      </c>
      <c r="AW125" s="720" t="s">
        <v>398</v>
      </c>
      <c r="AX125" s="720" t="s">
        <v>399</v>
      </c>
      <c r="AY125" s="720" t="s">
        <v>400</v>
      </c>
      <c r="AZ125" s="720" t="s">
        <v>304</v>
      </c>
      <c r="BA125" s="720" t="s">
        <v>401</v>
      </c>
      <c r="BB125" s="720" t="s">
        <v>402</v>
      </c>
      <c r="BC125" s="720" t="s">
        <v>403</v>
      </c>
      <c r="BD125" s="720" t="s">
        <v>404</v>
      </c>
      <c r="BE125" s="720" t="s">
        <v>405</v>
      </c>
      <c r="BF125" s="720" t="s">
        <v>406</v>
      </c>
      <c r="BG125" s="720" t="s">
        <v>41</v>
      </c>
      <c r="BH125" s="720" t="s">
        <v>304</v>
      </c>
      <c r="BI125" s="720" t="s">
        <v>407</v>
      </c>
      <c r="BJ125" s="720" t="s">
        <v>408</v>
      </c>
      <c r="BK125" s="720" t="s">
        <v>304</v>
      </c>
      <c r="BL125" s="720" t="s">
        <v>304</v>
      </c>
      <c r="BM125" s="720" t="s">
        <v>409</v>
      </c>
      <c r="BN125" s="720" t="s">
        <v>410</v>
      </c>
      <c r="BO125" s="720" t="s">
        <v>304</v>
      </c>
      <c r="BP125" s="720" t="s">
        <v>411</v>
      </c>
      <c r="BQ125" s="720" t="s">
        <v>412</v>
      </c>
      <c r="BR125" s="720" t="s">
        <v>413</v>
      </c>
      <c r="BS125" s="720" t="s">
        <v>304</v>
      </c>
      <c r="BT125" s="720" t="s">
        <v>414</v>
      </c>
      <c r="BU125" s="720" t="s">
        <v>415</v>
      </c>
      <c r="BV125" s="720" t="s">
        <v>416</v>
      </c>
      <c r="BW125" s="720" t="s">
        <v>417</v>
      </c>
      <c r="BX125" s="720" t="s">
        <v>418</v>
      </c>
      <c r="BY125" s="720" t="s">
        <v>419</v>
      </c>
      <c r="BZ125" s="720" t="s">
        <v>420</v>
      </c>
      <c r="CA125" s="720" t="s">
        <v>304</v>
      </c>
      <c r="CB125" s="720" t="s">
        <v>421</v>
      </c>
      <c r="CC125" s="720" t="s">
        <v>422</v>
      </c>
      <c r="CD125" s="720" t="s">
        <v>423</v>
      </c>
      <c r="CE125" s="720" t="s">
        <v>424</v>
      </c>
      <c r="CF125" s="720" t="s">
        <v>425</v>
      </c>
      <c r="CG125" s="720" t="s">
        <v>426</v>
      </c>
      <c r="CH125" s="720" t="s">
        <v>427</v>
      </c>
      <c r="CI125" s="720" t="s">
        <v>428</v>
      </c>
      <c r="CJ125" s="720" t="s">
        <v>429</v>
      </c>
      <c r="CK125" s="720" t="s">
        <v>430</v>
      </c>
      <c r="CL125" s="720" t="s">
        <v>431</v>
      </c>
      <c r="CM125" s="69"/>
      <c r="CN125" s="69"/>
      <c r="CO125" s="69"/>
      <c r="CP125" s="69"/>
    </row>
    <row r="126" spans="1:94"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'2022'!AZ126+'2022'!BA126</f>
        <v>6973</v>
      </c>
      <c r="Q126" s="323">
        <f>'2022'!AU126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4" s="69" customFormat="1" ht="11.25">
      <c r="B127" s="328"/>
      <c r="C127" s="322"/>
      <c r="E127" s="460"/>
      <c r="F127" s="323">
        <f>F126/F35%</f>
        <v>63.13721086907703</v>
      </c>
      <c r="G127" s="323">
        <f>G126/G35%</f>
        <v>42.181635239978888</v>
      </c>
      <c r="H127" s="323">
        <f>H126/H35%</f>
        <v>49.959676271620637</v>
      </c>
      <c r="I127" s="323">
        <f>I126/I35%</f>
        <v>52.635828869473769</v>
      </c>
      <c r="J127" s="323"/>
      <c r="K127" s="323">
        <f t="shared" ref="K127:BV127" si="228">K126/K35%</f>
        <v>101.22387824304077</v>
      </c>
      <c r="L127" s="323">
        <f t="shared" si="228"/>
        <v>69.615156897572533</v>
      </c>
      <c r="M127" s="323">
        <f t="shared" si="228"/>
        <v>70.811611374407576</v>
      </c>
      <c r="N127" s="323">
        <f t="shared" si="228"/>
        <v>74.359708112748606</v>
      </c>
      <c r="O127" s="323">
        <f t="shared" si="228"/>
        <v>59.797400611620787</v>
      </c>
      <c r="P127" s="323">
        <f t="shared" si="228"/>
        <v>12.06547505753292</v>
      </c>
      <c r="Q127" s="323">
        <f t="shared" si="228"/>
        <v>47.426944802739847</v>
      </c>
      <c r="R127" s="323">
        <f t="shared" si="228"/>
        <v>1.4419486413511806</v>
      </c>
      <c r="S127" s="323">
        <f t="shared" si="228"/>
        <v>55.382091184805851</v>
      </c>
      <c r="T127" s="323">
        <f t="shared" si="228"/>
        <v>55.713056365635609</v>
      </c>
      <c r="U127" s="323">
        <f t="shared" si="228"/>
        <v>97.427937329916247</v>
      </c>
      <c r="V127" s="323">
        <f t="shared" si="228"/>
        <v>33.597010277172217</v>
      </c>
      <c r="W127" s="323">
        <f t="shared" si="228"/>
        <v>83.105802047781566</v>
      </c>
      <c r="X127" s="323">
        <f t="shared" si="228"/>
        <v>6.4677228891950405</v>
      </c>
      <c r="Y127" s="323">
        <f t="shared" si="228"/>
        <v>15.551870278238436</v>
      </c>
      <c r="Z127" s="323">
        <f t="shared" si="228"/>
        <v>71.405350788560384</v>
      </c>
      <c r="AA127" s="323">
        <f t="shared" si="228"/>
        <v>45.048156435450913</v>
      </c>
      <c r="AB127" s="323">
        <f t="shared" si="228"/>
        <v>75.281025179856115</v>
      </c>
      <c r="AC127" s="323">
        <f t="shared" si="228"/>
        <v>65.540858472316614</v>
      </c>
      <c r="AD127" s="323">
        <f t="shared" si="228"/>
        <v>35.811965811965813</v>
      </c>
      <c r="AE127" s="323">
        <f t="shared" si="228"/>
        <v>11.175455417066155</v>
      </c>
      <c r="AF127" s="323">
        <f t="shared" si="228"/>
        <v>29.494505494505493</v>
      </c>
      <c r="AG127" s="323">
        <f t="shared" si="228"/>
        <v>33.884179275315667</v>
      </c>
      <c r="AH127" s="323">
        <f t="shared" si="228"/>
        <v>66.736357300851438</v>
      </c>
      <c r="AI127" s="323">
        <f t="shared" si="228"/>
        <v>96.977203494794622</v>
      </c>
      <c r="AJ127" s="323">
        <f t="shared" si="228"/>
        <v>63.563885294485956</v>
      </c>
      <c r="AK127" s="323">
        <f t="shared" si="228"/>
        <v>71.537794592890364</v>
      </c>
      <c r="AL127" s="323">
        <f t="shared" si="228"/>
        <v>60.512493107751247</v>
      </c>
      <c r="AM127" s="323">
        <f t="shared" si="228"/>
        <v>19.958779336480287</v>
      </c>
      <c r="AN127" s="323">
        <f t="shared" si="228"/>
        <v>58.618362883335664</v>
      </c>
      <c r="AO127" s="323">
        <f t="shared" si="228"/>
        <v>97.571289658759412</v>
      </c>
      <c r="AP127" s="323">
        <f t="shared" si="228"/>
        <v>60.875642753731718</v>
      </c>
      <c r="AQ127" s="323">
        <f t="shared" si="228"/>
        <v>72.185503213167578</v>
      </c>
      <c r="AR127" s="323">
        <f t="shared" si="228"/>
        <v>23.729582577132486</v>
      </c>
      <c r="AS127" s="323">
        <f t="shared" si="228"/>
        <v>45.084944496131932</v>
      </c>
      <c r="AT127" s="323">
        <f t="shared" si="228"/>
        <v>11.272727272727273</v>
      </c>
      <c r="AU127" s="323">
        <f t="shared" si="228"/>
        <v>47.426944802739847</v>
      </c>
      <c r="AV127" s="323">
        <f t="shared" si="228"/>
        <v>55.382091184805851</v>
      </c>
      <c r="AW127" s="323">
        <f t="shared" si="228"/>
        <v>74.359708112748606</v>
      </c>
      <c r="AX127" s="323">
        <f t="shared" si="228"/>
        <v>0.68956986919818175</v>
      </c>
      <c r="AY127" s="323">
        <f t="shared" si="228"/>
        <v>69.615156897572533</v>
      </c>
      <c r="AZ127" s="323">
        <f t="shared" si="228"/>
        <v>0</v>
      </c>
      <c r="BA127" s="323">
        <f t="shared" si="228"/>
        <v>12.971092674578667</v>
      </c>
      <c r="BB127" s="323">
        <f t="shared" si="228"/>
        <v>55.713056365635609</v>
      </c>
      <c r="BC127" s="323">
        <f t="shared" si="228"/>
        <v>97.427937329916247</v>
      </c>
      <c r="BD127" s="323">
        <f t="shared" si="228"/>
        <v>70.811611374407576</v>
      </c>
      <c r="BE127" s="323">
        <f t="shared" si="228"/>
        <v>59.797400611620787</v>
      </c>
      <c r="BF127" s="323">
        <f t="shared" si="228"/>
        <v>101.22387824304077</v>
      </c>
      <c r="BG127" s="323">
        <f t="shared" si="228"/>
        <v>124.24033149171271</v>
      </c>
      <c r="BH127" s="323">
        <f t="shared" si="228"/>
        <v>0</v>
      </c>
      <c r="BI127" s="323">
        <f t="shared" si="228"/>
        <v>6.9062442535529458</v>
      </c>
      <c r="BJ127" s="323">
        <f t="shared" si="228"/>
        <v>24.611487642910934</v>
      </c>
      <c r="BK127" s="323">
        <f t="shared" si="228"/>
        <v>113.01257517769274</v>
      </c>
      <c r="BL127" s="323">
        <f t="shared" si="228"/>
        <v>0</v>
      </c>
      <c r="BM127" s="323">
        <f t="shared" si="228"/>
        <v>71.405350788560384</v>
      </c>
      <c r="BN127" s="323">
        <f t="shared" si="228"/>
        <v>12.112202688728024</v>
      </c>
      <c r="BO127" s="323">
        <f t="shared" si="228"/>
        <v>28.269617706237426</v>
      </c>
      <c r="BP127" s="323">
        <f t="shared" si="228"/>
        <v>75.281025179856115</v>
      </c>
      <c r="BQ127" s="323">
        <f t="shared" si="228"/>
        <v>45.900633817215294</v>
      </c>
      <c r="BR127" s="323">
        <f t="shared" si="228"/>
        <v>83.105802047781566</v>
      </c>
      <c r="BS127" s="323">
        <f t="shared" si="228"/>
        <v>6.0728744939271255</v>
      </c>
      <c r="BT127" s="323">
        <f t="shared" si="228"/>
        <v>11.537829622936005</v>
      </c>
      <c r="BU127" s="323">
        <f t="shared" si="228"/>
        <v>35.811965811965813</v>
      </c>
      <c r="BV127" s="323">
        <f t="shared" si="228"/>
        <v>33.884179275315667</v>
      </c>
      <c r="BW127" s="323">
        <f t="shared" ref="BW127:CL127" si="229">BW126/BW35%</f>
        <v>96.977203494794622</v>
      </c>
      <c r="BX127" s="323">
        <f t="shared" si="229"/>
        <v>65.540858472316614</v>
      </c>
      <c r="BY127" s="323">
        <f t="shared" si="229"/>
        <v>63.563885294485956</v>
      </c>
      <c r="BZ127" s="323">
        <f t="shared" si="229"/>
        <v>66.736357300851438</v>
      </c>
      <c r="CA127" s="323">
        <f t="shared" si="229"/>
        <v>29.494505494505493</v>
      </c>
      <c r="CB127" s="323">
        <f t="shared" si="229"/>
        <v>71.537794592890364</v>
      </c>
      <c r="CC127" s="323">
        <f t="shared" si="229"/>
        <v>97.571289658759412</v>
      </c>
      <c r="CD127" s="323">
        <f t="shared" si="229"/>
        <v>60.875642753731718</v>
      </c>
      <c r="CE127" s="323">
        <f t="shared" si="229"/>
        <v>60.512493107751247</v>
      </c>
      <c r="CF127" s="323">
        <f t="shared" si="229"/>
        <v>29.920753908759906</v>
      </c>
      <c r="CG127" s="323">
        <f t="shared" si="229"/>
        <v>46.044393853158788</v>
      </c>
      <c r="CH127" s="323">
        <f t="shared" si="229"/>
        <v>19.958779336480287</v>
      </c>
      <c r="CI127" s="323">
        <f t="shared" si="229"/>
        <v>23.729582577132486</v>
      </c>
      <c r="CJ127" s="323">
        <f t="shared" si="229"/>
        <v>58.618362883335664</v>
      </c>
      <c r="CK127" s="323">
        <f t="shared" si="229"/>
        <v>72.185503213167578</v>
      </c>
      <c r="CL127" s="323">
        <f t="shared" si="229"/>
        <v>53.983522044113087</v>
      </c>
      <c r="CM127" s="329"/>
    </row>
    <row r="128" spans="1:94"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N128" s="329"/>
      <c r="CO128" s="329"/>
      <c r="CP128" s="329"/>
    </row>
    <row r="129" spans="1:94">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c r="CM129" s="69"/>
      <c r="CN129" s="69"/>
      <c r="CO129" s="69"/>
      <c r="CP129" s="69"/>
    </row>
    <row r="130" spans="1:94">
      <c r="B130" s="58" t="s">
        <v>290</v>
      </c>
      <c r="C130" s="591">
        <v>2021</v>
      </c>
      <c r="D130" t="s">
        <v>7</v>
      </c>
      <c r="E130" s="486">
        <v>44641</v>
      </c>
      <c r="F130">
        <v>14281</v>
      </c>
      <c r="G130">
        <v>6771</v>
      </c>
      <c r="H130">
        <v>20664</v>
      </c>
      <c r="I130">
        <v>13002</v>
      </c>
      <c r="K130" s="579">
        <f>BF130</f>
        <v>3446</v>
      </c>
      <c r="L130" s="579">
        <f>AY130</f>
        <v>1371</v>
      </c>
      <c r="M130" s="579">
        <f>BD130</f>
        <v>974</v>
      </c>
      <c r="N130" s="579">
        <f>AW130</f>
        <v>1464</v>
      </c>
      <c r="O130" s="579">
        <f>BE130</f>
        <v>573</v>
      </c>
      <c r="P130" s="815">
        <f>IF(ISERROR(AZ130+BA130),BA130,(AZ130+BA130))</f>
        <v>750</v>
      </c>
      <c r="Q130" s="579">
        <f>AU130</f>
        <v>662</v>
      </c>
      <c r="R130" s="815">
        <f>IF(ISERROR(AT130+AX130),AX130,(AT130+AX130))</f>
        <v>285</v>
      </c>
      <c r="S130" s="579">
        <f>AV130</f>
        <v>906</v>
      </c>
      <c r="T130" s="579">
        <f t="shared" ref="T130:U130" si="230">BB130</f>
        <v>1197</v>
      </c>
      <c r="U130" s="579">
        <f t="shared" si="230"/>
        <v>2595</v>
      </c>
      <c r="V130" s="579">
        <f>BG130+BJ130</f>
        <v>689</v>
      </c>
      <c r="W130" s="579">
        <f>BR130</f>
        <v>870</v>
      </c>
      <c r="X130" s="815">
        <f>IF(ISERROR(BH130+BI130),BI130,(BH130+BI130))</f>
        <v>687</v>
      </c>
      <c r="Y130" s="815">
        <f>BK130+BL130+BN130</f>
        <v>1062</v>
      </c>
      <c r="Z130" s="579">
        <f>BM130</f>
        <v>1113</v>
      </c>
      <c r="AA130" s="815">
        <f>BO130+BQ130</f>
        <v>878</v>
      </c>
      <c r="AB130" s="579">
        <f>BP130</f>
        <v>1302</v>
      </c>
      <c r="AC130" s="579">
        <f>BX130</f>
        <v>1950</v>
      </c>
      <c r="AD130" s="579">
        <f>BU130</f>
        <v>1696</v>
      </c>
      <c r="AE130" s="579">
        <f>BS130+BT130</f>
        <v>3609</v>
      </c>
      <c r="AF130" s="579">
        <f>CA130</f>
        <v>2705</v>
      </c>
      <c r="AG130" s="579">
        <f>BV130</f>
        <v>3782</v>
      </c>
      <c r="AH130" s="579">
        <f>BZ130</f>
        <v>1163</v>
      </c>
      <c r="AI130" s="579">
        <f>BW130</f>
        <v>1528</v>
      </c>
      <c r="AJ130" s="579">
        <f>BY130</f>
        <v>1025</v>
      </c>
      <c r="AK130" s="579">
        <f>CB130</f>
        <v>3206</v>
      </c>
      <c r="AL130" s="579">
        <f>CE130</f>
        <v>2125</v>
      </c>
      <c r="AM130" s="579">
        <f>CH130</f>
        <v>2107</v>
      </c>
      <c r="AN130" s="579">
        <f>CJ130</f>
        <v>2389</v>
      </c>
      <c r="AO130" s="579">
        <f t="shared" ref="AO130:AP130" si="231">CC130</f>
        <v>1345</v>
      </c>
      <c r="AP130" s="579">
        <f t="shared" si="231"/>
        <v>693</v>
      </c>
      <c r="AQ130" s="579">
        <f>CK130</f>
        <v>1690</v>
      </c>
      <c r="AR130" s="579">
        <f>CI130</f>
        <v>1035</v>
      </c>
      <c r="AS130" s="579">
        <f>CF130+CG130</f>
        <v>1618</v>
      </c>
      <c r="AT130" t="s">
        <v>304</v>
      </c>
      <c r="AU130">
        <v>662</v>
      </c>
      <c r="AV130">
        <v>906</v>
      </c>
      <c r="AW130">
        <v>1464</v>
      </c>
      <c r="AX130">
        <v>285</v>
      </c>
      <c r="AY130">
        <v>1371</v>
      </c>
      <c r="AZ130" t="s">
        <v>304</v>
      </c>
      <c r="BA130">
        <v>750</v>
      </c>
      <c r="BB130">
        <v>1197</v>
      </c>
      <c r="BC130">
        <v>2595</v>
      </c>
      <c r="BD130">
        <v>974</v>
      </c>
      <c r="BE130">
        <v>573</v>
      </c>
      <c r="BF130">
        <v>3446</v>
      </c>
      <c r="BG130">
        <v>97</v>
      </c>
      <c r="BH130" t="s">
        <v>304</v>
      </c>
      <c r="BI130">
        <v>687</v>
      </c>
      <c r="BJ130">
        <v>592</v>
      </c>
      <c r="BK130" s="816"/>
      <c r="BL130">
        <v>12</v>
      </c>
      <c r="BM130">
        <v>1113</v>
      </c>
      <c r="BN130">
        <v>1050</v>
      </c>
      <c r="BO130"/>
      <c r="BP130">
        <v>1302</v>
      </c>
      <c r="BQ130">
        <v>878</v>
      </c>
      <c r="BR130">
        <v>870</v>
      </c>
      <c r="BS130">
        <v>125</v>
      </c>
      <c r="BT130">
        <v>3484</v>
      </c>
      <c r="BU130">
        <v>1696</v>
      </c>
      <c r="BV130">
        <v>3782</v>
      </c>
      <c r="BW130">
        <v>1528</v>
      </c>
      <c r="BX130">
        <v>1950</v>
      </c>
      <c r="BY130">
        <v>1025</v>
      </c>
      <c r="BZ130">
        <v>1163</v>
      </c>
      <c r="CA130">
        <v>2705</v>
      </c>
      <c r="CB130">
        <v>3206</v>
      </c>
      <c r="CC130">
        <v>1345</v>
      </c>
      <c r="CD130">
        <v>693</v>
      </c>
      <c r="CE130">
        <v>2125</v>
      </c>
      <c r="CF130">
        <v>42</v>
      </c>
      <c r="CG130">
        <v>1576</v>
      </c>
      <c r="CH130">
        <v>2107</v>
      </c>
      <c r="CI130">
        <v>1035</v>
      </c>
      <c r="CJ130">
        <v>2389</v>
      </c>
      <c r="CK130">
        <v>1690</v>
      </c>
      <c r="CL130">
        <v>54718</v>
      </c>
      <c r="CM130" s="69"/>
      <c r="CN130" s="69"/>
      <c r="CO130" s="69"/>
      <c r="CP130" s="69"/>
    </row>
    <row r="131" spans="1:94">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c r="CN131" s="69"/>
      <c r="CO131" s="69"/>
      <c r="CP131" s="69"/>
    </row>
    <row r="132" spans="1:94">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1:94">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row r="136" spans="1:94">
      <c r="A136" s="80">
        <f>ROWS($A$3:A65)</f>
        <v>63</v>
      </c>
      <c r="B136" s="92" t="s">
        <v>390</v>
      </c>
      <c r="C136" s="203">
        <v>2019</v>
      </c>
      <c r="D136" s="259" t="s">
        <v>59</v>
      </c>
      <c r="E136" s="706">
        <v>44427</v>
      </c>
      <c r="F136" s="381">
        <f>SUM(AT136:BF136)</f>
        <v>56967</v>
      </c>
      <c r="G136" s="384">
        <f>SUM(BG136:BR136)</f>
        <v>51305</v>
      </c>
      <c r="H136" s="384">
        <f>SUM(BS136:CB136)</f>
        <v>133623</v>
      </c>
      <c r="I136" s="383">
        <f>SUM(CC136:CK136)</f>
        <v>208020</v>
      </c>
      <c r="J136" s="382"/>
      <c r="K136" s="381">
        <f>BF136</f>
        <v>4967</v>
      </c>
      <c r="L136" s="384">
        <f>AY136</f>
        <v>4544</v>
      </c>
      <c r="M136" s="384">
        <f>BD136</f>
        <v>12278</v>
      </c>
      <c r="N136" s="384">
        <f>AW136</f>
        <v>12991</v>
      </c>
      <c r="O136" s="384">
        <f>BE136</f>
        <v>5107</v>
      </c>
      <c r="P136" s="384">
        <f>'2022'!AZ136+'2022'!BA136</f>
        <v>490</v>
      </c>
      <c r="Q136" s="384">
        <f>'2022'!AU136</f>
        <v>7024</v>
      </c>
      <c r="R136" s="384">
        <f>AT136+AX136</f>
        <v>354</v>
      </c>
      <c r="S136" s="384">
        <f>AV136</f>
        <v>4475</v>
      </c>
      <c r="T136" s="384">
        <f>BB136</f>
        <v>2792</v>
      </c>
      <c r="U136" s="385">
        <f>BC136</f>
        <v>1945</v>
      </c>
      <c r="V136" s="384">
        <f>BG136+BJ136</f>
        <v>2855</v>
      </c>
      <c r="W136" s="384">
        <f>BR136</f>
        <v>15952</v>
      </c>
      <c r="X136" s="384">
        <f>BH136+BI136</f>
        <v>155</v>
      </c>
      <c r="Y136" s="384">
        <f>BK136+BL136+BN136</f>
        <v>2523</v>
      </c>
      <c r="Z136" s="384">
        <f>BM136</f>
        <v>7030</v>
      </c>
      <c r="AA136" s="384">
        <f>BO136+BQ136</f>
        <v>4824</v>
      </c>
      <c r="AB136" s="385">
        <f>BP136</f>
        <v>17966</v>
      </c>
      <c r="AC136" s="384">
        <f>BX136</f>
        <v>27254</v>
      </c>
      <c r="AD136" s="384">
        <f>BU136</f>
        <v>6297</v>
      </c>
      <c r="AE136" s="384">
        <f>BS136+BT136</f>
        <v>7475</v>
      </c>
      <c r="AF136" s="384">
        <f>CA136</f>
        <v>1241</v>
      </c>
      <c r="AG136" s="384">
        <f>BV136</f>
        <v>15832</v>
      </c>
      <c r="AH136" s="384">
        <f>BZ136</f>
        <v>11679</v>
      </c>
      <c r="AI136" s="384">
        <f>BW136</f>
        <v>29198</v>
      </c>
      <c r="AJ136" s="384">
        <f>BY136</f>
        <v>16536</v>
      </c>
      <c r="AK136" s="385">
        <f>CB136</f>
        <v>18111</v>
      </c>
      <c r="AL136" s="384">
        <f>CE136</f>
        <v>16160</v>
      </c>
      <c r="AM136" s="384">
        <f>CH136</f>
        <v>19001</v>
      </c>
      <c r="AN136" s="384">
        <f>CJ136</f>
        <v>58456</v>
      </c>
      <c r="AO136" s="384">
        <f>CC136</f>
        <v>42194</v>
      </c>
      <c r="AP136" s="384">
        <f>CD136</f>
        <v>2136</v>
      </c>
      <c r="AQ136" s="384">
        <f>CK136</f>
        <v>38785</v>
      </c>
      <c r="AR136" s="384">
        <f>CI136</f>
        <v>2724</v>
      </c>
      <c r="AS136" s="383">
        <f>CF136+CG136</f>
        <v>28564</v>
      </c>
      <c r="AT136" s="384">
        <v>354</v>
      </c>
      <c r="AU136" s="384">
        <v>7024</v>
      </c>
      <c r="AV136" s="384">
        <v>4475</v>
      </c>
      <c r="AW136" s="384">
        <v>12991</v>
      </c>
      <c r="AX136" s="384"/>
      <c r="AY136" s="384">
        <v>4544</v>
      </c>
      <c r="AZ136" s="384"/>
      <c r="BA136" s="384">
        <v>490</v>
      </c>
      <c r="BB136" s="384">
        <v>2792</v>
      </c>
      <c r="BC136" s="384">
        <v>1945</v>
      </c>
      <c r="BD136" s="384">
        <v>12278</v>
      </c>
      <c r="BE136" s="384">
        <v>5107</v>
      </c>
      <c r="BF136" s="385">
        <v>4967</v>
      </c>
      <c r="BG136" s="384">
        <v>575</v>
      </c>
      <c r="BH136" s="384"/>
      <c r="BI136" s="384">
        <v>155</v>
      </c>
      <c r="BJ136" s="384">
        <v>2280</v>
      </c>
      <c r="BK136" s="384"/>
      <c r="BL136" s="384"/>
      <c r="BM136" s="384">
        <v>7030</v>
      </c>
      <c r="BN136" s="384">
        <v>2523</v>
      </c>
      <c r="BO136" s="384">
        <v>409</v>
      </c>
      <c r="BP136" s="384">
        <v>17966</v>
      </c>
      <c r="BQ136" s="384">
        <v>4415</v>
      </c>
      <c r="BR136" s="385">
        <v>15952</v>
      </c>
      <c r="BS136" s="384">
        <v>226</v>
      </c>
      <c r="BT136" s="384">
        <v>7249</v>
      </c>
      <c r="BU136" s="384">
        <v>6297</v>
      </c>
      <c r="BV136" s="384">
        <v>15832</v>
      </c>
      <c r="BW136" s="384">
        <v>29198</v>
      </c>
      <c r="BX136" s="384">
        <v>27254</v>
      </c>
      <c r="BY136" s="384">
        <v>16536</v>
      </c>
      <c r="BZ136" s="384">
        <v>11679</v>
      </c>
      <c r="CA136" s="384">
        <v>1241</v>
      </c>
      <c r="CB136" s="385">
        <v>18111</v>
      </c>
      <c r="CC136" s="384">
        <v>42194</v>
      </c>
      <c r="CD136" s="384">
        <v>2136</v>
      </c>
      <c r="CE136" s="384">
        <v>16160</v>
      </c>
      <c r="CF136" s="384"/>
      <c r="CG136" s="384">
        <v>28564</v>
      </c>
      <c r="CH136" s="384">
        <v>19001</v>
      </c>
      <c r="CI136" s="384">
        <v>2724</v>
      </c>
      <c r="CJ136" s="384">
        <v>58456</v>
      </c>
      <c r="CK136" s="383">
        <v>38785</v>
      </c>
      <c r="CL136" s="319">
        <v>449915</v>
      </c>
    </row>
    <row r="137" spans="1:94">
      <c r="A137" s="80">
        <f>ROWS($A$3:A66)</f>
        <v>64</v>
      </c>
      <c r="B137" s="92" t="s">
        <v>391</v>
      </c>
      <c r="C137" s="203">
        <v>2019</v>
      </c>
      <c r="D137" s="259" t="s">
        <v>59</v>
      </c>
      <c r="E137" s="706">
        <v>44427</v>
      </c>
      <c r="F137" s="154">
        <f>SUM(AT137:BF137)</f>
        <v>128423</v>
      </c>
      <c r="G137" s="155">
        <f>SUM(BG137:BR137)</f>
        <v>46199</v>
      </c>
      <c r="H137" s="155">
        <f>SUM(BS137:CB137)</f>
        <v>22869</v>
      </c>
      <c r="I137" s="156">
        <f>SUM(CC137:CK137)</f>
        <v>34623</v>
      </c>
      <c r="J137" s="281"/>
      <c r="K137" s="154">
        <f>BF137</f>
        <v>28687</v>
      </c>
      <c r="L137" s="155">
        <f>AY137</f>
        <v>13225</v>
      </c>
      <c r="M137" s="155">
        <f>BD137</f>
        <v>25934</v>
      </c>
      <c r="N137" s="155">
        <f>AW137</f>
        <v>5840</v>
      </c>
      <c r="O137" s="155">
        <f>BE137</f>
        <v>7099</v>
      </c>
      <c r="P137" s="155">
        <f>'2022'!AZ137+'2022'!BA137</f>
        <v>3350</v>
      </c>
      <c r="Q137" s="155">
        <f>'2022'!AU137</f>
        <v>5472</v>
      </c>
      <c r="R137" s="155">
        <f>AT137+AX137</f>
        <v>6542</v>
      </c>
      <c r="S137" s="155">
        <f>AV137</f>
        <v>10762</v>
      </c>
      <c r="T137" s="155">
        <f>BB137</f>
        <v>6732</v>
      </c>
      <c r="U137" s="552">
        <f>BC137</f>
        <v>14780</v>
      </c>
      <c r="V137" s="155">
        <f>BG137+BJ137</f>
        <v>2432</v>
      </c>
      <c r="W137" s="155">
        <f>BR137</f>
        <v>2536</v>
      </c>
      <c r="X137" s="155">
        <f>BH137+BI137</f>
        <v>5613</v>
      </c>
      <c r="Y137" s="155">
        <f>BK137+BL137+BN137</f>
        <v>9004</v>
      </c>
      <c r="Z137" s="155">
        <f>BM137</f>
        <v>17195</v>
      </c>
      <c r="AA137" s="155">
        <f>BO137+BQ137</f>
        <v>8372</v>
      </c>
      <c r="AB137" s="552">
        <f>BP137</f>
        <v>1047</v>
      </c>
      <c r="AC137" s="155">
        <f>BX137</f>
        <v>0</v>
      </c>
      <c r="AD137" s="155">
        <f>BU137</f>
        <v>2700</v>
      </c>
      <c r="AE137" s="155">
        <f>BS137+BT137</f>
        <v>2112</v>
      </c>
      <c r="AF137" s="155">
        <f>CA137</f>
        <v>6267</v>
      </c>
      <c r="AG137" s="155">
        <f>BV137</f>
        <v>3560</v>
      </c>
      <c r="AH137" s="155">
        <f>BZ137</f>
        <v>4303</v>
      </c>
      <c r="AI137" s="155">
        <f>BW137</f>
        <v>0</v>
      </c>
      <c r="AJ137" s="155">
        <f>BY137</f>
        <v>0</v>
      </c>
      <c r="AK137" s="552">
        <f>CB137</f>
        <v>3927</v>
      </c>
      <c r="AL137" s="155">
        <f>CE137</f>
        <v>2579</v>
      </c>
      <c r="AM137" s="155">
        <f>CH137</f>
        <v>3958</v>
      </c>
      <c r="AN137" s="155">
        <f>CJ137</f>
        <v>3549</v>
      </c>
      <c r="AO137" s="155">
        <f>CC137</f>
        <v>4546</v>
      </c>
      <c r="AP137" s="155">
        <f>CD137</f>
        <v>5409</v>
      </c>
      <c r="AQ137" s="155">
        <f>CK137</f>
        <v>4057</v>
      </c>
      <c r="AR137" s="155">
        <f>CI137</f>
        <v>4769</v>
      </c>
      <c r="AS137" s="156">
        <f>CF137+CG137</f>
        <v>5756</v>
      </c>
      <c r="AT137" s="155"/>
      <c r="AU137" s="155">
        <v>5472</v>
      </c>
      <c r="AV137" s="155">
        <v>10762</v>
      </c>
      <c r="AW137" s="155">
        <v>5840</v>
      </c>
      <c r="AX137" s="155">
        <v>6542</v>
      </c>
      <c r="AY137" s="155">
        <v>13225</v>
      </c>
      <c r="AZ137" s="155"/>
      <c r="BA137" s="155">
        <v>3350</v>
      </c>
      <c r="BB137" s="155">
        <v>6732</v>
      </c>
      <c r="BC137" s="155">
        <v>14780</v>
      </c>
      <c r="BD137" s="155">
        <v>25934</v>
      </c>
      <c r="BE137" s="155">
        <v>7099</v>
      </c>
      <c r="BF137" s="552">
        <v>28687</v>
      </c>
      <c r="BG137" s="155">
        <v>737</v>
      </c>
      <c r="BH137" s="155"/>
      <c r="BI137" s="155">
        <v>5613</v>
      </c>
      <c r="BJ137" s="155">
        <v>1695</v>
      </c>
      <c r="BK137" s="155"/>
      <c r="BL137" s="155"/>
      <c r="BM137" s="155">
        <v>17195</v>
      </c>
      <c r="BN137" s="155">
        <v>9004</v>
      </c>
      <c r="BO137" s="155">
        <v>886</v>
      </c>
      <c r="BP137" s="155">
        <v>1047</v>
      </c>
      <c r="BQ137" s="155">
        <v>7486</v>
      </c>
      <c r="BR137" s="552">
        <v>2536</v>
      </c>
      <c r="BS137" s="155"/>
      <c r="BT137" s="155">
        <v>2112</v>
      </c>
      <c r="BU137" s="155">
        <v>2700</v>
      </c>
      <c r="BV137" s="155">
        <v>3560</v>
      </c>
      <c r="BW137" s="155"/>
      <c r="BX137" s="155"/>
      <c r="BY137" s="155"/>
      <c r="BZ137" s="155">
        <v>4303</v>
      </c>
      <c r="CA137" s="155">
        <v>6267</v>
      </c>
      <c r="CB137" s="552">
        <v>3927</v>
      </c>
      <c r="CC137" s="155">
        <v>4546</v>
      </c>
      <c r="CD137" s="155">
        <v>5409</v>
      </c>
      <c r="CE137" s="155">
        <v>2579</v>
      </c>
      <c r="CF137" s="155"/>
      <c r="CG137" s="155">
        <v>5756</v>
      </c>
      <c r="CH137" s="155">
        <v>3958</v>
      </c>
      <c r="CI137" s="155">
        <v>4769</v>
      </c>
      <c r="CJ137" s="155">
        <v>3549</v>
      </c>
      <c r="CK137" s="156">
        <v>4057</v>
      </c>
      <c r="CL137" s="320">
        <v>232114</v>
      </c>
    </row>
    <row r="141" spans="1:94">
      <c r="B141" s="772" t="s">
        <v>480</v>
      </c>
    </row>
    <row r="152" spans="46:90">
      <c r="AT152" s="691" t="s">
        <v>340</v>
      </c>
      <c r="AU152" s="691" t="s">
        <v>341</v>
      </c>
      <c r="AV152" s="691" t="s">
        <v>310</v>
      </c>
      <c r="AW152" s="691" t="s">
        <v>311</v>
      </c>
      <c r="AX152" s="691" t="s">
        <v>312</v>
      </c>
      <c r="AY152" s="691" t="s">
        <v>342</v>
      </c>
      <c r="AZ152" s="691" t="s">
        <v>343</v>
      </c>
      <c r="BA152" s="691" t="s">
        <v>313</v>
      </c>
      <c r="BB152" s="691" t="s">
        <v>344</v>
      </c>
      <c r="BC152" s="691" t="s">
        <v>345</v>
      </c>
      <c r="BD152" s="691" t="s">
        <v>346</v>
      </c>
      <c r="BE152" s="691" t="s">
        <v>347</v>
      </c>
      <c r="BF152" s="691" t="s">
        <v>314</v>
      </c>
      <c r="BG152" s="691" t="s">
        <v>315</v>
      </c>
      <c r="BH152" s="691" t="s">
        <v>374</v>
      </c>
      <c r="BI152" s="691" t="s">
        <v>316</v>
      </c>
      <c r="BJ152" s="691" t="s">
        <v>317</v>
      </c>
      <c r="BK152" s="691" t="s">
        <v>348</v>
      </c>
      <c r="BL152" s="691" t="s">
        <v>349</v>
      </c>
      <c r="BM152" s="691" t="s">
        <v>350</v>
      </c>
      <c r="BN152" s="691" t="s">
        <v>351</v>
      </c>
      <c r="BO152" s="691" t="s">
        <v>352</v>
      </c>
      <c r="BP152" s="691" t="s">
        <v>318</v>
      </c>
      <c r="BQ152" s="691" t="s">
        <v>319</v>
      </c>
      <c r="BR152" s="691" t="s">
        <v>320</v>
      </c>
      <c r="BS152" s="691" t="s">
        <v>321</v>
      </c>
      <c r="BT152" s="691" t="s">
        <v>322</v>
      </c>
      <c r="BU152" s="691" t="s">
        <v>323</v>
      </c>
      <c r="BV152" s="691" t="s">
        <v>324</v>
      </c>
      <c r="BW152" s="691" t="s">
        <v>325</v>
      </c>
      <c r="BX152" s="691" t="s">
        <v>326</v>
      </c>
      <c r="BY152" s="691" t="s">
        <v>327</v>
      </c>
      <c r="BZ152" s="691" t="s">
        <v>328</v>
      </c>
      <c r="CA152" s="691" t="s">
        <v>329</v>
      </c>
      <c r="CB152" s="691" t="s">
        <v>330</v>
      </c>
      <c r="CC152" s="691" t="s">
        <v>331</v>
      </c>
      <c r="CD152" s="691" t="s">
        <v>332</v>
      </c>
      <c r="CE152" s="691" t="s">
        <v>333</v>
      </c>
      <c r="CF152" s="691" t="s">
        <v>353</v>
      </c>
      <c r="CG152" s="691" t="s">
        <v>334</v>
      </c>
      <c r="CH152" s="691" t="s">
        <v>335</v>
      </c>
      <c r="CI152" s="691" t="s">
        <v>336</v>
      </c>
      <c r="CJ152" s="691" t="s">
        <v>337</v>
      </c>
      <c r="CK152" s="691" t="s">
        <v>338</v>
      </c>
    </row>
    <row r="153" spans="46:90" ht="15">
      <c r="AT153" s="692">
        <v>2</v>
      </c>
      <c r="AU153" s="692">
        <v>25</v>
      </c>
      <c r="AV153" s="692">
        <v>36</v>
      </c>
      <c r="AW153" s="692">
        <v>35</v>
      </c>
      <c r="AX153" s="692">
        <v>40</v>
      </c>
      <c r="AY153" s="692">
        <v>171</v>
      </c>
      <c r="AZ153" s="692">
        <v>5</v>
      </c>
      <c r="BA153" s="692">
        <v>95</v>
      </c>
      <c r="BB153" s="692">
        <v>65</v>
      </c>
      <c r="BC153" s="692">
        <v>79</v>
      </c>
      <c r="BD153" s="692">
        <v>46</v>
      </c>
      <c r="BE153" s="692">
        <v>15</v>
      </c>
      <c r="BF153" s="692">
        <v>71</v>
      </c>
      <c r="BG153" s="692">
        <v>7</v>
      </c>
      <c r="BH153" s="692">
        <v>3</v>
      </c>
      <c r="BI153" s="692">
        <v>40</v>
      </c>
      <c r="BJ153" s="692">
        <v>59</v>
      </c>
      <c r="BK153" s="692">
        <v>5</v>
      </c>
      <c r="BL153" s="692">
        <v>2</v>
      </c>
      <c r="BM153" s="692">
        <v>35</v>
      </c>
      <c r="BN153" s="692">
        <v>48</v>
      </c>
      <c r="BO153" s="692">
        <v>2</v>
      </c>
      <c r="BP153" s="692">
        <v>50</v>
      </c>
      <c r="BQ153" s="692">
        <v>33</v>
      </c>
      <c r="BR153" s="692">
        <v>40</v>
      </c>
      <c r="BS153" s="692">
        <v>6</v>
      </c>
      <c r="BT153" s="692">
        <v>110</v>
      </c>
      <c r="BU153" s="692">
        <v>69</v>
      </c>
      <c r="BV153" s="692">
        <v>137</v>
      </c>
      <c r="BW153" s="692">
        <v>38</v>
      </c>
      <c r="BX153" s="692">
        <v>120</v>
      </c>
      <c r="BY153" s="692">
        <v>39</v>
      </c>
      <c r="BZ153" s="692">
        <v>98</v>
      </c>
      <c r="CA153" s="692">
        <v>132</v>
      </c>
      <c r="CB153" s="692">
        <v>177</v>
      </c>
      <c r="CC153" s="692">
        <v>33</v>
      </c>
      <c r="CD153" s="692">
        <v>13</v>
      </c>
      <c r="CE153" s="692">
        <v>34</v>
      </c>
      <c r="CF153" s="692">
        <v>2</v>
      </c>
      <c r="CG153" s="692">
        <v>31</v>
      </c>
      <c r="CH153" s="692">
        <v>44</v>
      </c>
      <c r="CI153" s="692">
        <v>38</v>
      </c>
      <c r="CJ153" s="692">
        <v>68</v>
      </c>
      <c r="CK153" s="692">
        <v>56</v>
      </c>
      <c r="CL153" s="693">
        <v>2254</v>
      </c>
    </row>
    <row r="154" spans="46:90">
      <c r="AT154" s="692">
        <v>1642.1299999999999</v>
      </c>
      <c r="AU154" s="692">
        <v>23012.719999999998</v>
      </c>
      <c r="AV154" s="692">
        <v>12955.949999999999</v>
      </c>
      <c r="AW154" s="692">
        <v>21235.45</v>
      </c>
      <c r="AX154" s="692">
        <v>19000</v>
      </c>
      <c r="AY154" s="692">
        <v>8695.2199999999975</v>
      </c>
      <c r="AZ154" s="692">
        <v>802.22</v>
      </c>
      <c r="BA154" s="692">
        <v>28171.230000000003</v>
      </c>
      <c r="BB154" s="692">
        <v>13125.729999999994</v>
      </c>
      <c r="BC154" s="692">
        <v>5604.9699999999993</v>
      </c>
      <c r="BD154" s="692">
        <v>52391.43</v>
      </c>
      <c r="BE154" s="692">
        <v>68472.180000000008</v>
      </c>
      <c r="BF154" s="692">
        <v>17234.57</v>
      </c>
      <c r="BG154" s="692">
        <v>3990.3899999999994</v>
      </c>
      <c r="BH154" s="692">
        <v>8534.01</v>
      </c>
      <c r="BI154" s="692">
        <v>34929.600000000006</v>
      </c>
      <c r="BJ154" s="692">
        <v>15967.439999999999</v>
      </c>
      <c r="BK154" s="692">
        <v>2044.9399999999998</v>
      </c>
      <c r="BL154" s="692">
        <v>6646.3899999999994</v>
      </c>
      <c r="BM154" s="692">
        <v>27663.01</v>
      </c>
      <c r="BN154" s="692">
        <v>35040.07</v>
      </c>
      <c r="BO154" s="692">
        <v>4016.86</v>
      </c>
      <c r="BP154" s="692">
        <v>28546.199999999997</v>
      </c>
      <c r="BQ154" s="692">
        <v>20260.309999999998</v>
      </c>
      <c r="BR154" s="692">
        <v>15564.76</v>
      </c>
      <c r="BS154" s="692">
        <v>1181.7599999999998</v>
      </c>
      <c r="BT154" s="692">
        <v>21330.729999999992</v>
      </c>
      <c r="BU154" s="692">
        <v>8672.17</v>
      </c>
      <c r="BV154" s="692">
        <v>19755.710000000006</v>
      </c>
      <c r="BW154" s="692">
        <v>21300.820000000014</v>
      </c>
      <c r="BX154" s="692">
        <v>16776.750000000004</v>
      </c>
      <c r="BY154" s="692">
        <v>15552.83</v>
      </c>
      <c r="BZ154" s="692">
        <v>22803.579999999998</v>
      </c>
      <c r="CA154" s="692">
        <v>9822.5400000000009</v>
      </c>
      <c r="CB154" s="692">
        <v>21473.08</v>
      </c>
      <c r="CC154" s="692">
        <v>55452.76</v>
      </c>
      <c r="CD154" s="692">
        <v>15670.099999999999</v>
      </c>
      <c r="CE154" s="692">
        <v>32297.29</v>
      </c>
      <c r="CF154" s="692">
        <v>599.70000000000005</v>
      </c>
      <c r="CG154" s="692">
        <v>115614.43</v>
      </c>
      <c r="CH154" s="692">
        <v>29138.640000000007</v>
      </c>
      <c r="CI154" s="692">
        <v>9631.3799999999992</v>
      </c>
      <c r="CJ154" s="692">
        <v>21130.89</v>
      </c>
      <c r="CK154"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13:I13 F16 G16:I16 F18:I19" formulaRange="1"/>
  </ignoredError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U119"/>
  <sheetViews>
    <sheetView showGridLines="0" zoomScaleNormal="100" workbookViewId="0">
      <pane xSplit="2" ySplit="4" topLeftCell="C5" activePane="bottomRight" state="frozen"/>
      <selection activeCell="D15" sqref="D15"/>
      <selection pane="topRight" activeCell="D15" sqref="D15"/>
      <selection pane="bottomLeft" activeCell="D15" sqref="D15"/>
      <selection pane="bottomRight" activeCell="D15" sqref="D15"/>
    </sheetView>
  </sheetViews>
  <sheetFormatPr baseColWidth="10" defaultRowHeight="12.75"/>
  <cols>
    <col min="1" max="1" width="4" bestFit="1" customWidth="1"/>
    <col min="2" max="2" width="46.140625" style="58" customWidth="1"/>
    <col min="3" max="3" width="12.5703125" style="198" bestFit="1" customWidth="1"/>
    <col min="4" max="20" width="7.7109375" style="198" customWidth="1"/>
  </cols>
  <sheetData>
    <row r="1" spans="1:20" ht="13.5" thickBot="1">
      <c r="B1" s="70" t="s">
        <v>187</v>
      </c>
      <c r="C1" s="204"/>
    </row>
    <row r="2" spans="1:20">
      <c r="B2" s="81"/>
      <c r="C2" s="200"/>
    </row>
    <row r="3" spans="1:20">
      <c r="B3" s="84" t="s">
        <v>91</v>
      </c>
      <c r="C3" s="200"/>
    </row>
    <row r="4" spans="1:20">
      <c r="B4" s="84"/>
      <c r="C4" s="629" t="s">
        <v>373</v>
      </c>
      <c r="D4" s="198">
        <v>2022</v>
      </c>
      <c r="E4" s="198">
        <v>2021</v>
      </c>
      <c r="F4" s="198">
        <v>2020</v>
      </c>
      <c r="G4" s="198">
        <v>2019</v>
      </c>
      <c r="H4" s="198">
        <v>2018</v>
      </c>
      <c r="I4" s="198">
        <v>2017</v>
      </c>
      <c r="J4" s="198">
        <v>2016</v>
      </c>
      <c r="K4" s="198">
        <v>2015</v>
      </c>
      <c r="L4" s="198">
        <v>2014</v>
      </c>
      <c r="M4" s="198">
        <v>2013</v>
      </c>
      <c r="N4" s="198">
        <v>2012</v>
      </c>
      <c r="O4" s="198">
        <v>2011</v>
      </c>
      <c r="P4" s="198">
        <v>2010</v>
      </c>
      <c r="Q4" s="198">
        <v>2009</v>
      </c>
      <c r="R4" s="198">
        <v>2008</v>
      </c>
      <c r="S4" s="198">
        <v>2007</v>
      </c>
      <c r="T4" s="198">
        <v>2001</v>
      </c>
    </row>
    <row r="5" spans="1:20" ht="13.5" thickBot="1">
      <c r="A5" s="80">
        <f>ROWS($A$3:A3)</f>
        <v>1</v>
      </c>
      <c r="B5" s="102"/>
      <c r="C5" s="103"/>
    </row>
    <row r="6" spans="1:20">
      <c r="A6" s="80">
        <f>ROWS($A$3:A4)</f>
        <v>2</v>
      </c>
      <c r="B6" s="284" t="s">
        <v>97</v>
      </c>
      <c r="C6" s="634"/>
      <c r="D6" s="285"/>
      <c r="E6" s="285"/>
      <c r="F6" s="285"/>
      <c r="G6" s="285"/>
      <c r="H6" s="285"/>
      <c r="I6" s="285"/>
      <c r="J6" s="285"/>
      <c r="K6" s="285"/>
      <c r="L6" s="285"/>
      <c r="M6" s="285"/>
      <c r="N6" s="285"/>
      <c r="O6" s="285"/>
      <c r="P6" s="285"/>
      <c r="Q6" s="285"/>
      <c r="R6" s="285"/>
      <c r="S6" s="285"/>
      <c r="T6" s="286"/>
    </row>
    <row r="7" spans="1:20">
      <c r="A7" s="80">
        <f>ROWS($A$3:A5)</f>
        <v>3</v>
      </c>
      <c r="B7" s="92" t="s">
        <v>60</v>
      </c>
      <c r="C7" s="635" t="s">
        <v>1</v>
      </c>
      <c r="D7" s="633">
        <v>2021</v>
      </c>
      <c r="E7" s="633">
        <v>2020</v>
      </c>
      <c r="F7" s="633" t="s">
        <v>258</v>
      </c>
      <c r="G7" s="633">
        <v>2018</v>
      </c>
      <c r="H7" s="287">
        <v>2017</v>
      </c>
      <c r="I7" s="287">
        <v>2016</v>
      </c>
      <c r="J7" s="287">
        <v>2015</v>
      </c>
      <c r="K7" s="287">
        <v>2014</v>
      </c>
      <c r="L7" s="287" t="s">
        <v>258</v>
      </c>
      <c r="M7" s="287" t="s">
        <v>258</v>
      </c>
      <c r="N7" s="287" t="s">
        <v>258</v>
      </c>
      <c r="O7" s="287">
        <v>2010</v>
      </c>
      <c r="P7" s="287" t="s">
        <v>258</v>
      </c>
      <c r="Q7" s="287" t="s">
        <v>258</v>
      </c>
      <c r="R7" s="287" t="s">
        <v>258</v>
      </c>
      <c r="S7" s="287" t="s">
        <v>258</v>
      </c>
      <c r="T7" s="288" t="s">
        <v>258</v>
      </c>
    </row>
    <row r="8" spans="1:20" ht="14.25">
      <c r="A8" s="80">
        <f>ROWS($A$3:A6)</f>
        <v>4</v>
      </c>
      <c r="B8" s="92" t="s">
        <v>242</v>
      </c>
      <c r="C8" s="635" t="s">
        <v>1</v>
      </c>
      <c r="D8" s="633">
        <v>2021</v>
      </c>
      <c r="E8" s="633">
        <v>2020</v>
      </c>
      <c r="F8" s="633" t="s">
        <v>258</v>
      </c>
      <c r="G8" s="633">
        <v>2018</v>
      </c>
      <c r="H8" s="287">
        <v>2017</v>
      </c>
      <c r="I8" s="287">
        <v>2016</v>
      </c>
      <c r="J8" s="287">
        <v>2015</v>
      </c>
      <c r="K8" s="287">
        <v>2014</v>
      </c>
      <c r="L8" s="287" t="s">
        <v>258</v>
      </c>
      <c r="M8" s="287" t="s">
        <v>258</v>
      </c>
      <c r="N8" s="287" t="s">
        <v>258</v>
      </c>
      <c r="O8" s="287">
        <v>2010</v>
      </c>
      <c r="P8" s="287" t="s">
        <v>258</v>
      </c>
      <c r="Q8" s="287" t="s">
        <v>258</v>
      </c>
      <c r="R8" s="287" t="s">
        <v>258</v>
      </c>
      <c r="S8" s="287" t="s">
        <v>258</v>
      </c>
      <c r="T8" s="288" t="s">
        <v>258</v>
      </c>
    </row>
    <row r="9" spans="1:20">
      <c r="A9" s="80">
        <f>ROWS($A$3:A7)</f>
        <v>5</v>
      </c>
      <c r="B9" s="92" t="s">
        <v>0</v>
      </c>
      <c r="C9" s="635" t="s">
        <v>1</v>
      </c>
      <c r="D9" s="633">
        <v>2021</v>
      </c>
      <c r="E9" s="633">
        <v>2020</v>
      </c>
      <c r="F9" s="633" t="s">
        <v>258</v>
      </c>
      <c r="G9" s="633">
        <v>2018</v>
      </c>
      <c r="H9" s="287">
        <v>2017</v>
      </c>
      <c r="I9" s="287">
        <v>2016</v>
      </c>
      <c r="J9" s="287">
        <v>2015</v>
      </c>
      <c r="K9" s="287">
        <v>2014</v>
      </c>
      <c r="L9" s="287" t="s">
        <v>258</v>
      </c>
      <c r="M9" s="287" t="s">
        <v>258</v>
      </c>
      <c r="N9" s="287" t="s">
        <v>258</v>
      </c>
      <c r="O9" s="287">
        <v>2010</v>
      </c>
      <c r="P9" s="287" t="s">
        <v>258</v>
      </c>
      <c r="Q9" s="287" t="s">
        <v>258</v>
      </c>
      <c r="R9" s="287" t="s">
        <v>258</v>
      </c>
      <c r="S9" s="287">
        <v>2004</v>
      </c>
      <c r="T9" s="288" t="s">
        <v>258</v>
      </c>
    </row>
    <row r="10" spans="1:20">
      <c r="A10" s="80">
        <f>ROWS($A$3:A8)</f>
        <v>6</v>
      </c>
      <c r="B10" s="92" t="s">
        <v>202</v>
      </c>
      <c r="C10" s="635" t="s">
        <v>1</v>
      </c>
      <c r="D10" s="633">
        <v>2021</v>
      </c>
      <c r="E10" s="633">
        <v>2020</v>
      </c>
      <c r="F10" s="633" t="s">
        <v>258</v>
      </c>
      <c r="G10" s="633">
        <v>2018</v>
      </c>
      <c r="H10" s="287">
        <v>2017</v>
      </c>
      <c r="I10" s="287">
        <v>2016</v>
      </c>
      <c r="J10" s="287">
        <v>2015</v>
      </c>
      <c r="K10" s="287">
        <v>2014</v>
      </c>
      <c r="L10" s="287" t="s">
        <v>258</v>
      </c>
      <c r="M10" s="287" t="s">
        <v>258</v>
      </c>
      <c r="N10" s="287" t="s">
        <v>258</v>
      </c>
      <c r="O10" s="287">
        <v>2010</v>
      </c>
      <c r="P10" s="287" t="s">
        <v>258</v>
      </c>
      <c r="Q10" s="287" t="s">
        <v>258</v>
      </c>
      <c r="R10" s="287" t="s">
        <v>258</v>
      </c>
      <c r="S10" s="287">
        <v>2004</v>
      </c>
      <c r="T10" s="288" t="s">
        <v>258</v>
      </c>
    </row>
    <row r="11" spans="1:20">
      <c r="A11" s="80">
        <f>ROWS($A$3:A9)</f>
        <v>7</v>
      </c>
      <c r="B11" s="92" t="s">
        <v>2</v>
      </c>
      <c r="C11" s="635" t="s">
        <v>1</v>
      </c>
      <c r="D11" s="633">
        <v>2021</v>
      </c>
      <c r="E11" s="633">
        <v>2020</v>
      </c>
      <c r="F11" s="633" t="s">
        <v>258</v>
      </c>
      <c r="G11" s="633">
        <v>2018</v>
      </c>
      <c r="H11" s="287">
        <v>2017</v>
      </c>
      <c r="I11" s="287">
        <v>2016</v>
      </c>
      <c r="J11" s="287">
        <v>2015</v>
      </c>
      <c r="K11" s="287">
        <v>2014</v>
      </c>
      <c r="L11" s="287" t="s">
        <v>258</v>
      </c>
      <c r="M11" s="287" t="s">
        <v>258</v>
      </c>
      <c r="N11" s="287" t="s">
        <v>258</v>
      </c>
      <c r="O11" s="287">
        <v>2010</v>
      </c>
      <c r="P11" s="287" t="s">
        <v>258</v>
      </c>
      <c r="Q11" s="287" t="s">
        <v>258</v>
      </c>
      <c r="R11" s="287" t="s">
        <v>258</v>
      </c>
      <c r="S11" s="287">
        <v>2004</v>
      </c>
      <c r="T11" s="288" t="s">
        <v>259</v>
      </c>
    </row>
    <row r="12" spans="1:20">
      <c r="A12" s="80">
        <f>ROWS($A$3:A10)</f>
        <v>8</v>
      </c>
      <c r="B12" s="92" t="s">
        <v>203</v>
      </c>
      <c r="C12" s="635" t="s">
        <v>1</v>
      </c>
      <c r="D12" s="633">
        <v>2021</v>
      </c>
      <c r="E12" s="633">
        <v>2020</v>
      </c>
      <c r="F12" s="633" t="s">
        <v>258</v>
      </c>
      <c r="G12" s="633">
        <v>2018</v>
      </c>
      <c r="H12" s="287">
        <v>2017</v>
      </c>
      <c r="I12" s="287">
        <v>2016</v>
      </c>
      <c r="J12" s="287">
        <v>2015</v>
      </c>
      <c r="K12" s="287">
        <v>2014</v>
      </c>
      <c r="L12" s="287" t="s">
        <v>258</v>
      </c>
      <c r="M12" s="287" t="s">
        <v>258</v>
      </c>
      <c r="N12" s="287" t="s">
        <v>258</v>
      </c>
      <c r="O12" s="287">
        <v>2010</v>
      </c>
      <c r="P12" s="287" t="s">
        <v>258</v>
      </c>
      <c r="Q12" s="287" t="s">
        <v>258</v>
      </c>
      <c r="R12" s="287" t="s">
        <v>258</v>
      </c>
      <c r="S12" s="287">
        <v>2004</v>
      </c>
      <c r="T12" s="288" t="s">
        <v>259</v>
      </c>
    </row>
    <row r="13" spans="1:20">
      <c r="A13" s="80">
        <f>ROWS($A$3:A11)</f>
        <v>9</v>
      </c>
      <c r="B13" s="92" t="s">
        <v>65</v>
      </c>
      <c r="C13" s="635" t="s">
        <v>11</v>
      </c>
      <c r="D13" s="633" t="s">
        <v>258</v>
      </c>
      <c r="E13" s="633">
        <v>2020</v>
      </c>
      <c r="F13" s="633" t="s">
        <v>258</v>
      </c>
      <c r="G13" s="633">
        <v>2018</v>
      </c>
      <c r="H13" s="287">
        <v>2017</v>
      </c>
      <c r="I13" s="287">
        <v>2016</v>
      </c>
      <c r="J13" s="287">
        <v>2015</v>
      </c>
      <c r="K13" s="287">
        <v>2014</v>
      </c>
      <c r="L13" s="287">
        <v>2013</v>
      </c>
      <c r="M13" s="287" t="s">
        <v>258</v>
      </c>
      <c r="N13" s="287" t="s">
        <v>258</v>
      </c>
      <c r="O13" s="287">
        <v>2010</v>
      </c>
      <c r="P13" s="287" t="s">
        <v>258</v>
      </c>
      <c r="Q13" s="287" t="s">
        <v>258</v>
      </c>
      <c r="R13" s="287" t="s">
        <v>258</v>
      </c>
      <c r="S13" s="287" t="s">
        <v>258</v>
      </c>
      <c r="T13" s="288" t="s">
        <v>258</v>
      </c>
    </row>
    <row r="14" spans="1:20">
      <c r="A14" s="80">
        <f>ROWS($A$3:A12)</f>
        <v>10</v>
      </c>
      <c r="B14" s="388" t="s">
        <v>61</v>
      </c>
      <c r="C14" s="636" t="s">
        <v>12</v>
      </c>
      <c r="D14" s="633" t="s">
        <v>258</v>
      </c>
      <c r="E14" s="633">
        <v>2020</v>
      </c>
      <c r="F14" s="633" t="s">
        <v>258</v>
      </c>
      <c r="G14" s="633">
        <v>2018</v>
      </c>
      <c r="H14" s="287">
        <v>2017</v>
      </c>
      <c r="I14" s="287">
        <v>2016</v>
      </c>
      <c r="J14" s="287">
        <v>2015</v>
      </c>
      <c r="K14" s="287">
        <v>2014</v>
      </c>
      <c r="L14" s="287">
        <v>2013</v>
      </c>
      <c r="M14" s="287" t="s">
        <v>258</v>
      </c>
      <c r="N14" s="287" t="s">
        <v>258</v>
      </c>
      <c r="O14" s="287">
        <v>2010</v>
      </c>
      <c r="P14" s="287" t="s">
        <v>258</v>
      </c>
      <c r="Q14" s="287" t="s">
        <v>258</v>
      </c>
      <c r="R14" s="287" t="s">
        <v>258</v>
      </c>
      <c r="S14" s="287" t="s">
        <v>258</v>
      </c>
      <c r="T14" s="288" t="s">
        <v>258</v>
      </c>
    </row>
    <row r="15" spans="1:20">
      <c r="A15" s="80">
        <f>ROWS($A$3:A13)</f>
        <v>11</v>
      </c>
      <c r="B15" s="665" t="s">
        <v>269</v>
      </c>
      <c r="C15" s="637"/>
      <c r="D15" s="339"/>
      <c r="E15" s="339"/>
      <c r="F15" s="339"/>
      <c r="G15" s="339"/>
      <c r="H15" s="338"/>
      <c r="I15" s="338"/>
      <c r="J15" s="338"/>
      <c r="K15" s="338"/>
      <c r="L15" s="338"/>
      <c r="M15" s="338"/>
      <c r="N15" s="338"/>
      <c r="O15" s="338"/>
      <c r="P15" s="339"/>
      <c r="Q15" s="339"/>
      <c r="R15" s="339"/>
      <c r="S15" s="339"/>
      <c r="T15" s="340"/>
    </row>
    <row r="16" spans="1:20">
      <c r="A16" s="80">
        <f>ROWS($A$3:A14)</f>
        <v>12</v>
      </c>
      <c r="B16" s="388" t="s">
        <v>200</v>
      </c>
      <c r="C16" s="635" t="s">
        <v>11</v>
      </c>
      <c r="D16" s="633">
        <v>2021</v>
      </c>
      <c r="E16" s="633">
        <v>2019</v>
      </c>
      <c r="F16" s="633">
        <v>2019</v>
      </c>
      <c r="G16" s="633">
        <v>2017</v>
      </c>
      <c r="H16" s="287">
        <v>2017</v>
      </c>
      <c r="I16" s="287">
        <f>'2017'!C16</f>
        <v>2016</v>
      </c>
      <c r="J16" s="287">
        <v>2015</v>
      </c>
      <c r="K16" s="287">
        <v>2014</v>
      </c>
      <c r="L16" s="287">
        <v>2013</v>
      </c>
      <c r="M16" s="287" t="s">
        <v>258</v>
      </c>
      <c r="N16" s="287" t="s">
        <v>258</v>
      </c>
      <c r="O16" s="287" t="s">
        <v>258</v>
      </c>
      <c r="P16" s="287" t="s">
        <v>258</v>
      </c>
      <c r="Q16" s="287" t="s">
        <v>258</v>
      </c>
      <c r="R16" s="287" t="s">
        <v>258</v>
      </c>
      <c r="S16" s="287" t="s">
        <v>258</v>
      </c>
      <c r="T16" s="288" t="s">
        <v>258</v>
      </c>
    </row>
    <row r="17" spans="1:21" ht="14.25">
      <c r="A17" s="80">
        <f>ROWS($A$3:A15)</f>
        <v>13</v>
      </c>
      <c r="B17" s="388" t="s">
        <v>243</v>
      </c>
      <c r="C17" s="636" t="s">
        <v>3</v>
      </c>
      <c r="D17" s="633" t="s">
        <v>258</v>
      </c>
      <c r="E17" s="633">
        <v>2019</v>
      </c>
      <c r="F17" s="633">
        <v>2019</v>
      </c>
      <c r="G17" s="633">
        <v>2018</v>
      </c>
      <c r="H17" s="287">
        <v>2018</v>
      </c>
      <c r="I17" s="287">
        <f>'2017'!C17</f>
        <v>2017</v>
      </c>
      <c r="J17" s="287" t="s">
        <v>258</v>
      </c>
      <c r="K17" s="287" t="s">
        <v>258</v>
      </c>
      <c r="L17" s="287" t="s">
        <v>258</v>
      </c>
      <c r="M17" s="287" t="s">
        <v>258</v>
      </c>
      <c r="N17" s="287" t="s">
        <v>258</v>
      </c>
      <c r="O17" s="287">
        <v>2010</v>
      </c>
      <c r="P17" s="287" t="s">
        <v>258</v>
      </c>
      <c r="Q17" s="287" t="s">
        <v>258</v>
      </c>
      <c r="R17" s="287" t="s">
        <v>258</v>
      </c>
      <c r="S17" s="287" t="s">
        <v>258</v>
      </c>
      <c r="T17" s="288" t="s">
        <v>258</v>
      </c>
    </row>
    <row r="18" spans="1:21">
      <c r="A18" s="80">
        <f>ROWS($A$3:A16)</f>
        <v>14</v>
      </c>
      <c r="B18" s="388" t="s">
        <v>302</v>
      </c>
      <c r="C18" s="636" t="s">
        <v>11</v>
      </c>
      <c r="D18" s="633">
        <v>2021</v>
      </c>
      <c r="E18" s="633">
        <v>2019</v>
      </c>
      <c r="F18" s="633">
        <v>2019</v>
      </c>
      <c r="G18" s="633">
        <v>2016</v>
      </c>
      <c r="H18" s="287">
        <v>2016</v>
      </c>
      <c r="I18" s="287">
        <f>'2017'!C18</f>
        <v>2016</v>
      </c>
      <c r="J18" s="287">
        <v>2015</v>
      </c>
      <c r="K18" s="287">
        <v>2014</v>
      </c>
      <c r="L18" s="287">
        <v>2010</v>
      </c>
      <c r="M18" s="287">
        <v>2010</v>
      </c>
      <c r="N18" s="287">
        <v>2010</v>
      </c>
      <c r="O18" s="287">
        <v>2010</v>
      </c>
      <c r="P18" s="287" t="s">
        <v>258</v>
      </c>
      <c r="Q18" s="287">
        <v>2007</v>
      </c>
      <c r="R18" s="287">
        <v>2007</v>
      </c>
      <c r="S18" s="287" t="s">
        <v>258</v>
      </c>
      <c r="T18" s="288">
        <v>2003</v>
      </c>
    </row>
    <row r="19" spans="1:21">
      <c r="A19" s="80">
        <f>ROWS($A$3:A17)</f>
        <v>15</v>
      </c>
      <c r="B19" s="388" t="s">
        <v>354</v>
      </c>
      <c r="C19" s="636" t="s">
        <v>11</v>
      </c>
      <c r="D19" s="633" t="s">
        <v>258</v>
      </c>
      <c r="E19" s="633" t="s">
        <v>258</v>
      </c>
      <c r="F19" s="633" t="s">
        <v>258</v>
      </c>
      <c r="G19" s="633">
        <v>2018</v>
      </c>
      <c r="H19" s="287">
        <v>2018</v>
      </c>
      <c r="I19" s="287">
        <f>'2017'!C19</f>
        <v>2016</v>
      </c>
      <c r="J19" s="287">
        <v>2015</v>
      </c>
      <c r="K19" s="287" t="s">
        <v>258</v>
      </c>
      <c r="L19" s="287">
        <v>2012</v>
      </c>
      <c r="M19" s="287">
        <v>2012</v>
      </c>
      <c r="N19" s="287" t="s">
        <v>258</v>
      </c>
      <c r="O19" s="287">
        <v>2010</v>
      </c>
      <c r="P19" s="287" t="s">
        <v>258</v>
      </c>
      <c r="Q19" s="287" t="s">
        <v>258</v>
      </c>
      <c r="R19" s="287" t="s">
        <v>258</v>
      </c>
      <c r="S19" s="287" t="s">
        <v>258</v>
      </c>
      <c r="T19" s="288" t="s">
        <v>258</v>
      </c>
    </row>
    <row r="20" spans="1:21">
      <c r="A20" s="80">
        <f>ROWS($A$3:A18)</f>
        <v>16</v>
      </c>
      <c r="B20" s="388" t="s">
        <v>64</v>
      </c>
      <c r="C20" s="636" t="s">
        <v>285</v>
      </c>
      <c r="D20" s="633">
        <v>2020</v>
      </c>
      <c r="E20" s="633">
        <v>2019</v>
      </c>
      <c r="F20" s="633">
        <v>2019</v>
      </c>
      <c r="G20" s="633">
        <v>2016</v>
      </c>
      <c r="H20" s="287">
        <v>2016</v>
      </c>
      <c r="I20" s="287">
        <f>'2017'!C20</f>
        <v>2015</v>
      </c>
      <c r="J20" s="287">
        <v>2013</v>
      </c>
      <c r="K20" s="287">
        <v>2013</v>
      </c>
      <c r="L20" s="287">
        <v>2012</v>
      </c>
      <c r="M20" s="287">
        <v>2012</v>
      </c>
      <c r="N20" s="287" t="s">
        <v>258</v>
      </c>
      <c r="O20" s="287">
        <v>2009</v>
      </c>
      <c r="P20" s="287">
        <v>2009</v>
      </c>
      <c r="Q20" s="287" t="s">
        <v>258</v>
      </c>
      <c r="R20" s="287" t="s">
        <v>258</v>
      </c>
      <c r="S20" s="287" t="s">
        <v>258</v>
      </c>
      <c r="T20" s="288" t="s">
        <v>258</v>
      </c>
    </row>
    <row r="21" spans="1:21">
      <c r="A21" s="80">
        <f>ROWS($A$3:A19)</f>
        <v>17</v>
      </c>
      <c r="B21" s="666" t="s">
        <v>62</v>
      </c>
      <c r="C21" s="638" t="s">
        <v>3</v>
      </c>
      <c r="D21" s="633">
        <v>2020</v>
      </c>
      <c r="E21" s="633">
        <v>2019</v>
      </c>
      <c r="F21" s="633">
        <v>2019</v>
      </c>
      <c r="G21" s="633">
        <v>2016</v>
      </c>
      <c r="H21" s="287">
        <v>2016</v>
      </c>
      <c r="I21" s="287">
        <v>2015</v>
      </c>
      <c r="J21" s="287">
        <v>2015</v>
      </c>
      <c r="K21" s="287">
        <v>2013</v>
      </c>
      <c r="L21" s="287">
        <v>2009</v>
      </c>
      <c r="M21" s="287">
        <v>2009</v>
      </c>
      <c r="N21" s="287">
        <v>2009</v>
      </c>
      <c r="O21" s="287">
        <v>2009</v>
      </c>
      <c r="P21" s="287">
        <v>2009</v>
      </c>
      <c r="Q21" s="287" t="s">
        <v>258</v>
      </c>
      <c r="R21" s="287" t="s">
        <v>258</v>
      </c>
      <c r="S21" s="287" t="s">
        <v>258</v>
      </c>
      <c r="T21" s="288" t="s">
        <v>258</v>
      </c>
    </row>
    <row r="22" spans="1:21" ht="13.5" thickBot="1">
      <c r="A22" s="80">
        <f>ROWS($A$3:A20)</f>
        <v>18</v>
      </c>
      <c r="B22" s="667"/>
      <c r="C22" s="639"/>
      <c r="D22" s="600"/>
      <c r="E22" s="600"/>
      <c r="F22" s="600"/>
      <c r="G22" s="600"/>
      <c r="H22" s="600"/>
      <c r="I22" s="600"/>
      <c r="J22" s="600"/>
      <c r="K22" s="600"/>
      <c r="L22" s="600"/>
      <c r="M22" s="600"/>
      <c r="N22" s="600"/>
      <c r="O22" s="600"/>
      <c r="P22" s="600"/>
      <c r="Q22" s="600"/>
      <c r="R22" s="600"/>
      <c r="S22" s="600"/>
      <c r="T22" s="601"/>
      <c r="U22" s="49"/>
    </row>
    <row r="23" spans="1:21">
      <c r="A23" s="80">
        <f>ROWS($A$3:A21)</f>
        <v>19</v>
      </c>
      <c r="B23" s="668" t="s">
        <v>66</v>
      </c>
      <c r="C23" s="645"/>
      <c r="D23" s="291"/>
      <c r="E23" s="291"/>
      <c r="F23" s="291"/>
      <c r="G23" s="291"/>
      <c r="H23" s="291"/>
      <c r="I23" s="291"/>
      <c r="J23" s="291"/>
      <c r="K23" s="291"/>
      <c r="L23" s="291"/>
      <c r="M23" s="291"/>
      <c r="N23" s="291"/>
      <c r="O23" s="291"/>
      <c r="P23" s="291"/>
      <c r="Q23" s="291"/>
      <c r="R23" s="291"/>
      <c r="S23" s="291"/>
      <c r="T23" s="292"/>
    </row>
    <row r="24" spans="1:21">
      <c r="A24" s="80">
        <f>ROWS($A$3:A22)</f>
        <v>20</v>
      </c>
      <c r="B24" s="666" t="s">
        <v>253</v>
      </c>
      <c r="C24" s="635" t="s">
        <v>13</v>
      </c>
      <c r="D24" s="633">
        <v>2020</v>
      </c>
      <c r="E24" s="633">
        <v>2020</v>
      </c>
      <c r="F24" s="633" t="s">
        <v>258</v>
      </c>
      <c r="G24" s="633">
        <v>2016</v>
      </c>
      <c r="H24" s="287">
        <v>2016</v>
      </c>
      <c r="I24" s="287">
        <v>2016</v>
      </c>
      <c r="J24" s="287" t="s">
        <v>258</v>
      </c>
      <c r="K24" s="287">
        <v>2010</v>
      </c>
      <c r="L24" s="287">
        <v>2010</v>
      </c>
      <c r="M24" s="287">
        <v>2010</v>
      </c>
      <c r="N24" s="287">
        <v>2010</v>
      </c>
      <c r="O24" s="287">
        <v>2010</v>
      </c>
      <c r="P24" s="287" t="s">
        <v>258</v>
      </c>
      <c r="Q24" s="287">
        <v>2007</v>
      </c>
      <c r="R24" s="287">
        <v>2007</v>
      </c>
      <c r="S24" s="287" t="s">
        <v>258</v>
      </c>
      <c r="T24" s="288" t="s">
        <v>258</v>
      </c>
    </row>
    <row r="25" spans="1:21">
      <c r="A25" s="80">
        <f>ROWS($A$3:A23)</f>
        <v>21</v>
      </c>
      <c r="B25" s="666" t="s">
        <v>249</v>
      </c>
      <c r="C25" s="646" t="s">
        <v>13</v>
      </c>
      <c r="D25" s="633">
        <v>2020</v>
      </c>
      <c r="E25" s="633">
        <v>2020</v>
      </c>
      <c r="F25" s="633" t="s">
        <v>258</v>
      </c>
      <c r="G25" s="633">
        <v>2016</v>
      </c>
      <c r="H25" s="287">
        <v>2016</v>
      </c>
      <c r="I25" s="287">
        <v>2016</v>
      </c>
      <c r="J25" s="287" t="s">
        <v>258</v>
      </c>
      <c r="K25" s="287">
        <v>2010</v>
      </c>
      <c r="L25" s="287">
        <v>2010</v>
      </c>
      <c r="M25" s="287">
        <v>2010</v>
      </c>
      <c r="N25" s="287">
        <v>2010</v>
      </c>
      <c r="O25" s="287">
        <v>2010</v>
      </c>
      <c r="P25" s="287" t="s">
        <v>258</v>
      </c>
      <c r="Q25" s="287">
        <v>2007</v>
      </c>
      <c r="R25" s="287">
        <v>2007</v>
      </c>
      <c r="S25" s="287" t="s">
        <v>258</v>
      </c>
      <c r="T25" s="288" t="s">
        <v>258</v>
      </c>
    </row>
    <row r="26" spans="1:21">
      <c r="A26" s="80">
        <f>ROWS($A$3:A24)</f>
        <v>22</v>
      </c>
      <c r="B26" s="666" t="s">
        <v>250</v>
      </c>
      <c r="C26" s="646" t="s">
        <v>13</v>
      </c>
      <c r="D26" s="633">
        <v>2020</v>
      </c>
      <c r="E26" s="633">
        <v>2020</v>
      </c>
      <c r="F26" s="633" t="s">
        <v>258</v>
      </c>
      <c r="G26" s="633">
        <v>2016</v>
      </c>
      <c r="H26" s="287">
        <v>2016</v>
      </c>
      <c r="I26" s="287">
        <v>2016</v>
      </c>
      <c r="J26" s="287" t="s">
        <v>258</v>
      </c>
      <c r="K26" s="287">
        <v>2010</v>
      </c>
      <c r="L26" s="287">
        <v>2010</v>
      </c>
      <c r="M26" s="287">
        <v>2010</v>
      </c>
      <c r="N26" s="287">
        <v>2010</v>
      </c>
      <c r="O26" s="287">
        <v>2010</v>
      </c>
      <c r="P26" s="287" t="s">
        <v>258</v>
      </c>
      <c r="Q26" s="287">
        <v>2007</v>
      </c>
      <c r="R26" s="287">
        <v>2007</v>
      </c>
      <c r="S26" s="287" t="s">
        <v>258</v>
      </c>
      <c r="T26" s="288" t="s">
        <v>258</v>
      </c>
    </row>
    <row r="27" spans="1:21">
      <c r="A27" s="80">
        <f>ROWS($A$3:A25)</f>
        <v>23</v>
      </c>
      <c r="B27" s="666" t="s">
        <v>251</v>
      </c>
      <c r="C27" s="646" t="s">
        <v>13</v>
      </c>
      <c r="D27" s="633">
        <v>2020</v>
      </c>
      <c r="E27" s="633">
        <v>2020</v>
      </c>
      <c r="F27" s="633" t="s">
        <v>258</v>
      </c>
      <c r="G27" s="633">
        <v>2016</v>
      </c>
      <c r="H27" s="287">
        <v>2016</v>
      </c>
      <c r="I27" s="287">
        <v>2016</v>
      </c>
      <c r="J27" s="287" t="s">
        <v>258</v>
      </c>
      <c r="K27" s="287">
        <v>2010</v>
      </c>
      <c r="L27" s="287">
        <v>2010</v>
      </c>
      <c r="M27" s="287">
        <v>2010</v>
      </c>
      <c r="N27" s="287">
        <v>2010</v>
      </c>
      <c r="O27" s="287">
        <v>2010</v>
      </c>
      <c r="P27" s="287" t="s">
        <v>258</v>
      </c>
      <c r="Q27" s="287">
        <v>2007</v>
      </c>
      <c r="R27" s="287">
        <v>2007</v>
      </c>
      <c r="S27" s="287" t="s">
        <v>258</v>
      </c>
      <c r="T27" s="288" t="s">
        <v>258</v>
      </c>
    </row>
    <row r="28" spans="1:21">
      <c r="A28" s="80">
        <f>ROWS($A$3:A26)</f>
        <v>24</v>
      </c>
      <c r="B28" s="666" t="s">
        <v>252</v>
      </c>
      <c r="C28" s="646" t="s">
        <v>13</v>
      </c>
      <c r="D28" s="633">
        <v>2020</v>
      </c>
      <c r="E28" s="633">
        <v>2020</v>
      </c>
      <c r="F28" s="633" t="s">
        <v>258</v>
      </c>
      <c r="G28" s="633">
        <v>2016</v>
      </c>
      <c r="H28" s="287">
        <v>2016</v>
      </c>
      <c r="I28" s="287">
        <v>2016</v>
      </c>
      <c r="J28" s="287" t="s">
        <v>258</v>
      </c>
      <c r="K28" s="287">
        <v>2010</v>
      </c>
      <c r="L28" s="287">
        <v>2010</v>
      </c>
      <c r="M28" s="287">
        <v>2010</v>
      </c>
      <c r="N28" s="287">
        <v>2010</v>
      </c>
      <c r="O28" s="287">
        <v>2010</v>
      </c>
      <c r="P28" s="287" t="s">
        <v>258</v>
      </c>
      <c r="Q28" s="287">
        <v>2007</v>
      </c>
      <c r="R28" s="287">
        <v>2007</v>
      </c>
      <c r="S28" s="287" t="s">
        <v>258</v>
      </c>
      <c r="T28" s="288" t="s">
        <v>258</v>
      </c>
    </row>
    <row r="29" spans="1:21">
      <c r="A29" s="80">
        <f>ROWS($A$3:A27)</f>
        <v>25</v>
      </c>
      <c r="B29" s="666" t="s">
        <v>4</v>
      </c>
      <c r="C29" s="646" t="s">
        <v>13</v>
      </c>
      <c r="D29" s="633">
        <v>2020</v>
      </c>
      <c r="E29" s="633">
        <v>2020</v>
      </c>
      <c r="F29" s="633" t="s">
        <v>258</v>
      </c>
      <c r="G29" s="633">
        <v>2016</v>
      </c>
      <c r="H29" s="287">
        <v>2016</v>
      </c>
      <c r="I29" s="287">
        <v>2016</v>
      </c>
      <c r="J29" s="287" t="s">
        <v>258</v>
      </c>
      <c r="K29" s="287">
        <v>2010</v>
      </c>
      <c r="L29" s="287">
        <v>2010</v>
      </c>
      <c r="M29" s="287">
        <v>2010</v>
      </c>
      <c r="N29" s="287">
        <v>2010</v>
      </c>
      <c r="O29" s="287">
        <v>2010</v>
      </c>
      <c r="P29" s="287" t="s">
        <v>258</v>
      </c>
      <c r="Q29" s="287">
        <v>2007</v>
      </c>
      <c r="R29" s="287">
        <v>2007</v>
      </c>
      <c r="S29" s="287" t="s">
        <v>258</v>
      </c>
      <c r="T29" s="288" t="s">
        <v>258</v>
      </c>
    </row>
    <row r="30" spans="1:21">
      <c r="A30" s="80">
        <f>ROWS($A$3:A28)</f>
        <v>26</v>
      </c>
      <c r="B30" s="666" t="s">
        <v>5</v>
      </c>
      <c r="C30" s="646" t="s">
        <v>13</v>
      </c>
      <c r="D30" s="633">
        <v>2020</v>
      </c>
      <c r="E30" s="633">
        <v>2020</v>
      </c>
      <c r="F30" s="633" t="s">
        <v>258</v>
      </c>
      <c r="G30" s="633">
        <v>2016</v>
      </c>
      <c r="H30" s="287">
        <v>2016</v>
      </c>
      <c r="I30" s="287">
        <v>2016</v>
      </c>
      <c r="J30" s="287" t="s">
        <v>258</v>
      </c>
      <c r="K30" s="287">
        <v>2010</v>
      </c>
      <c r="L30" s="287">
        <v>2010</v>
      </c>
      <c r="M30" s="287">
        <v>2010</v>
      </c>
      <c r="N30" s="287">
        <v>2010</v>
      </c>
      <c r="O30" s="287">
        <v>2010</v>
      </c>
      <c r="P30" s="287" t="s">
        <v>258</v>
      </c>
      <c r="Q30" s="287">
        <v>2007</v>
      </c>
      <c r="R30" s="287">
        <v>2007</v>
      </c>
      <c r="S30" s="287" t="s">
        <v>258</v>
      </c>
      <c r="T30" s="288" t="s">
        <v>258</v>
      </c>
    </row>
    <row r="31" spans="1:21">
      <c r="A31" s="80">
        <f>ROWS($A$3:A29)</f>
        <v>27</v>
      </c>
      <c r="B31" s="666" t="s">
        <v>256</v>
      </c>
      <c r="C31" s="646" t="s">
        <v>1</v>
      </c>
      <c r="D31" s="633">
        <v>2020</v>
      </c>
      <c r="E31" s="633">
        <v>2020</v>
      </c>
      <c r="F31" s="633" t="s">
        <v>258</v>
      </c>
      <c r="G31" s="633">
        <v>2016</v>
      </c>
      <c r="H31" s="287">
        <v>2016</v>
      </c>
      <c r="I31" s="287">
        <v>2016</v>
      </c>
      <c r="J31" s="287" t="s">
        <v>258</v>
      </c>
      <c r="K31" s="287">
        <v>2010</v>
      </c>
      <c r="L31" s="287">
        <v>2010</v>
      </c>
      <c r="M31" s="287">
        <v>2010</v>
      </c>
      <c r="N31" s="287">
        <v>2010</v>
      </c>
      <c r="O31" s="287">
        <v>2010</v>
      </c>
      <c r="P31" s="287" t="s">
        <v>258</v>
      </c>
      <c r="Q31" s="287">
        <v>2007</v>
      </c>
      <c r="R31" s="287">
        <v>2007</v>
      </c>
      <c r="S31" s="287" t="s">
        <v>258</v>
      </c>
      <c r="T31" s="288" t="s">
        <v>258</v>
      </c>
    </row>
    <row r="32" spans="1:21">
      <c r="A32" s="80">
        <f>ROWS($A$3:A30)</f>
        <v>28</v>
      </c>
      <c r="B32" s="707" t="s">
        <v>394</v>
      </c>
      <c r="C32" s="638" t="s">
        <v>3</v>
      </c>
      <c r="D32" s="633">
        <v>2020</v>
      </c>
      <c r="E32" s="633">
        <v>2020</v>
      </c>
      <c r="F32" s="633" t="s">
        <v>258</v>
      </c>
      <c r="G32" s="633">
        <v>2016</v>
      </c>
      <c r="H32" s="287">
        <v>2016</v>
      </c>
      <c r="I32" s="287">
        <v>2016</v>
      </c>
      <c r="J32" s="287" t="s">
        <v>258</v>
      </c>
      <c r="K32" s="287">
        <v>2010</v>
      </c>
      <c r="L32" s="287">
        <v>2010</v>
      </c>
      <c r="M32" s="287">
        <v>2010</v>
      </c>
      <c r="N32" s="287">
        <v>2010</v>
      </c>
      <c r="O32" s="287">
        <v>2010</v>
      </c>
      <c r="P32" s="287" t="s">
        <v>258</v>
      </c>
      <c r="Q32" s="287">
        <v>2007</v>
      </c>
      <c r="R32" s="287">
        <v>2007</v>
      </c>
      <c r="S32" s="287" t="s">
        <v>258</v>
      </c>
      <c r="T32" s="288" t="s">
        <v>258</v>
      </c>
    </row>
    <row r="33" spans="1:20">
      <c r="A33" s="80">
        <f>ROWS($A$3:A31)</f>
        <v>29</v>
      </c>
      <c r="B33" s="666" t="s">
        <v>170</v>
      </c>
      <c r="C33" s="636" t="s">
        <v>3</v>
      </c>
      <c r="D33" s="633">
        <v>2020</v>
      </c>
      <c r="E33" s="633">
        <v>2020</v>
      </c>
      <c r="F33" s="633" t="s">
        <v>258</v>
      </c>
      <c r="G33" s="633">
        <v>2016</v>
      </c>
      <c r="H33" s="287">
        <v>2016</v>
      </c>
      <c r="I33" s="287">
        <v>2016</v>
      </c>
      <c r="J33" s="287">
        <v>2010</v>
      </c>
      <c r="K33" s="287">
        <v>2010</v>
      </c>
      <c r="L33" s="287">
        <v>2010</v>
      </c>
      <c r="M33" s="287">
        <v>2010</v>
      </c>
      <c r="N33" s="287">
        <v>2010</v>
      </c>
      <c r="O33" s="287">
        <v>2010</v>
      </c>
      <c r="P33" s="287" t="s">
        <v>258</v>
      </c>
      <c r="Q33" s="287">
        <v>2007</v>
      </c>
      <c r="R33" s="287">
        <v>2007</v>
      </c>
      <c r="S33" s="287" t="s">
        <v>258</v>
      </c>
      <c r="T33" s="288" t="s">
        <v>258</v>
      </c>
    </row>
    <row r="34" spans="1:20" ht="13.5" thickBot="1">
      <c r="A34" s="80">
        <f>ROWS($A$3:A32)</f>
        <v>30</v>
      </c>
      <c r="B34" s="667" t="s">
        <v>68</v>
      </c>
      <c r="C34" s="662" t="s">
        <v>3</v>
      </c>
      <c r="D34" s="642">
        <v>2020</v>
      </c>
      <c r="E34" s="642">
        <v>2020</v>
      </c>
      <c r="F34" s="642" t="s">
        <v>258</v>
      </c>
      <c r="G34" s="642">
        <v>2016</v>
      </c>
      <c r="H34" s="289">
        <v>2016</v>
      </c>
      <c r="I34" s="289">
        <v>2016</v>
      </c>
      <c r="J34" s="289">
        <v>2010</v>
      </c>
      <c r="K34" s="289">
        <v>2010</v>
      </c>
      <c r="L34" s="289">
        <v>2010</v>
      </c>
      <c r="M34" s="289">
        <v>2010</v>
      </c>
      <c r="N34" s="289">
        <v>2010</v>
      </c>
      <c r="O34" s="289">
        <v>2010</v>
      </c>
      <c r="P34" s="289" t="s">
        <v>258</v>
      </c>
      <c r="Q34" s="289">
        <v>2007</v>
      </c>
      <c r="R34" s="289">
        <v>2007</v>
      </c>
      <c r="S34" s="289" t="s">
        <v>258</v>
      </c>
      <c r="T34" s="290" t="s">
        <v>258</v>
      </c>
    </row>
    <row r="35" spans="1:20">
      <c r="A35" s="80">
        <f>ROWS($A$3:A33)</f>
        <v>31</v>
      </c>
      <c r="B35" s="665" t="s">
        <v>69</v>
      </c>
      <c r="C35" s="645"/>
      <c r="D35" s="640"/>
      <c r="E35" s="640"/>
      <c r="F35" s="640"/>
      <c r="G35" s="640"/>
      <c r="H35" s="640"/>
      <c r="I35" s="640"/>
      <c r="J35" s="640"/>
      <c r="K35" s="640"/>
      <c r="L35" s="640"/>
      <c r="M35" s="640"/>
      <c r="N35" s="640"/>
      <c r="O35" s="640"/>
      <c r="P35" s="640"/>
      <c r="Q35" s="640"/>
      <c r="R35" s="640"/>
      <c r="S35" s="640"/>
      <c r="T35" s="641"/>
    </row>
    <row r="36" spans="1:20">
      <c r="A36" s="80">
        <f>ROWS($A$3:A34)</f>
        <v>32</v>
      </c>
      <c r="B36" s="388" t="s">
        <v>71</v>
      </c>
      <c r="C36" s="635" t="s">
        <v>1</v>
      </c>
      <c r="D36" s="633">
        <v>2020</v>
      </c>
      <c r="E36" s="633">
        <v>2020</v>
      </c>
      <c r="F36" s="633" t="s">
        <v>258</v>
      </c>
      <c r="G36" s="633">
        <v>2016</v>
      </c>
      <c r="H36" s="287">
        <v>2016</v>
      </c>
      <c r="I36" s="287">
        <v>2016</v>
      </c>
      <c r="J36" s="287" t="s">
        <v>258</v>
      </c>
      <c r="K36" s="287">
        <v>2010</v>
      </c>
      <c r="L36" s="287">
        <v>2010</v>
      </c>
      <c r="M36" s="287">
        <v>2010</v>
      </c>
      <c r="N36" s="287">
        <v>2010</v>
      </c>
      <c r="O36" s="287">
        <v>2010</v>
      </c>
      <c r="P36" s="287" t="s">
        <v>258</v>
      </c>
      <c r="Q36" s="287">
        <v>2007</v>
      </c>
      <c r="R36" s="287">
        <v>2007</v>
      </c>
      <c r="S36" s="287" t="s">
        <v>258</v>
      </c>
      <c r="T36" s="288" t="s">
        <v>258</v>
      </c>
    </row>
    <row r="37" spans="1:20">
      <c r="A37" s="80">
        <f>ROWS($A$3:A35)</f>
        <v>33</v>
      </c>
      <c r="B37" s="388" t="s">
        <v>72</v>
      </c>
      <c r="C37" s="635" t="s">
        <v>1</v>
      </c>
      <c r="D37" s="633">
        <v>2020</v>
      </c>
      <c r="E37" s="633">
        <v>2020</v>
      </c>
      <c r="F37" s="633" t="s">
        <v>258</v>
      </c>
      <c r="G37" s="633">
        <v>2016</v>
      </c>
      <c r="H37" s="287">
        <v>2016</v>
      </c>
      <c r="I37" s="287">
        <v>2016</v>
      </c>
      <c r="J37" s="287" t="s">
        <v>258</v>
      </c>
      <c r="K37" s="287">
        <v>2010</v>
      </c>
      <c r="L37" s="287">
        <v>2010</v>
      </c>
      <c r="M37" s="287">
        <v>2010</v>
      </c>
      <c r="N37" s="287">
        <v>2010</v>
      </c>
      <c r="O37" s="287">
        <v>2010</v>
      </c>
      <c r="P37" s="287" t="s">
        <v>258</v>
      </c>
      <c r="Q37" s="287">
        <v>2007</v>
      </c>
      <c r="R37" s="287">
        <v>2007</v>
      </c>
      <c r="S37" s="287" t="s">
        <v>258</v>
      </c>
      <c r="T37" s="288" t="s">
        <v>258</v>
      </c>
    </row>
    <row r="38" spans="1:20">
      <c r="A38" s="80">
        <f>ROWS($A$3:A36)</f>
        <v>34</v>
      </c>
      <c r="B38" s="388" t="s">
        <v>6</v>
      </c>
      <c r="C38" s="635" t="s">
        <v>1</v>
      </c>
      <c r="D38" s="633">
        <v>2020</v>
      </c>
      <c r="E38" s="633">
        <v>2020</v>
      </c>
      <c r="F38" s="633" t="s">
        <v>258</v>
      </c>
      <c r="G38" s="633">
        <v>2016</v>
      </c>
      <c r="H38" s="287">
        <v>2016</v>
      </c>
      <c r="I38" s="287">
        <v>2016</v>
      </c>
      <c r="J38" s="287" t="s">
        <v>258</v>
      </c>
      <c r="K38" s="287">
        <v>2010</v>
      </c>
      <c r="L38" s="287">
        <v>2010</v>
      </c>
      <c r="M38" s="287">
        <v>2010</v>
      </c>
      <c r="N38" s="287">
        <v>2010</v>
      </c>
      <c r="O38" s="287">
        <v>2010</v>
      </c>
      <c r="P38" s="287" t="s">
        <v>258</v>
      </c>
      <c r="Q38" s="287">
        <v>2007</v>
      </c>
      <c r="R38" s="287">
        <v>2007</v>
      </c>
      <c r="S38" s="287" t="s">
        <v>258</v>
      </c>
      <c r="T38" s="288" t="s">
        <v>258</v>
      </c>
    </row>
    <row r="39" spans="1:20">
      <c r="A39" s="80">
        <f>ROWS($A$3:A37)</f>
        <v>35</v>
      </c>
      <c r="B39" s="388" t="s">
        <v>244</v>
      </c>
      <c r="C39" s="635" t="s">
        <v>1</v>
      </c>
      <c r="D39" s="633">
        <v>2020</v>
      </c>
      <c r="E39" s="633">
        <v>2020</v>
      </c>
      <c r="F39" s="633" t="s">
        <v>258</v>
      </c>
      <c r="G39" s="633">
        <v>2016</v>
      </c>
      <c r="H39" s="287">
        <v>2016</v>
      </c>
      <c r="I39" s="287">
        <v>2016</v>
      </c>
      <c r="J39" s="287" t="s">
        <v>258</v>
      </c>
      <c r="K39" s="287">
        <v>2010</v>
      </c>
      <c r="L39" s="287">
        <v>2010</v>
      </c>
      <c r="M39" s="287">
        <v>2010</v>
      </c>
      <c r="N39" s="287">
        <v>2010</v>
      </c>
      <c r="O39" s="287">
        <v>2010</v>
      </c>
      <c r="P39" s="287" t="s">
        <v>258</v>
      </c>
      <c r="Q39" s="287">
        <v>2007</v>
      </c>
      <c r="R39" s="287">
        <v>2007</v>
      </c>
      <c r="S39" s="287" t="s">
        <v>258</v>
      </c>
      <c r="T39" s="288" t="s">
        <v>258</v>
      </c>
    </row>
    <row r="40" spans="1:20" ht="13.5" thickBot="1">
      <c r="A40" s="80">
        <f>ROWS($A$3:A38)</f>
        <v>36</v>
      </c>
      <c r="B40" s="388" t="s">
        <v>245</v>
      </c>
      <c r="C40" s="635" t="s">
        <v>1</v>
      </c>
      <c r="D40" s="633">
        <v>2020</v>
      </c>
      <c r="E40" s="651">
        <v>2020</v>
      </c>
      <c r="F40" s="651" t="s">
        <v>258</v>
      </c>
      <c r="G40" s="651">
        <v>2016</v>
      </c>
      <c r="H40" s="652">
        <v>2016</v>
      </c>
      <c r="I40" s="652">
        <v>2016</v>
      </c>
      <c r="J40" s="652" t="s">
        <v>258</v>
      </c>
      <c r="K40" s="652">
        <v>2010</v>
      </c>
      <c r="L40" s="652">
        <v>2010</v>
      </c>
      <c r="M40" s="652">
        <v>2010</v>
      </c>
      <c r="N40" s="652">
        <v>2010</v>
      </c>
      <c r="O40" s="652">
        <v>2010</v>
      </c>
      <c r="P40" s="652" t="s">
        <v>258</v>
      </c>
      <c r="Q40" s="652">
        <v>2007</v>
      </c>
      <c r="R40" s="652">
        <v>2007</v>
      </c>
      <c r="S40" s="652" t="s">
        <v>258</v>
      </c>
      <c r="T40" s="653" t="s">
        <v>258</v>
      </c>
    </row>
    <row r="41" spans="1:20">
      <c r="A41" s="80">
        <f>ROWS($A$3:A39)</f>
        <v>37</v>
      </c>
      <c r="B41" s="668" t="s">
        <v>98</v>
      </c>
      <c r="C41" s="645"/>
      <c r="D41" s="291"/>
      <c r="E41" s="291"/>
      <c r="F41" s="291"/>
      <c r="G41" s="291"/>
      <c r="H41" s="291"/>
      <c r="I41" s="291"/>
      <c r="J41" s="291"/>
      <c r="K41" s="291"/>
      <c r="L41" s="291"/>
      <c r="M41" s="291"/>
      <c r="N41" s="291"/>
      <c r="O41" s="291"/>
      <c r="P41" s="291"/>
      <c r="Q41" s="291"/>
      <c r="R41" s="291"/>
      <c r="S41" s="291"/>
      <c r="T41" s="292"/>
    </row>
    <row r="42" spans="1:20">
      <c r="A42" s="80">
        <f>ROWS($A$3:A40)</f>
        <v>38</v>
      </c>
      <c r="B42" s="388" t="s">
        <v>73</v>
      </c>
      <c r="C42" s="635" t="s">
        <v>7</v>
      </c>
      <c r="D42" s="633" t="s">
        <v>258</v>
      </c>
      <c r="E42" s="633" t="s">
        <v>258</v>
      </c>
      <c r="F42" s="633" t="s">
        <v>258</v>
      </c>
      <c r="G42" s="633" t="s">
        <v>258</v>
      </c>
      <c r="H42" s="287" t="s">
        <v>258</v>
      </c>
      <c r="I42" s="287" t="s">
        <v>258</v>
      </c>
      <c r="J42" s="287" t="s">
        <v>258</v>
      </c>
      <c r="K42" s="287" t="s">
        <v>258</v>
      </c>
      <c r="L42" s="287" t="s">
        <v>258</v>
      </c>
      <c r="M42" s="287" t="s">
        <v>258</v>
      </c>
      <c r="N42" s="287" t="s">
        <v>258</v>
      </c>
      <c r="O42" s="287">
        <v>2010</v>
      </c>
      <c r="P42" s="287" t="s">
        <v>258</v>
      </c>
      <c r="Q42" s="287" t="s">
        <v>258</v>
      </c>
      <c r="R42" s="287" t="s">
        <v>258</v>
      </c>
      <c r="S42" s="287" t="s">
        <v>258</v>
      </c>
      <c r="T42" s="288" t="s">
        <v>258</v>
      </c>
    </row>
    <row r="43" spans="1:20">
      <c r="A43" s="80">
        <f>ROWS($A$3:A41)</f>
        <v>39</v>
      </c>
      <c r="B43" s="388" t="s">
        <v>305</v>
      </c>
      <c r="C43" s="635" t="s">
        <v>7</v>
      </c>
      <c r="D43" s="633" t="s">
        <v>258</v>
      </c>
      <c r="E43" s="633" t="s">
        <v>258</v>
      </c>
      <c r="F43" s="633" t="s">
        <v>258</v>
      </c>
      <c r="G43" s="633" t="s">
        <v>258</v>
      </c>
      <c r="H43" s="287" t="s">
        <v>258</v>
      </c>
      <c r="I43" s="287"/>
      <c r="J43" s="287" t="s">
        <v>258</v>
      </c>
      <c r="K43" s="287" t="s">
        <v>258</v>
      </c>
      <c r="L43" s="287" t="s">
        <v>258</v>
      </c>
      <c r="M43" s="287" t="s">
        <v>258</v>
      </c>
      <c r="N43" s="287" t="s">
        <v>258</v>
      </c>
      <c r="O43" s="287">
        <v>2010</v>
      </c>
      <c r="P43" s="287" t="s">
        <v>258</v>
      </c>
      <c r="Q43" s="287" t="s">
        <v>258</v>
      </c>
      <c r="R43" s="287" t="s">
        <v>258</v>
      </c>
      <c r="S43" s="287" t="s">
        <v>258</v>
      </c>
      <c r="T43" s="288" t="s">
        <v>258</v>
      </c>
    </row>
    <row r="44" spans="1:20">
      <c r="A44" s="80">
        <f>ROWS($A$3:A42)</f>
        <v>40</v>
      </c>
      <c r="B44" s="388" t="s">
        <v>14</v>
      </c>
      <c r="C44" s="635" t="s">
        <v>7</v>
      </c>
      <c r="D44" s="633" t="s">
        <v>258</v>
      </c>
      <c r="E44" s="633" t="s">
        <v>258</v>
      </c>
      <c r="F44" s="633" t="s">
        <v>258</v>
      </c>
      <c r="G44" s="633" t="s">
        <v>258</v>
      </c>
      <c r="H44" s="287" t="s">
        <v>258</v>
      </c>
      <c r="I44" s="287"/>
      <c r="J44" s="287" t="s">
        <v>258</v>
      </c>
      <c r="K44" s="287"/>
      <c r="L44" s="287" t="s">
        <v>258</v>
      </c>
      <c r="M44" s="287" t="s">
        <v>258</v>
      </c>
      <c r="N44" s="287" t="s">
        <v>258</v>
      </c>
      <c r="O44" s="287">
        <v>2010</v>
      </c>
      <c r="P44" s="287" t="s">
        <v>258</v>
      </c>
      <c r="Q44" s="287" t="s">
        <v>258</v>
      </c>
      <c r="R44" s="287" t="s">
        <v>258</v>
      </c>
      <c r="S44" s="287" t="s">
        <v>258</v>
      </c>
      <c r="T44" s="288" t="s">
        <v>258</v>
      </c>
    </row>
    <row r="45" spans="1:20">
      <c r="A45" s="80">
        <f>ROWS($A$3:A43)</f>
        <v>41</v>
      </c>
      <c r="B45" s="388" t="s">
        <v>20</v>
      </c>
      <c r="C45" s="636" t="s">
        <v>241</v>
      </c>
      <c r="D45" s="633" t="s">
        <v>258</v>
      </c>
      <c r="E45" s="633" t="s">
        <v>258</v>
      </c>
      <c r="F45" s="633" t="s">
        <v>258</v>
      </c>
      <c r="G45" s="633" t="s">
        <v>258</v>
      </c>
      <c r="H45" s="287" t="s">
        <v>258</v>
      </c>
      <c r="I45" s="287"/>
      <c r="J45" s="287" t="s">
        <v>258</v>
      </c>
      <c r="K45" s="287" t="s">
        <v>258</v>
      </c>
      <c r="L45" s="287" t="s">
        <v>258</v>
      </c>
      <c r="M45" s="287" t="s">
        <v>258</v>
      </c>
      <c r="N45" s="287" t="s">
        <v>258</v>
      </c>
      <c r="O45" s="287">
        <v>2010</v>
      </c>
      <c r="P45" s="287" t="s">
        <v>258</v>
      </c>
      <c r="Q45" s="287" t="s">
        <v>258</v>
      </c>
      <c r="R45" s="287" t="s">
        <v>258</v>
      </c>
      <c r="S45" s="287" t="s">
        <v>258</v>
      </c>
      <c r="T45" s="288" t="s">
        <v>258</v>
      </c>
    </row>
    <row r="46" spans="1:20">
      <c r="A46" s="80">
        <f>ROWS($A$3:A44)</f>
        <v>42</v>
      </c>
      <c r="B46" s="388" t="s">
        <v>74</v>
      </c>
      <c r="C46" s="636" t="s">
        <v>7</v>
      </c>
      <c r="D46" s="633">
        <v>2020</v>
      </c>
      <c r="E46" s="633">
        <v>2020</v>
      </c>
      <c r="F46" s="633" t="s">
        <v>258</v>
      </c>
      <c r="G46" s="633">
        <v>2016</v>
      </c>
      <c r="H46" s="287">
        <v>2016</v>
      </c>
      <c r="I46" s="287">
        <f>'2017'!C45</f>
        <v>2016</v>
      </c>
      <c r="J46" s="287" t="s">
        <v>258</v>
      </c>
      <c r="K46" s="287">
        <v>2010</v>
      </c>
      <c r="L46" s="287">
        <v>2010</v>
      </c>
      <c r="M46" s="287">
        <v>2010</v>
      </c>
      <c r="N46" s="287">
        <v>2010</v>
      </c>
      <c r="O46" s="287">
        <v>2010</v>
      </c>
      <c r="P46" s="287" t="s">
        <v>258</v>
      </c>
      <c r="Q46" s="287">
        <v>2007</v>
      </c>
      <c r="R46" s="287">
        <v>2007</v>
      </c>
      <c r="S46" s="287" t="s">
        <v>258</v>
      </c>
      <c r="T46" s="288" t="s">
        <v>258</v>
      </c>
    </row>
    <row r="47" spans="1:20">
      <c r="A47" s="80">
        <f>ROWS($A$3:A45)</f>
        <v>43</v>
      </c>
      <c r="B47" s="388" t="s">
        <v>8</v>
      </c>
      <c r="C47" s="636" t="s">
        <v>7</v>
      </c>
      <c r="D47" s="633">
        <v>2020</v>
      </c>
      <c r="E47" s="633">
        <v>2020</v>
      </c>
      <c r="F47" s="633" t="s">
        <v>258</v>
      </c>
      <c r="G47" s="633">
        <v>2016</v>
      </c>
      <c r="H47" s="287">
        <v>2016</v>
      </c>
      <c r="I47" s="287">
        <v>2016</v>
      </c>
      <c r="J47" s="287" t="s">
        <v>258</v>
      </c>
      <c r="K47" s="287">
        <v>2010</v>
      </c>
      <c r="L47" s="287">
        <v>2010</v>
      </c>
      <c r="M47" s="287">
        <v>2010</v>
      </c>
      <c r="N47" s="287">
        <v>2010</v>
      </c>
      <c r="O47" s="287">
        <v>2010</v>
      </c>
      <c r="P47" s="287" t="s">
        <v>258</v>
      </c>
      <c r="Q47" s="287">
        <v>2007</v>
      </c>
      <c r="R47" s="287">
        <v>2007</v>
      </c>
      <c r="S47" s="287" t="s">
        <v>258</v>
      </c>
      <c r="T47" s="288" t="s">
        <v>258</v>
      </c>
    </row>
    <row r="48" spans="1:20">
      <c r="A48" s="80">
        <f>ROWS($A$3:A46)</f>
        <v>44</v>
      </c>
      <c r="B48" s="388" t="s">
        <v>19</v>
      </c>
      <c r="C48" s="636" t="s">
        <v>241</v>
      </c>
      <c r="D48" s="633">
        <v>2020</v>
      </c>
      <c r="E48" s="633">
        <v>2020</v>
      </c>
      <c r="F48" s="633" t="s">
        <v>258</v>
      </c>
      <c r="G48" s="633">
        <v>2016</v>
      </c>
      <c r="H48" s="287">
        <v>2016</v>
      </c>
      <c r="I48" s="287">
        <v>2016</v>
      </c>
      <c r="J48" s="287" t="s">
        <v>258</v>
      </c>
      <c r="K48" s="287">
        <v>2010</v>
      </c>
      <c r="L48" s="287">
        <v>2010</v>
      </c>
      <c r="M48" s="287">
        <v>2010</v>
      </c>
      <c r="N48" s="287">
        <v>2010</v>
      </c>
      <c r="O48" s="287">
        <v>2010</v>
      </c>
      <c r="P48" s="287" t="s">
        <v>258</v>
      </c>
      <c r="Q48" s="287">
        <v>2007</v>
      </c>
      <c r="R48" s="287">
        <v>2007</v>
      </c>
      <c r="S48" s="287" t="s">
        <v>258</v>
      </c>
      <c r="T48" s="288" t="s">
        <v>258</v>
      </c>
    </row>
    <row r="49" spans="1:20">
      <c r="A49" s="80">
        <f>ROWS($A$3:A47)</f>
        <v>45</v>
      </c>
      <c r="B49" s="388" t="s">
        <v>239</v>
      </c>
      <c r="C49" s="636" t="s">
        <v>7</v>
      </c>
      <c r="D49" s="633">
        <v>2020</v>
      </c>
      <c r="E49" s="633">
        <v>2020</v>
      </c>
      <c r="F49" s="633" t="s">
        <v>258</v>
      </c>
      <c r="G49" s="633">
        <v>2016</v>
      </c>
      <c r="H49" s="287">
        <v>2016</v>
      </c>
      <c r="I49" s="287">
        <f>'2017'!C48</f>
        <v>2016</v>
      </c>
      <c r="J49" s="287" t="s">
        <v>258</v>
      </c>
      <c r="K49" s="287">
        <v>2010</v>
      </c>
      <c r="L49" s="287">
        <v>2010</v>
      </c>
      <c r="M49" s="287">
        <v>2010</v>
      </c>
      <c r="N49" s="287">
        <v>2010</v>
      </c>
      <c r="O49" s="287">
        <v>2010</v>
      </c>
      <c r="P49" s="287" t="s">
        <v>258</v>
      </c>
      <c r="Q49" s="287">
        <v>2007</v>
      </c>
      <c r="R49" s="287">
        <v>2007</v>
      </c>
      <c r="S49" s="287" t="s">
        <v>258</v>
      </c>
      <c r="T49" s="288" t="s">
        <v>258</v>
      </c>
    </row>
    <row r="50" spans="1:20">
      <c r="A50" s="80">
        <f>ROWS($A$3:A48)</f>
        <v>46</v>
      </c>
      <c r="B50" s="388" t="s">
        <v>75</v>
      </c>
      <c r="C50" s="636" t="s">
        <v>7</v>
      </c>
      <c r="D50" s="633">
        <v>2020</v>
      </c>
      <c r="E50" s="633">
        <v>2020</v>
      </c>
      <c r="F50" s="633" t="s">
        <v>258</v>
      </c>
      <c r="G50" s="633">
        <v>2016</v>
      </c>
      <c r="H50" s="287">
        <v>2016</v>
      </c>
      <c r="I50" s="287">
        <f>'2017'!C49</f>
        <v>2016</v>
      </c>
      <c r="J50" s="287" t="s">
        <v>258</v>
      </c>
      <c r="K50" s="287">
        <v>2010</v>
      </c>
      <c r="L50" s="287">
        <v>2010</v>
      </c>
      <c r="M50" s="287">
        <v>2010</v>
      </c>
      <c r="N50" s="287">
        <v>2010</v>
      </c>
      <c r="O50" s="287">
        <v>2010</v>
      </c>
      <c r="P50" s="287" t="s">
        <v>258</v>
      </c>
      <c r="Q50" s="287">
        <v>2007</v>
      </c>
      <c r="R50" s="287">
        <v>2007</v>
      </c>
      <c r="S50" s="287" t="s">
        <v>258</v>
      </c>
      <c r="T50" s="288" t="s">
        <v>258</v>
      </c>
    </row>
    <row r="51" spans="1:20">
      <c r="A51" s="80">
        <f>ROWS($A$3:A49)</f>
        <v>47</v>
      </c>
      <c r="B51" s="388" t="s">
        <v>76</v>
      </c>
      <c r="C51" s="636" t="s">
        <v>21</v>
      </c>
      <c r="D51" s="633">
        <v>2020</v>
      </c>
      <c r="E51" s="633">
        <v>2020</v>
      </c>
      <c r="F51" s="633" t="s">
        <v>258</v>
      </c>
      <c r="G51" s="633">
        <v>2016</v>
      </c>
      <c r="H51" s="287">
        <v>2016</v>
      </c>
      <c r="I51" s="287">
        <f>'2017'!C50</f>
        <v>2016</v>
      </c>
      <c r="J51" s="287" t="s">
        <v>258</v>
      </c>
      <c r="K51" s="287">
        <v>2010</v>
      </c>
      <c r="L51" s="287">
        <v>2010</v>
      </c>
      <c r="M51" s="287">
        <v>2010</v>
      </c>
      <c r="N51" s="287">
        <v>2010</v>
      </c>
      <c r="O51" s="287">
        <v>2010</v>
      </c>
      <c r="P51" s="287" t="s">
        <v>258</v>
      </c>
      <c r="Q51" s="287">
        <v>2007</v>
      </c>
      <c r="R51" s="287">
        <v>2007</v>
      </c>
      <c r="S51" s="287" t="s">
        <v>258</v>
      </c>
      <c r="T51" s="288" t="s">
        <v>258</v>
      </c>
    </row>
    <row r="52" spans="1:20">
      <c r="A52" s="80">
        <f>ROWS($A$3:A50)</f>
        <v>48</v>
      </c>
      <c r="B52" s="388" t="s">
        <v>92</v>
      </c>
      <c r="C52" s="636" t="s">
        <v>9</v>
      </c>
      <c r="D52" s="633">
        <v>2021</v>
      </c>
      <c r="E52" s="633">
        <v>2020</v>
      </c>
      <c r="F52" s="633" t="s">
        <v>258</v>
      </c>
      <c r="G52" s="633">
        <v>2018</v>
      </c>
      <c r="H52" s="287">
        <v>2017</v>
      </c>
      <c r="I52" s="287" t="s">
        <v>258</v>
      </c>
      <c r="J52" s="287">
        <v>2014</v>
      </c>
      <c r="K52" s="287">
        <v>2010</v>
      </c>
      <c r="L52" s="287">
        <v>2010</v>
      </c>
      <c r="M52" s="287">
        <v>2010</v>
      </c>
      <c r="N52" s="287">
        <v>2010</v>
      </c>
      <c r="O52" s="287">
        <v>2010</v>
      </c>
      <c r="P52" s="287" t="s">
        <v>258</v>
      </c>
      <c r="Q52" s="287" t="s">
        <v>258</v>
      </c>
      <c r="R52" s="287" t="s">
        <v>258</v>
      </c>
      <c r="S52" s="287" t="s">
        <v>258</v>
      </c>
      <c r="T52" s="288" t="s">
        <v>258</v>
      </c>
    </row>
    <row r="53" spans="1:20">
      <c r="A53" s="80">
        <f>ROWS($A$3:A51)</f>
        <v>49</v>
      </c>
      <c r="B53" s="388" t="s">
        <v>357</v>
      </c>
      <c r="C53" s="636" t="s">
        <v>358</v>
      </c>
      <c r="D53" s="633">
        <v>2021</v>
      </c>
      <c r="E53" s="633">
        <v>2020</v>
      </c>
      <c r="F53" s="633" t="s">
        <v>258</v>
      </c>
      <c r="G53" s="633">
        <v>2018</v>
      </c>
      <c r="H53" s="287">
        <v>2017</v>
      </c>
      <c r="I53" s="287" t="s">
        <v>258</v>
      </c>
      <c r="J53" s="287">
        <v>2014</v>
      </c>
      <c r="K53" s="287">
        <v>2014</v>
      </c>
      <c r="L53" s="287" t="s">
        <v>258</v>
      </c>
      <c r="M53" s="287">
        <v>2011</v>
      </c>
      <c r="N53" s="287">
        <v>2011</v>
      </c>
      <c r="O53" s="287" t="s">
        <v>258</v>
      </c>
      <c r="P53" s="287" t="s">
        <v>258</v>
      </c>
      <c r="Q53" s="287">
        <v>2008</v>
      </c>
      <c r="R53" s="287" t="s">
        <v>258</v>
      </c>
      <c r="S53" s="287" t="s">
        <v>258</v>
      </c>
      <c r="T53" s="288" t="s">
        <v>258</v>
      </c>
    </row>
    <row r="54" spans="1:20">
      <c r="A54" s="80">
        <f>ROWS($A$3:A52)</f>
        <v>50</v>
      </c>
      <c r="B54" s="707" t="s">
        <v>487</v>
      </c>
      <c r="C54" s="636" t="s">
        <v>3</v>
      </c>
      <c r="D54" s="633">
        <v>2021</v>
      </c>
      <c r="E54" s="633">
        <v>2020</v>
      </c>
      <c r="F54" s="633" t="s">
        <v>258</v>
      </c>
      <c r="G54" s="633">
        <v>2018</v>
      </c>
      <c r="H54" s="287">
        <v>2017</v>
      </c>
      <c r="I54" s="287" t="s">
        <v>258</v>
      </c>
      <c r="J54" s="287">
        <v>2010</v>
      </c>
      <c r="K54" s="287">
        <v>2010</v>
      </c>
      <c r="L54" s="287">
        <v>2010</v>
      </c>
      <c r="M54" s="287">
        <v>2010</v>
      </c>
      <c r="N54" s="287">
        <v>2010</v>
      </c>
      <c r="O54" s="287">
        <v>2010</v>
      </c>
      <c r="P54" s="287" t="s">
        <v>258</v>
      </c>
      <c r="Q54" s="287" t="s">
        <v>258</v>
      </c>
      <c r="R54" s="287" t="s">
        <v>258</v>
      </c>
      <c r="S54" s="287" t="s">
        <v>258</v>
      </c>
      <c r="T54" s="288" t="s">
        <v>258</v>
      </c>
    </row>
    <row r="55" spans="1:20" ht="13.5" thickBot="1">
      <c r="A55" s="80">
        <f>ROWS($A$3:A53)</f>
        <v>51</v>
      </c>
      <c r="B55" s="708" t="s">
        <v>488</v>
      </c>
      <c r="C55" s="660" t="s">
        <v>3</v>
      </c>
      <c r="D55" s="642">
        <v>2021</v>
      </c>
      <c r="E55" s="642">
        <v>2020</v>
      </c>
      <c r="F55" s="642" t="s">
        <v>258</v>
      </c>
      <c r="G55" s="642">
        <v>2018</v>
      </c>
      <c r="H55" s="289">
        <v>2017</v>
      </c>
      <c r="I55" s="289" t="s">
        <v>258</v>
      </c>
      <c r="J55" s="289">
        <v>2010</v>
      </c>
      <c r="K55" s="289">
        <v>2010</v>
      </c>
      <c r="L55" s="289">
        <v>2010</v>
      </c>
      <c r="M55" s="289">
        <v>2010</v>
      </c>
      <c r="N55" s="289">
        <v>2010</v>
      </c>
      <c r="O55" s="289">
        <v>2010</v>
      </c>
      <c r="P55" s="289" t="s">
        <v>258</v>
      </c>
      <c r="Q55" s="289" t="s">
        <v>258</v>
      </c>
      <c r="R55" s="289" t="s">
        <v>258</v>
      </c>
      <c r="S55" s="289" t="s">
        <v>258</v>
      </c>
      <c r="T55" s="290" t="s">
        <v>258</v>
      </c>
    </row>
    <row r="56" spans="1:20" ht="14.25">
      <c r="A56" s="80">
        <f>ROWS($A$3:A54)</f>
        <v>52</v>
      </c>
      <c r="B56" s="668" t="s">
        <v>208</v>
      </c>
      <c r="C56" s="661"/>
      <c r="D56" s="291"/>
      <c r="E56" s="291"/>
      <c r="F56" s="291"/>
      <c r="G56" s="291"/>
      <c r="H56" s="291"/>
      <c r="I56" s="291"/>
      <c r="J56" s="291"/>
      <c r="K56" s="291"/>
      <c r="L56" s="291"/>
      <c r="M56" s="291"/>
      <c r="N56" s="291"/>
      <c r="O56" s="291"/>
      <c r="P56" s="291"/>
      <c r="Q56" s="291"/>
      <c r="R56" s="291"/>
      <c r="S56" s="291"/>
      <c r="T56" s="292"/>
    </row>
    <row r="57" spans="1:20">
      <c r="A57" s="80">
        <f>ROWS($A$3:A55)</f>
        <v>53</v>
      </c>
      <c r="B57" s="388" t="s">
        <v>294</v>
      </c>
      <c r="C57" s="636" t="s">
        <v>13</v>
      </c>
      <c r="D57" s="633">
        <v>2021</v>
      </c>
      <c r="E57" s="633" t="s">
        <v>258</v>
      </c>
      <c r="F57" s="633">
        <v>2021</v>
      </c>
      <c r="G57" s="633" t="s">
        <v>258</v>
      </c>
      <c r="H57" s="287" t="s">
        <v>258</v>
      </c>
      <c r="I57" s="287" t="s">
        <v>258</v>
      </c>
      <c r="J57" s="287" t="s">
        <v>258</v>
      </c>
      <c r="K57" s="287" t="s">
        <v>258</v>
      </c>
      <c r="L57" s="287" t="s">
        <v>258</v>
      </c>
      <c r="M57" s="287" t="s">
        <v>258</v>
      </c>
      <c r="N57" s="287">
        <v>2013</v>
      </c>
      <c r="O57" s="287" t="s">
        <v>258</v>
      </c>
      <c r="P57" s="287" t="s">
        <v>258</v>
      </c>
      <c r="Q57" s="287">
        <v>2008</v>
      </c>
      <c r="R57" s="287" t="s">
        <v>258</v>
      </c>
      <c r="S57" s="287">
        <v>2006</v>
      </c>
      <c r="T57" s="288" t="s">
        <v>258</v>
      </c>
    </row>
    <row r="58" spans="1:20">
      <c r="A58" s="80">
        <f>ROWS($A$3:A56)</f>
        <v>54</v>
      </c>
      <c r="B58" s="388"/>
      <c r="C58" s="636" t="s">
        <v>1</v>
      </c>
      <c r="D58" s="633">
        <v>2021</v>
      </c>
      <c r="E58" s="633" t="s">
        <v>258</v>
      </c>
      <c r="F58" s="633">
        <v>2021</v>
      </c>
      <c r="G58" s="633" t="s">
        <v>258</v>
      </c>
      <c r="H58" s="287" t="s">
        <v>258</v>
      </c>
      <c r="I58" s="287" t="s">
        <v>258</v>
      </c>
      <c r="J58" s="287" t="s">
        <v>258</v>
      </c>
      <c r="K58" s="287" t="s">
        <v>258</v>
      </c>
      <c r="L58" s="287" t="s">
        <v>258</v>
      </c>
      <c r="M58" s="287" t="s">
        <v>258</v>
      </c>
      <c r="N58" s="287">
        <v>2013</v>
      </c>
      <c r="O58" s="287" t="s">
        <v>258</v>
      </c>
      <c r="P58" s="287" t="s">
        <v>258</v>
      </c>
      <c r="Q58" s="287">
        <v>2008</v>
      </c>
      <c r="R58" s="287" t="s">
        <v>258</v>
      </c>
      <c r="S58" s="287">
        <v>2006</v>
      </c>
      <c r="T58" s="288" t="s">
        <v>258</v>
      </c>
    </row>
    <row r="59" spans="1:20">
      <c r="A59" s="80">
        <f>ROWS($A$3:A57)</f>
        <v>55</v>
      </c>
      <c r="B59" s="388" t="s">
        <v>295</v>
      </c>
      <c r="C59" s="636" t="s">
        <v>13</v>
      </c>
      <c r="D59" s="633">
        <v>2021</v>
      </c>
      <c r="E59" s="633" t="s">
        <v>258</v>
      </c>
      <c r="F59" s="633">
        <v>2021</v>
      </c>
      <c r="G59" s="633" t="s">
        <v>258</v>
      </c>
      <c r="H59" s="287" t="s">
        <v>258</v>
      </c>
      <c r="I59" s="287" t="s">
        <v>258</v>
      </c>
      <c r="J59" s="287" t="s">
        <v>258</v>
      </c>
      <c r="K59" s="287" t="s">
        <v>258</v>
      </c>
      <c r="L59" s="287" t="s">
        <v>258</v>
      </c>
      <c r="M59" s="287" t="s">
        <v>258</v>
      </c>
      <c r="N59" s="287">
        <v>2013</v>
      </c>
      <c r="O59" s="287" t="s">
        <v>258</v>
      </c>
      <c r="P59" s="335" t="s">
        <v>258</v>
      </c>
      <c r="Q59" s="287" t="s">
        <v>260</v>
      </c>
      <c r="R59" s="287" t="s">
        <v>260</v>
      </c>
      <c r="S59" s="287" t="s">
        <v>260</v>
      </c>
      <c r="T59" s="288" t="s">
        <v>260</v>
      </c>
    </row>
    <row r="60" spans="1:20">
      <c r="A60" s="80">
        <f>ROWS($A$3:A58)</f>
        <v>56</v>
      </c>
      <c r="B60" s="388"/>
      <c r="C60" s="636" t="s">
        <v>1</v>
      </c>
      <c r="D60" s="633">
        <v>2021</v>
      </c>
      <c r="E60" s="633" t="s">
        <v>258</v>
      </c>
      <c r="F60" s="633">
        <v>2021</v>
      </c>
      <c r="G60" s="633" t="s">
        <v>258</v>
      </c>
      <c r="H60" s="287" t="s">
        <v>258</v>
      </c>
      <c r="I60" s="287" t="s">
        <v>258</v>
      </c>
      <c r="J60" s="287" t="s">
        <v>258</v>
      </c>
      <c r="K60" s="287" t="s">
        <v>258</v>
      </c>
      <c r="L60" s="287" t="s">
        <v>258</v>
      </c>
      <c r="M60" s="287" t="s">
        <v>258</v>
      </c>
      <c r="N60" s="287">
        <v>2013</v>
      </c>
      <c r="O60" s="287" t="s">
        <v>258</v>
      </c>
      <c r="P60" s="335" t="s">
        <v>258</v>
      </c>
      <c r="Q60" s="287" t="s">
        <v>260</v>
      </c>
      <c r="R60" s="287" t="s">
        <v>260</v>
      </c>
      <c r="S60" s="287" t="s">
        <v>260</v>
      </c>
      <c r="T60" s="288" t="s">
        <v>260</v>
      </c>
    </row>
    <row r="61" spans="1:20">
      <c r="A61" s="80">
        <f>ROWS($A$3:A59)</f>
        <v>57</v>
      </c>
      <c r="B61" s="388" t="s">
        <v>296</v>
      </c>
      <c r="C61" s="636" t="s">
        <v>13</v>
      </c>
      <c r="D61" s="633">
        <v>2021</v>
      </c>
      <c r="E61" s="633" t="s">
        <v>258</v>
      </c>
      <c r="F61" s="633">
        <v>2021</v>
      </c>
      <c r="G61" s="633" t="s">
        <v>258</v>
      </c>
      <c r="H61" s="287" t="s">
        <v>258</v>
      </c>
      <c r="I61" s="287" t="s">
        <v>258</v>
      </c>
      <c r="J61" s="287" t="s">
        <v>258</v>
      </c>
      <c r="K61" s="287" t="s">
        <v>258</v>
      </c>
      <c r="L61" s="287" t="s">
        <v>258</v>
      </c>
      <c r="M61" s="287" t="s">
        <v>258</v>
      </c>
      <c r="N61" s="287">
        <v>2013</v>
      </c>
      <c r="O61" s="287" t="s">
        <v>258</v>
      </c>
      <c r="P61" s="335" t="s">
        <v>258</v>
      </c>
      <c r="Q61" s="287" t="s">
        <v>260</v>
      </c>
      <c r="R61" s="287" t="s">
        <v>260</v>
      </c>
      <c r="S61" s="287" t="s">
        <v>260</v>
      </c>
      <c r="T61" s="288" t="s">
        <v>260</v>
      </c>
    </row>
    <row r="62" spans="1:20">
      <c r="A62" s="80">
        <f>ROWS($A$3:A60)</f>
        <v>58</v>
      </c>
      <c r="B62" s="388"/>
      <c r="C62" s="636" t="s">
        <v>1</v>
      </c>
      <c r="D62" s="633">
        <v>2021</v>
      </c>
      <c r="E62" s="633" t="s">
        <v>258</v>
      </c>
      <c r="F62" s="633">
        <v>2021</v>
      </c>
      <c r="G62" s="633" t="s">
        <v>258</v>
      </c>
      <c r="H62" s="287" t="s">
        <v>258</v>
      </c>
      <c r="I62" s="287" t="s">
        <v>258</v>
      </c>
      <c r="J62" s="287" t="s">
        <v>258</v>
      </c>
      <c r="K62" s="287" t="s">
        <v>258</v>
      </c>
      <c r="L62" s="287" t="s">
        <v>258</v>
      </c>
      <c r="M62" s="287" t="s">
        <v>258</v>
      </c>
      <c r="N62" s="287">
        <v>2013</v>
      </c>
      <c r="O62" s="287" t="s">
        <v>258</v>
      </c>
      <c r="P62" s="335" t="s">
        <v>258</v>
      </c>
      <c r="Q62" s="287" t="s">
        <v>260</v>
      </c>
      <c r="R62" s="287" t="s">
        <v>260</v>
      </c>
      <c r="S62" s="287" t="s">
        <v>260</v>
      </c>
      <c r="T62" s="288" t="s">
        <v>260</v>
      </c>
    </row>
    <row r="63" spans="1:20">
      <c r="A63" s="80">
        <f>ROWS($A$3:A61)</f>
        <v>59</v>
      </c>
      <c r="B63" s="388" t="s">
        <v>297</v>
      </c>
      <c r="C63" s="636" t="s">
        <v>13</v>
      </c>
      <c r="D63" s="633" t="s">
        <v>258</v>
      </c>
      <c r="E63" s="633" t="s">
        <v>258</v>
      </c>
      <c r="F63" s="633" t="s">
        <v>258</v>
      </c>
      <c r="G63" s="633" t="s">
        <v>258</v>
      </c>
      <c r="H63" s="287" t="s">
        <v>258</v>
      </c>
      <c r="I63" s="287" t="s">
        <v>258</v>
      </c>
      <c r="J63" s="287" t="s">
        <v>258</v>
      </c>
      <c r="K63" s="287" t="s">
        <v>258</v>
      </c>
      <c r="L63" s="287" t="s">
        <v>258</v>
      </c>
      <c r="M63" s="287" t="s">
        <v>258</v>
      </c>
      <c r="N63" s="287">
        <v>2010</v>
      </c>
      <c r="O63" s="287">
        <v>2010</v>
      </c>
      <c r="P63" s="335" t="s">
        <v>258</v>
      </c>
      <c r="Q63" s="287">
        <v>2008</v>
      </c>
      <c r="R63" s="287" t="s">
        <v>258</v>
      </c>
      <c r="S63" s="287">
        <v>2006</v>
      </c>
      <c r="T63" s="288" t="s">
        <v>258</v>
      </c>
    </row>
    <row r="64" spans="1:20" ht="13.5" thickBot="1">
      <c r="A64" s="80">
        <f>ROWS($A$3:A62)</f>
        <v>60</v>
      </c>
      <c r="B64" s="669"/>
      <c r="C64" s="660" t="s">
        <v>1</v>
      </c>
      <c r="D64" s="642" t="s">
        <v>258</v>
      </c>
      <c r="E64" s="642" t="s">
        <v>258</v>
      </c>
      <c r="F64" s="642" t="s">
        <v>258</v>
      </c>
      <c r="G64" s="642" t="s">
        <v>258</v>
      </c>
      <c r="H64" s="289" t="s">
        <v>258</v>
      </c>
      <c r="I64" s="289" t="s">
        <v>258</v>
      </c>
      <c r="J64" s="289" t="s">
        <v>258</v>
      </c>
      <c r="K64" s="289" t="s">
        <v>258</v>
      </c>
      <c r="L64" s="289" t="s">
        <v>258</v>
      </c>
      <c r="M64" s="289" t="s">
        <v>258</v>
      </c>
      <c r="N64" s="289">
        <v>2010</v>
      </c>
      <c r="O64" s="289">
        <v>2010</v>
      </c>
      <c r="P64" s="336" t="s">
        <v>258</v>
      </c>
      <c r="Q64" s="289">
        <v>2008</v>
      </c>
      <c r="R64" s="289" t="s">
        <v>258</v>
      </c>
      <c r="S64" s="289">
        <v>2006</v>
      </c>
      <c r="T64" s="290" t="s">
        <v>258</v>
      </c>
    </row>
    <row r="65" spans="1:20">
      <c r="A65" s="80">
        <f>ROWS($A$3:A63)</f>
        <v>61</v>
      </c>
      <c r="B65" s="668" t="s">
        <v>80</v>
      </c>
      <c r="C65" s="661"/>
      <c r="D65" s="291"/>
      <c r="E65" s="291"/>
      <c r="F65" s="291"/>
      <c r="G65" s="291"/>
      <c r="H65" s="291"/>
      <c r="I65" s="291"/>
      <c r="J65" s="291"/>
      <c r="K65" s="291"/>
      <c r="L65" s="291"/>
      <c r="M65" s="291"/>
      <c r="N65" s="291"/>
      <c r="O65" s="291"/>
      <c r="P65" s="337"/>
      <c r="Q65" s="291"/>
      <c r="R65" s="291"/>
      <c r="S65" s="291"/>
      <c r="T65" s="292"/>
    </row>
    <row r="66" spans="1:20">
      <c r="A66" s="80">
        <f>ROWS($A$3:A64)</f>
        <v>62</v>
      </c>
      <c r="B66" s="388" t="s">
        <v>309</v>
      </c>
      <c r="C66" s="636" t="s">
        <v>59</v>
      </c>
      <c r="D66" s="633">
        <v>2019</v>
      </c>
      <c r="E66" s="633">
        <v>2019</v>
      </c>
      <c r="F66" s="633">
        <v>2019</v>
      </c>
      <c r="G66" s="633" t="s">
        <v>258</v>
      </c>
      <c r="H66" s="287" t="s">
        <v>258</v>
      </c>
      <c r="I66" s="287" t="s">
        <v>258</v>
      </c>
      <c r="J66" s="287" t="s">
        <v>258</v>
      </c>
      <c r="K66" s="287">
        <v>2012</v>
      </c>
      <c r="L66" s="287">
        <v>2012</v>
      </c>
      <c r="M66" s="287">
        <v>2012</v>
      </c>
      <c r="N66" s="287" t="s">
        <v>258</v>
      </c>
      <c r="O66" s="287">
        <v>2010</v>
      </c>
      <c r="P66" s="335" t="s">
        <v>258</v>
      </c>
      <c r="Q66" s="287" t="s">
        <v>258</v>
      </c>
      <c r="R66" s="287" t="s">
        <v>258</v>
      </c>
      <c r="S66" s="287" t="s">
        <v>258</v>
      </c>
      <c r="T66" s="288">
        <v>2002</v>
      </c>
    </row>
    <row r="67" spans="1:20">
      <c r="A67" s="80">
        <f>ROWS($A$3:A65)</f>
        <v>63</v>
      </c>
      <c r="B67" s="388" t="s">
        <v>364</v>
      </c>
      <c r="C67" s="636"/>
      <c r="D67" s="633">
        <v>2019</v>
      </c>
      <c r="E67" s="633">
        <v>2019</v>
      </c>
      <c r="F67" s="633">
        <v>2019</v>
      </c>
      <c r="G67" s="633"/>
      <c r="H67" s="287"/>
      <c r="I67" s="287"/>
      <c r="J67" s="287"/>
      <c r="K67" s="287"/>
      <c r="L67" s="287"/>
      <c r="M67" s="287"/>
      <c r="N67" s="287"/>
      <c r="O67" s="287"/>
      <c r="P67" s="335"/>
      <c r="Q67" s="287"/>
      <c r="R67" s="287"/>
      <c r="S67" s="287"/>
      <c r="T67" s="288"/>
    </row>
    <row r="68" spans="1:20">
      <c r="A68" s="80">
        <f>ROWS($A$3:A66)</f>
        <v>64</v>
      </c>
      <c r="B68" s="388" t="s">
        <v>390</v>
      </c>
      <c r="C68" s="636"/>
      <c r="D68" s="633">
        <v>2019</v>
      </c>
      <c r="E68" s="633">
        <v>2019</v>
      </c>
      <c r="F68" s="633">
        <v>2019</v>
      </c>
      <c r="G68" s="633"/>
      <c r="H68" s="287"/>
      <c r="I68" s="287"/>
      <c r="J68" s="287"/>
      <c r="K68" s="287"/>
      <c r="L68" s="287"/>
      <c r="M68" s="287"/>
      <c r="N68" s="287"/>
      <c r="O68" s="287"/>
      <c r="P68" s="335"/>
      <c r="Q68" s="287"/>
      <c r="R68" s="287"/>
      <c r="S68" s="287"/>
      <c r="T68" s="288"/>
    </row>
    <row r="69" spans="1:20">
      <c r="A69" s="80">
        <f>ROWS($A$3:A67)</f>
        <v>65</v>
      </c>
      <c r="B69" s="707" t="s">
        <v>392</v>
      </c>
      <c r="C69" s="636" t="s">
        <v>59</v>
      </c>
      <c r="D69" s="633">
        <v>2019</v>
      </c>
      <c r="E69" s="633">
        <v>2019</v>
      </c>
      <c r="F69" s="633">
        <v>2019</v>
      </c>
      <c r="G69" s="633" t="s">
        <v>258</v>
      </c>
      <c r="H69" s="287" t="s">
        <v>258</v>
      </c>
      <c r="I69" s="287" t="s">
        <v>258</v>
      </c>
      <c r="J69" s="287">
        <v>2014</v>
      </c>
      <c r="K69" s="287">
        <v>2014</v>
      </c>
      <c r="L69" s="287" t="s">
        <v>258</v>
      </c>
      <c r="M69" s="287">
        <v>2012</v>
      </c>
      <c r="N69" s="287" t="s">
        <v>258</v>
      </c>
      <c r="O69" s="287">
        <v>2010</v>
      </c>
      <c r="P69" s="335" t="s">
        <v>258</v>
      </c>
      <c r="Q69" s="287" t="s">
        <v>258</v>
      </c>
      <c r="R69" s="287" t="s">
        <v>258</v>
      </c>
      <c r="S69" s="287" t="s">
        <v>258</v>
      </c>
      <c r="T69" s="288">
        <v>2002</v>
      </c>
    </row>
    <row r="70" spans="1:20" ht="13.5" thickBot="1">
      <c r="A70" s="80">
        <f>ROWS($A$3:A68)</f>
        <v>66</v>
      </c>
      <c r="B70" s="708" t="s">
        <v>393</v>
      </c>
      <c r="C70" s="660" t="s">
        <v>3</v>
      </c>
      <c r="D70" s="642">
        <v>2019</v>
      </c>
      <c r="E70" s="642">
        <v>2019</v>
      </c>
      <c r="F70" s="642">
        <v>2019</v>
      </c>
      <c r="G70" s="642" t="s">
        <v>258</v>
      </c>
      <c r="H70" s="289" t="s">
        <v>258</v>
      </c>
      <c r="I70" s="289" t="s">
        <v>258</v>
      </c>
      <c r="J70" s="289">
        <v>2014</v>
      </c>
      <c r="K70" s="289">
        <v>2014</v>
      </c>
      <c r="L70" s="289" t="s">
        <v>258</v>
      </c>
      <c r="M70" s="289">
        <v>2012</v>
      </c>
      <c r="N70" s="289" t="s">
        <v>258</v>
      </c>
      <c r="O70" s="289">
        <v>2010</v>
      </c>
      <c r="P70" s="336" t="s">
        <v>258</v>
      </c>
      <c r="Q70" s="289" t="s">
        <v>258</v>
      </c>
      <c r="R70" s="289" t="s">
        <v>258</v>
      </c>
      <c r="S70" s="289" t="s">
        <v>258</v>
      </c>
      <c r="T70" s="290">
        <v>2002</v>
      </c>
    </row>
    <row r="71" spans="1:20">
      <c r="A71" s="80">
        <f>ROWS($A$3:A69)</f>
        <v>67</v>
      </c>
      <c r="B71" s="668" t="s">
        <v>81</v>
      </c>
      <c r="C71" s="661"/>
      <c r="D71" s="291"/>
      <c r="E71" s="291"/>
      <c r="F71" s="291"/>
      <c r="G71" s="291"/>
      <c r="H71" s="291"/>
      <c r="I71" s="291"/>
      <c r="J71" s="291"/>
      <c r="K71" s="291"/>
      <c r="L71" s="291"/>
      <c r="M71" s="291"/>
      <c r="N71" s="291"/>
      <c r="O71" s="291"/>
      <c r="P71" s="337"/>
      <c r="Q71" s="291"/>
      <c r="R71" s="291"/>
      <c r="S71" s="291"/>
      <c r="T71" s="292"/>
    </row>
    <row r="72" spans="1:20">
      <c r="A72" s="80">
        <f>ROWS($A$3:A70)</f>
        <v>68</v>
      </c>
      <c r="B72" s="388" t="s">
        <v>306</v>
      </c>
      <c r="C72" s="635" t="s">
        <v>13</v>
      </c>
      <c r="D72" s="633" t="s">
        <v>258</v>
      </c>
      <c r="E72" s="633" t="s">
        <v>258</v>
      </c>
      <c r="F72" s="633" t="s">
        <v>258</v>
      </c>
      <c r="G72" s="633" t="s">
        <v>258</v>
      </c>
      <c r="H72" s="287">
        <v>2016</v>
      </c>
      <c r="I72" s="287">
        <f>'2017'!C69</f>
        <v>2016</v>
      </c>
      <c r="J72" s="287" t="s">
        <v>258</v>
      </c>
      <c r="K72" s="287" t="s">
        <v>258</v>
      </c>
      <c r="L72" s="287" t="s">
        <v>258</v>
      </c>
      <c r="M72" s="287" t="s">
        <v>258</v>
      </c>
      <c r="N72" s="287">
        <v>2010</v>
      </c>
      <c r="O72" s="287" t="s">
        <v>258</v>
      </c>
      <c r="P72" s="335" t="s">
        <v>258</v>
      </c>
      <c r="Q72" s="287">
        <v>2007</v>
      </c>
      <c r="R72" s="287">
        <v>2007</v>
      </c>
      <c r="S72" s="287" t="s">
        <v>258</v>
      </c>
      <c r="T72" s="288" t="s">
        <v>258</v>
      </c>
    </row>
    <row r="73" spans="1:20">
      <c r="A73" s="80">
        <f>ROWS($A$3:A71)</f>
        <v>69</v>
      </c>
      <c r="B73" s="388" t="s">
        <v>70</v>
      </c>
      <c r="C73" s="635" t="s">
        <v>1</v>
      </c>
      <c r="D73" s="633" t="s">
        <v>258</v>
      </c>
      <c r="E73" s="633" t="s">
        <v>258</v>
      </c>
      <c r="F73" s="633" t="s">
        <v>258</v>
      </c>
      <c r="G73" s="633" t="s">
        <v>258</v>
      </c>
      <c r="H73" s="287">
        <v>2016</v>
      </c>
      <c r="I73" s="287">
        <v>2016</v>
      </c>
      <c r="J73" s="287" t="s">
        <v>258</v>
      </c>
      <c r="K73" s="287" t="s">
        <v>258</v>
      </c>
      <c r="L73" s="287" t="s">
        <v>258</v>
      </c>
      <c r="M73" s="287" t="s">
        <v>258</v>
      </c>
      <c r="N73" s="287">
        <v>2010</v>
      </c>
      <c r="O73" s="287" t="s">
        <v>258</v>
      </c>
      <c r="P73" s="335" t="s">
        <v>258</v>
      </c>
      <c r="Q73" s="287">
        <v>2007</v>
      </c>
      <c r="R73" s="287">
        <v>2007</v>
      </c>
      <c r="S73" s="287" t="s">
        <v>258</v>
      </c>
      <c r="T73" s="288" t="s">
        <v>258</v>
      </c>
    </row>
    <row r="74" spans="1:20" ht="13.5" thickBot="1">
      <c r="A74" s="80">
        <f>ROWS($A$3:A72)</f>
        <v>70</v>
      </c>
      <c r="B74" s="669" t="s">
        <v>307</v>
      </c>
      <c r="C74" s="647" t="s">
        <v>1</v>
      </c>
      <c r="D74" s="642" t="s">
        <v>258</v>
      </c>
      <c r="E74" s="642" t="s">
        <v>258</v>
      </c>
      <c r="F74" s="642" t="s">
        <v>258</v>
      </c>
      <c r="G74" s="642" t="s">
        <v>258</v>
      </c>
      <c r="H74" s="289">
        <v>2016</v>
      </c>
      <c r="I74" s="289">
        <v>2016</v>
      </c>
      <c r="J74" s="289" t="s">
        <v>258</v>
      </c>
      <c r="K74" s="289" t="s">
        <v>258</v>
      </c>
      <c r="L74" s="289" t="s">
        <v>258</v>
      </c>
      <c r="M74" s="289" t="s">
        <v>258</v>
      </c>
      <c r="N74" s="289">
        <v>2010</v>
      </c>
      <c r="O74" s="289" t="s">
        <v>258</v>
      </c>
      <c r="P74" s="336" t="s">
        <v>258</v>
      </c>
      <c r="Q74" s="289">
        <v>2007</v>
      </c>
      <c r="R74" s="289">
        <v>2007</v>
      </c>
      <c r="S74" s="289" t="s">
        <v>258</v>
      </c>
      <c r="T74" s="290" t="s">
        <v>258</v>
      </c>
    </row>
    <row r="75" spans="1:20">
      <c r="A75" s="80">
        <f>ROWS($A$3:A74)</f>
        <v>72</v>
      </c>
      <c r="B75" s="668" t="s">
        <v>83</v>
      </c>
      <c r="C75" s="645"/>
      <c r="D75" s="291"/>
      <c r="E75" s="291"/>
      <c r="F75" s="291"/>
      <c r="G75" s="291"/>
      <c r="H75" s="291"/>
      <c r="I75" s="291"/>
      <c r="J75" s="291"/>
      <c r="K75" s="291"/>
      <c r="L75" s="291"/>
      <c r="M75" s="291"/>
      <c r="N75" s="291"/>
      <c r="O75" s="291"/>
      <c r="P75" s="337"/>
      <c r="Q75" s="291"/>
      <c r="R75" s="291"/>
      <c r="S75" s="291"/>
      <c r="T75" s="292"/>
    </row>
    <row r="76" spans="1:20">
      <c r="A76" s="80">
        <f>ROWS($A$3:A74)</f>
        <v>72</v>
      </c>
      <c r="B76" s="388" t="s">
        <v>84</v>
      </c>
      <c r="C76" s="635" t="s">
        <v>13</v>
      </c>
      <c r="D76" s="633">
        <v>2020</v>
      </c>
      <c r="E76" s="633">
        <v>2020</v>
      </c>
      <c r="F76" s="633" t="s">
        <v>258</v>
      </c>
      <c r="G76" s="633">
        <v>2016</v>
      </c>
      <c r="H76" s="287">
        <v>2016</v>
      </c>
      <c r="I76" s="287">
        <f>'2017'!C73</f>
        <v>2016</v>
      </c>
      <c r="J76" s="287" t="s">
        <v>258</v>
      </c>
      <c r="K76" s="287">
        <v>2010</v>
      </c>
      <c r="L76" s="287">
        <v>2010</v>
      </c>
      <c r="M76" s="287">
        <v>2010</v>
      </c>
      <c r="N76" s="287">
        <v>2010</v>
      </c>
      <c r="O76" s="287">
        <v>2010</v>
      </c>
      <c r="P76" s="335" t="s">
        <v>258</v>
      </c>
      <c r="Q76" s="287">
        <v>2007</v>
      </c>
      <c r="R76" s="287">
        <v>2007</v>
      </c>
      <c r="S76" s="287" t="s">
        <v>258</v>
      </c>
      <c r="T76" s="288" t="s">
        <v>258</v>
      </c>
    </row>
    <row r="77" spans="1:20">
      <c r="A77" s="80">
        <f>ROWS($A$3:A75)</f>
        <v>73</v>
      </c>
      <c r="B77" s="388" t="s">
        <v>85</v>
      </c>
      <c r="C77" s="635" t="s">
        <v>13</v>
      </c>
      <c r="D77" s="633">
        <v>2020</v>
      </c>
      <c r="E77" s="633">
        <v>2020</v>
      </c>
      <c r="F77" s="633" t="s">
        <v>258</v>
      </c>
      <c r="G77" s="633">
        <v>2016</v>
      </c>
      <c r="H77" s="287">
        <v>2016</v>
      </c>
      <c r="I77" s="287">
        <v>2016</v>
      </c>
      <c r="J77" s="287" t="s">
        <v>258</v>
      </c>
      <c r="K77" s="287">
        <v>2010</v>
      </c>
      <c r="L77" s="287">
        <v>2010</v>
      </c>
      <c r="M77" s="287">
        <v>2010</v>
      </c>
      <c r="N77" s="287">
        <v>2010</v>
      </c>
      <c r="O77" s="287">
        <v>2010</v>
      </c>
      <c r="P77" s="335" t="s">
        <v>258</v>
      </c>
      <c r="Q77" s="287">
        <v>2007</v>
      </c>
      <c r="R77" s="287">
        <v>2007</v>
      </c>
      <c r="S77" s="287" t="s">
        <v>258</v>
      </c>
      <c r="T77" s="288" t="s">
        <v>258</v>
      </c>
    </row>
    <row r="78" spans="1:20">
      <c r="A78" s="80">
        <f>ROWS($A$3:A76)</f>
        <v>74</v>
      </c>
      <c r="B78" s="388" t="s">
        <v>86</v>
      </c>
      <c r="C78" s="635" t="s">
        <v>13</v>
      </c>
      <c r="D78" s="633">
        <v>2020</v>
      </c>
      <c r="E78" s="633">
        <v>2020</v>
      </c>
      <c r="F78" s="633" t="s">
        <v>258</v>
      </c>
      <c r="G78" s="633">
        <v>2016</v>
      </c>
      <c r="H78" s="287">
        <v>2016</v>
      </c>
      <c r="I78" s="287">
        <v>2016</v>
      </c>
      <c r="J78" s="287" t="s">
        <v>258</v>
      </c>
      <c r="K78" s="287">
        <v>2010</v>
      </c>
      <c r="L78" s="287">
        <v>2010</v>
      </c>
      <c r="M78" s="287">
        <v>2010</v>
      </c>
      <c r="N78" s="287">
        <v>2010</v>
      </c>
      <c r="O78" s="287">
        <v>2010</v>
      </c>
      <c r="P78" s="335" t="s">
        <v>258</v>
      </c>
      <c r="Q78" s="287">
        <v>2007</v>
      </c>
      <c r="R78" s="287">
        <v>2007</v>
      </c>
      <c r="S78" s="287" t="s">
        <v>258</v>
      </c>
      <c r="T78" s="288" t="s">
        <v>258</v>
      </c>
    </row>
    <row r="79" spans="1:20">
      <c r="A79" s="80">
        <f>ROWS($A$3:A77)</f>
        <v>75</v>
      </c>
      <c r="B79" s="388" t="s">
        <v>476</v>
      </c>
      <c r="C79" s="635" t="s">
        <v>13</v>
      </c>
      <c r="D79" s="633">
        <v>2020</v>
      </c>
      <c r="E79" s="633">
        <v>2020</v>
      </c>
      <c r="F79" s="633" t="s">
        <v>258</v>
      </c>
      <c r="G79" s="633">
        <v>2016</v>
      </c>
      <c r="H79" s="287">
        <v>2016</v>
      </c>
      <c r="I79" s="287">
        <v>2016</v>
      </c>
      <c r="J79" s="287" t="s">
        <v>258</v>
      </c>
      <c r="K79" s="287">
        <v>2010</v>
      </c>
      <c r="L79" s="287">
        <v>2010</v>
      </c>
      <c r="M79" s="287">
        <v>2010</v>
      </c>
      <c r="N79" s="287">
        <v>2010</v>
      </c>
      <c r="O79" s="287">
        <v>2010</v>
      </c>
      <c r="P79" s="335" t="s">
        <v>258</v>
      </c>
      <c r="Q79" s="287">
        <v>2007</v>
      </c>
      <c r="R79" s="287">
        <v>2007</v>
      </c>
      <c r="S79" s="287" t="s">
        <v>258</v>
      </c>
      <c r="T79" s="288" t="s">
        <v>258</v>
      </c>
    </row>
    <row r="80" spans="1:20">
      <c r="A80" s="80">
        <f>ROWS($A$3:A78)</f>
        <v>76</v>
      </c>
      <c r="B80" s="388" t="s">
        <v>88</v>
      </c>
      <c r="C80" s="635" t="s">
        <v>13</v>
      </c>
      <c r="D80" s="633">
        <v>2020</v>
      </c>
      <c r="E80" s="633">
        <v>2020</v>
      </c>
      <c r="F80" s="633" t="s">
        <v>258</v>
      </c>
      <c r="G80" s="633">
        <v>2016</v>
      </c>
      <c r="H80" s="287">
        <v>2016</v>
      </c>
      <c r="I80" s="287">
        <v>2016</v>
      </c>
      <c r="J80" s="287" t="s">
        <v>258</v>
      </c>
      <c r="K80" s="287">
        <v>2010</v>
      </c>
      <c r="L80" s="287">
        <v>2010</v>
      </c>
      <c r="M80" s="287">
        <v>2010</v>
      </c>
      <c r="N80" s="287">
        <v>2010</v>
      </c>
      <c r="O80" s="287">
        <v>2010</v>
      </c>
      <c r="P80" s="335" t="s">
        <v>258</v>
      </c>
      <c r="Q80" s="287">
        <v>2007</v>
      </c>
      <c r="R80" s="287">
        <v>2007</v>
      </c>
      <c r="S80" s="287" t="s">
        <v>258</v>
      </c>
      <c r="T80" s="288" t="s">
        <v>258</v>
      </c>
    </row>
    <row r="81" spans="1:20" ht="13.5" thickBot="1">
      <c r="A81" s="80">
        <f>ROWS($A$3:A79)</f>
        <v>77</v>
      </c>
      <c r="B81" s="669" t="s">
        <v>89</v>
      </c>
      <c r="C81" s="647" t="s">
        <v>13</v>
      </c>
      <c r="D81" s="642">
        <v>2020</v>
      </c>
      <c r="E81" s="642">
        <v>2020</v>
      </c>
      <c r="F81" s="642" t="s">
        <v>258</v>
      </c>
      <c r="G81" s="642">
        <v>2016</v>
      </c>
      <c r="H81" s="289">
        <v>2016</v>
      </c>
      <c r="I81" s="289">
        <v>2016</v>
      </c>
      <c r="J81" s="289" t="s">
        <v>258</v>
      </c>
      <c r="K81" s="289">
        <v>2010</v>
      </c>
      <c r="L81" s="289">
        <v>2010</v>
      </c>
      <c r="M81" s="289">
        <v>2010</v>
      </c>
      <c r="N81" s="289">
        <v>2010</v>
      </c>
      <c r="O81" s="289">
        <v>2010</v>
      </c>
      <c r="P81" s="336" t="s">
        <v>258</v>
      </c>
      <c r="Q81" s="289">
        <v>2007</v>
      </c>
      <c r="R81" s="289">
        <v>2007</v>
      </c>
      <c r="S81" s="289" t="s">
        <v>258</v>
      </c>
      <c r="T81" s="290" t="s">
        <v>258</v>
      </c>
    </row>
    <row r="82" spans="1:20">
      <c r="A82" s="80">
        <f>ROWS($A$3:A80)</f>
        <v>78</v>
      </c>
      <c r="B82" s="668" t="s">
        <v>79</v>
      </c>
      <c r="C82" s="645"/>
      <c r="D82" s="291"/>
      <c r="E82" s="291"/>
      <c r="F82" s="291"/>
      <c r="G82" s="291"/>
      <c r="H82" s="291"/>
      <c r="I82" s="291"/>
      <c r="J82" s="291"/>
      <c r="K82" s="291"/>
      <c r="L82" s="291"/>
      <c r="M82" s="291"/>
      <c r="N82" s="291"/>
      <c r="O82" s="291"/>
      <c r="P82" s="337"/>
      <c r="Q82" s="291"/>
      <c r="R82" s="291"/>
      <c r="S82" s="291"/>
      <c r="T82" s="292"/>
    </row>
    <row r="83" spans="1:20">
      <c r="A83" s="80">
        <f>ROWS($A$3:A81)</f>
        <v>79</v>
      </c>
      <c r="B83" s="388" t="s">
        <v>90</v>
      </c>
      <c r="C83" s="635" t="s">
        <v>13</v>
      </c>
      <c r="D83" s="633" t="s">
        <v>258</v>
      </c>
      <c r="E83" s="633" t="s">
        <v>258</v>
      </c>
      <c r="F83" s="633" t="s">
        <v>258</v>
      </c>
      <c r="G83" s="633">
        <v>2018</v>
      </c>
      <c r="H83" s="287" t="s">
        <v>258</v>
      </c>
      <c r="I83" s="287" t="s">
        <v>258</v>
      </c>
      <c r="J83" s="287" t="s">
        <v>258</v>
      </c>
      <c r="K83" s="287" t="s">
        <v>258</v>
      </c>
      <c r="L83" s="287" t="s">
        <v>258</v>
      </c>
      <c r="M83" s="287" t="s">
        <v>258</v>
      </c>
      <c r="N83" s="287" t="s">
        <v>258</v>
      </c>
      <c r="O83" s="287" t="s">
        <v>258</v>
      </c>
      <c r="P83" s="287" t="s">
        <v>258</v>
      </c>
      <c r="Q83" s="287" t="s">
        <v>258</v>
      </c>
      <c r="R83" s="287" t="s">
        <v>258</v>
      </c>
      <c r="S83" s="287">
        <v>2008</v>
      </c>
      <c r="T83" s="288" t="s">
        <v>260</v>
      </c>
    </row>
    <row r="84" spans="1:20">
      <c r="A84" s="80">
        <f>ROWS($A$3:A82)</f>
        <v>80</v>
      </c>
      <c r="B84" s="388" t="s">
        <v>365</v>
      </c>
      <c r="C84" s="635" t="s">
        <v>13</v>
      </c>
      <c r="D84" s="633">
        <v>2018</v>
      </c>
      <c r="E84" s="633">
        <v>2018</v>
      </c>
      <c r="F84" s="633">
        <v>2018</v>
      </c>
      <c r="G84" s="633">
        <v>2018</v>
      </c>
      <c r="H84" s="287" t="s">
        <v>258</v>
      </c>
      <c r="I84" s="287">
        <v>2016</v>
      </c>
      <c r="J84" s="287" t="s">
        <v>258</v>
      </c>
      <c r="K84" s="287" t="s">
        <v>258</v>
      </c>
      <c r="L84" s="287" t="s">
        <v>258</v>
      </c>
      <c r="M84" s="287" t="s">
        <v>258</v>
      </c>
      <c r="N84" s="287" t="s">
        <v>258</v>
      </c>
      <c r="O84" s="287" t="s">
        <v>258</v>
      </c>
      <c r="P84" s="287" t="s">
        <v>258</v>
      </c>
      <c r="Q84" s="287" t="s">
        <v>258</v>
      </c>
      <c r="R84" s="287" t="s">
        <v>258</v>
      </c>
      <c r="S84" s="287" t="s">
        <v>258</v>
      </c>
      <c r="T84" s="288" t="s">
        <v>260</v>
      </c>
    </row>
    <row r="85" spans="1:20">
      <c r="A85" s="80">
        <f>ROWS($A$3:A83)</f>
        <v>81</v>
      </c>
      <c r="B85" s="388" t="s">
        <v>367</v>
      </c>
      <c r="C85" s="635" t="s">
        <v>13</v>
      </c>
      <c r="D85" s="633">
        <v>2018</v>
      </c>
      <c r="E85" s="633">
        <v>2018</v>
      </c>
      <c r="F85" s="633">
        <v>2018</v>
      </c>
      <c r="G85" s="633">
        <v>2018</v>
      </c>
      <c r="H85" s="287" t="s">
        <v>258</v>
      </c>
      <c r="I85" s="287">
        <v>2016</v>
      </c>
      <c r="J85" s="287" t="s">
        <v>258</v>
      </c>
      <c r="K85" s="287" t="s">
        <v>258</v>
      </c>
      <c r="L85" s="287" t="s">
        <v>258</v>
      </c>
      <c r="M85" s="287" t="s">
        <v>258</v>
      </c>
      <c r="N85" s="287" t="s">
        <v>258</v>
      </c>
      <c r="O85" s="287" t="s">
        <v>258</v>
      </c>
      <c r="P85" s="287" t="s">
        <v>258</v>
      </c>
      <c r="Q85" s="287" t="s">
        <v>258</v>
      </c>
      <c r="R85" s="287" t="s">
        <v>258</v>
      </c>
      <c r="S85" s="287" t="s">
        <v>258</v>
      </c>
      <c r="T85" s="288" t="s">
        <v>260</v>
      </c>
    </row>
    <row r="86" spans="1:20">
      <c r="A86" s="80">
        <f>ROWS($A$3:A84)</f>
        <v>82</v>
      </c>
      <c r="B86" s="388" t="s">
        <v>366</v>
      </c>
      <c r="C86" s="636" t="s">
        <v>13</v>
      </c>
      <c r="D86" s="633">
        <v>2018</v>
      </c>
      <c r="E86" s="633">
        <v>2018</v>
      </c>
      <c r="F86" s="633">
        <v>2018</v>
      </c>
      <c r="G86" s="633">
        <v>2018</v>
      </c>
      <c r="H86" s="287" t="s">
        <v>258</v>
      </c>
      <c r="I86" s="287">
        <v>2016</v>
      </c>
      <c r="J86" s="287" t="s">
        <v>258</v>
      </c>
      <c r="K86" s="287" t="s">
        <v>258</v>
      </c>
      <c r="L86" s="287" t="s">
        <v>258</v>
      </c>
      <c r="M86" s="287" t="s">
        <v>258</v>
      </c>
      <c r="N86" s="287" t="s">
        <v>258</v>
      </c>
      <c r="O86" s="287" t="s">
        <v>258</v>
      </c>
      <c r="P86" s="287" t="s">
        <v>258</v>
      </c>
      <c r="Q86" s="287" t="s">
        <v>258</v>
      </c>
      <c r="R86" s="287" t="s">
        <v>258</v>
      </c>
      <c r="S86" s="287" t="s">
        <v>258</v>
      </c>
      <c r="T86" s="288" t="s">
        <v>260</v>
      </c>
    </row>
    <row r="87" spans="1:20">
      <c r="A87" s="80">
        <f>ROWS($A$3:A85)</f>
        <v>83</v>
      </c>
      <c r="B87" s="388" t="s">
        <v>368</v>
      </c>
      <c r="C87" s="636" t="s">
        <v>13</v>
      </c>
      <c r="D87" s="633">
        <v>2018</v>
      </c>
      <c r="E87" s="633">
        <v>2018</v>
      </c>
      <c r="F87" s="633">
        <v>2018</v>
      </c>
      <c r="G87" s="633">
        <v>2018</v>
      </c>
      <c r="H87" s="287" t="s">
        <v>258</v>
      </c>
      <c r="I87" s="287">
        <v>2016</v>
      </c>
      <c r="J87" s="287" t="s">
        <v>258</v>
      </c>
      <c r="K87" s="287" t="s">
        <v>258</v>
      </c>
      <c r="L87" s="287" t="s">
        <v>258</v>
      </c>
      <c r="M87" s="287" t="s">
        <v>258</v>
      </c>
      <c r="N87" s="287" t="s">
        <v>258</v>
      </c>
      <c r="O87" s="287" t="s">
        <v>258</v>
      </c>
      <c r="P87" s="287" t="s">
        <v>258</v>
      </c>
      <c r="Q87" s="287" t="s">
        <v>258</v>
      </c>
      <c r="R87" s="287" t="s">
        <v>258</v>
      </c>
      <c r="S87" s="287" t="s">
        <v>258</v>
      </c>
      <c r="T87" s="288" t="s">
        <v>260</v>
      </c>
    </row>
    <row r="88" spans="1:20" ht="13.5" thickBot="1">
      <c r="A88" s="80">
        <f>ROWS($A$3:A86)</f>
        <v>84</v>
      </c>
      <c r="B88" s="669"/>
      <c r="C88" s="660"/>
      <c r="D88" s="642"/>
      <c r="E88" s="642"/>
      <c r="F88" s="642"/>
      <c r="G88" s="642"/>
      <c r="H88" s="289"/>
      <c r="I88" s="289"/>
      <c r="J88" s="289"/>
      <c r="K88" s="289"/>
      <c r="L88" s="289"/>
      <c r="M88" s="289"/>
      <c r="N88" s="289"/>
      <c r="O88" s="289"/>
      <c r="P88" s="336"/>
      <c r="Q88" s="289"/>
      <c r="R88" s="289"/>
      <c r="S88" s="289"/>
      <c r="T88" s="290"/>
    </row>
    <row r="89" spans="1:20">
      <c r="A89" s="80">
        <f>ROWS($A$3:A87)</f>
        <v>85</v>
      </c>
      <c r="B89" s="665" t="s">
        <v>189</v>
      </c>
      <c r="C89" s="638"/>
      <c r="D89" s="640"/>
      <c r="E89" s="640"/>
      <c r="F89" s="640"/>
      <c r="G89" s="640"/>
      <c r="H89" s="640"/>
      <c r="I89" s="640"/>
      <c r="J89" s="640"/>
      <c r="K89" s="640"/>
      <c r="L89" s="640"/>
      <c r="M89" s="640"/>
      <c r="N89" s="640"/>
      <c r="O89" s="640"/>
      <c r="P89" s="659"/>
      <c r="Q89" s="640"/>
      <c r="R89" s="640"/>
      <c r="S89" s="640"/>
      <c r="T89" s="641"/>
    </row>
    <row r="90" spans="1:20" ht="13.5" thickBot="1">
      <c r="A90" s="80">
        <f>ROWS($A$3:A88)</f>
        <v>86</v>
      </c>
      <c r="B90" s="388" t="s">
        <v>372</v>
      </c>
      <c r="C90" s="636" t="s">
        <v>188</v>
      </c>
      <c r="D90" s="651">
        <v>2020</v>
      </c>
      <c r="E90" s="651">
        <v>2019</v>
      </c>
      <c r="F90" s="651">
        <v>2019</v>
      </c>
      <c r="G90" s="651">
        <v>2017</v>
      </c>
      <c r="H90" s="652">
        <v>2017</v>
      </c>
      <c r="I90" s="652" t="s">
        <v>258</v>
      </c>
      <c r="J90" s="652">
        <v>2014</v>
      </c>
      <c r="K90" s="652">
        <v>2014</v>
      </c>
      <c r="L90" s="652">
        <v>2013</v>
      </c>
      <c r="M90" s="652" t="s">
        <v>258</v>
      </c>
      <c r="N90" s="652" t="s">
        <v>258</v>
      </c>
      <c r="O90" s="652">
        <v>2010</v>
      </c>
      <c r="P90" s="654" t="s">
        <v>258</v>
      </c>
      <c r="Q90" s="652" t="s">
        <v>258</v>
      </c>
      <c r="R90" s="652" t="s">
        <v>258</v>
      </c>
      <c r="S90" s="652" t="s">
        <v>258</v>
      </c>
      <c r="T90" s="653" t="s">
        <v>258</v>
      </c>
    </row>
    <row r="91" spans="1:20">
      <c r="A91" s="80">
        <f>ROWS($A$3:A89)</f>
        <v>87</v>
      </c>
      <c r="B91" s="668" t="s">
        <v>190</v>
      </c>
      <c r="C91" s="661"/>
      <c r="D91" s="291"/>
      <c r="E91" s="291"/>
      <c r="F91" s="291"/>
      <c r="G91" s="291"/>
      <c r="H91" s="291"/>
      <c r="I91" s="291"/>
      <c r="J91" s="291"/>
      <c r="K91" s="291"/>
      <c r="L91" s="291"/>
      <c r="M91" s="291"/>
      <c r="N91" s="291"/>
      <c r="O91" s="291"/>
      <c r="P91" s="337"/>
      <c r="Q91" s="291"/>
      <c r="R91" s="291"/>
      <c r="S91" s="291"/>
      <c r="T91" s="292"/>
    </row>
    <row r="92" spans="1:20">
      <c r="A92" s="80">
        <f>ROWS($A$3:A90)</f>
        <v>88</v>
      </c>
      <c r="B92" s="388" t="s">
        <v>191</v>
      </c>
      <c r="C92" s="636" t="s">
        <v>192</v>
      </c>
      <c r="D92" s="633" t="s">
        <v>258</v>
      </c>
      <c r="E92" s="633" t="s">
        <v>258</v>
      </c>
      <c r="F92" s="633" t="s">
        <v>258</v>
      </c>
      <c r="G92" s="633">
        <v>2018</v>
      </c>
      <c r="H92" s="287" t="s">
        <v>258</v>
      </c>
      <c r="I92" s="287" t="s">
        <v>258</v>
      </c>
      <c r="J92" s="287" t="s">
        <v>258</v>
      </c>
      <c r="K92" s="287" t="s">
        <v>258</v>
      </c>
      <c r="L92" s="287" t="s">
        <v>258</v>
      </c>
      <c r="M92" s="287" t="s">
        <v>258</v>
      </c>
      <c r="N92" s="287" t="s">
        <v>258</v>
      </c>
      <c r="O92" s="287">
        <v>2010</v>
      </c>
      <c r="P92" s="335" t="s">
        <v>258</v>
      </c>
      <c r="Q92" s="287" t="s">
        <v>258</v>
      </c>
      <c r="R92" s="287" t="s">
        <v>258</v>
      </c>
      <c r="S92" s="287" t="s">
        <v>258</v>
      </c>
      <c r="T92" s="288" t="s">
        <v>258</v>
      </c>
    </row>
    <row r="93" spans="1:20">
      <c r="A93" s="80">
        <f>ROWS($A$3:A91)</f>
        <v>89</v>
      </c>
      <c r="B93" s="388" t="s">
        <v>193</v>
      </c>
      <c r="C93" s="636" t="s">
        <v>192</v>
      </c>
      <c r="D93" s="633" t="s">
        <v>258</v>
      </c>
      <c r="E93" s="633" t="s">
        <v>258</v>
      </c>
      <c r="F93" s="633" t="s">
        <v>258</v>
      </c>
      <c r="G93" s="633">
        <v>2018</v>
      </c>
      <c r="H93" s="287" t="s">
        <v>258</v>
      </c>
      <c r="I93" s="287" t="s">
        <v>258</v>
      </c>
      <c r="J93" s="287" t="s">
        <v>258</v>
      </c>
      <c r="K93" s="287" t="s">
        <v>258</v>
      </c>
      <c r="L93" s="287" t="s">
        <v>258</v>
      </c>
      <c r="M93" s="287" t="s">
        <v>258</v>
      </c>
      <c r="N93" s="287" t="s">
        <v>258</v>
      </c>
      <c r="O93" s="287">
        <v>2010</v>
      </c>
      <c r="P93" s="335" t="s">
        <v>258</v>
      </c>
      <c r="Q93" s="287" t="s">
        <v>258</v>
      </c>
      <c r="R93" s="287" t="s">
        <v>258</v>
      </c>
      <c r="S93" s="287" t="s">
        <v>258</v>
      </c>
      <c r="T93" s="288" t="s">
        <v>258</v>
      </c>
    </row>
    <row r="94" spans="1:20">
      <c r="A94" s="80">
        <f>ROWS($A$3:A92)</f>
        <v>90</v>
      </c>
      <c r="B94" s="388" t="s">
        <v>194</v>
      </c>
      <c r="C94" s="636" t="s">
        <v>192</v>
      </c>
      <c r="D94" s="633" t="s">
        <v>258</v>
      </c>
      <c r="E94" s="633" t="s">
        <v>258</v>
      </c>
      <c r="F94" s="633" t="s">
        <v>258</v>
      </c>
      <c r="G94" s="633">
        <v>2018</v>
      </c>
      <c r="H94" s="287" t="s">
        <v>258</v>
      </c>
      <c r="I94" s="287" t="s">
        <v>258</v>
      </c>
      <c r="J94" s="287" t="s">
        <v>258</v>
      </c>
      <c r="K94" s="287" t="s">
        <v>258</v>
      </c>
      <c r="L94" s="287" t="s">
        <v>258</v>
      </c>
      <c r="M94" s="287" t="s">
        <v>258</v>
      </c>
      <c r="N94" s="287" t="s">
        <v>258</v>
      </c>
      <c r="O94" s="287">
        <v>2010</v>
      </c>
      <c r="P94" s="335" t="s">
        <v>258</v>
      </c>
      <c r="Q94" s="287" t="s">
        <v>258</v>
      </c>
      <c r="R94" s="287" t="s">
        <v>258</v>
      </c>
      <c r="S94" s="287" t="s">
        <v>258</v>
      </c>
      <c r="T94" s="288" t="s">
        <v>258</v>
      </c>
    </row>
    <row r="95" spans="1:20" ht="13.5" thickBot="1">
      <c r="A95" s="80">
        <f>ROWS($A$3:A93)</f>
        <v>91</v>
      </c>
      <c r="B95" s="669" t="s">
        <v>195</v>
      </c>
      <c r="C95" s="660" t="s">
        <v>192</v>
      </c>
      <c r="D95" s="642" t="s">
        <v>258</v>
      </c>
      <c r="E95" s="642" t="s">
        <v>258</v>
      </c>
      <c r="F95" s="642" t="s">
        <v>258</v>
      </c>
      <c r="G95" s="642">
        <v>2018</v>
      </c>
      <c r="H95" s="289" t="s">
        <v>258</v>
      </c>
      <c r="I95" s="289" t="s">
        <v>258</v>
      </c>
      <c r="J95" s="289" t="s">
        <v>258</v>
      </c>
      <c r="K95" s="289" t="s">
        <v>258</v>
      </c>
      <c r="L95" s="289" t="s">
        <v>258</v>
      </c>
      <c r="M95" s="289" t="s">
        <v>258</v>
      </c>
      <c r="N95" s="289" t="s">
        <v>258</v>
      </c>
      <c r="O95" s="289">
        <v>2010</v>
      </c>
      <c r="P95" s="336" t="s">
        <v>258</v>
      </c>
      <c r="Q95" s="289" t="s">
        <v>258</v>
      </c>
      <c r="R95" s="289" t="s">
        <v>258</v>
      </c>
      <c r="S95" s="289" t="s">
        <v>258</v>
      </c>
      <c r="T95" s="290" t="s">
        <v>258</v>
      </c>
    </row>
    <row r="96" spans="1:20" ht="13.5" thickBot="1">
      <c r="A96" s="80">
        <f>ROWS($A$3:A94)</f>
        <v>92</v>
      </c>
      <c r="B96" s="670" t="s">
        <v>94</v>
      </c>
      <c r="C96" s="663"/>
      <c r="D96" s="655"/>
      <c r="E96" s="655"/>
      <c r="F96" s="655"/>
      <c r="G96" s="655"/>
      <c r="H96" s="656"/>
      <c r="I96" s="656"/>
      <c r="J96" s="656"/>
      <c r="K96" s="656"/>
      <c r="L96" s="656"/>
      <c r="M96" s="656"/>
      <c r="N96" s="656"/>
      <c r="O96" s="656"/>
      <c r="P96" s="657" t="s">
        <v>258</v>
      </c>
      <c r="Q96" s="656"/>
      <c r="R96" s="656"/>
      <c r="S96" s="656"/>
      <c r="T96" s="658"/>
    </row>
    <row r="97" spans="1:20">
      <c r="A97" s="80">
        <f>ROWS($A$3:A95)</f>
        <v>93</v>
      </c>
      <c r="B97" s="668" t="s">
        <v>247</v>
      </c>
      <c r="C97" s="664"/>
      <c r="D97" s="291"/>
      <c r="E97" s="291"/>
      <c r="F97" s="291"/>
      <c r="G97" s="291"/>
      <c r="H97" s="291"/>
      <c r="I97" s="291"/>
      <c r="J97" s="291"/>
      <c r="K97" s="291"/>
      <c r="L97" s="291"/>
      <c r="M97" s="291"/>
      <c r="N97" s="291"/>
      <c r="O97" s="291"/>
      <c r="P97" s="337"/>
      <c r="Q97" s="291"/>
      <c r="R97" s="291"/>
      <c r="S97" s="291"/>
      <c r="T97" s="292"/>
    </row>
    <row r="98" spans="1:20">
      <c r="A98" s="80">
        <f>ROWS($A$3:A96)</f>
        <v>94</v>
      </c>
      <c r="B98" s="388" t="s">
        <v>77</v>
      </c>
      <c r="C98" s="636" t="s">
        <v>13</v>
      </c>
      <c r="D98" s="633"/>
      <c r="E98" s="633"/>
      <c r="F98" s="633"/>
      <c r="G98" s="633"/>
      <c r="H98" s="287"/>
      <c r="I98" s="287"/>
      <c r="J98" s="287"/>
      <c r="K98" s="287"/>
      <c r="L98" s="287"/>
      <c r="M98" s="201"/>
      <c r="N98" s="287"/>
      <c r="O98" s="287">
        <v>2010</v>
      </c>
      <c r="P98" s="335" t="s">
        <v>258</v>
      </c>
      <c r="Q98" s="287" t="s">
        <v>258</v>
      </c>
      <c r="R98" s="287" t="s">
        <v>258</v>
      </c>
      <c r="S98" s="287" t="s">
        <v>258</v>
      </c>
      <c r="T98" s="288" t="s">
        <v>258</v>
      </c>
    </row>
    <row r="99" spans="1:20">
      <c r="A99" s="80">
        <f>ROWS($A$3:A97)</f>
        <v>95</v>
      </c>
      <c r="B99" s="388" t="s">
        <v>95</v>
      </c>
      <c r="C99" s="635" t="s">
        <v>10</v>
      </c>
      <c r="D99" s="633">
        <v>2010</v>
      </c>
      <c r="E99" s="633">
        <v>2010</v>
      </c>
      <c r="F99" s="633">
        <v>2010</v>
      </c>
      <c r="G99" s="633">
        <v>2010</v>
      </c>
      <c r="H99" s="287">
        <v>2010</v>
      </c>
      <c r="I99" s="287">
        <v>2010</v>
      </c>
      <c r="J99" s="287">
        <v>2010</v>
      </c>
      <c r="K99" s="287">
        <v>2010</v>
      </c>
      <c r="L99" s="287">
        <v>2010</v>
      </c>
      <c r="M99" s="287">
        <v>2010</v>
      </c>
      <c r="N99" s="287">
        <v>2010</v>
      </c>
      <c r="O99" s="287">
        <v>2010</v>
      </c>
      <c r="P99" s="335">
        <v>2009</v>
      </c>
      <c r="Q99" s="287" t="s">
        <v>258</v>
      </c>
      <c r="R99" s="287" t="s">
        <v>258</v>
      </c>
      <c r="S99" s="287" t="s">
        <v>258</v>
      </c>
      <c r="T99" s="288" t="s">
        <v>258</v>
      </c>
    </row>
    <row r="100" spans="1:20">
      <c r="A100" s="80">
        <f>ROWS($A$3:A98)</f>
        <v>96</v>
      </c>
      <c r="B100" s="388" t="s">
        <v>96</v>
      </c>
      <c r="C100" s="635" t="s">
        <v>10</v>
      </c>
      <c r="D100" s="633">
        <v>2010</v>
      </c>
      <c r="E100" s="633">
        <v>2010</v>
      </c>
      <c r="F100" s="633">
        <v>2010</v>
      </c>
      <c r="G100" s="633">
        <v>2010</v>
      </c>
      <c r="H100" s="287">
        <v>2010</v>
      </c>
      <c r="I100" s="287">
        <v>2010</v>
      </c>
      <c r="J100" s="287">
        <v>2010</v>
      </c>
      <c r="K100" s="287">
        <v>2010</v>
      </c>
      <c r="L100" s="287">
        <v>2010</v>
      </c>
      <c r="M100" s="287">
        <v>2010</v>
      </c>
      <c r="N100" s="287">
        <v>2010</v>
      </c>
      <c r="O100" s="287">
        <v>2010</v>
      </c>
      <c r="P100" s="287" t="s">
        <v>258</v>
      </c>
      <c r="Q100" s="287" t="s">
        <v>258</v>
      </c>
      <c r="R100" s="287" t="s">
        <v>258</v>
      </c>
      <c r="S100" s="287" t="s">
        <v>258</v>
      </c>
      <c r="T100" s="288" t="s">
        <v>258</v>
      </c>
    </row>
    <row r="101" spans="1:20">
      <c r="A101" s="80">
        <f>ROWS($A$3:A99)</f>
        <v>97</v>
      </c>
      <c r="B101" s="671" t="s">
        <v>77</v>
      </c>
      <c r="C101" s="635" t="s">
        <v>13</v>
      </c>
      <c r="D101" s="633">
        <v>2010</v>
      </c>
      <c r="E101" s="633">
        <v>2010</v>
      </c>
      <c r="F101" s="633">
        <v>2010</v>
      </c>
      <c r="G101" s="633">
        <v>2001</v>
      </c>
      <c r="H101" s="287">
        <v>2001</v>
      </c>
      <c r="I101" s="287">
        <v>2001</v>
      </c>
      <c r="J101" s="287">
        <v>2001</v>
      </c>
      <c r="K101" s="287">
        <v>2001</v>
      </c>
      <c r="L101" s="287">
        <v>2001</v>
      </c>
      <c r="M101" s="287">
        <v>2001</v>
      </c>
      <c r="N101" s="287">
        <v>2001</v>
      </c>
      <c r="O101" s="287">
        <v>2010</v>
      </c>
      <c r="P101" s="287" t="s">
        <v>258</v>
      </c>
      <c r="Q101" s="287" t="s">
        <v>258</v>
      </c>
      <c r="R101" s="287" t="s">
        <v>258</v>
      </c>
      <c r="S101" s="287" t="s">
        <v>258</v>
      </c>
      <c r="T101" s="288" t="s">
        <v>258</v>
      </c>
    </row>
    <row r="102" spans="1:20" ht="13.5" thickBot="1">
      <c r="A102" s="80">
        <f>ROWS($A$3:A100)</f>
        <v>98</v>
      </c>
      <c r="B102" s="672" t="s">
        <v>96</v>
      </c>
      <c r="C102" s="650" t="s">
        <v>10</v>
      </c>
      <c r="D102" s="642">
        <v>2010</v>
      </c>
      <c r="E102" s="642">
        <v>2010</v>
      </c>
      <c r="F102" s="642">
        <v>2010</v>
      </c>
      <c r="G102" s="642">
        <v>2001</v>
      </c>
      <c r="H102" s="289">
        <v>2001</v>
      </c>
      <c r="I102" s="289">
        <v>2001</v>
      </c>
      <c r="J102" s="289">
        <v>2001</v>
      </c>
      <c r="K102" s="289">
        <v>2001</v>
      </c>
      <c r="L102" s="289">
        <v>2001</v>
      </c>
      <c r="M102" s="289">
        <v>2001</v>
      </c>
      <c r="N102" s="289">
        <v>2001</v>
      </c>
      <c r="O102" s="289">
        <v>2010</v>
      </c>
      <c r="P102" s="289" t="s">
        <v>258</v>
      </c>
      <c r="Q102" s="289" t="s">
        <v>258</v>
      </c>
      <c r="R102" s="289" t="s">
        <v>258</v>
      </c>
      <c r="S102" s="289" t="s">
        <v>258</v>
      </c>
      <c r="T102" s="290" t="s">
        <v>258</v>
      </c>
    </row>
    <row r="103" spans="1:20">
      <c r="A103" s="80">
        <f>ROWS($A$3:A101)</f>
        <v>99</v>
      </c>
      <c r="B103" s="671"/>
      <c r="C103" s="648"/>
      <c r="D103" s="644"/>
      <c r="E103" s="644"/>
      <c r="F103" s="644"/>
      <c r="G103" s="644"/>
      <c r="H103" s="611"/>
      <c r="I103" s="611"/>
      <c r="J103" s="611"/>
      <c r="K103" s="611"/>
      <c r="L103" s="611"/>
      <c r="M103" s="611"/>
      <c r="N103" s="611"/>
      <c r="O103" s="611"/>
      <c r="P103" s="611"/>
      <c r="Q103" s="611"/>
      <c r="R103" s="611"/>
      <c r="S103" s="611"/>
      <c r="T103" s="612"/>
    </row>
    <row r="104" spans="1:20" ht="13.5" thickBot="1">
      <c r="A104" s="80">
        <f>ROWS($A$3:A102)</f>
        <v>100</v>
      </c>
      <c r="B104" s="671" t="s">
        <v>255</v>
      </c>
      <c r="C104" s="648" t="s">
        <v>13</v>
      </c>
      <c r="D104" s="651">
        <v>2020</v>
      </c>
      <c r="E104" s="651">
        <v>2019</v>
      </c>
      <c r="F104" s="651">
        <v>2019</v>
      </c>
      <c r="G104" s="651">
        <v>2017</v>
      </c>
      <c r="H104" s="652">
        <v>2017</v>
      </c>
      <c r="I104" s="652">
        <v>2016</v>
      </c>
      <c r="J104" s="652">
        <v>2015</v>
      </c>
      <c r="K104" s="652">
        <v>2014</v>
      </c>
      <c r="L104" s="652">
        <v>2013</v>
      </c>
      <c r="M104" s="652" t="s">
        <v>258</v>
      </c>
      <c r="N104" s="652" t="s">
        <v>258</v>
      </c>
      <c r="O104" s="652">
        <v>2010</v>
      </c>
      <c r="P104" s="652" t="s">
        <v>258</v>
      </c>
      <c r="Q104" s="652" t="s">
        <v>258</v>
      </c>
      <c r="R104" s="652" t="s">
        <v>258</v>
      </c>
      <c r="S104" s="652" t="s">
        <v>258</v>
      </c>
      <c r="T104" s="653" t="s">
        <v>258</v>
      </c>
    </row>
    <row r="105" spans="1:20">
      <c r="A105" s="80">
        <f>ROWS($A$3:A103)</f>
        <v>101</v>
      </c>
      <c r="B105" s="673"/>
      <c r="C105" s="649"/>
      <c r="D105" s="643"/>
      <c r="E105" s="643"/>
      <c r="F105" s="643"/>
      <c r="G105" s="643"/>
      <c r="H105" s="462"/>
      <c r="I105" s="462"/>
      <c r="J105" s="462"/>
      <c r="K105" s="462"/>
      <c r="L105" s="462"/>
      <c r="M105" s="462"/>
      <c r="N105" s="462"/>
      <c r="O105" s="462"/>
      <c r="P105" s="462"/>
      <c r="Q105" s="462"/>
      <c r="R105" s="462"/>
      <c r="S105" s="462"/>
      <c r="T105" s="463"/>
    </row>
    <row r="106" spans="1:20">
      <c r="A106" s="80">
        <f>ROWS($A$3:A104)</f>
        <v>102</v>
      </c>
      <c r="B106" s="671"/>
      <c r="C106" s="648"/>
      <c r="D106" s="633"/>
      <c r="E106" s="633"/>
      <c r="F106" s="633"/>
      <c r="G106" s="633"/>
      <c r="H106" s="287"/>
      <c r="I106" s="287"/>
      <c r="J106" s="287"/>
      <c r="K106" s="287"/>
      <c r="L106" s="287"/>
      <c r="M106" s="287"/>
      <c r="N106" s="287"/>
      <c r="O106" s="287"/>
      <c r="P106" s="287"/>
      <c r="Q106" s="287"/>
      <c r="R106" s="287"/>
      <c r="S106" s="287"/>
      <c r="T106" s="288"/>
    </row>
    <row r="107" spans="1:20">
      <c r="A107" s="80">
        <f>ROWS($A$3:A105)</f>
        <v>103</v>
      </c>
      <c r="B107" s="671"/>
      <c r="C107" s="648"/>
      <c r="D107" s="633"/>
      <c r="E107" s="633"/>
      <c r="F107" s="633"/>
      <c r="G107" s="633"/>
      <c r="H107" s="287"/>
      <c r="I107" s="287"/>
      <c r="J107" s="287"/>
      <c r="K107" s="287"/>
      <c r="L107" s="287"/>
      <c r="M107" s="287"/>
      <c r="N107" s="287"/>
      <c r="O107" s="287"/>
      <c r="P107" s="287"/>
      <c r="Q107" s="287"/>
      <c r="R107" s="287"/>
      <c r="S107" s="287"/>
      <c r="T107" s="288"/>
    </row>
    <row r="108" spans="1:20">
      <c r="A108" s="80">
        <f>ROWS($A$3:A106)</f>
        <v>104</v>
      </c>
      <c r="B108" s="55"/>
      <c r="C108" s="648"/>
      <c r="D108" s="633"/>
      <c r="E108" s="633"/>
      <c r="F108" s="633"/>
      <c r="G108" s="633"/>
      <c r="H108" s="287"/>
      <c r="I108" s="287"/>
      <c r="J108" s="287"/>
      <c r="K108" s="287"/>
      <c r="L108" s="287"/>
      <c r="M108" s="287"/>
      <c r="N108" s="287"/>
      <c r="O108" s="287"/>
      <c r="P108" s="287"/>
      <c r="Q108" s="287"/>
      <c r="R108" s="287"/>
      <c r="S108" s="287"/>
      <c r="T108" s="288"/>
    </row>
    <row r="109" spans="1:20">
      <c r="A109" s="80">
        <f>ROWS($A$3:A107)</f>
        <v>105</v>
      </c>
      <c r="B109" s="55"/>
      <c r="C109" s="648"/>
      <c r="D109" s="633"/>
      <c r="E109" s="633"/>
      <c r="F109" s="633"/>
      <c r="G109" s="633"/>
      <c r="H109" s="287"/>
      <c r="I109" s="287"/>
      <c r="J109" s="287"/>
      <c r="K109" s="287"/>
      <c r="L109" s="287"/>
      <c r="M109" s="287"/>
      <c r="N109" s="287"/>
      <c r="O109" s="287"/>
      <c r="P109" s="287"/>
      <c r="Q109" s="287"/>
      <c r="R109" s="287"/>
      <c r="S109" s="287"/>
      <c r="T109" s="288"/>
    </row>
    <row r="110" spans="1:20" ht="13.5" thickBot="1">
      <c r="A110" s="80">
        <f>ROWS($A$3:A108)</f>
        <v>106</v>
      </c>
      <c r="B110" s="56"/>
      <c r="C110" s="650"/>
      <c r="D110" s="642"/>
      <c r="E110" s="642"/>
      <c r="F110" s="642"/>
      <c r="G110" s="642"/>
      <c r="H110" s="289"/>
      <c r="I110" s="289"/>
      <c r="J110" s="289"/>
      <c r="K110" s="289"/>
      <c r="L110" s="289"/>
      <c r="M110" s="289"/>
      <c r="N110" s="289"/>
      <c r="O110" s="289"/>
      <c r="P110" s="289"/>
      <c r="Q110" s="289"/>
      <c r="R110" s="289"/>
      <c r="S110" s="289"/>
      <c r="T110" s="290"/>
    </row>
    <row r="111" spans="1:20">
      <c r="B111" s="57"/>
      <c r="C111" s="630"/>
    </row>
    <row r="112" spans="1:20">
      <c r="B112" s="617" t="s">
        <v>369</v>
      </c>
      <c r="C112" s="631"/>
    </row>
    <row r="113" spans="2:3">
      <c r="B113" s="73"/>
      <c r="C113" s="632"/>
    </row>
    <row r="114" spans="2:3">
      <c r="B114" s="73"/>
      <c r="C114" s="632"/>
    </row>
    <row r="115" spans="2:3">
      <c r="B115" s="73"/>
      <c r="C115" s="632"/>
    </row>
    <row r="116" spans="2:3">
      <c r="B116" s="72"/>
    </row>
    <row r="117" spans="2:3">
      <c r="B117" s="73"/>
      <c r="C117" s="632"/>
    </row>
    <row r="118" spans="2:3">
      <c r="B118" s="73"/>
      <c r="C118" s="632"/>
    </row>
    <row r="119" spans="2:3">
      <c r="B119" s="73"/>
      <c r="C119" s="632"/>
    </row>
  </sheetData>
  <sheetProtection algorithmName="SHA-512" hashValue="Z8609i7Ue03lE/ikIOjhTgbV4HsBZgrOY95ubr+cuiBl9CJnbcAxTYr3u1eBye/vxVG3oO3JvwdEonTJoi5JjA==" saltValue="YeCNutJwVSYz1b5TZ3IPvw==" spinCount="100000" sheet="1" objects="1" scenarios="1"/>
  <autoFilter ref="A5:U110"/>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104" min="1" max="1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AC100"/>
  <sheetViews>
    <sheetView showGridLines="0" zoomScaleNormal="100" workbookViewId="0">
      <selection activeCell="AG32" sqref="AG32"/>
    </sheetView>
  </sheetViews>
  <sheetFormatPr baseColWidth="10" defaultColWidth="11.42578125" defaultRowHeight="12.75"/>
  <cols>
    <col min="1" max="1" width="44.140625" style="3" customWidth="1"/>
    <col min="2" max="2" width="11.5703125" style="2" customWidth="1"/>
    <col min="3" max="5" width="14.7109375" style="3" customWidth="1"/>
    <col min="6" max="6" width="2.140625" style="3" customWidth="1"/>
    <col min="7" max="7" width="11.42578125" style="3" hidden="1" customWidth="1"/>
    <col min="8" max="8" width="8.7109375" style="3" hidden="1" customWidth="1"/>
    <col min="9" max="9" width="11.42578125" style="3" hidden="1" customWidth="1"/>
    <col min="10" max="10" width="9.42578125" style="3" hidden="1" customWidth="1"/>
    <col min="11" max="11" width="15.85546875" style="3" hidden="1" customWidth="1"/>
    <col min="12" max="12" width="15.85546875" style="3" customWidth="1"/>
    <col min="13" max="25" width="12" style="3" hidden="1" customWidth="1"/>
    <col min="26" max="26" width="12.42578125" style="3" hidden="1" customWidth="1"/>
    <col min="27" max="28" width="11.42578125" style="3" hidden="1" customWidth="1"/>
    <col min="29" max="29" width="0" style="3" hidden="1" customWidth="1"/>
    <col min="30" max="16384" width="11.42578125" style="3"/>
  </cols>
  <sheetData>
    <row r="1" spans="1:29" ht="21.75" customHeight="1" thickTop="1">
      <c r="A1" s="88" t="s">
        <v>246</v>
      </c>
      <c r="B1" s="61"/>
      <c r="C1" s="884" t="str">
        <f>Strukturdaten!D1&amp;" "&amp;Strukturdaten!D2</f>
        <v>Kreis Bodenseekreis</v>
      </c>
      <c r="D1" s="886"/>
      <c r="E1" s="887"/>
      <c r="L1" s="341" t="s">
        <v>230</v>
      </c>
    </row>
    <row r="2" spans="1:29" ht="36" customHeight="1" thickBot="1">
      <c r="A2" s="91"/>
      <c r="B2" s="62"/>
      <c r="C2" s="105">
        <f>H2</f>
        <v>2022</v>
      </c>
      <c r="D2" s="104">
        <f>J2</f>
        <v>2022</v>
      </c>
      <c r="E2" s="115" t="str">
        <f>"Veränderung"&amp;" ("&amp;C2&amp;" = 100)"</f>
        <v>Veränderung (2022 = 100)</v>
      </c>
      <c r="F2" s="77"/>
      <c r="G2" s="475">
        <v>17</v>
      </c>
      <c r="H2" s="100">
        <f>VLOOKUP(G2,G3:H19,2)</f>
        <v>2022</v>
      </c>
      <c r="I2" s="475">
        <v>17</v>
      </c>
      <c r="J2" s="100">
        <f>VLOOKUP(I2,G3:I19,3)</f>
        <v>2022</v>
      </c>
      <c r="K2" s="3">
        <f>Strukturdaten!I2+5</f>
        <v>87</v>
      </c>
      <c r="M2" s="616">
        <v>2001</v>
      </c>
      <c r="N2" s="616">
        <v>2007</v>
      </c>
      <c r="O2" s="616">
        <v>2008</v>
      </c>
      <c r="P2" s="616">
        <v>2009</v>
      </c>
      <c r="Q2" s="616">
        <v>2010</v>
      </c>
      <c r="R2" s="616">
        <v>2011</v>
      </c>
      <c r="S2" s="616">
        <v>2012</v>
      </c>
      <c r="T2" s="616">
        <v>2013</v>
      </c>
      <c r="U2" s="616">
        <v>2014</v>
      </c>
      <c r="V2" s="616">
        <v>2015</v>
      </c>
      <c r="W2" s="616">
        <v>2016</v>
      </c>
      <c r="X2" s="616">
        <v>2017</v>
      </c>
      <c r="Y2" s="616">
        <v>2018</v>
      </c>
      <c r="Z2" s="616">
        <v>2019</v>
      </c>
      <c r="AA2" s="616">
        <v>2020</v>
      </c>
      <c r="AB2" s="3">
        <v>2021</v>
      </c>
      <c r="AC2" s="3">
        <v>2022</v>
      </c>
    </row>
    <row r="3" spans="1:29" s="12" customFormat="1" ht="18.75" customHeight="1">
      <c r="A3" s="400" t="str">
        <f>'Stand der Daten'!B6</f>
        <v xml:space="preserve">Flächennutzung und Bevölkerung </v>
      </c>
      <c r="B3" s="401"/>
      <c r="C3" s="402"/>
      <c r="D3" s="403"/>
      <c r="E3" s="404"/>
      <c r="F3" s="3"/>
      <c r="G3" s="46">
        <f>ROWS($G$3:G3)</f>
        <v>1</v>
      </c>
      <c r="H3" s="50">
        <v>2001</v>
      </c>
      <c r="I3" s="75">
        <v>2001</v>
      </c>
      <c r="J3" s="76"/>
      <c r="K3" s="99"/>
    </row>
    <row r="4" spans="1:29" ht="15" customHeight="1">
      <c r="A4" s="13" t="str">
        <f>'Stand der Daten'!B7</f>
        <v>Bodenfläche (Flächenerhebung) insg.</v>
      </c>
      <c r="B4" s="15" t="str">
        <f>Strukturdaten!C4</f>
        <v>ha</v>
      </c>
      <c r="C4" s="210">
        <f ca="1">IF($H$2=0,0,INDIRECT(ADDRESS(7,$K$2,,,$H$2)))</f>
        <v>66477</v>
      </c>
      <c r="D4" s="211">
        <f ca="1">IF($J$2=0,0,INDIRECT(ADDRESS(7,$K$2,,,$J$2)))</f>
        <v>66477</v>
      </c>
      <c r="E4" s="425">
        <f t="shared" ref="E4:E11" ca="1" si="0">IF(C4=0," ---",IF(D4=0," ---",IF(ISERROR(D4/C4)=TRUE," ---",D4/C4-1)))</f>
        <v>0</v>
      </c>
      <c r="F4" s="468"/>
      <c r="G4" s="46">
        <f>ROWS($G$3:G4)</f>
        <v>2</v>
      </c>
      <c r="H4" s="50">
        <v>2007</v>
      </c>
      <c r="I4" s="46">
        <v>2007</v>
      </c>
      <c r="J4" s="50"/>
      <c r="K4" s="99"/>
      <c r="M4" s="3">
        <f ca="1">IF($M$2=0,0,INDIRECT(ADDRESS(7,$K$2,,,$M$2)))</f>
        <v>66478</v>
      </c>
      <c r="N4" s="3">
        <f ca="1">IF($N$2=0,0,INDIRECT(ADDRESS(7,$K$2,,,$N$2)))</f>
        <v>66478</v>
      </c>
      <c r="O4" s="3">
        <f ca="1">IF($O$2=0,0,INDIRECT(ADDRESS(7,$K$2,,,$O$2)))</f>
        <v>66478</v>
      </c>
      <c r="P4" s="3">
        <f ca="1">IF($P$2=0,0,INDIRECT(ADDRESS(7,$K$2,,,$P$2)))</f>
        <v>66478</v>
      </c>
      <c r="Q4" s="3">
        <f ca="1">IF($Q$2=0,0,INDIRECT(ADDRESS(7,$K$2,,,$Q$2)))</f>
        <v>66479</v>
      </c>
      <c r="R4" s="3">
        <f ca="1">IF($R$2=0,0,INDIRECT(ADDRESS(7,$K$2,,,$R$2)))</f>
        <v>66479</v>
      </c>
      <c r="S4" s="3">
        <f ca="1">IF($S$2=0,0,INDIRECT(ADDRESS(7,$K$2,,,$S$2)))</f>
        <v>66480</v>
      </c>
      <c r="T4" s="3">
        <f ca="1">IF($T$2=0,0,INDIRECT(ADDRESS(7,$K$2,,,$T$2)))</f>
        <v>66480</v>
      </c>
      <c r="U4" s="3">
        <f ca="1">IF($U$2=0,0,INDIRECT(ADDRESS(7,$K$2,,,$U$2)))</f>
        <v>66480</v>
      </c>
      <c r="V4" s="3">
        <f ca="1">IF($V$2=0,0,INDIRECT(ADDRESS(7,$K$2,,,$V$2)))</f>
        <v>66480</v>
      </c>
      <c r="W4" s="3">
        <f ca="1">IF($W$2=0,0,INDIRECT(ADDRESS(7,$K$2,,,$W$2)))</f>
        <v>66481</v>
      </c>
      <c r="X4" s="3">
        <f ca="1">IF($X$2=0,0,INDIRECT(ADDRESS(7,$K$2,,,$X$2)))</f>
        <v>66479</v>
      </c>
      <c r="Y4" s="3">
        <f ca="1">IF($Y$2=0,0,INDIRECT(ADDRESS(7,$K$2,,,$Y$2)))</f>
        <v>66479</v>
      </c>
      <c r="Z4" s="3">
        <f ca="1">IF($Z$2=0,0,INDIRECT(ADDRESS(7,$K$2,,,$Z$2)))</f>
        <v>66479</v>
      </c>
      <c r="AA4" s="3">
        <f ca="1">IF($AA$2=0,0,INDIRECT(ADDRESS(7,$K$2,,,$AA$2)))</f>
        <v>66477</v>
      </c>
      <c r="AB4" s="3">
        <f ca="1">IF($AB$2=0,0,INDIRECT(ADDRESS(7,$K$2,,,$AB$2)))</f>
        <v>66477</v>
      </c>
      <c r="AC4" s="3">
        <f ca="1">IF($AC$2=0,0,INDIRECT(ADDRESS(7,$K$2,,,$AC$2)))</f>
        <v>66477</v>
      </c>
    </row>
    <row r="5" spans="1:29" ht="15" customHeight="1">
      <c r="A5" s="95" t="str">
        <f>'Stand der Daten'!B8</f>
        <v xml:space="preserve">davon Siedlungs- und Verkehrsfläche 1) </v>
      </c>
      <c r="B5" s="15" t="str">
        <f>Strukturdaten!C5</f>
        <v>ha</v>
      </c>
      <c r="C5" s="212">
        <f ca="1">IF($H$2=0,0,INDIRECT(ADDRESS(8,$K$2,,,$H$2)))</f>
        <v>10103</v>
      </c>
      <c r="D5" s="213">
        <f ca="1">IF($J$2=0,0,INDIRECT(ADDRESS(8,$K$2,,,$J$2)))</f>
        <v>10103</v>
      </c>
      <c r="E5" s="424">
        <f t="shared" ca="1" si="0"/>
        <v>0</v>
      </c>
      <c r="F5" s="468"/>
      <c r="G5" s="46">
        <f>ROWS($G$3:G5)</f>
        <v>3</v>
      </c>
      <c r="H5" s="50">
        <v>2008</v>
      </c>
      <c r="I5" s="46">
        <v>2008</v>
      </c>
      <c r="J5" s="50"/>
      <c r="K5" s="99"/>
      <c r="M5" s="3">
        <f ca="1">IF($M$2=0,0,INDIRECT(ADDRESS(8,$K$2,,,$M$2)))</f>
        <v>8926</v>
      </c>
      <c r="N5" s="3">
        <f ca="1">IF($N$2=0,0,INDIRECT(ADDRESS(8,$K$2,,,$N$2)))</f>
        <v>9506</v>
      </c>
      <c r="O5" s="3">
        <f ca="1">IF($O$2=0,0,INDIRECT(ADDRESS(8,$K$2,,,$O$2)))</f>
        <v>9250</v>
      </c>
      <c r="P5" s="3">
        <f ca="1">IF($P$2=0,0,INDIRECT(ADDRESS(8,$K$2,,,$P$2)))</f>
        <v>9603</v>
      </c>
      <c r="Q5" s="3">
        <f ca="1">IF($Q$2=0,0,INDIRECT(ADDRESS(8,$K$2,,,$Q$2)))</f>
        <v>9664</v>
      </c>
      <c r="R5" s="3">
        <f ca="1">IF($R$2=0,0,INDIRECT(ADDRESS(8,$K$2,,,$R$2)))</f>
        <v>9699</v>
      </c>
      <c r="S5" s="3">
        <f ca="1">IF($S$2=0,0,INDIRECT(ADDRESS(8,$K$2,,,$S$2)))</f>
        <v>9758</v>
      </c>
      <c r="T5" s="3">
        <f ca="1">IF($T$2=0,0,INDIRECT(ADDRESS(8,$K$2,,,$T$2)))</f>
        <v>9824</v>
      </c>
      <c r="U5" s="3">
        <f ca="1">IF($U$2=0,0,INDIRECT(ADDRESS(8,$K$2,,,$U$2)))</f>
        <v>9824</v>
      </c>
      <c r="V5" s="3">
        <f ca="1">IF($V$2=0,0,INDIRECT(ADDRESS(8,$K$2,,,$V$2)))</f>
        <v>9824</v>
      </c>
      <c r="W5" s="3">
        <f ca="1">IF($W$2=0,0,INDIRECT(ADDRESS(8,$K$2,,,$W$2)))</f>
        <v>9883</v>
      </c>
      <c r="X5" s="3">
        <f ca="1">IF($X$2=0,0,INDIRECT(ADDRESS(8,$K$2,,,$X$2)))</f>
        <v>9929</v>
      </c>
      <c r="Y5" s="3">
        <f ca="1">IF($Y$2=0,0,INDIRECT(ADDRESS(8,$K$2,,,$Y$2)))</f>
        <v>9973</v>
      </c>
      <c r="Z5" s="3">
        <f ca="1">IF($Z$2=0,0,INDIRECT(ADDRESS(8,$K$2,,,$Z$2)))</f>
        <v>9973</v>
      </c>
      <c r="AA5" s="3">
        <f ca="1">IF($AA$2=0,0,INDIRECT(ADDRESS(8,$K$2,,,$AA$2)))</f>
        <v>10068</v>
      </c>
      <c r="AB5" s="3">
        <f ca="1">IF($AB$2=0,0,INDIRECT(ADDRESS(8,$K$2,,,$AB$2)))</f>
        <v>10068</v>
      </c>
      <c r="AC5" s="3">
        <f ca="1">IF($AC$2=0,0,INDIRECT(ADDRESS(8,$K$2,,,$AC$2)))</f>
        <v>10103</v>
      </c>
    </row>
    <row r="6" spans="1:29" ht="15" customHeight="1">
      <c r="A6" s="595" t="str">
        <f>'Stand der Daten'!B9</f>
        <v>Landwirtschaftsfläche</v>
      </c>
      <c r="B6" s="15" t="str">
        <f>Strukturdaten!C6</f>
        <v>ha</v>
      </c>
      <c r="C6" s="212">
        <f ca="1">IF($H$2=0,0,INDIRECT(ADDRESS(9,$K$2,,,$H$2)))</f>
        <v>36589</v>
      </c>
      <c r="D6" s="213">
        <f ca="1">IF($J$2=0,0,INDIRECT(ADDRESS(9,$K$2,,,$J$2)))</f>
        <v>36589</v>
      </c>
      <c r="E6" s="424">
        <f t="shared" ca="1" si="0"/>
        <v>0</v>
      </c>
      <c r="F6" s="468"/>
      <c r="G6" s="46">
        <f>ROWS($G$3:G6)</f>
        <v>4</v>
      </c>
      <c r="H6" s="50">
        <v>2009</v>
      </c>
      <c r="I6" s="46">
        <v>2009</v>
      </c>
      <c r="J6" s="50"/>
      <c r="K6" s="99"/>
    </row>
    <row r="7" spans="1:29" ht="15" customHeight="1">
      <c r="A7" s="595" t="str">
        <f>'Stand der Daten'!B10</f>
        <v>Waldfläche</v>
      </c>
      <c r="B7" s="15" t="str">
        <f>Strukturdaten!C7</f>
        <v>ha</v>
      </c>
      <c r="C7" s="212">
        <f ca="1">IF($H$2=0,0,INDIRECT(ADDRESS(10,$K$2,,,$H$2)))</f>
        <v>18493</v>
      </c>
      <c r="D7" s="213">
        <f ca="1">IF($J$2=0,0,INDIRECT(ADDRESS(10,$K$2,,,$J$2)))</f>
        <v>18493</v>
      </c>
      <c r="E7" s="424">
        <f t="shared" ca="1" si="0"/>
        <v>0</v>
      </c>
      <c r="F7" s="468"/>
      <c r="G7" s="46">
        <f>ROWS($G$3:G7)</f>
        <v>5</v>
      </c>
      <c r="H7" s="50">
        <v>2010</v>
      </c>
      <c r="I7" s="46">
        <v>2010</v>
      </c>
      <c r="J7" s="50"/>
    </row>
    <row r="8" spans="1:29" ht="15" customHeight="1">
      <c r="A8" s="595" t="str">
        <f>'Stand der Daten'!B11</f>
        <v>Wasserfläche</v>
      </c>
      <c r="B8" s="15" t="str">
        <f>Strukturdaten!C8</f>
        <v>ha</v>
      </c>
      <c r="C8" s="212">
        <f ca="1">IF($H$2=0,0,INDIRECT(ADDRESS(11,$K$2,,,$H$2)))</f>
        <v>710</v>
      </c>
      <c r="D8" s="213">
        <f ca="1">IF($J$2=0,0,INDIRECT(ADDRESS(11,$K$2,,,$J$2)))</f>
        <v>710</v>
      </c>
      <c r="E8" s="424">
        <f t="shared" ca="1" si="0"/>
        <v>0</v>
      </c>
      <c r="F8" s="468"/>
      <c r="G8" s="46">
        <f>ROWS($G$3:G8)</f>
        <v>6</v>
      </c>
      <c r="H8" s="50">
        <v>2011</v>
      </c>
      <c r="I8" s="46">
        <v>2011</v>
      </c>
      <c r="J8" s="50"/>
    </row>
    <row r="9" spans="1:29" ht="15" customHeight="1">
      <c r="A9" s="595" t="str">
        <f>'Stand der Daten'!B12</f>
        <v>Übrige Nutzungsarten</v>
      </c>
      <c r="B9" s="15" t="str">
        <f>Strukturdaten!C9</f>
        <v>ha</v>
      </c>
      <c r="C9" s="212">
        <f ca="1">IF($H$2=0,0,INDIRECT(ADDRESS(12,$K$2,,,$H$2)))</f>
        <v>582</v>
      </c>
      <c r="D9" s="213">
        <f ca="1">IF($J$2=0,0,INDIRECT(ADDRESS(12,$K$2,,,$J$2)))</f>
        <v>582</v>
      </c>
      <c r="E9" s="424">
        <f t="shared" ca="1" si="0"/>
        <v>0</v>
      </c>
      <c r="F9" s="468"/>
      <c r="G9" s="46">
        <f>ROWS($G$3:G9)</f>
        <v>7</v>
      </c>
      <c r="H9" s="50">
        <v>2012</v>
      </c>
      <c r="I9" s="46">
        <v>2012</v>
      </c>
      <c r="J9" s="50"/>
    </row>
    <row r="10" spans="1:29" ht="15" customHeight="1">
      <c r="A10" s="13" t="str">
        <f>'Stand der Daten'!B13</f>
        <v>Wohnbevölkerung</v>
      </c>
      <c r="B10" s="15" t="str">
        <f>Strukturdaten!C10</f>
        <v>Personen</v>
      </c>
      <c r="C10" s="210">
        <f ca="1">IF($H$2=0,0,INDIRECT(ADDRESS(13,$K$2,,,$H$2)))</f>
        <v>222067</v>
      </c>
      <c r="D10" s="211">
        <f ca="1">IF($J$2=0,0,INDIRECT(ADDRESS(13,$K$2,,,$J$2)))</f>
        <v>222067</v>
      </c>
      <c r="E10" s="425">
        <f t="shared" ca="1" si="0"/>
        <v>0</v>
      </c>
      <c r="F10" s="429"/>
      <c r="G10" s="46">
        <f>ROWS($G$3:G10)</f>
        <v>8</v>
      </c>
      <c r="H10" s="50">
        <v>2013</v>
      </c>
      <c r="I10" s="46">
        <v>2013</v>
      </c>
      <c r="J10" s="50"/>
    </row>
    <row r="11" spans="1:29" ht="15" customHeight="1" thickBot="1">
      <c r="A11" s="66" t="str">
        <f>'Stand der Daten'!B14</f>
        <v xml:space="preserve">Bevölkerungsdichte </v>
      </c>
      <c r="B11" s="15" t="str">
        <f>Strukturdaten!C11</f>
        <v>Pers./km²</v>
      </c>
      <c r="C11" s="212">
        <f ca="1">IF($H$2=0,0,INDIRECT(ADDRESS(14,$K$2,,,$H$2)))</f>
        <v>334.05087473863142</v>
      </c>
      <c r="D11" s="213">
        <f ca="1">IF($J$2=0,0,INDIRECT(ADDRESS(14,$K$2,,,$J$2)))</f>
        <v>334.05087473863142</v>
      </c>
      <c r="E11" s="424">
        <f t="shared" ca="1" si="0"/>
        <v>0</v>
      </c>
      <c r="F11" s="429"/>
      <c r="G11" s="46">
        <f>ROWS($G$3:G11)</f>
        <v>9</v>
      </c>
      <c r="H11" s="50">
        <v>2014</v>
      </c>
      <c r="I11" s="46">
        <v>2014</v>
      </c>
      <c r="J11" s="50"/>
      <c r="M11" s="3">
        <f ca="1">IF($M$2=0,0,INDIRECT(ADDRESS(14,$K$2,,,$M$2)))</f>
        <v>302.27744516983063</v>
      </c>
      <c r="N11" s="3">
        <f ca="1">IF($N$2=0,0,INDIRECT(ADDRESS(14,$K$2,,,$N$2)))</f>
        <v>276.44333463702276</v>
      </c>
      <c r="O11" s="3">
        <f ca="1">IF($O$2=0,0,INDIRECT(ADDRESS(14,$K$2,,,$O$2)))</f>
        <v>312.53346971930563</v>
      </c>
      <c r="P11" s="3">
        <f ca="1">IF($P$2=0,0,INDIRECT(ADDRESS(14,$K$2,,,$P$2)))</f>
        <v>312.44923132464874</v>
      </c>
      <c r="Q11" s="3">
        <f ca="1">IF($Q$2=0,0,INDIRECT(ADDRESS(14,$K$2,,,$Q$2)))</f>
        <v>313.43281336963554</v>
      </c>
      <c r="R11" s="3">
        <f ca="1">IF($R$2=0,0,INDIRECT(ADDRESS(14,$K$2,,,$R$2)))</f>
        <v>313.43281336963554</v>
      </c>
      <c r="S11" s="3">
        <f ca="1">IF($S$2=0,0,INDIRECT(ADDRESS(14,$K$2,,,$S$2)))</f>
        <v>309.63146811070999</v>
      </c>
      <c r="T11" s="3">
        <f ca="1">IF($T$2=0,0,INDIRECT(ADDRESS(14,$K$2,,,$T$2)))</f>
        <v>312.04873646209387</v>
      </c>
      <c r="U11" s="3">
        <f ca="1">IF($U$2=0,0,INDIRECT(ADDRESS(14,$K$2,,,$U$2)))</f>
        <v>312.04873646209387</v>
      </c>
      <c r="V11" s="3">
        <f ca="1">IF($V$2=0,0,INDIRECT(ADDRESS(14,$K$2,,,$V$2)))</f>
        <v>314.9608904933815</v>
      </c>
      <c r="W11" s="3">
        <f ca="1">IF($W$2=0,0,INDIRECT(ADDRESS(14,$K$2,,,$W$2)))</f>
        <v>319.19044539041226</v>
      </c>
      <c r="X11" s="3">
        <f ca="1">IF($X$2=0,0,INDIRECT(ADDRESS(14,$K$2,,,$X$2)))</f>
        <v>320.50722784638759</v>
      </c>
      <c r="Y11" s="3">
        <f ca="1">IF($Y$2=0,0,INDIRECT(ADDRESS(14,$K$2,,,$Y$2)))</f>
        <v>322.89143940191639</v>
      </c>
      <c r="Z11" s="3">
        <f ca="1">IF($Z$2=0,0,INDIRECT(ADDRESS(14,$K$2,,,$Z$2)))</f>
        <v>322.89143940191639</v>
      </c>
      <c r="AA11" s="3">
        <f ca="1">IF($AA$2=0,0,INDIRECT(ADDRESS(14,$K$2,,,$AA$2)))</f>
        <v>328.17967116446289</v>
      </c>
      <c r="AB11" s="3">
        <f ca="1">IF($AB$2=0,0,INDIRECT(ADDRESS(14,$K$2,,,$AB$2)))</f>
        <v>328.17967116446289</v>
      </c>
      <c r="AC11" s="3">
        <f ca="1">IF($AC$2=0,0,INDIRECT(ADDRESS(14,$K$2,,,$AC$2)))</f>
        <v>334.05087473863142</v>
      </c>
    </row>
    <row r="12" spans="1:29" ht="18.75" customHeight="1">
      <c r="A12" s="400" t="str">
        <f>'Stand der Daten'!B15</f>
        <v>Arbeitsmarkt und Wirtschaftsrechnung</v>
      </c>
      <c r="B12" s="401"/>
      <c r="C12" s="402"/>
      <c r="D12" s="403"/>
      <c r="E12" s="405"/>
      <c r="F12" s="429"/>
      <c r="G12" s="46">
        <v>10</v>
      </c>
      <c r="H12" s="50">
        <v>2015</v>
      </c>
      <c r="I12" s="46">
        <v>2015</v>
      </c>
      <c r="J12" s="50"/>
    </row>
    <row r="13" spans="1:29" ht="15" customHeight="1">
      <c r="A13" s="13" t="str">
        <f>'Stand der Daten'!B16</f>
        <v>Erwerbstätige (am Arbeitsort) insg.</v>
      </c>
      <c r="B13" s="15" t="str">
        <f>Strukturdaten!C13</f>
        <v>Personen</v>
      </c>
      <c r="C13" s="210">
        <f ca="1">IF($H$2=0,0,INDIRECT(ADDRESS(16,$K$2,,,$H$2)))</f>
        <v>126100</v>
      </c>
      <c r="D13" s="211">
        <f ca="1">IF($J$2=0,0,INDIRECT(ADDRESS(16,$K$2,,,$J$2)))</f>
        <v>126100</v>
      </c>
      <c r="E13" s="425">
        <f t="shared" ref="E13:E18" ca="1" si="1">IF(C13=0," ---",IF(D13=0," ---",IF(ISERROR(D13/C13)=TRUE," ---",D13/C13-1)))</f>
        <v>0</v>
      </c>
      <c r="F13" s="429"/>
      <c r="G13" s="46">
        <f>ROWS($G$3:G13)</f>
        <v>11</v>
      </c>
      <c r="H13" s="50">
        <v>2016</v>
      </c>
      <c r="I13" s="46">
        <v>2016</v>
      </c>
      <c r="J13" s="50"/>
    </row>
    <row r="14" spans="1:29" ht="15" customHeight="1">
      <c r="A14" s="66" t="str">
        <f>'Stand der Daten'!B17</f>
        <v>Arbeitslosenquote (Jahresdurchschn.) 2)</v>
      </c>
      <c r="B14" s="15" t="str">
        <f>Strukturdaten!C14</f>
        <v>%</v>
      </c>
      <c r="C14" s="208">
        <f ca="1">IF($H$2=0,0,INDIRECT(ADDRESS(17,$K$2,,,$H$2)))</f>
        <v>2.6</v>
      </c>
      <c r="D14" s="209">
        <f ca="1">IF($J$2=0,0,INDIRECT(ADDRESS(17,$K$2,,,$J$2)))</f>
        <v>2.6</v>
      </c>
      <c r="E14" s="424">
        <f t="shared" ca="1" si="1"/>
        <v>0</v>
      </c>
      <c r="F14" s="468"/>
      <c r="G14" s="46">
        <f>ROWS($G$3:G14)</f>
        <v>12</v>
      </c>
      <c r="H14" s="50">
        <v>2017</v>
      </c>
      <c r="I14" s="46">
        <v>2017</v>
      </c>
      <c r="J14" s="50"/>
      <c r="M14" s="3">
        <f ca="1">IF($M$2=0,0,INDIRECT(ADDRESS(17,$K$2,,,$M$2)))</f>
        <v>4.5</v>
      </c>
      <c r="N14" s="3">
        <f ca="1">IF($N$2=0,0,INDIRECT(ADDRESS(17,$K$2,,,$N$2)))</f>
        <v>3.8</v>
      </c>
      <c r="O14" s="3">
        <f ca="1">IF($O$2=0,0,INDIRECT(ADDRESS(17,$K$2,,,$O$2)))</f>
        <v>3.4</v>
      </c>
      <c r="P14" s="3">
        <f ca="1">IF($P$2=0,0,INDIRECT(ADDRESS(17,$K$2,,,$P$2)))</f>
        <v>4.0999999999999996</v>
      </c>
      <c r="Q14" s="3">
        <f ca="1">IF($Q$2=0,0,INDIRECT(ADDRESS(17,$K$2,,,$Q$2)))</f>
        <v>3.9</v>
      </c>
      <c r="R14" s="3">
        <f ca="1">IF($R$2=0,0,INDIRECT(ADDRESS(17,$K$2,,,$R$2)))</f>
        <v>3.1</v>
      </c>
      <c r="S14" s="3">
        <f ca="1">IF($S$2=0,0,INDIRECT(ADDRESS(17,$K$2,,,$S$2)))</f>
        <v>2.8</v>
      </c>
      <c r="T14" s="3">
        <f ca="1">IF($T$2=0,0,INDIRECT(ADDRESS(17,$K$2,,,$T$2)))</f>
        <v>2.8</v>
      </c>
      <c r="U14" s="3">
        <f ca="1">IF($U$2=0,0,INDIRECT(ADDRESS(17,$K$2,,,$U$2)))</f>
        <v>2.8</v>
      </c>
      <c r="V14" s="3">
        <f ca="1">IF($V$2=0,0,INDIRECT(ADDRESS(17,$K$2,,,$V$2)))</f>
        <v>2.9</v>
      </c>
      <c r="W14" s="3">
        <f ca="1">IF($W$2=0,0,INDIRECT(ADDRESS(17,$K$2,,,$W$2)))</f>
        <v>2.8</v>
      </c>
      <c r="X14" s="3">
        <f ca="1">IF($X$2=0,0,INDIRECT(ADDRESS(17,$K$2,,,$X$2)))</f>
        <v>2.9</v>
      </c>
      <c r="Y14" s="3">
        <f ca="1">IF($Y$2=0,0,INDIRECT(ADDRESS(17,$K$2,,,$Y$2)))</f>
        <v>2.5</v>
      </c>
      <c r="Z14" s="3">
        <f ca="1">IF($Z$2=0,0,INDIRECT(ADDRESS(17,$K$2,,,$Z$2)))</f>
        <v>2.5</v>
      </c>
      <c r="AA14" s="3">
        <f ca="1">IF($AA$2=0,0,INDIRECT(ADDRESS(17,$K$2,,,$AA$2)))</f>
        <v>2.2999999999999998</v>
      </c>
      <c r="AB14" s="3">
        <f ca="1">IF($AB$2=0,0,INDIRECT(ADDRESS(17,$K$2,,,$AB$2)))</f>
        <v>2.2999999999999998</v>
      </c>
      <c r="AC14" s="3">
        <f ca="1">IF($AC$2=0,0,INDIRECT(ADDRESS(17,$K$2,,,$AC$2)))</f>
        <v>2.6</v>
      </c>
    </row>
    <row r="15" spans="1:29" ht="15" customHeight="1">
      <c r="A15" s="66" t="str">
        <f>'Stand der Daten'!B18</f>
        <v>Erwerbstätige in der Landwirtschaft</v>
      </c>
      <c r="B15" s="15" t="str">
        <f>Strukturdaten!C15</f>
        <v>Personen</v>
      </c>
      <c r="C15" s="212">
        <f ca="1">IF($H$2=0,0,INDIRECT(ADDRESS(18,$K$2,,,$H$2)))</f>
        <v>3400</v>
      </c>
      <c r="D15" s="213">
        <f ca="1">IF($J$2=0,0,INDIRECT(ADDRESS(18,$K$2,,,$J$2)))</f>
        <v>3400</v>
      </c>
      <c r="E15" s="424">
        <f t="shared" ca="1" si="1"/>
        <v>0</v>
      </c>
      <c r="F15" s="468"/>
      <c r="G15" s="46">
        <f>ROWS($G$3:G15)</f>
        <v>13</v>
      </c>
      <c r="H15" s="50">
        <v>2018</v>
      </c>
      <c r="I15" s="46">
        <v>2018</v>
      </c>
      <c r="J15" s="50"/>
    </row>
    <row r="16" spans="1:29" ht="15" customHeight="1">
      <c r="A16" s="66" t="str">
        <f>'Stand der Daten'!B19</f>
        <v>Sozialversicherungspflicht. Beschäftigte</v>
      </c>
      <c r="B16" s="15" t="str">
        <f>Strukturdaten!C16</f>
        <v>Personen</v>
      </c>
      <c r="C16" s="212">
        <f ca="1">IF($H$2=0,0,INDIRECT(ADDRESS(19,$K$2,,,$H$2)))</f>
        <v>96820</v>
      </c>
      <c r="D16" s="213">
        <f ca="1">IF($J$2=0,0,INDIRECT(ADDRESS(19,$K$2,,,$J$2)))</f>
        <v>96820</v>
      </c>
      <c r="E16" s="424">
        <f t="shared" ca="1" si="1"/>
        <v>0</v>
      </c>
      <c r="F16" s="468"/>
      <c r="G16" s="46">
        <f>ROWS($G$3:G16)</f>
        <v>14</v>
      </c>
      <c r="H16" s="50">
        <v>2019</v>
      </c>
      <c r="I16" s="46">
        <v>2019</v>
      </c>
      <c r="J16" s="50"/>
    </row>
    <row r="17" spans="1:29" ht="15" customHeight="1">
      <c r="A17" s="426" t="str">
        <f>'Stand der Daten'!B20</f>
        <v>Bruttowertschöpfung insgesamt</v>
      </c>
      <c r="B17" s="427" t="str">
        <f>Strukturdaten!C17</f>
        <v>Mio. €</v>
      </c>
      <c r="C17" s="430">
        <f ca="1">IF($H$2=0,0,INDIRECT(ADDRESS(20,$K$2,,,$H$2)))</f>
        <v>9796</v>
      </c>
      <c r="D17" s="431">
        <f ca="1">IF($J$2=0,0,INDIRECT(ADDRESS(20,$K$2,,,$J$2)))</f>
        <v>9796</v>
      </c>
      <c r="E17" s="428">
        <f t="shared" ca="1" si="1"/>
        <v>0</v>
      </c>
      <c r="F17" s="429"/>
      <c r="G17" s="46">
        <f>ROWS($G$3:G17)</f>
        <v>15</v>
      </c>
      <c r="H17" s="826">
        <v>2020</v>
      </c>
      <c r="I17" s="771">
        <v>2020</v>
      </c>
      <c r="J17" s="826"/>
      <c r="K17" s="770"/>
      <c r="L17" s="429"/>
      <c r="M17" s="3">
        <f ca="1">IF($M$2=0,0,INDIRECT(ADDRESS(20,$K$2,,,$M$2)))</f>
        <v>5381</v>
      </c>
      <c r="N17" s="3">
        <f ca="1">IF($N$2=0,0,INDIRECT(ADDRESS(20,$K$2,,,$N$2)))</f>
        <v>6473</v>
      </c>
      <c r="O17" s="3">
        <f ca="1">IF($O$2=0,0,INDIRECT(ADDRESS(20,$K$2,,,$O$2)))</f>
        <v>6574</v>
      </c>
      <c r="P17" s="3">
        <f ca="1">IF($P$2=0,0,INDIRECT(ADDRESS(20,$K$2,,,$P$2)))</f>
        <v>6025</v>
      </c>
      <c r="Q17" s="3">
        <f ca="1">IF($Q$2=0,0,INDIRECT(ADDRESS(20,$K$2,,,$Q$2)))</f>
        <v>6025</v>
      </c>
      <c r="R17" s="3">
        <f ca="1">IF($R$2=0,0,INDIRECT(ADDRESS(20,$K$2,,,$R$2)))</f>
        <v>6025</v>
      </c>
      <c r="S17" s="3">
        <f ca="1">IF($S$2=0,0,INDIRECT(ADDRESS(20,$K$2,,,$S$2)))</f>
        <v>7461.9080000000004</v>
      </c>
      <c r="T17" s="3">
        <f ca="1">IF($T$2=0,0,INDIRECT(ADDRESS(20,$K$2,,,$T$2)))</f>
        <v>7461.9080000000004</v>
      </c>
      <c r="U17" s="3">
        <f ca="1">IF($U$2=0,0,INDIRECT(ADDRESS(20,$K$2,,,$U$2)))</f>
        <v>7461.9080000000004</v>
      </c>
      <c r="V17" s="3">
        <f ca="1">IF($V$2=0,0,INDIRECT(ADDRESS(20,$K$2,,,$V$2)))</f>
        <v>8096</v>
      </c>
      <c r="W17" s="3">
        <f ca="1">IF($W$2=0,0,INDIRECT(ADDRESS(20,$K$2,,,$W$2)))</f>
        <v>8096</v>
      </c>
      <c r="X17" s="3">
        <f ca="1">IF($X$2=0,0,INDIRECT(ADDRESS(20,$K$2,,,$X$2)))</f>
        <v>8496.2759999999998</v>
      </c>
      <c r="Y17" s="3">
        <f ca="1">IF($Y$2=0,0,INDIRECT(ADDRESS(20,$K$2,,,$Y$2)))</f>
        <v>9457.0830000000005</v>
      </c>
      <c r="Z17" s="3">
        <f ca="1">IF($Z$2=0,0,INDIRECT(ADDRESS(20,$K$2,,,$Z$2)))</f>
        <v>9457.0830000000005</v>
      </c>
      <c r="AA17" s="3">
        <f ca="1">IF($AA$2=0,0,INDIRECT(ADDRESS(20,$K$2,,,$AA$2)))</f>
        <v>9755.0869999999995</v>
      </c>
      <c r="AB17" s="3">
        <f ca="1">IF($AB$2=0,0,INDIRECT(ADDRESS(20,$K$2,,,$AB$2)))</f>
        <v>9755.0869999999995</v>
      </c>
      <c r="AC17" s="3">
        <f ca="1">IF($AC$2=0,0,INDIRECT(ADDRESS(20,$K$2,,,$AC$2)))</f>
        <v>9796</v>
      </c>
    </row>
    <row r="18" spans="1:29" ht="15" customHeight="1" thickBot="1">
      <c r="A18" s="66" t="str">
        <f>'Stand der Daten'!B21</f>
        <v>Anteil der Land- und Forstwirtschaft</v>
      </c>
      <c r="B18" s="15" t="str">
        <f>Strukturdaten!C18</f>
        <v>%</v>
      </c>
      <c r="C18" s="208">
        <f ca="1">IF($H$2=0,0,INDIRECT(ADDRESS(21,$K$2,,,$H$2)))</f>
        <v>0.9187423438138016</v>
      </c>
      <c r="D18" s="209">
        <f ca="1">IF($J$2=0,0,INDIRECT(ADDRESS(21,$K$2,,,$J$2)))</f>
        <v>0.9187423438138016</v>
      </c>
      <c r="E18" s="424">
        <f t="shared" ca="1" si="1"/>
        <v>0</v>
      </c>
      <c r="F18" s="429"/>
      <c r="G18" s="46">
        <f>ROWS($G$3:G18)</f>
        <v>16</v>
      </c>
      <c r="H18" s="50">
        <v>2021</v>
      </c>
      <c r="I18" s="46">
        <v>2021</v>
      </c>
      <c r="J18" s="50"/>
      <c r="K18" s="99"/>
      <c r="M18" s="3">
        <f ca="1">IF($M$2=0,0,INDIRECT(ADDRESS(21,$K$2,,,$M$2)))</f>
        <v>1.6353837576658612</v>
      </c>
      <c r="N18" s="3">
        <f ca="1">IF($N$2=0,0,INDIRECT(ADDRESS(21,$K$2,,,$N$2)))</f>
        <v>1.2976981306967401</v>
      </c>
      <c r="O18" s="3">
        <f ca="1">IF($O$2=0,0,INDIRECT(ADDRESS(21,$K$2,,,$O$2)))</f>
        <v>1.1560693641618498</v>
      </c>
      <c r="P18" s="3">
        <f ca="1">IF($P$2=0,0,INDIRECT(ADDRESS(21,$K$2,,,$P$2)))</f>
        <v>1.0622406639004149</v>
      </c>
      <c r="Q18" s="3">
        <f ca="1">IF($Q$2=0,0,INDIRECT(ADDRESS(21,$K$2,,,$Q$2)))</f>
        <v>1.0622406639004149</v>
      </c>
      <c r="R18" s="3">
        <f ca="1">IF($R$2=0,0,INDIRECT(ADDRESS(21,$K$2,,,$R$2)))</f>
        <v>1.0622406639004149</v>
      </c>
      <c r="S18" s="3">
        <f ca="1">IF($S$2=0,0,INDIRECT(ADDRESS(21,$K$2,,,$S$2)))</f>
        <v>0.81748528660498099</v>
      </c>
      <c r="T18" s="3">
        <f ca="1">IF($T$2=0,0,INDIRECT(ADDRESS(21,$K$2,,,$T$2)))</f>
        <v>0.81748528660498099</v>
      </c>
      <c r="U18" s="3">
        <f ca="1">IF($U$2=0,0,INDIRECT(ADDRESS(21,$K$2,,,$U$2)))</f>
        <v>0.81748528660498099</v>
      </c>
      <c r="V18" s="3">
        <f ca="1">IF($V$2=0,0,INDIRECT(ADDRESS(21,$K$2,,,$V$2)))</f>
        <v>0.85227272727272729</v>
      </c>
      <c r="W18" s="3">
        <f ca="1">IF($W$2=0,0,INDIRECT(ADDRESS(21,$K$2,,,$W$2)))</f>
        <v>0.85227272727272729</v>
      </c>
      <c r="X18" s="3">
        <f ca="1">IF($X$2=0,0,INDIRECT(ADDRESS(21,$K$2,,,$X$2)))</f>
        <v>0.58103103053620198</v>
      </c>
      <c r="Y18" s="3">
        <f ca="1">IF($Y$2=0,0,INDIRECT(ADDRESS(21,$K$2,,,$Y$2)))</f>
        <v>0.50697450789001219</v>
      </c>
      <c r="Z18" s="3">
        <f ca="1">IF($Z$2=0,0,INDIRECT(ADDRESS(21,$K$2,,,$Z$2)))</f>
        <v>0.50697450789001219</v>
      </c>
      <c r="AA18" s="3">
        <f ca="1">IF($AA$2=0,0,INDIRECT(ADDRESS(21,$K$2,,,$AA$2)))</f>
        <v>0.73775866888732</v>
      </c>
      <c r="AB18" s="3">
        <f ca="1">IF($AB$2=0,0,INDIRECT(ADDRESS(21,$K$2,,,$AB$2)))</f>
        <v>0.73775866888732</v>
      </c>
      <c r="AC18" s="3">
        <f ca="1">IF($AC$2=0,0,INDIRECT(ADDRESS(21,$K$2,,,$AC$2)))</f>
        <v>0.9187423438138016</v>
      </c>
    </row>
    <row r="19" spans="1:29" s="12" customFormat="1" ht="18.75" customHeight="1">
      <c r="A19" s="400" t="str">
        <f>'Stand der Daten'!B23</f>
        <v>Landwirtschaftliche Betriebsstruktur</v>
      </c>
      <c r="B19" s="401"/>
      <c r="C19" s="406"/>
      <c r="D19" s="407"/>
      <c r="E19" s="408"/>
      <c r="F19" s="429"/>
      <c r="G19" s="46">
        <f>ROWS($G$3:G19)</f>
        <v>17</v>
      </c>
      <c r="H19" s="50">
        <v>2022</v>
      </c>
      <c r="I19" s="827">
        <v>2022</v>
      </c>
      <c r="J19" s="828"/>
    </row>
    <row r="20" spans="1:29" ht="15" customHeight="1">
      <c r="A20" s="13" t="str">
        <f>'Stand der Daten'!B24</f>
        <v>Landwirtschaftl. Betriebe insgesamt</v>
      </c>
      <c r="B20" s="15" t="str">
        <f>Strukturdaten!C20</f>
        <v>Anzahl</v>
      </c>
      <c r="C20" s="210">
        <f ca="1">IF($H$2=0,0,INDIRECT(ADDRESS(23,$K$2,,,$H$2)))</f>
        <v>1412</v>
      </c>
      <c r="D20" s="217">
        <f ca="1">IF($J$2=0,0,INDIRECT(ADDRESS(23,$K$2,,,$J$2)))</f>
        <v>1412</v>
      </c>
      <c r="E20" s="425">
        <f t="shared" ref="E20:E30" ca="1" si="2">IF(C20=0," ---",IF(D20=0," ---",IF(ISERROR(D20/C20)=TRUE," ---",D20/C20-1)))</f>
        <v>0</v>
      </c>
      <c r="F20" s="429"/>
      <c r="G20" s="47">
        <v>18</v>
      </c>
      <c r="H20" s="51"/>
      <c r="I20" s="47"/>
      <c r="J20" s="51"/>
      <c r="M20" s="3">
        <f ca="1">IF($M$2=0,0,INDIRECT(ADDRESS(23,$K$2,,,$M$2)))</f>
        <v>2311</v>
      </c>
      <c r="N20" s="3">
        <f ca="1">IF($N$2=0,0,INDIRECT(ADDRESS(23,$K$2,,,$N$2)))</f>
        <v>1996</v>
      </c>
      <c r="O20" s="3">
        <f ca="1">IF($O$2=0,0,INDIRECT(ADDRESS(23,$K$2,,,$O$2)))</f>
        <v>1996</v>
      </c>
      <c r="P20" s="3">
        <f ca="1">IF($P$2=0,0,INDIRECT(ADDRESS(23,$K$2,,,$P$2)))</f>
        <v>1996</v>
      </c>
      <c r="Q20" s="3">
        <f ca="1">IF($Q$2=0,0,INDIRECT(ADDRESS(23,$K$2,,,$Q$2)))</f>
        <v>1677</v>
      </c>
      <c r="R20" s="3">
        <f ca="1">IF($R$2=0,0,INDIRECT(ADDRESS(23,$K$2,,,$R$2)))</f>
        <v>1677</v>
      </c>
      <c r="S20" s="3">
        <f ca="1">IF($S$2=0,0,INDIRECT(ADDRESS(23,$K$2,,,$S$2)))</f>
        <v>1677</v>
      </c>
      <c r="T20" s="3">
        <f ca="1">IF($T$2=0,0,INDIRECT(ADDRESS(23,$K$2,,,$T$2)))</f>
        <v>1677</v>
      </c>
      <c r="U20" s="3">
        <f ca="1">IF($U$2=0,0,INDIRECT(ADDRESS(23,$K$2,,,$U$2)))</f>
        <v>1677</v>
      </c>
      <c r="V20" s="3">
        <f ca="1">IF($V$2=0,0,INDIRECT(ADDRESS(23,$K$2,,,$V$2)))</f>
        <v>1677</v>
      </c>
      <c r="W20" s="3">
        <f ca="1">IF($W$2=0,0,INDIRECT(ADDRESS(23,$K$2,,,$W$2)))</f>
        <v>1510</v>
      </c>
      <c r="X20" s="3">
        <f ca="1">IF($X$2=0,0,INDIRECT(ADDRESS(23,$K$2,,,$X$2)))</f>
        <v>1510</v>
      </c>
      <c r="Y20" s="3">
        <f ca="1">IF($Y$2=0,0,INDIRECT(ADDRESS(23,$K$2,,,$Y$2)))</f>
        <v>1510</v>
      </c>
      <c r="Z20" s="3">
        <f ca="1">IF($Z$2=0,0,INDIRECT(ADDRESS(23,$K$2,,,$Z$2)))</f>
        <v>1510</v>
      </c>
      <c r="AA20" s="3">
        <f ca="1">IF($AA$2=0,0,INDIRECT(ADDRESS(23,$K$2,,,$AA$2)))</f>
        <v>1412</v>
      </c>
      <c r="AB20" s="3">
        <f ca="1">IF($AB$2=0,0,INDIRECT(ADDRESS(23,$K$2,,,$AB$2)))</f>
        <v>1412</v>
      </c>
      <c r="AC20" s="3">
        <f ca="1">IF($AC$2=0,0,INDIRECT(ADDRESS(23,$K$2,,,$AC$2)))</f>
        <v>1412</v>
      </c>
    </row>
    <row r="21" spans="1:29" ht="15" customHeight="1">
      <c r="A21" s="66" t="str">
        <f>'Stand der Daten'!B25</f>
        <v>davon in Betrieben unter 5 ha</v>
      </c>
      <c r="B21" s="15" t="str">
        <f>Strukturdaten!C21</f>
        <v>Anzahl</v>
      </c>
      <c r="C21" s="212">
        <f ca="1">IF($H$2=0,0,INDIRECT(ADDRESS(24,$K$2,,,$H$2)))</f>
        <v>351</v>
      </c>
      <c r="D21" s="218">
        <f ca="1">IF($J$2=0,0,INDIRECT(ADDRESS(24,$K$2,,,$J$2)))</f>
        <v>351</v>
      </c>
      <c r="E21" s="424">
        <f t="shared" ca="1" si="2"/>
        <v>0</v>
      </c>
      <c r="F21" s="429"/>
      <c r="G21" s="99"/>
      <c r="H21" s="99"/>
      <c r="I21" s="99"/>
      <c r="M21" s="3">
        <f ca="1">IF($M$2=0,0,INDIRECT(ADDRESS(24,$K$2,,,$M$2)))</f>
        <v>824</v>
      </c>
      <c r="N21" s="3">
        <f ca="1">IF($N$2=0,0,INDIRECT(ADDRESS(24,$K$2,,,$N$2)))</f>
        <v>723</v>
      </c>
      <c r="O21" s="3">
        <f ca="1">IF($O$2=0,0,INDIRECT(ADDRESS(24,$K$2,,,$O$2)))</f>
        <v>723</v>
      </c>
      <c r="P21" s="3">
        <f ca="1">IF($P$2=0,0,INDIRECT(ADDRESS(24,$K$2,,,$P$2)))</f>
        <v>723</v>
      </c>
      <c r="Q21" s="3">
        <f ca="1">IF($Q$2=0,0,INDIRECT(ADDRESS(24,$K$2,,,$Q$2)))</f>
        <v>467</v>
      </c>
      <c r="R21" s="3">
        <f ca="1">IF($R$2=0,0,INDIRECT(ADDRESS(24,$K$2,,,$R$2)))</f>
        <v>467</v>
      </c>
      <c r="S21" s="3">
        <f ca="1">IF($S$2=0,0,INDIRECT(ADDRESS(24,$K$2,,,$S$2)))</f>
        <v>467</v>
      </c>
      <c r="T21" s="3">
        <f ca="1">IF($T$2=0,0,INDIRECT(ADDRESS(24,$K$2,,,$T$2)))</f>
        <v>467</v>
      </c>
      <c r="U21" s="3">
        <f ca="1">IF($U$2=0,0,INDIRECT(ADDRESS(24,$K$2,,,$U$2)))</f>
        <v>467</v>
      </c>
      <c r="V21" s="3">
        <f ca="1">IF($V$2=0,0,INDIRECT(ADDRESS(24,$K$2,,,$V$2)))</f>
        <v>467</v>
      </c>
      <c r="W21" s="3">
        <f ca="1">IF($W$2=0,0,INDIRECT(ADDRESS(24,$K$2,,,$W$2)))</f>
        <v>379</v>
      </c>
      <c r="X21" s="3">
        <f ca="1">IF($X$2=0,0,INDIRECT(ADDRESS(24,$K$2,,,$X$2)))</f>
        <v>379</v>
      </c>
      <c r="Y21" s="3">
        <f ca="1">IF($Y$2=0,0,INDIRECT(ADDRESS(24,$K$2,,,$Y$2)))</f>
        <v>379</v>
      </c>
      <c r="Z21" s="3">
        <f ca="1">IF($Z$2=0,0,INDIRECT(ADDRESS(24,$K$2,,,$Z$2)))</f>
        <v>379</v>
      </c>
      <c r="AA21" s="3">
        <f ca="1">IF($AA$2=0,0,INDIRECT(ADDRESS(24,$K$2,,,$AA$2)))</f>
        <v>351</v>
      </c>
      <c r="AB21" s="3">
        <f ca="1">IF($AB$2=0,0,INDIRECT(ADDRESS(24,$K$2,,,$AB$2)))</f>
        <v>351</v>
      </c>
      <c r="AC21" s="3">
        <f ca="1">IF($AC$2=0,0,INDIRECT(ADDRESS(24,$K$2,,,$AC$2)))</f>
        <v>351</v>
      </c>
    </row>
    <row r="22" spans="1:29" ht="15" customHeight="1">
      <c r="A22" s="594" t="str">
        <f>'Stand der Daten'!B26</f>
        <v>5 bis unter 10 ha</v>
      </c>
      <c r="B22" s="15" t="str">
        <f>Strukturdaten!C22</f>
        <v>Anzahl</v>
      </c>
      <c r="C22" s="212">
        <f ca="1">IF($H$2=0,0,INDIRECT(ADDRESS(25,$K$2,,,$H$2)))</f>
        <v>257</v>
      </c>
      <c r="D22" s="218">
        <f ca="1">IF($J$2=0,0,INDIRECT(ADDRESS(25,$K$2,,,$J$2)))</f>
        <v>257</v>
      </c>
      <c r="E22" s="424">
        <f t="shared" ca="1" si="2"/>
        <v>0</v>
      </c>
      <c r="F22" s="429"/>
      <c r="G22" s="99"/>
      <c r="H22" s="99"/>
      <c r="I22" s="99"/>
    </row>
    <row r="23" spans="1:29" ht="15" customHeight="1">
      <c r="A23" s="594" t="str">
        <f>'Stand der Daten'!B27</f>
        <v>10 bis unter 20 ha</v>
      </c>
      <c r="B23" s="15" t="str">
        <f>Strukturdaten!C23</f>
        <v>Anzahl</v>
      </c>
      <c r="C23" s="212">
        <f ca="1">IF($H$2=0,0,INDIRECT(ADDRESS(26,$K$2,,,$H$2)))</f>
        <v>330</v>
      </c>
      <c r="D23" s="218">
        <f ca="1">IF($J$2=0,0,INDIRECT(ADDRESS(26,$K$2,,,$J$2)))</f>
        <v>330</v>
      </c>
      <c r="E23" s="424">
        <f t="shared" ca="1" si="2"/>
        <v>0</v>
      </c>
      <c r="F23" s="429"/>
      <c r="G23" s="99"/>
      <c r="H23" s="99"/>
      <c r="I23" s="99"/>
    </row>
    <row r="24" spans="1:29" ht="15" customHeight="1">
      <c r="A24" s="594" t="str">
        <f>'Stand der Daten'!B28</f>
        <v>20 bis unter 50 ha</v>
      </c>
      <c r="B24" s="15" t="str">
        <f>Strukturdaten!C24</f>
        <v>Anzahl</v>
      </c>
      <c r="C24" s="212">
        <f ca="1">IF($H$2=0,0,INDIRECT(ADDRESS(27,$K$2,,,$H$2)))</f>
        <v>303</v>
      </c>
      <c r="D24" s="218">
        <f ca="1">IF($J$2=0,0,INDIRECT(ADDRESS(27,$K$2,,,$J$2)))</f>
        <v>303</v>
      </c>
      <c r="E24" s="424">
        <f t="shared" ca="1" si="2"/>
        <v>0</v>
      </c>
      <c r="F24" s="429"/>
      <c r="G24" s="99"/>
      <c r="H24" s="99"/>
      <c r="I24" s="99"/>
    </row>
    <row r="25" spans="1:29" ht="15" customHeight="1">
      <c r="A25" s="594" t="str">
        <f>'Stand der Daten'!B29</f>
        <v>50 bis unter 100 ha</v>
      </c>
      <c r="B25" s="15" t="str">
        <f>Strukturdaten!C25</f>
        <v>Anzahl</v>
      </c>
      <c r="C25" s="212">
        <f ca="1">IF($H$2=0,0,INDIRECT(ADDRESS(28,$K$2,,,$H$2)))</f>
        <v>130</v>
      </c>
      <c r="D25" s="218">
        <f ca="1">IF($J$2=0,0,INDIRECT(ADDRESS(28,$K$2,,,$J$2)))</f>
        <v>130</v>
      </c>
      <c r="E25" s="424">
        <f t="shared" ca="1" si="2"/>
        <v>0</v>
      </c>
      <c r="F25" s="429"/>
      <c r="G25" s="99"/>
      <c r="H25" s="99"/>
      <c r="I25" s="99"/>
    </row>
    <row r="26" spans="1:29" ht="15" customHeight="1">
      <c r="A26" s="594" t="str">
        <f>'Stand der Daten'!B30</f>
        <v>100 und mehr ha LF</v>
      </c>
      <c r="B26" s="15" t="str">
        <f>Strukturdaten!C26</f>
        <v>Anzahl</v>
      </c>
      <c r="C26" s="212">
        <f ca="1">IF($H$2=0,0,INDIRECT(ADDRESS(29,$K$2,,,$H$2)))</f>
        <v>41</v>
      </c>
      <c r="D26" s="218">
        <f ca="1">IF($J$2=0,0,INDIRECT(ADDRESS(29,$K$2,,,$J$2)))</f>
        <v>41</v>
      </c>
      <c r="E26" s="424">
        <f t="shared" ca="1" si="2"/>
        <v>0</v>
      </c>
      <c r="F26" s="429"/>
      <c r="G26" s="99"/>
      <c r="H26" s="99"/>
      <c r="I26" s="99"/>
    </row>
    <row r="27" spans="1:29" ht="15" customHeight="1">
      <c r="A27" s="13" t="str">
        <f>'Stand der Daten'!B31</f>
        <v>Ø Betriebsgröße (alle Betriebe)</v>
      </c>
      <c r="B27" s="15" t="str">
        <f>Strukturdaten!C27</f>
        <v>ha</v>
      </c>
      <c r="C27" s="207">
        <f ca="1">IF($H$2=0,0,INDIRECT(ADDRESS(30,$K$2,,,$H$2)))</f>
        <v>23.413597733711047</v>
      </c>
      <c r="D27" s="214">
        <f ca="1">IF($J$2=0,0,INDIRECT(ADDRESS(30,$K$2,,,$J$2)))</f>
        <v>23.413597733711047</v>
      </c>
      <c r="E27" s="425">
        <f t="shared" ca="1" si="2"/>
        <v>0</v>
      </c>
      <c r="F27" s="429"/>
      <c r="G27" s="99"/>
      <c r="H27" s="99"/>
      <c r="I27" s="99"/>
      <c r="M27" s="3">
        <f ca="1">IF($M$2=0,0,INDIRECT(ADDRESS(30,$K$2,,,$M$2)))</f>
        <v>15.16010385114669</v>
      </c>
      <c r="N27" s="3">
        <f ca="1">IF($N$2=0,0,INDIRECT(ADDRESS(30,$K$2,,,$N$2)))</f>
        <v>17.063627254509019</v>
      </c>
      <c r="O27" s="3">
        <f ca="1">IF($O$2=0,0,INDIRECT(ADDRESS(30,$K$2,,,$O$2)))</f>
        <v>17.063627254509019</v>
      </c>
      <c r="P27" s="3">
        <f ca="1">IF($P$2=0,0,INDIRECT(ADDRESS(30,$K$2,,,$P$2)))</f>
        <v>17.063627254509019</v>
      </c>
      <c r="Q27" s="3">
        <f ca="1">IF($Q$2=0,0,INDIRECT(ADDRESS(30,$K$2,,,$Q$2)))</f>
        <v>19.904591532498511</v>
      </c>
      <c r="R27" s="3">
        <f ca="1">IF($R$2=0,0,INDIRECT(ADDRESS(30,$K$2,,,$R$2)))</f>
        <v>19.904591532498511</v>
      </c>
      <c r="S27" s="3">
        <f ca="1">IF($S$2=0,0,INDIRECT(ADDRESS(30,$K$2,,,$S$2)))</f>
        <v>19.904591532498511</v>
      </c>
      <c r="T27" s="3">
        <f ca="1">IF($T$2=0,0,INDIRECT(ADDRESS(30,$K$2,,,$T$2)))</f>
        <v>19.904591532498511</v>
      </c>
      <c r="U27" s="3">
        <f ca="1">IF($U$2=0,0,INDIRECT(ADDRESS(30,$K$2,,,$U$2)))</f>
        <v>19.904591532498511</v>
      </c>
      <c r="V27" s="3">
        <f ca="1">IF($V$2=0,0,INDIRECT(ADDRESS(30,$K$2,,,$V$2)))</f>
        <v>19.904591532498511</v>
      </c>
      <c r="W27" s="3">
        <f ca="1">IF($W$2=0,0,INDIRECT(ADDRESS(30,$K$2,,,$W$2)))</f>
        <v>22.205298013245034</v>
      </c>
      <c r="X27" s="3">
        <f ca="1">IF($X$2=0,0,INDIRECT(ADDRESS(30,$K$2,,,$X$2)))</f>
        <v>22.205298013245034</v>
      </c>
      <c r="Y27" s="3">
        <f ca="1">IF($Y$2=0,0,INDIRECT(ADDRESS(30,$K$2,,,$Y$2)))</f>
        <v>22.205298013245034</v>
      </c>
      <c r="Z27" s="3">
        <f ca="1">IF($Z$2=0,0,INDIRECT(ADDRESS(30,$K$2,,,$Z$2)))</f>
        <v>22.205298013245034</v>
      </c>
      <c r="AA27" s="3">
        <f ca="1">IF($AA$2=0,0,INDIRECT(ADDRESS(30,$K$2,,,$AA$2)))</f>
        <v>23.413597733711047</v>
      </c>
      <c r="AB27" s="3">
        <f ca="1">IF($AB$2=0,0,INDIRECT(ADDRESS(30,$K$2,,,$AB$2)))</f>
        <v>23.413597733711047</v>
      </c>
      <c r="AC27" s="3">
        <f ca="1">IF($AC$2=0,0,INDIRECT(ADDRESS(30,$K$2,,,$AC$2)))</f>
        <v>23.413597733711047</v>
      </c>
    </row>
    <row r="28" spans="1:29" ht="15" customHeight="1">
      <c r="A28" s="107" t="s">
        <v>361</v>
      </c>
      <c r="B28" s="27" t="str">
        <f>Strukturdaten!C28</f>
        <v>%</v>
      </c>
      <c r="C28" s="212">
        <f ca="1">IF($H$2=0,0,INDIRECT(ADDRESS(31,$K$2,,,$H$2)))</f>
        <v>-28.648285137861464</v>
      </c>
      <c r="D28" s="213">
        <f ca="1">IF($J$2=0,0,INDIRECT(ADDRESS(31,$K$2,,,$J$2)))</f>
        <v>-28.648285137861464</v>
      </c>
      <c r="E28" s="424">
        <f t="shared" ca="1" si="2"/>
        <v>0</v>
      </c>
      <c r="F28" s="429"/>
      <c r="G28" s="99"/>
      <c r="H28" s="99"/>
      <c r="I28" s="99"/>
    </row>
    <row r="29" spans="1:29" ht="15" customHeight="1">
      <c r="A29" s="28" t="str">
        <f>'Stand der Daten'!B33</f>
        <v>Betriebsinhaber im Haupterwerb</v>
      </c>
      <c r="B29" s="27" t="str">
        <f>Strukturdaten!C29</f>
        <v>%</v>
      </c>
      <c r="C29" s="210">
        <f ca="1">IF($H$2=0,0,INDIRECT(ADDRESS(32,$K$2,,,$H$2)))</f>
        <v>44.8</v>
      </c>
      <c r="D29" s="211">
        <f ca="1">IF($J$2=0,0,INDIRECT(ADDRESS(32,$K$2,,,$J$2)))</f>
        <v>44.8</v>
      </c>
      <c r="E29" s="425">
        <f t="shared" ca="1" si="2"/>
        <v>0</v>
      </c>
      <c r="F29" s="429"/>
      <c r="G29" s="99"/>
      <c r="H29" s="99"/>
      <c r="I29" s="99"/>
      <c r="M29" s="3">
        <f ca="1">IF($M$2=0,0,INDIRECT(ADDRESS(32,$K$2,,,$M$2)))</f>
        <v>49</v>
      </c>
      <c r="N29" s="3">
        <f ca="1">IF($N$2=0,0,INDIRECT(ADDRESS(32,$K$2,,,$N$2)))</f>
        <v>48</v>
      </c>
      <c r="O29" s="3">
        <f ca="1">IF($O$2=0,0,INDIRECT(ADDRESS(32,$K$2,,,$O$2)))</f>
        <v>48</v>
      </c>
      <c r="P29" s="3">
        <f ca="1">IF($P$2=0,0,INDIRECT(ADDRESS(32,$K$2,,,$P$2)))</f>
        <v>48</v>
      </c>
      <c r="Q29" s="3">
        <f ca="1">IF($Q$2=0,0,INDIRECT(ADDRESS(32,$K$2,,,$Q$2)))</f>
        <v>44.51</v>
      </c>
      <c r="R29" s="3">
        <f ca="1">IF($R$2=0,0,INDIRECT(ADDRESS(32,$K$2,,,$R$2)))</f>
        <v>48</v>
      </c>
      <c r="S29" s="3">
        <f ca="1">IF($S$2=0,0,INDIRECT(ADDRESS(32,$K$2,,,$S$2)))</f>
        <v>48</v>
      </c>
      <c r="T29" s="3">
        <f ca="1">IF($T$2=0,0,INDIRECT(ADDRESS(32,$K$2,,,$T$2)))</f>
        <v>48</v>
      </c>
      <c r="U29" s="3">
        <f ca="1">IF($U$2=0,0,INDIRECT(ADDRESS(32,$K$2,,,$U$2)))</f>
        <v>48</v>
      </c>
      <c r="V29" s="3">
        <f ca="1">IF($V$2=0,0,INDIRECT(ADDRESS(32,$K$2,,,$V$2)))</f>
        <v>48</v>
      </c>
      <c r="W29" s="3">
        <f ca="1">IF($W$2=0,0,INDIRECT(ADDRESS(32,$K$2,,,$W$2)))</f>
        <v>48</v>
      </c>
      <c r="X29" s="3">
        <f ca="1">IF($X$2=0,0,INDIRECT(ADDRESS(32,$K$2,,,$X$2)))</f>
        <v>48</v>
      </c>
      <c r="Y29" s="3">
        <f ca="1">IF($Y$2=0,0,INDIRECT(ADDRESS(32,$K$2,,,$Y$2)))</f>
        <v>48</v>
      </c>
      <c r="Z29" s="3">
        <f ca="1">IF($Z$2=0,0,INDIRECT(ADDRESS(32,$K$2,,,$Z$2)))</f>
        <v>48</v>
      </c>
      <c r="AA29" s="3">
        <f ca="1">IF($AA$2=0,0,INDIRECT(ADDRESS(32,$K$2,,,$AA$2)))</f>
        <v>44.8</v>
      </c>
      <c r="AB29" s="3">
        <f ca="1">IF($AB$2=0,0,INDIRECT(ADDRESS(32,$K$2,,,$AB$2)))</f>
        <v>44.8</v>
      </c>
      <c r="AC29" s="3">
        <f ca="1">IF($AC$2=0,0,INDIRECT(ADDRESS(32,$K$2,,,$AC$2)))</f>
        <v>44.8</v>
      </c>
    </row>
    <row r="30" spans="1:29" ht="15" customHeight="1" thickBot="1">
      <c r="A30" s="464" t="str">
        <f>'Stand der Daten'!B34</f>
        <v>im Nebenerwerb</v>
      </c>
      <c r="B30" s="30" t="str">
        <f>Strukturdaten!C30</f>
        <v>%</v>
      </c>
      <c r="C30" s="219">
        <f ca="1">IF($H$2=0,0,INDIRECT(ADDRESS(33,$K$2,,,$H$2)))</f>
        <v>55.2</v>
      </c>
      <c r="D30" s="220">
        <f ca="1">IF($J$2=0,0,INDIRECT(ADDRESS(33,$K$2,,,$J$2)))</f>
        <v>55.2</v>
      </c>
      <c r="E30" s="424">
        <f t="shared" ca="1" si="2"/>
        <v>0</v>
      </c>
      <c r="F30" s="429"/>
      <c r="G30" s="99"/>
      <c r="H30" s="99"/>
      <c r="I30" s="99"/>
    </row>
    <row r="31" spans="1:29" ht="18.75" customHeight="1">
      <c r="A31" s="400" t="str">
        <f>'Stand der Daten'!B35</f>
        <v>Bodennutzung</v>
      </c>
      <c r="B31" s="409"/>
      <c r="C31" s="406"/>
      <c r="D31" s="407"/>
      <c r="E31" s="408"/>
      <c r="F31" s="429"/>
      <c r="G31" s="99"/>
      <c r="H31" s="99"/>
      <c r="I31" s="99"/>
    </row>
    <row r="32" spans="1:29" ht="15" customHeight="1">
      <c r="A32" s="106" t="str">
        <f>'Stand der Daten'!B36</f>
        <v xml:space="preserve">Landwirtschaftlich gen. Fläche (LF)   </v>
      </c>
      <c r="B32" s="31" t="str">
        <f>Strukturdaten!C32</f>
        <v>ha</v>
      </c>
      <c r="C32" s="210">
        <f ca="1">IF($H$2=0,0,INDIRECT(ADDRESS(35,$K$2,,,$H$2)))</f>
        <v>33060</v>
      </c>
      <c r="D32" s="211">
        <f ca="1">IF($J$2=0,0,INDIRECT(ADDRESS(35,$K$2,,,$J$2)))</f>
        <v>33060</v>
      </c>
      <c r="E32" s="425">
        <f ca="1">IF(C32=0," ---",IF(D32=0," ---",IF(ISERROR(D32/C32)=TRUE," ---",D32/C32-1)))</f>
        <v>0</v>
      </c>
      <c r="F32" s="429"/>
      <c r="G32" s="99"/>
      <c r="H32" s="99"/>
      <c r="I32" s="99"/>
      <c r="M32" s="3">
        <f ca="1">IF($M$2=0,0,INDIRECT(ADDRESS(35,$K$2,,,$M$2)))</f>
        <v>35035</v>
      </c>
      <c r="N32" s="3">
        <f ca="1">IF($N$2=0,0,INDIRECT(ADDRESS(35,$K$2,,,$N$2)))</f>
        <v>34059</v>
      </c>
      <c r="O32" s="3">
        <f ca="1">IF($O$2=0,0,INDIRECT(ADDRESS(35,$K$2,,,$O$2)))</f>
        <v>34059</v>
      </c>
      <c r="P32" s="3">
        <f ca="1">IF($P$2=0,0,INDIRECT(ADDRESS(35,$K$2,,,$P$2)))</f>
        <v>34059</v>
      </c>
      <c r="Q32" s="3">
        <f ca="1">IF($Q$2=0,0,INDIRECT(ADDRESS(35,$K$2,,,$Q$2)))</f>
        <v>33380</v>
      </c>
      <c r="R32" s="3">
        <f ca="1">IF($R$2=0,0,INDIRECT(ADDRESS(35,$K$2,,,$R$2)))</f>
        <v>33380</v>
      </c>
      <c r="S32" s="3">
        <f ca="1">IF($S$2=0,0,INDIRECT(ADDRESS(35,$K$2,,,$S$2)))</f>
        <v>33380</v>
      </c>
      <c r="T32" s="3">
        <f ca="1">IF($T$2=0,0,INDIRECT(ADDRESS(35,$K$2,,,$T$2)))</f>
        <v>33380</v>
      </c>
      <c r="U32" s="3">
        <f ca="1">IF($U$2=0,0,INDIRECT(ADDRESS(35,$K$2,,,$U$2)))</f>
        <v>33380</v>
      </c>
      <c r="V32" s="3">
        <f ca="1">IF($V$2=0,0,INDIRECT(ADDRESS(35,$K$2,,,$V$2)))</f>
        <v>33380</v>
      </c>
      <c r="W32" s="3">
        <f ca="1">IF($W$2=0,0,INDIRECT(ADDRESS(35,$K$2,,,$W$2)))</f>
        <v>33530</v>
      </c>
      <c r="X32" s="3">
        <f ca="1">IF($X$2=0,0,INDIRECT(ADDRESS(35,$K$2,,,$X$2)))</f>
        <v>33530</v>
      </c>
      <c r="Y32" s="3">
        <f ca="1">IF($Y$2=0,0,INDIRECT(ADDRESS(35,$K$2,,,$Y$2)))</f>
        <v>33530</v>
      </c>
      <c r="Z32" s="3">
        <f ca="1">IF($Z$2=0,0,INDIRECT(ADDRESS(35,$K$2,,,$Z$2)))</f>
        <v>33530</v>
      </c>
      <c r="AA32" s="3">
        <f ca="1">IF($AA$2=0,0,INDIRECT(ADDRESS(35,$K$2,,,$AA$2)))</f>
        <v>33060</v>
      </c>
      <c r="AB32" s="3">
        <f ca="1">IF($AB$2=0,0,INDIRECT(ADDRESS(35,$K$2,,,$AB$2)))</f>
        <v>33060</v>
      </c>
      <c r="AC32" s="3">
        <f ca="1">IF($AC$2=0,0,INDIRECT(ADDRESS(35,$K$2,,,$AC$2)))</f>
        <v>33060</v>
      </c>
    </row>
    <row r="33" spans="1:29" ht="15" customHeight="1">
      <c r="A33" s="107" t="str">
        <f>'Stand der Daten'!B37</f>
        <v>davon Ackerland</v>
      </c>
      <c r="B33" s="31" t="str">
        <f>Strukturdaten!C33</f>
        <v>ha</v>
      </c>
      <c r="C33" s="212">
        <f ca="1">IF($H$2=0,0,INDIRECT(ADDRESS(36,$K$2,,,$H$2)))</f>
        <v>13412</v>
      </c>
      <c r="D33" s="213">
        <f ca="1">IF($J$2=0,0,INDIRECT(ADDRESS(36,$K$2,,,$J$2)))</f>
        <v>13412</v>
      </c>
      <c r="E33" s="424">
        <f ca="1">IF(C33=0," ---",IF(D33=0," ---",IF(ISERROR(D33/C33)=TRUE," ---",D33/C33-1)))</f>
        <v>0</v>
      </c>
      <c r="F33" s="429"/>
      <c r="G33" s="99"/>
      <c r="H33" s="99"/>
      <c r="I33" s="99"/>
      <c r="M33" s="3">
        <f ca="1">IF($M$2=0,0,INDIRECT(ADDRESS(36,$K$2,,,$M$2)))</f>
        <v>14132</v>
      </c>
      <c r="N33" s="3">
        <f ca="1">IF($N$2=0,0,INDIRECT(ADDRESS(36,$K$2,,,$N$2)))</f>
        <v>13793</v>
      </c>
      <c r="O33" s="3">
        <f ca="1">IF($O$2=0,0,INDIRECT(ADDRESS(36,$K$2,,,$O$2)))</f>
        <v>13793</v>
      </c>
      <c r="P33" s="3">
        <f ca="1">IF($P$2=0,0,INDIRECT(ADDRESS(36,$K$2,,,$P$2)))</f>
        <v>13793</v>
      </c>
      <c r="Q33" s="3">
        <f ca="1">IF($Q$2=0,0,INDIRECT(ADDRESS(36,$K$2,,,$Q$2)))</f>
        <v>13924</v>
      </c>
      <c r="R33" s="3">
        <f ca="1">IF($R$2=0,0,INDIRECT(ADDRESS(36,$K$2,,,$R$2)))</f>
        <v>13924</v>
      </c>
      <c r="S33" s="3">
        <f ca="1">IF($S$2=0,0,INDIRECT(ADDRESS(36,$K$2,,,$S$2)))</f>
        <v>13924</v>
      </c>
      <c r="T33" s="3">
        <f ca="1">IF($T$2=0,0,INDIRECT(ADDRESS(36,$K$2,,,$T$2)))</f>
        <v>13924</v>
      </c>
      <c r="U33" s="3">
        <f ca="1">IF($U$2=0,0,INDIRECT(ADDRESS(36,$K$2,,,$U$2)))</f>
        <v>13924</v>
      </c>
      <c r="V33" s="3">
        <f ca="1">IF($V$2=0,0,INDIRECT(ADDRESS(36,$K$2,,,$V$2)))</f>
        <v>13924</v>
      </c>
      <c r="W33" s="3">
        <f ca="1">IF($W$2=0,0,INDIRECT(ADDRESS(36,$K$2,,,$W$2)))</f>
        <v>13720</v>
      </c>
      <c r="X33" s="3">
        <f ca="1">IF($X$2=0,0,INDIRECT(ADDRESS(36,$K$2,,,$X$2)))</f>
        <v>13720</v>
      </c>
      <c r="Y33" s="3">
        <f ca="1">IF($Y$2=0,0,INDIRECT(ADDRESS(36,$K$2,,,$Y$2)))</f>
        <v>13720</v>
      </c>
      <c r="Z33" s="3">
        <f ca="1">IF($Z$2=0,0,INDIRECT(ADDRESS(36,$K$2,,,$Z$2)))</f>
        <v>13720</v>
      </c>
      <c r="AA33" s="3">
        <f ca="1">IF($AA$2=0,0,INDIRECT(ADDRESS(36,$K$2,,,$AA$2)))</f>
        <v>13412</v>
      </c>
      <c r="AB33" s="3">
        <f ca="1">IF($AB$2=0,0,INDIRECT(ADDRESS(36,$K$2,,,$AB$2)))</f>
        <v>13412</v>
      </c>
      <c r="AC33" s="3">
        <f ca="1">IF($AC$2=0,0,INDIRECT(ADDRESS(36,$K$2,,,$AC$2)))</f>
        <v>13412</v>
      </c>
    </row>
    <row r="34" spans="1:29" ht="15" customHeight="1">
      <c r="A34" s="108" t="str">
        <f>'Stand der Daten'!B38</f>
        <v>Dauergrünland</v>
      </c>
      <c r="B34" s="31" t="str">
        <f>Strukturdaten!C34</f>
        <v>ha</v>
      </c>
      <c r="C34" s="212">
        <f ca="1">IF($H$2=0,0,INDIRECT(ADDRESS(37,$K$2,,,$H$2)))</f>
        <v>11681</v>
      </c>
      <c r="D34" s="213">
        <f ca="1">IF($J$2=0,0,INDIRECT(ADDRESS(37,$K$2,,,$J$2)))</f>
        <v>11681</v>
      </c>
      <c r="E34" s="424">
        <f ca="1">IF(C34=0," ---",IF(D34=0," ---",IF(ISERROR(D34/C34)=TRUE," ---",D34/C34-1)))</f>
        <v>0</v>
      </c>
      <c r="F34" s="429"/>
      <c r="G34" s="99"/>
      <c r="H34" s="99"/>
      <c r="I34" s="99"/>
    </row>
    <row r="35" spans="1:29" ht="15" customHeight="1">
      <c r="A35" s="108" t="str">
        <f>'Stand der Daten'!B39</f>
        <v>Baum- und Beerenobst</v>
      </c>
      <c r="B35" s="31" t="str">
        <f>Strukturdaten!C35</f>
        <v>ha</v>
      </c>
      <c r="C35" s="212">
        <f ca="1">IF($H$2=0,0,INDIRECT(ADDRESS(38,$K$2,,,$H$2)))</f>
        <v>7320</v>
      </c>
      <c r="D35" s="213">
        <f ca="1">IF($J$2=0,0,INDIRECT(ADDRESS(38,$K$2,,,$J$2)))</f>
        <v>7320</v>
      </c>
      <c r="E35" s="424">
        <f ca="1">IF(C35=0," ---",IF(D35=0," ---",IF(ISERROR(D35/C35)=TRUE," ---",D35/C35-1)))</f>
        <v>0</v>
      </c>
      <c r="F35" s="429"/>
      <c r="G35" s="99"/>
      <c r="H35" s="99"/>
      <c r="I35" s="99"/>
    </row>
    <row r="36" spans="1:29" ht="15" customHeight="1" thickBot="1">
      <c r="A36" s="108" t="str">
        <f>'Stand der Daten'!B40</f>
        <v>Rebflächen</v>
      </c>
      <c r="B36" s="31" t="str">
        <f>Strukturdaten!C36</f>
        <v>ha</v>
      </c>
      <c r="C36" s="212">
        <f ca="1">IF($H$2=0,0,INDIRECT(ADDRESS(39,$K$2,,,$H$2)))</f>
        <v>571</v>
      </c>
      <c r="D36" s="213">
        <f ca="1">IF($J$2=0,0,INDIRECT(ADDRESS(39,$K$2,,,$J$2)))</f>
        <v>571</v>
      </c>
      <c r="E36" s="424">
        <f ca="1">IF(C36=0," ---",IF(D36=0," ---",IF(ISERROR(D36/C36)=TRUE," ---",D36/C36-1)))</f>
        <v>0</v>
      </c>
      <c r="F36" s="429"/>
      <c r="G36" s="99"/>
      <c r="H36" s="99"/>
      <c r="I36" s="99"/>
    </row>
    <row r="37" spans="1:29" ht="18.75" customHeight="1">
      <c r="A37" s="400" t="str">
        <f>'Stand der Daten'!B41</f>
        <v>Viehhaltung</v>
      </c>
      <c r="B37" s="409"/>
      <c r="C37" s="406"/>
      <c r="D37" s="407"/>
      <c r="E37" s="408"/>
      <c r="F37" s="429"/>
      <c r="G37" s="99"/>
      <c r="H37" s="99"/>
      <c r="I37" s="99"/>
      <c r="M37" s="99"/>
      <c r="N37" s="99"/>
      <c r="O37" s="99"/>
      <c r="P37" s="99"/>
      <c r="Q37" s="99"/>
      <c r="R37" s="99"/>
      <c r="S37" s="99"/>
      <c r="T37" s="99"/>
      <c r="U37" s="99"/>
      <c r="V37" s="99"/>
      <c r="W37" s="99"/>
      <c r="X37" s="99"/>
      <c r="Y37" s="99"/>
      <c r="Z37" s="99"/>
    </row>
    <row r="38" spans="1:29" ht="15" customHeight="1">
      <c r="A38" s="28" t="str">
        <f>'Stand der Daten'!B42</f>
        <v xml:space="preserve">Rinder    </v>
      </c>
      <c r="B38" s="27" t="str">
        <f>Strukturdaten!C38</f>
        <v>Tiere</v>
      </c>
      <c r="C38" s="210">
        <f ca="1">IF($H$2=0,0,INDIRECT(ADDRESS(41,$K$2,,,$H$2)))</f>
        <v>20623</v>
      </c>
      <c r="D38" s="217">
        <f ca="1">IF($J$2=0,0,INDIRECT(ADDRESS(41,$K$2,,,$J$2)))</f>
        <v>20623</v>
      </c>
      <c r="E38" s="425">
        <f ca="1">IF(C38=0," ---",IF(D38=0," ---",IF(ISERROR(D38/C38)=TRUE," ---",D38/C38-1)))</f>
        <v>0</v>
      </c>
      <c r="F38" s="429"/>
      <c r="M38" s="99"/>
      <c r="N38" s="99"/>
      <c r="O38" s="99"/>
      <c r="P38" s="99"/>
      <c r="Q38" s="99"/>
      <c r="R38" s="99"/>
      <c r="S38" s="99"/>
      <c r="T38" s="99"/>
      <c r="U38" s="99"/>
      <c r="V38" s="99"/>
      <c r="W38" s="99"/>
      <c r="X38" s="99"/>
      <c r="Y38" s="99"/>
      <c r="Z38" s="99"/>
    </row>
    <row r="39" spans="1:29" ht="15" customHeight="1">
      <c r="A39" s="96" t="str">
        <f>'Stand der Daten'!B43</f>
        <v>Kühe (Milchkühe und sonstige Kühe)</v>
      </c>
      <c r="B39" s="27" t="str">
        <f>Strukturdaten!C39</f>
        <v>Tiere</v>
      </c>
      <c r="C39" s="212">
        <f ca="1">IF($H$2=0,0,INDIRECT(ADDRESS(42,$K$2,,,$H$2)))</f>
        <v>8952</v>
      </c>
      <c r="D39" s="218">
        <f ca="1">IF($J$2=0,0,INDIRECT(ADDRESS(42,$K$2,,,$J$2)))</f>
        <v>8952</v>
      </c>
      <c r="E39" s="424">
        <f ca="1">IF(C39=0," ---",IF(D39=0," ---",IF(ISERROR(D39/C39)=TRUE," ---",D39/C39-1)))</f>
        <v>0</v>
      </c>
      <c r="F39" s="429"/>
      <c r="G39" s="99"/>
      <c r="H39" s="99"/>
      <c r="I39" s="99"/>
      <c r="M39" s="3">
        <f ca="1">IF($M$2=0,0,INDIRECT(ADDRESS(42,$K$2,,,$M$2)))</f>
        <v>16139</v>
      </c>
      <c r="N39" s="3">
        <f ca="1">IF($N$2=0,0,INDIRECT(ADDRESS(42,$K$2,,,$N$2)))</f>
        <v>13832</v>
      </c>
      <c r="O39" s="3">
        <f ca="1">IF($O$2=0,0,INDIRECT(ADDRESS(42,$K$2,,,$O$2)))</f>
        <v>11903</v>
      </c>
      <c r="P39" s="3">
        <f ca="1">IF($P$2=0,0,INDIRECT(ADDRESS(42,$K$2,,,$P$2)))</f>
        <v>11560</v>
      </c>
      <c r="Q39" s="3">
        <f ca="1">IF($Q$2=0,0,INDIRECT(ADDRESS(42,$K$2,,,$Q$2)))</f>
        <v>11396</v>
      </c>
      <c r="R39" s="3">
        <f ca="1">IF($R$2=0,0,INDIRECT(ADDRESS(42,$K$2,,,$R$2)))</f>
        <v>11122</v>
      </c>
      <c r="S39" s="3">
        <f ca="1">IF($S$2=0,0,INDIRECT(ADDRESS(42,$K$2,,,$S$2)))</f>
        <v>10848</v>
      </c>
      <c r="T39" s="3">
        <f ca="1">IF($T$2=0,0,INDIRECT(ADDRESS(42,$K$2,,,$T$2)))</f>
        <v>10714</v>
      </c>
      <c r="U39" s="3">
        <f ca="1">IF($U$2=0,0,INDIRECT(ADDRESS(42,$K$2,,,$U$2)))</f>
        <v>10430</v>
      </c>
      <c r="V39" s="3">
        <f ca="1">IF($V$2=0,0,INDIRECT(ADDRESS(42,$K$2,,,$V$2)))</f>
        <v>10311</v>
      </c>
      <c r="W39" s="3">
        <f ca="1">IF($W$2=0,0,INDIRECT(ADDRESS(42,$K$2,,,$W$2)))</f>
        <v>10251</v>
      </c>
      <c r="X39" s="3">
        <f ca="1">IF($X$2=0,0,INDIRECT(ADDRESS(42,$K$2,,,$X$2)))</f>
        <v>9677</v>
      </c>
      <c r="Y39" s="3">
        <f ca="1">IF($Y$2=0,0,INDIRECT(ADDRESS(42,$K$2,,,$X$2)))</f>
        <v>9677</v>
      </c>
      <c r="Z39" s="3">
        <f ca="1">IF($Z$2=0,0,INDIRECT(ADDRESS(42,$K$2,,,$Z$2)))</f>
        <v>9032</v>
      </c>
      <c r="AA39" s="3">
        <f ca="1">IF($AA$2=0,0,INDIRECT(ADDRESS(42,$K$2,,,$AA$2)))</f>
        <v>9020</v>
      </c>
      <c r="AB39" s="3">
        <f ca="1">IF($AB$2=0,0,INDIRECT(ADDRESS(42,$K$2,,,$AB$2)))</f>
        <v>8981</v>
      </c>
      <c r="AC39" s="3">
        <f ca="1">IF($AC$2=0,0,INDIRECT(ADDRESS(42,$K$2,,,$AC$2)))</f>
        <v>8952</v>
      </c>
    </row>
    <row r="40" spans="1:29" ht="15" customHeight="1">
      <c r="A40" s="96" t="str">
        <f>'Stand der Daten'!B44</f>
        <v>darunter Milchkühe</v>
      </c>
      <c r="B40" s="27" t="str">
        <f>Strukturdaten!C40</f>
        <v>Tiere</v>
      </c>
      <c r="C40" s="212">
        <f ca="1">IF($H$2=0,0,INDIRECT(ADDRESS(43,$K$2,,,$H$2)))</f>
        <v>7943</v>
      </c>
      <c r="D40" s="218">
        <f ca="1">IF($J$2=0,0,INDIRECT(ADDRESS(43,$K$2,,,$J$2)))</f>
        <v>7943</v>
      </c>
      <c r="E40" s="424">
        <f ca="1">IF(C40=0," ---",IF(D40=0," ---",IF(ISERROR(D40/C40)=TRUE," ---",D40/C40-1)))</f>
        <v>0</v>
      </c>
      <c r="F40" s="429"/>
      <c r="G40" s="99"/>
      <c r="H40" s="99"/>
      <c r="I40" s="99"/>
    </row>
    <row r="41" spans="1:29" ht="15" customHeight="1">
      <c r="A41" s="96" t="str">
        <f>'Stand der Daten'!B45</f>
        <v>Durchschnittsbestand Milchkühe</v>
      </c>
      <c r="B41" s="27" t="str">
        <f>Strukturdaten!C41</f>
        <v>Tiere/Halter</v>
      </c>
      <c r="C41" s="212">
        <f ca="1">IF($H$2=0,0,INDIRECT(ADDRESS(44,$K$2,,,$H$2)))</f>
        <v>50.916666666666664</v>
      </c>
      <c r="D41" s="218">
        <f ca="1">IF($J$2=0,0,INDIRECT(ADDRESS(44,$K$2,,,$J$2)))</f>
        <v>50.916666666666664</v>
      </c>
      <c r="E41" s="424">
        <f t="shared" ref="E41:E89" ca="1" si="3">IF(C41=0," ---",IF(D41=0," ---",IF(ISERROR(D41/C41)=TRUE," ---",D41/C41-1)))</f>
        <v>0</v>
      </c>
      <c r="F41" s="429"/>
      <c r="G41" s="99"/>
      <c r="H41" s="99"/>
      <c r="I41" s="99"/>
    </row>
    <row r="42" spans="1:29" ht="15" customHeight="1">
      <c r="A42" s="28" t="str">
        <f>'Stand der Daten'!B46</f>
        <v>Schweine</v>
      </c>
      <c r="B42" s="27" t="str">
        <f>Strukturdaten!C42</f>
        <v>Tiere</v>
      </c>
      <c r="C42" s="210">
        <f ca="1">IF($H$2=0,0,INDIRECT(ADDRESS(45,$K$2,,,$H$2)))</f>
        <v>11792</v>
      </c>
      <c r="D42" s="217">
        <f ca="1">IF($J$2=0,0,INDIRECT(ADDRESS(45,$K$2,,,$J$2)))</f>
        <v>11792</v>
      </c>
      <c r="E42" s="425">
        <f t="shared" ca="1" si="3"/>
        <v>0</v>
      </c>
      <c r="F42" s="429"/>
      <c r="G42" s="99"/>
      <c r="H42" s="99"/>
      <c r="I42" s="99"/>
      <c r="M42" s="3">
        <f ca="1">IF($M$2=0,0,INDIRECT(ADDRESS(45,$K$2,,,$M$2)))</f>
        <v>26480</v>
      </c>
      <c r="N42" s="3">
        <f ca="1">IF($N$2=0,0,INDIRECT(ADDRESS(45,$K$2,,,$N$2)))</f>
        <v>21765</v>
      </c>
      <c r="O42" s="3">
        <f ca="1">IF($O$2=0,0,INDIRECT(ADDRESS(45,$K$2,,,$O$2)))</f>
        <v>21765</v>
      </c>
      <c r="P42" s="3">
        <f ca="1">IF($P$2=0,0,INDIRECT(ADDRESS(45,$K$2,,,$P$2)))</f>
        <v>21765</v>
      </c>
      <c r="Q42" s="3">
        <f ca="1">IF($Q$2=0,0,INDIRECT(ADDRESS(45,$K$2,,,$Q$2)))</f>
        <v>20295</v>
      </c>
      <c r="R42" s="3">
        <f ca="1">IF($R$2=0,0,INDIRECT(ADDRESS(45,$K$2,,,$R$2)))</f>
        <v>20295</v>
      </c>
      <c r="S42" s="3">
        <f ca="1">IF($S$2=0,0,INDIRECT(ADDRESS(45,$K$2,,,$S$2)))</f>
        <v>20295</v>
      </c>
      <c r="T42" s="3">
        <f ca="1">IF($T$2=0,0,INDIRECT(ADDRESS(45,$K$2,,,$T$2)))</f>
        <v>20295</v>
      </c>
      <c r="U42" s="3">
        <f ca="1">IF($U$2=0,0,INDIRECT(ADDRESS(45,$K$2,,,$U$2)))</f>
        <v>20295</v>
      </c>
      <c r="V42" s="3">
        <f ca="1">IF($V$2=0,0,INDIRECT(ADDRESS(45,$K$2,,,$V$2)))</f>
        <v>20295</v>
      </c>
      <c r="W42" s="3">
        <f ca="1">IF($W$2=0,0,INDIRECT(ADDRESS(45,$K$2,,,$W$2)))</f>
        <v>14273</v>
      </c>
      <c r="X42" s="3">
        <f ca="1">IF($X$2=0,0,INDIRECT(ADDRESS(45,$K$2,,,$X$2)))</f>
        <v>14273</v>
      </c>
      <c r="Y42" s="3">
        <f ca="1">IF($Y$2=0,0,INDIRECT(ADDRESS(45,$K$2,,,$Y$2)))</f>
        <v>14273</v>
      </c>
      <c r="Z42" s="3">
        <f ca="1">IF($Z$2=0,0,INDIRECT(ADDRESS(45,$K$2,,,$Z$2)))</f>
        <v>14273</v>
      </c>
      <c r="AA42" s="774">
        <f ca="1">IF($AA$2=0,0,INDIRECT(ADDRESS(45,$K$2,,,$AA$2)))</f>
        <v>11792</v>
      </c>
      <c r="AB42" s="774">
        <f ca="1">IF($AB$2=0,0,INDIRECT(ADDRESS(45,$K$2,,,$AB$2)))</f>
        <v>11792</v>
      </c>
      <c r="AC42" s="774">
        <f ca="1">IF($AC$2=0,0,INDIRECT(ADDRESS(45,$K$2,,,$AC$2)))</f>
        <v>11792</v>
      </c>
    </row>
    <row r="43" spans="1:29" ht="14.25" customHeight="1">
      <c r="A43" s="96" t="str">
        <f>'Stand der Daten'!B47</f>
        <v>darunter Zuchtsauen</v>
      </c>
      <c r="B43" s="27" t="str">
        <f>Strukturdaten!C43</f>
        <v>Tiere</v>
      </c>
      <c r="C43" s="212">
        <f ca="1">IF($H$2=0,0,INDIRECT(ADDRESS(46,$K$2,,,$H$2)))</f>
        <v>698</v>
      </c>
      <c r="D43" s="218">
        <f ca="1">IF($J$2=0,0,INDIRECT(ADDRESS(46,$K$2,,,$J$2)))</f>
        <v>698</v>
      </c>
      <c r="E43" s="424">
        <f t="shared" ca="1" si="3"/>
        <v>0</v>
      </c>
      <c r="F43" s="429"/>
      <c r="G43" s="99"/>
      <c r="H43" s="99"/>
      <c r="I43" s="99"/>
    </row>
    <row r="44" spans="1:29" ht="15" customHeight="1">
      <c r="A44" s="96" t="str">
        <f>'Stand der Daten'!B48</f>
        <v>Durchschnittsbestand Mastschweine</v>
      </c>
      <c r="B44" s="27" t="str">
        <f>Strukturdaten!C44</f>
        <v>Tiere/Halter</v>
      </c>
      <c r="C44" s="212">
        <f ca="1">IF($H$2=0,0,INDIRECT(ADDRESS(47,$K$2,,,$H$2)))</f>
        <v>139</v>
      </c>
      <c r="D44" s="218">
        <f ca="1">IF($J$2=0,0,INDIRECT(ADDRESS(47,$K$2,,,$J$2)))</f>
        <v>139</v>
      </c>
      <c r="E44" s="424">
        <f t="shared" ca="1" si="3"/>
        <v>0</v>
      </c>
      <c r="F44" s="429"/>
      <c r="G44" s="99"/>
      <c r="H44" s="99"/>
      <c r="I44" s="99"/>
    </row>
    <row r="45" spans="1:29" ht="15" customHeight="1">
      <c r="A45" s="28" t="str">
        <f>'Stand der Daten'!B49</f>
        <v>Einhufer (Pferde)</v>
      </c>
      <c r="B45" s="27" t="str">
        <f>Strukturdaten!C45</f>
        <v>Tiere</v>
      </c>
      <c r="C45" s="210">
        <f ca="1">IF($H$2=0,0,INDIRECT(ADDRESS(48,$K$2,,,$H$2)))</f>
        <v>1627</v>
      </c>
      <c r="D45" s="217">
        <f ca="1">IF($J$2=0,0,INDIRECT(ADDRESS(48,$K$2,,,$J$2)))</f>
        <v>1627</v>
      </c>
      <c r="E45" s="425">
        <f t="shared" ca="1" si="3"/>
        <v>0</v>
      </c>
      <c r="F45" s="429"/>
      <c r="G45" s="99"/>
      <c r="H45" s="99"/>
      <c r="I45" s="99"/>
    </row>
    <row r="46" spans="1:29" ht="15" customHeight="1">
      <c r="A46" s="28" t="str">
        <f>'Stand der Daten'!B50</f>
        <v>Schafe</v>
      </c>
      <c r="B46" s="27" t="str">
        <f>Strukturdaten!C46</f>
        <v>Tiere</v>
      </c>
      <c r="C46" s="210">
        <f ca="1">IF($H$2=0,0,INDIRECT(ADDRESS(49,$K$2,,,$H$2)))</f>
        <v>5155</v>
      </c>
      <c r="D46" s="217">
        <f ca="1">IF($J$2=0,0,INDIRECT(ADDRESS(49,$K$2,,,$J$2)))</f>
        <v>5155</v>
      </c>
      <c r="E46" s="425">
        <f t="shared" ca="1" si="3"/>
        <v>0</v>
      </c>
      <c r="F46" s="429"/>
      <c r="G46" s="99"/>
      <c r="H46" s="99"/>
      <c r="I46" s="99"/>
    </row>
    <row r="47" spans="1:29" ht="15" customHeight="1">
      <c r="A47" s="28" t="str">
        <f>'Stand der Daten'!B51</f>
        <v>Großvieheinheiten</v>
      </c>
      <c r="B47" s="27" t="str">
        <f>Strukturdaten!C47</f>
        <v>GV/100 ha LF</v>
      </c>
      <c r="C47" s="207">
        <f ca="1">IF($H$2=0,0,INDIRECT(ADDRESS(50,$K$2,,,$H$2)))</f>
        <v>57.1</v>
      </c>
      <c r="D47" s="214">
        <f ca="1">IF($J$2=0,0,INDIRECT(ADDRESS(50,$K$2,,,$J$2)))</f>
        <v>57.1</v>
      </c>
      <c r="E47" s="425">
        <f t="shared" ca="1" si="3"/>
        <v>0</v>
      </c>
      <c r="F47" s="429"/>
      <c r="G47" s="99"/>
      <c r="H47" s="99"/>
      <c r="I47" s="99"/>
    </row>
    <row r="48" spans="1:29" ht="15" customHeight="1">
      <c r="A48" s="96" t="str">
        <f>'Stand der Daten'!B52</f>
        <v>Milchleistung</v>
      </c>
      <c r="B48" s="27" t="str">
        <f>Strukturdaten!C48</f>
        <v>kg/Jahr</v>
      </c>
      <c r="C48" s="212">
        <f ca="1">IF($H$2=0,0,INDIRECT(ADDRESS(51,$K$2,,,$H$2)))</f>
        <v>7250.6921721620938</v>
      </c>
      <c r="D48" s="224">
        <f ca="1">IF($J$2=0,0,INDIRECT(ADDRESS(51,$K$2,,,$J$2)))</f>
        <v>7250.6921721620938</v>
      </c>
      <c r="E48" s="424">
        <f t="shared" ca="1" si="3"/>
        <v>0</v>
      </c>
      <c r="F48" s="468"/>
      <c r="G48" s="99"/>
      <c r="H48" s="99"/>
      <c r="I48" s="99"/>
    </row>
    <row r="49" spans="1:29" ht="15" customHeight="1">
      <c r="A49" s="96" t="str">
        <f>'Stand der Daten'!B53</f>
        <v>Milcherzeugung</v>
      </c>
      <c r="B49" s="27" t="str">
        <f>Strukturdaten!C49</f>
        <v>1.000 t</v>
      </c>
      <c r="C49" s="208">
        <f ca="1">IF($H$2=0,0,INDIRECT(ADDRESS(52,$K$2,,,$H$2)))</f>
        <v>57.613999999999997</v>
      </c>
      <c r="D49" s="215">
        <f ca="1">IF($J$2=0,0,INDIRECT(ADDRESS(52,$K$2,,,$J$2)))</f>
        <v>57.613999999999997</v>
      </c>
      <c r="E49" s="424">
        <f t="shared" ca="1" si="3"/>
        <v>0</v>
      </c>
      <c r="F49" s="468"/>
      <c r="G49" s="99"/>
      <c r="H49" s="99"/>
      <c r="I49" s="99"/>
    </row>
    <row r="50" spans="1:29" ht="15" customHeight="1">
      <c r="A50" s="96" t="s">
        <v>359</v>
      </c>
      <c r="B50" s="27" t="str">
        <f>Strukturdaten!C50</f>
        <v>%</v>
      </c>
      <c r="C50" s="221">
        <f ca="1">IF($H$2=0,0,INDIRECT(ADDRESS(53,$K$2,,,$H$2)))</f>
        <v>-11.226502311248083</v>
      </c>
      <c r="D50" s="209">
        <f ca="1">IF($J$2=0,0,INDIRECT(ADDRESS(53,$K$2,,,$J$2)))</f>
        <v>-11.226502311248083</v>
      </c>
      <c r="E50" s="424">
        <f t="shared" ca="1" si="3"/>
        <v>0</v>
      </c>
      <c r="F50" s="468"/>
      <c r="G50" s="99"/>
      <c r="H50" s="99"/>
      <c r="I50" s="99"/>
    </row>
    <row r="51" spans="1:29" ht="15" customHeight="1" thickBot="1">
      <c r="A51" s="97" t="s">
        <v>360</v>
      </c>
      <c r="B51" s="98" t="str">
        <f>Strukturdaten!C51</f>
        <v>%</v>
      </c>
      <c r="C51" s="222">
        <f ca="1">IF($H$2=0,0,INDIRECT(ADDRESS(54,$K$2,,,$H$2)))</f>
        <v>-32.375999999999998</v>
      </c>
      <c r="D51" s="223">
        <f ca="1">IF($J$2=0,0,INDIRECT(ADDRESS(54,$K$2,,,$J$2)))</f>
        <v>-32.375999999999998</v>
      </c>
      <c r="E51" s="506">
        <f t="shared" ca="1" si="3"/>
        <v>0</v>
      </c>
      <c r="F51" s="468"/>
      <c r="G51" s="99"/>
      <c r="H51" s="99"/>
      <c r="I51" s="99"/>
    </row>
    <row r="52" spans="1:29" ht="18.75" customHeight="1" thickTop="1">
      <c r="A52" s="410" t="str">
        <f>'Stand der Daten'!B56</f>
        <v xml:space="preserve"> Schutzgebiete 3)</v>
      </c>
      <c r="B52" s="411"/>
      <c r="C52" s="412"/>
      <c r="D52" s="413"/>
      <c r="E52" s="414"/>
      <c r="F52" s="429"/>
      <c r="G52" s="99"/>
      <c r="H52" s="99"/>
      <c r="I52" s="99"/>
    </row>
    <row r="53" spans="1:29" ht="15" customHeight="1">
      <c r="A53" s="96" t="str">
        <f>'Stand der Daten'!B57</f>
        <v>Naturschutzgebiete</v>
      </c>
      <c r="B53" s="27" t="str">
        <f>Strukturdaten!C53</f>
        <v>Anzahl</v>
      </c>
      <c r="C53" s="212">
        <f ca="1">IF($H$2=0,0,INDIRECT(ADDRESS(56,$K$2,,,$H$2)))</f>
        <v>33</v>
      </c>
      <c r="D53" s="228">
        <f ca="1">IF($J$2=0,0,INDIRECT(ADDRESS(56,$K$2,,,$J$2)))</f>
        <v>33</v>
      </c>
      <c r="E53" s="424">
        <f t="shared" ca="1" si="3"/>
        <v>0</v>
      </c>
      <c r="F53" s="429"/>
      <c r="G53" s="99"/>
      <c r="H53" s="99"/>
      <c r="I53" s="99"/>
    </row>
    <row r="54" spans="1:29" ht="15" customHeight="1">
      <c r="A54" s="96"/>
      <c r="B54" s="27" t="str">
        <f>Strukturdaten!C54</f>
        <v>ha</v>
      </c>
      <c r="C54" s="212">
        <f ca="1">IF($H$2=0,0,INDIRECT(ADDRESS(57,$K$2,,,$H$2)))</f>
        <v>1204.5</v>
      </c>
      <c r="D54" s="228">
        <f ca="1">IF($J$2=0,0,INDIRECT(ADDRESS(57,$K$2,,,$J$2)))</f>
        <v>1204.5</v>
      </c>
      <c r="E54" s="424">
        <f t="shared" ca="1" si="3"/>
        <v>0</v>
      </c>
      <c r="F54" s="429"/>
      <c r="G54" s="99"/>
      <c r="H54" s="99"/>
      <c r="I54" s="99"/>
      <c r="M54" s="3">
        <f ca="1">IF($M$2=0,0,INDIRECT(ADDRESS(57,$K$2,,,$M$2)))</f>
        <v>1474</v>
      </c>
      <c r="N54" s="3">
        <f ca="1">IF($N$2=0,0,INDIRECT(ADDRESS(57,$K$2,,,$N$2)))</f>
        <v>1485</v>
      </c>
      <c r="O54" s="3">
        <f ca="1">IF($O$2=0,0,INDIRECT(ADDRESS(57,$K$2,,,$O$2)))</f>
        <v>1514</v>
      </c>
      <c r="P54" s="3">
        <f ca="1">IF($P$2=0,0,INDIRECT(ADDRESS(57,$K$2,,,$P$2)))</f>
        <v>1514</v>
      </c>
      <c r="Q54" s="3">
        <f ca="1">IF($Q$2=0,0,INDIRECT(ADDRESS(57,$K$2,,,$Q$2)))</f>
        <v>1217.26</v>
      </c>
      <c r="R54" s="3">
        <f ca="1">IF($R$2=0,0,INDIRECT(ADDRESS(57,$K$2,,,$R$2)))</f>
        <v>1217.26</v>
      </c>
      <c r="S54" s="3">
        <f ca="1">IF($S$2=0,0,INDIRECT(ADDRESS(57,$K$2,,,$S$2)))</f>
        <v>1217.26</v>
      </c>
      <c r="T54" s="3">
        <f ca="1">IF($T$2=0,0,INDIRECT(ADDRESS(57,$K$2,,,$T$2)))</f>
        <v>1217.26</v>
      </c>
      <c r="U54" s="3">
        <f ca="1">IF($U$2=0,0,INDIRECT(ADDRESS(57,$K$2,,,$U$2)))</f>
        <v>1205</v>
      </c>
      <c r="V54" s="3">
        <f ca="1">IF($V$2=0,0,INDIRECT(ADDRESS(57,$K$2,,,$V$2)))</f>
        <v>1204.5</v>
      </c>
      <c r="W54" s="3">
        <f ca="1">IF($W$2=0,0,INDIRECT(ADDRESS(57,$K$2,,,$W$2)))</f>
        <v>1204.5</v>
      </c>
      <c r="X54" s="3">
        <f ca="1">IF($X$2=0,0,INDIRECT(ADDRESS(57,$K$2,,,$X$2)))</f>
        <v>1204.5</v>
      </c>
      <c r="Y54" s="3">
        <f ca="1">IF($Y$2=0,0,INDIRECT(ADDRESS(57,$K$2,,,$Y$2)))</f>
        <v>1204.5</v>
      </c>
      <c r="Z54" s="3">
        <f ca="1">IF($Z$2=0,0,INDIRECT(ADDRESS(57,$K$2,,,$Z$2)))</f>
        <v>1205</v>
      </c>
      <c r="AA54" s="3">
        <f ca="1">IF($AA$2=0,0,INDIRECT(ADDRESS(57,$K$2,,,$AA$2)))</f>
        <v>1204.5</v>
      </c>
      <c r="AB54" s="3">
        <f ca="1">IF($AB$2=0,0,INDIRECT(ADDRESS(57,$K$2,,,$AB$2)))</f>
        <v>1204.5</v>
      </c>
      <c r="AC54" s="3">
        <f ca="1">IF($AC$2=0,0,INDIRECT(ADDRESS(57,$K$2,,,$AC$2)))</f>
        <v>1204.5</v>
      </c>
    </row>
    <row r="55" spans="1:29" ht="15" customHeight="1">
      <c r="A55" s="96" t="str">
        <f>'Stand der Daten'!B59</f>
        <v>FFH-Gebiete</v>
      </c>
      <c r="B55" s="27" t="str">
        <f>Strukturdaten!C55</f>
        <v>Anzahl</v>
      </c>
      <c r="C55" s="212">
        <f ca="1">IF($H$2=0,0,INDIRECT(ADDRESS(58,$K$2,,,$H$2)))</f>
        <v>9</v>
      </c>
      <c r="D55" s="228">
        <f ca="1">IF($J$2=0,0,INDIRECT(ADDRESS(58,$K$2,,,$J$2)))</f>
        <v>9</v>
      </c>
      <c r="E55" s="424">
        <f t="shared" ca="1" si="3"/>
        <v>0</v>
      </c>
      <c r="F55" s="429"/>
      <c r="G55" s="99"/>
      <c r="H55" s="99"/>
      <c r="I55" s="99"/>
    </row>
    <row r="56" spans="1:29" ht="15" customHeight="1">
      <c r="A56" s="96"/>
      <c r="B56" s="27" t="str">
        <f>Strukturdaten!C56</f>
        <v>ha</v>
      </c>
      <c r="C56" s="212">
        <f ca="1">IF($H$2=0,0,INDIRECT(ADDRESS(59,$K$2,,,$H$2)))</f>
        <v>4021.54</v>
      </c>
      <c r="D56" s="228">
        <f ca="1">IF($J$2=0,0,INDIRECT(ADDRESS(59,$K$2,,,$J$2)))</f>
        <v>4021.54</v>
      </c>
      <c r="E56" s="424">
        <f t="shared" ca="1" si="3"/>
        <v>0</v>
      </c>
      <c r="F56" s="429"/>
      <c r="G56" s="99"/>
      <c r="H56" s="99"/>
      <c r="I56" s="99"/>
    </row>
    <row r="57" spans="1:29" ht="15" customHeight="1">
      <c r="A57" s="96" t="str">
        <f>'Stand der Daten'!B61</f>
        <v>Vogelschutzgebiete (SPA-Gebiete)</v>
      </c>
      <c r="B57" s="27" t="str">
        <f>Strukturdaten!C57</f>
        <v>Anzahl</v>
      </c>
      <c r="C57" s="212">
        <f ca="1">IF($H$2=0,0,INDIRECT(ADDRESS(60,$K$2,,,$H$2)))</f>
        <v>3</v>
      </c>
      <c r="D57" s="228">
        <f ca="1">IF($J$2=0,0,INDIRECT(ADDRESS(60,$K$2,,,$J$2)))</f>
        <v>3</v>
      </c>
      <c r="E57" s="424">
        <f t="shared" ca="1" si="3"/>
        <v>0</v>
      </c>
      <c r="F57" s="429"/>
      <c r="G57" s="99"/>
      <c r="H57" s="99"/>
      <c r="I57" s="99"/>
    </row>
    <row r="58" spans="1:29" ht="15" customHeight="1">
      <c r="A58" s="96"/>
      <c r="B58" s="27" t="str">
        <f>Strukturdaten!C58</f>
        <v>ha</v>
      </c>
      <c r="C58" s="212">
        <f ca="1">IF($H$2=0,0,INDIRECT(ADDRESS(61,$K$2,,,$H$2)))</f>
        <v>877</v>
      </c>
      <c r="D58" s="228">
        <f ca="1">IF($J$2=0,0,INDIRECT(ADDRESS(61,$K$2,,,$J$2)))</f>
        <v>877</v>
      </c>
      <c r="E58" s="424">
        <f t="shared" ca="1" si="3"/>
        <v>0</v>
      </c>
      <c r="F58" s="429"/>
      <c r="G58" s="99"/>
      <c r="H58" s="99"/>
      <c r="I58" s="99"/>
    </row>
    <row r="59" spans="1:29" ht="15" customHeight="1">
      <c r="A59" s="96" t="str">
        <f>'Stand der Daten'!B63</f>
        <v>Wasserschutzgebiete</v>
      </c>
      <c r="B59" s="27" t="str">
        <f>Strukturdaten!C59</f>
        <v>Anzahl</v>
      </c>
      <c r="C59" s="212">
        <f ca="1">IF($H$2=0,0,INDIRECT(ADDRESS(62,$K$2,,,$H$2)))</f>
        <v>42</v>
      </c>
      <c r="D59" s="228">
        <f ca="1">IF($J$2=0,0,INDIRECT(ADDRESS(62,$K$2,,,$J$2)))</f>
        <v>42</v>
      </c>
      <c r="E59" s="424">
        <f t="shared" ca="1" si="3"/>
        <v>0</v>
      </c>
      <c r="F59" s="429"/>
      <c r="G59" s="99"/>
      <c r="H59" s="99"/>
      <c r="I59" s="99"/>
    </row>
    <row r="60" spans="1:29" ht="15" customHeight="1" thickBot="1">
      <c r="A60" s="96"/>
      <c r="B60" s="27" t="str">
        <f>Strukturdaten!C60</f>
        <v>ha</v>
      </c>
      <c r="C60" s="219">
        <f ca="1">IF($H$2=0,0,INDIRECT(ADDRESS(63,$K$2,,,$H$2)))</f>
        <v>8773</v>
      </c>
      <c r="D60" s="231">
        <f ca="1">IF($J$2=0,0,INDIRECT(ADDRESS(63,$K$2,,,$J$2)))</f>
        <v>8773</v>
      </c>
      <c r="E60" s="424">
        <f t="shared" ca="1" si="3"/>
        <v>0</v>
      </c>
      <c r="F60" s="429"/>
      <c r="G60" s="99"/>
      <c r="H60" s="99"/>
      <c r="I60" s="99"/>
    </row>
    <row r="61" spans="1:29" ht="18.75" customHeight="1">
      <c r="A61" s="400" t="str">
        <f>'Stand der Daten'!B65</f>
        <v xml:space="preserve">Benachteiligte Gebiete </v>
      </c>
      <c r="B61" s="415"/>
      <c r="C61" s="406"/>
      <c r="D61" s="416"/>
      <c r="E61" s="417"/>
      <c r="F61" s="429"/>
      <c r="G61" s="99"/>
      <c r="H61" s="99"/>
      <c r="I61" s="99"/>
    </row>
    <row r="62" spans="1:29" ht="15" customHeight="1">
      <c r="A62" s="96" t="s">
        <v>309</v>
      </c>
      <c r="B62" s="14" t="str">
        <f>Strukturdaten!C62</f>
        <v>ha LF</v>
      </c>
      <c r="C62" s="225">
        <f ca="1">IF($H$2=0,0,INDIRECT(ADDRESS(65,$K$2,,,$H$2)))</f>
        <v>7894</v>
      </c>
      <c r="D62" s="218">
        <f ca="1">IF($J$2=0,0,INDIRECT(ADDRESS(65,$K$2,,,$J$2)))</f>
        <v>7894</v>
      </c>
      <c r="E62" s="424">
        <f t="shared" ca="1" si="3"/>
        <v>0</v>
      </c>
      <c r="F62" s="429"/>
      <c r="G62" s="99"/>
      <c r="H62" s="99"/>
      <c r="I62" s="99"/>
      <c r="M62" s="3">
        <f ca="1">IF($M$2=0,0,INDIRECT(ADDRESS(65,$K$2,,,$M$2)))</f>
        <v>8198</v>
      </c>
      <c r="N62" s="3">
        <f ca="1">IF($N$2=0,0,INDIRECT(ADDRESS(65,$K$2,,,$N$2)))</f>
        <v>8198</v>
      </c>
      <c r="O62" s="3">
        <f ca="1">IF($O$2=0,0,INDIRECT(ADDRESS(65,$K$2,,,$O$2)))</f>
        <v>8198</v>
      </c>
      <c r="P62" s="3">
        <f ca="1">IF($P$2=0,0,INDIRECT(ADDRESS(65,$K$2,,,$P$2)))</f>
        <v>8198</v>
      </c>
      <c r="Q62" s="3">
        <f ca="1">IF($Q$2=0,0,INDIRECT(ADDRESS(65,$K$2,,,$Q$2)))</f>
        <v>8198</v>
      </c>
      <c r="R62" s="3">
        <f ca="1">IF($R$2=0,0,INDIRECT(ADDRESS(65,$K$2,,,$R$2)))</f>
        <v>8198</v>
      </c>
      <c r="S62" s="3">
        <f ca="1">IF($S$2=0,0,INDIRECT(ADDRESS(65,$K$2,,,$S$2)))</f>
        <v>10746.678063158999</v>
      </c>
      <c r="T62" s="3">
        <f ca="1">IF($T$2=0,0,INDIRECT(ADDRESS(65,$K$2,,,$T$2)))</f>
        <v>10746.678063158999</v>
      </c>
      <c r="U62" s="3">
        <f ca="1">IF($U$2=0,0,INDIRECT(ADDRESS(65,$K$2,,,$U$2)))</f>
        <v>10746.678063158999</v>
      </c>
      <c r="V62" s="3">
        <f ca="1">IF($V$2=0,0,INDIRECT(ADDRESS(65,$K$2,,,$V$2)))</f>
        <v>10746.678063158999</v>
      </c>
      <c r="W62" s="3">
        <f ca="1">IF($W$2=0,0,INDIRECT(ADDRESS(65,$K$2,,,$W$2)))</f>
        <v>10746.678063158999</v>
      </c>
      <c r="X62" s="3">
        <f ca="1">IF($X$2=0,0,INDIRECT(ADDRESS(65,$K$2,,,$X$2)))</f>
        <v>10574.161881907999</v>
      </c>
      <c r="Y62" s="3">
        <f ca="1">IF($Y$2=0,0,INDIRECT(ADDRESS(65,$K$2,,,$Y$2)))</f>
        <v>10746.678063158999</v>
      </c>
      <c r="Z62" s="3">
        <f ca="1">IF($Z$2=0,0,INDIRECT(ADDRESS(65,$K$2,,,$Z$2)))</f>
        <v>3125.2833361050002</v>
      </c>
      <c r="AA62" s="3">
        <f ca="1">IF($AA$2=0,0,INDIRECT(ADDRESS(65,$K$2,,,$AA$2)))</f>
        <v>7894</v>
      </c>
      <c r="AB62" s="3">
        <f ca="1">IF($AB$2=0,0,INDIRECT(ADDRESS(65,$K$2,,,$AB$2)))</f>
        <v>7894</v>
      </c>
      <c r="AC62" s="3">
        <f ca="1">IF($AC$2=0,0,INDIRECT(ADDRESS(65,$K$2,,,$AC$2)))</f>
        <v>7894</v>
      </c>
    </row>
    <row r="63" spans="1:29" ht="15" customHeight="1">
      <c r="A63" s="96" t="s">
        <v>364</v>
      </c>
      <c r="B63" s="14" t="str">
        <f>Strukturdaten!C63</f>
        <v>ha LF</v>
      </c>
      <c r="C63" s="225">
        <f ca="1">IF($H$2=0,0,INDIRECT(ADDRESS(66,$K$2,,,$H$2)))</f>
        <v>401</v>
      </c>
      <c r="D63" s="213">
        <f ca="1">IF($J$2=0,0,INDIRECT(ADDRESS(66,$K$2,,,$J$2)))</f>
        <v>401</v>
      </c>
      <c r="E63" s="424">
        <f t="shared" ca="1" si="3"/>
        <v>0</v>
      </c>
      <c r="F63" s="429"/>
      <c r="G63" s="99"/>
      <c r="H63" s="99"/>
      <c r="I63" s="99"/>
    </row>
    <row r="64" spans="1:29" ht="13.5" thickBot="1">
      <c r="A64" s="775" t="s">
        <v>481</v>
      </c>
      <c r="B64" s="45" t="str">
        <f>Strukturdaten!C64</f>
        <v>%</v>
      </c>
      <c r="C64" s="226">
        <f ca="1">IF($H$2=0,0,INDIRECT(ADDRESS(67,$K$2,,,$H$2)))</f>
        <v>23.877797943133693</v>
      </c>
      <c r="D64" s="220">
        <f ca="1">IF($J$2=0,0,INDIRECT(ADDRESS(67,$K$2,,,$J$2)))</f>
        <v>23.877797943133693</v>
      </c>
      <c r="E64" s="424">
        <f t="shared" ca="1" si="3"/>
        <v>0</v>
      </c>
      <c r="F64" s="429"/>
      <c r="G64" s="99"/>
      <c r="H64" s="99"/>
      <c r="I64" s="99"/>
    </row>
    <row r="65" spans="1:29" ht="18.75" customHeight="1">
      <c r="A65" s="400" t="str">
        <f>'Stand der Daten'!B71</f>
        <v>Ökobetriebe</v>
      </c>
      <c r="B65" s="415"/>
      <c r="C65" s="418"/>
      <c r="D65" s="419"/>
      <c r="E65" s="417"/>
      <c r="F65" s="429"/>
      <c r="G65" s="99"/>
      <c r="H65" s="99"/>
      <c r="I65" s="99"/>
      <c r="AA65" s="773"/>
    </row>
    <row r="66" spans="1:29" ht="15" customHeight="1">
      <c r="A66" s="66" t="str">
        <f>'Stand der Daten'!B72</f>
        <v>Landwirtschaftl. Betriebe</v>
      </c>
      <c r="B66" s="15" t="str">
        <f>Strukturdaten!C66</f>
        <v>Anzahl</v>
      </c>
      <c r="C66" s="212">
        <f ca="1">IF($H$2=0,0,INDIRECT(ADDRESS(69,$K$2,,,$H$2)))</f>
        <v>152</v>
      </c>
      <c r="D66" s="218">
        <f ca="1">IF($J$2=0,0,INDIRECT(ADDRESS(69,$K$2,,,$J$2)))</f>
        <v>152</v>
      </c>
      <c r="E66" s="424">
        <f t="shared" ca="1" si="3"/>
        <v>0</v>
      </c>
      <c r="F66" s="429"/>
      <c r="G66" s="99"/>
      <c r="H66" s="99"/>
      <c r="I66" s="99"/>
      <c r="M66" s="3">
        <f ca="1">IF($M$2=0,0,INDIRECT(ADDRESS(69,$K$2,,,$M$2)))</f>
        <v>303</v>
      </c>
      <c r="N66" s="3">
        <f ca="1">IF($N$2=0,0,INDIRECT(ADDRESS(69,$K$2,,,$N$2)))</f>
        <v>178</v>
      </c>
      <c r="O66" s="3">
        <f ca="1">IF($O$2=0,0,INDIRECT(ADDRESS(69,$K$2,,,$O$2)))</f>
        <v>178</v>
      </c>
      <c r="P66" s="3">
        <f ca="1">IF($P$2=0,0,INDIRECT(ADDRESS(69,$K$2,,,$P$2)))</f>
        <v>178</v>
      </c>
      <c r="Q66" s="3">
        <f ca="1">IF($Q$2=0,0,INDIRECT(ADDRESS(69,$K$2,,,$Q$2)))</f>
        <v>194</v>
      </c>
      <c r="R66" s="3">
        <f ca="1">IF($R$2=0,0,INDIRECT(ADDRESS(69,$K$2,,,$R$2)))</f>
        <v>103</v>
      </c>
      <c r="S66" s="3">
        <f ca="1">IF($S$2=0,0,INDIRECT(ADDRESS(69,$K$2,,,$S$2)))</f>
        <v>194</v>
      </c>
      <c r="T66" s="3">
        <f ca="1">IF($T$2=0,0,INDIRECT(ADDRESS(69,$K$2,,,$T$2)))</f>
        <v>109</v>
      </c>
      <c r="U66" s="3">
        <f ca="1">IF($U$2=0,0,INDIRECT(ADDRESS(69,$K$2,,,$U$2)))</f>
        <v>105</v>
      </c>
      <c r="V66" s="3">
        <f ca="1">IF($V$2=0,0,INDIRECT(ADDRESS(69,$K$2,,,$V$2)))</f>
        <v>113</v>
      </c>
      <c r="W66" s="3">
        <f ca="1">IF($W$2=0,0,INDIRECT(ADDRESS(69,$K$2,,,$W$2)))</f>
        <v>170</v>
      </c>
      <c r="X66" s="3">
        <f ca="1">IF($X$2=0,0,INDIRECT(ADDRESS(69,$K$2,,,$X$2)))</f>
        <v>170</v>
      </c>
      <c r="Y66" s="3">
        <f ca="1">IF($Y$2=0,0,INDIRECT(ADDRESS(69,$K$2,,,$Y$2)))</f>
        <v>170</v>
      </c>
      <c r="Z66" s="3">
        <f ca="1">IF($Z$2=0,0,INDIRECT(ADDRESS(69,$K$2,,,$Z$2)))</f>
        <v>133</v>
      </c>
      <c r="AA66" s="793">
        <f ca="1">IF($AA$2=0,0,INDIRECT(ADDRESS(69,$K$2,,,$AA$2)))</f>
        <v>139</v>
      </c>
      <c r="AB66" s="793">
        <f ca="1">IF($AB$2=0,0,INDIRECT(ADDRESS(69,$K$2,,,$AB$2)))</f>
        <v>145</v>
      </c>
      <c r="AC66" s="793">
        <f ca="1">IF($AC$2=0,0,INDIRECT(ADDRESS(69,$K$2,,,$AC$2)))</f>
        <v>152</v>
      </c>
    </row>
    <row r="67" spans="1:29" ht="15" customHeight="1">
      <c r="A67" s="67" t="str">
        <f>'Stand der Daten'!B73</f>
        <v xml:space="preserve">Landwirtschaftlich genutzte Fläche (LF)   </v>
      </c>
      <c r="B67" s="31" t="str">
        <f>Strukturdaten!C67</f>
        <v>ha</v>
      </c>
      <c r="C67" s="225">
        <f ca="1">IF($H$2=0,0,INDIRECT(ADDRESS(70,$K$2,,,$H$2)))</f>
        <v>5598.2027000000016</v>
      </c>
      <c r="D67" s="213">
        <f ca="1">IF($J$2=0,0,INDIRECT(ADDRESS(70,$K$2,,,$J$2)))</f>
        <v>5598.2027000000016</v>
      </c>
      <c r="E67" s="424">
        <f t="shared" ca="1" si="3"/>
        <v>0</v>
      </c>
      <c r="F67" s="429"/>
      <c r="G67" s="99"/>
      <c r="H67" s="99"/>
      <c r="I67" s="99"/>
      <c r="M67" s="3">
        <f ca="1">IF($M$2=0,0,INDIRECT(ADDRESS(70,$K$2,,,$M$2)))</f>
        <v>6302</v>
      </c>
      <c r="N67" s="3">
        <f ca="1">IF($N$2=0,0,INDIRECT(ADDRESS(70,$K$2,,,$N$2)))</f>
        <v>3609</v>
      </c>
      <c r="O67" s="3">
        <f ca="1">IF($O$2=0,0,INDIRECT(ADDRESS(70,$K$2,,,$O$2)))</f>
        <v>3609</v>
      </c>
      <c r="P67" s="3">
        <f ca="1">IF($P$2=0,0,INDIRECT(ADDRESS(70,$K$2,,,$P$2)))</f>
        <v>3609</v>
      </c>
      <c r="Q67" s="3">
        <f ca="1">IF($Q$2=0,0,INDIRECT(ADDRESS(70,$K$2,,,$Q$2)))</f>
        <v>3123</v>
      </c>
      <c r="R67" s="3">
        <f ca="1">IF($R$2=0,0,INDIRECT(ADDRESS(70,$K$2,,,$R$2)))</f>
        <v>2878</v>
      </c>
      <c r="S67" s="3">
        <f ca="1">IF($S$2=0,0,INDIRECT(ADDRESS(70,$K$2,,,$S$2)))</f>
        <v>3123</v>
      </c>
      <c r="T67" s="3">
        <f ca="1">IF($T$2=0,0,INDIRECT(ADDRESS(70,$K$2,,,$T$2)))</f>
        <v>3159</v>
      </c>
      <c r="U67" s="3">
        <f ca="1">IF($U$2=0,0,INDIRECT(ADDRESS(70,$K$2,,,$U$2)))</f>
        <v>3055</v>
      </c>
      <c r="V67" s="3">
        <f ca="1">IF($V$2=0,0,INDIRECT(ADDRESS(70,$K$2,,,$V$2)))</f>
        <v>3455</v>
      </c>
      <c r="W67" s="3">
        <f ca="1">IF($W$2=0,0,INDIRECT(ADDRESS(70,$K$2,,,$W$2)))</f>
        <v>3603</v>
      </c>
      <c r="X67" s="3">
        <f ca="1">IF($X$2=0,0,INDIRECT(ADDRESS(70,$K$2,,,$X$2)))</f>
        <v>3603</v>
      </c>
      <c r="Y67" s="3">
        <f ca="1">IF($Y$2=0,0,INDIRECT(ADDRESS(70,$K$2,,,$Y$2)))</f>
        <v>3603</v>
      </c>
      <c r="Z67" s="3">
        <f ca="1">IF($Z$2=0,0,INDIRECT(ADDRESS(70,$K$2,,,$Z$2)))</f>
        <v>4306.7891000000009</v>
      </c>
      <c r="AA67" s="793">
        <f ca="1">IF($AA$2=0,0,INDIRECT(ADDRESS(70,$K$2,,,$AA$2)))</f>
        <v>5204.8300999999992</v>
      </c>
      <c r="AB67" s="793">
        <f ca="1">IF($AB$2=0,0,INDIRECT(ADDRESS(70,$K$2,,,$AB$2)))</f>
        <v>5335.5539000000017</v>
      </c>
      <c r="AC67" s="793">
        <f ca="1">IF($AC$2=0,0,INDIRECT(ADDRESS(70,$K$2,,,$AC$2)))</f>
        <v>5598.2027000000016</v>
      </c>
    </row>
    <row r="68" spans="1:29" ht="15" customHeight="1" thickBot="1">
      <c r="A68" s="66" t="str">
        <f>'Stand der Daten'!B74</f>
        <v>Ø Betriebsgröße</v>
      </c>
      <c r="B68" s="15" t="str">
        <f>Strukturdaten!C68</f>
        <v>ha</v>
      </c>
      <c r="C68" s="216">
        <f ca="1">IF($H$2=0,0,INDIRECT(ADDRESS(71,$K$2,,,$H$2)))</f>
        <v>36.830280921052641</v>
      </c>
      <c r="D68" s="215">
        <f ca="1">IF($J$2=0,0,INDIRECT(ADDRESS(71,$K$2,,,$J$2)))</f>
        <v>36.830280921052641</v>
      </c>
      <c r="E68" s="424">
        <f t="shared" ca="1" si="3"/>
        <v>0</v>
      </c>
      <c r="F68" s="429"/>
      <c r="G68" s="99"/>
      <c r="H68" s="99"/>
      <c r="I68" s="99"/>
    </row>
    <row r="69" spans="1:29" ht="18.75" customHeight="1">
      <c r="A69" s="400" t="str">
        <f>'Stand der Daten'!B75</f>
        <v>Betriebswirtschaftliche Ausrichtung</v>
      </c>
      <c r="B69" s="415"/>
      <c r="C69" s="406"/>
      <c r="D69" s="416"/>
      <c r="E69" s="417"/>
      <c r="F69" s="429"/>
      <c r="G69" s="99"/>
      <c r="H69" s="99"/>
      <c r="I69" s="99"/>
    </row>
    <row r="70" spans="1:29" ht="15" customHeight="1">
      <c r="A70" s="66" t="str">
        <f>'Stand der Daten'!B76</f>
        <v>Ackerbaubetriebe</v>
      </c>
      <c r="B70" s="15" t="str">
        <f>Strukturdaten!C70</f>
        <v>Anzahl</v>
      </c>
      <c r="C70" s="212">
        <f ca="1">IF($H$2=0,0,INDIRECT(ADDRESS(73,$K$2,,,$H$2)))</f>
        <v>230</v>
      </c>
      <c r="D70" s="218">
        <f ca="1">IF($J$2=0,0,INDIRECT(ADDRESS(73,$K$2,,,$J$2)))</f>
        <v>230</v>
      </c>
      <c r="E70" s="424">
        <f t="shared" ca="1" si="3"/>
        <v>0</v>
      </c>
      <c r="F70" s="429"/>
      <c r="G70" s="99"/>
      <c r="H70" s="99"/>
      <c r="I70" s="99"/>
      <c r="M70" s="3">
        <f ca="1">IF($M$2=0,0,INDIRECT(ADDRESS(73,$K$2,,,$M$2)))</f>
        <v>203</v>
      </c>
      <c r="N70" s="3">
        <f ca="1">IF($N$2=0,0,INDIRECT(ADDRESS(73,$K$2,,,$N$2)))</f>
        <v>154</v>
      </c>
      <c r="O70" s="3">
        <f ca="1">IF($O$2=0,0,INDIRECT(ADDRESS(73,$K$2,,,$O$2)))</f>
        <v>154</v>
      </c>
      <c r="P70" s="3">
        <f ca="1">IF($P$2=0,0,INDIRECT(ADDRESS(73,$K$2,,,$P$2)))</f>
        <v>154</v>
      </c>
      <c r="Q70" s="3">
        <f ca="1">IF($Q$2=0,0,INDIRECT(ADDRESS(73,$K$2,,,$Q$2)))</f>
        <v>181</v>
      </c>
      <c r="R70" s="3">
        <f ca="1">IF($R$2=0,0,INDIRECT(ADDRESS(73,$K$2,,,$R$2)))</f>
        <v>181</v>
      </c>
      <c r="S70" s="3">
        <f ca="1">IF($S$2=0,0,INDIRECT(ADDRESS(73,$K$2,,,$S$2)))</f>
        <v>181</v>
      </c>
      <c r="T70" s="3">
        <f ca="1">IF($T$2=0,0,INDIRECT(ADDRESS(73,$K$2,,,$T$2)))</f>
        <v>181</v>
      </c>
      <c r="U70" s="3">
        <f ca="1">IF($U$2=0,0,INDIRECT(ADDRESS(73,$K$2,,,$U$2)))</f>
        <v>181</v>
      </c>
      <c r="V70" s="3">
        <f ca="1">IF($V$2=0,0,INDIRECT(ADDRESS(73,$K$2,,,$V$2)))</f>
        <v>181</v>
      </c>
      <c r="W70" s="3">
        <f ca="1">IF($W$2=0,0,INDIRECT(ADDRESS(73,$K$2,,,$W$2)))</f>
        <v>195</v>
      </c>
      <c r="X70" s="3">
        <f ca="1">IF($X$2=0,0,INDIRECT(ADDRESS(73,$K$2,,,$X$2)))</f>
        <v>195</v>
      </c>
      <c r="Y70" s="3">
        <f ca="1">IF($Y$2=0,0,INDIRECT(ADDRESS(73,$K$2,,,$Y$2)))</f>
        <v>195</v>
      </c>
      <c r="Z70" s="3">
        <f ca="1">IF($Z$2=0,0,INDIRECT(ADDRESS(73,$K$2,,,$Z$2)))</f>
        <v>195</v>
      </c>
      <c r="AA70" s="793">
        <f ca="1">IF($AA$2=0,0,INDIRECT(ADDRESS(73,$K$2,,,$AA$2)))</f>
        <v>230</v>
      </c>
      <c r="AB70" s="793">
        <f ca="1">IF($AB$2=0,0,INDIRECT(ADDRESS(73,$K$2,,,$AB$2)))</f>
        <v>230</v>
      </c>
      <c r="AC70" s="793">
        <f ca="1">IF($AC$2=0,0,INDIRECT(ADDRESS(73,$K$2,,,$AC$2)))</f>
        <v>230</v>
      </c>
    </row>
    <row r="71" spans="1:29" ht="15" customHeight="1">
      <c r="A71" s="67" t="str">
        <f>'Stand der Daten'!B77</f>
        <v>Gartenbaubetriebe</v>
      </c>
      <c r="B71" s="15" t="str">
        <f>Strukturdaten!C71</f>
        <v>Anzahl</v>
      </c>
      <c r="C71" s="212">
        <f ca="1">IF($H$2=0,0,INDIRECT(ADDRESS(74,$K$2,,,$H$2)))</f>
        <v>18</v>
      </c>
      <c r="D71" s="213">
        <f ca="1">IF($J$2=0,0,INDIRECT(ADDRESS(74,$K$2,,,$J$2)))</f>
        <v>18</v>
      </c>
      <c r="E71" s="424">
        <f t="shared" ca="1" si="3"/>
        <v>0</v>
      </c>
      <c r="F71" s="429"/>
      <c r="G71" s="99"/>
      <c r="H71" s="99"/>
      <c r="I71" s="99"/>
    </row>
    <row r="72" spans="1:29" ht="15" customHeight="1">
      <c r="A72" s="67" t="str">
        <f>'Stand der Daten'!B78</f>
        <v>Dauerkulturbetriebe</v>
      </c>
      <c r="B72" s="15" t="str">
        <f>Strukturdaten!C72</f>
        <v>Anzahl</v>
      </c>
      <c r="C72" s="212">
        <f ca="1">IF($H$2=0,0,INDIRECT(ADDRESS(75,$K$2,,,$H$2)))</f>
        <v>708</v>
      </c>
      <c r="D72" s="213">
        <f ca="1">IF($J$2=0,0,INDIRECT(ADDRESS(75,$K$2,,,$J$2)))</f>
        <v>708</v>
      </c>
      <c r="E72" s="424">
        <f t="shared" ca="1" si="3"/>
        <v>0</v>
      </c>
      <c r="F72" s="429"/>
      <c r="G72" s="99"/>
      <c r="H72" s="99"/>
      <c r="I72" s="99"/>
    </row>
    <row r="73" spans="1:29" ht="15" customHeight="1">
      <c r="A73" s="67" t="str">
        <f>'Stand der Daten'!B79</f>
        <v xml:space="preserve"> Futterbaubetriebe </v>
      </c>
      <c r="B73" s="15" t="str">
        <f>Strukturdaten!C73</f>
        <v>Anzahl</v>
      </c>
      <c r="C73" s="212">
        <f ca="1">IF($H$2=0,0,INDIRECT(ADDRESS(76,$K$2,,,$H$2)))</f>
        <v>266</v>
      </c>
      <c r="D73" s="213">
        <f ca="1">IF($J$2=0,0,INDIRECT(ADDRESS(76,$K$2,,,$J$2)))</f>
        <v>266</v>
      </c>
      <c r="E73" s="424">
        <f t="shared" ca="1" si="3"/>
        <v>0</v>
      </c>
      <c r="F73" s="429"/>
      <c r="G73" s="99"/>
      <c r="H73" s="99"/>
      <c r="I73" s="99"/>
    </row>
    <row r="74" spans="1:29" ht="15" customHeight="1">
      <c r="A74" s="67" t="str">
        <f>'Stand der Daten'!B80</f>
        <v>Veredlungsbetriebe</v>
      </c>
      <c r="B74" s="15" t="str">
        <f>Strukturdaten!C74</f>
        <v>Anzahl</v>
      </c>
      <c r="C74" s="212">
        <f ca="1">IF($H$2=0,0,INDIRECT(ADDRESS(77,$K$2,,,$H$2)))</f>
        <v>12</v>
      </c>
      <c r="D74" s="213">
        <f ca="1">IF($J$2=0,0,INDIRECT(ADDRESS(77,$K$2,,,$J$2)))</f>
        <v>12</v>
      </c>
      <c r="E74" s="424">
        <f t="shared" ca="1" si="3"/>
        <v>0</v>
      </c>
      <c r="F74" s="429"/>
      <c r="G74" s="99"/>
      <c r="H74" s="99"/>
      <c r="I74" s="99"/>
    </row>
    <row r="75" spans="1:29" ht="15" customHeight="1" thickBot="1">
      <c r="A75" s="67" t="str">
        <f>'Stand der Daten'!B81</f>
        <v>Verbundbetriebe</v>
      </c>
      <c r="B75" s="15" t="str">
        <f>Strukturdaten!C75</f>
        <v>Anzahl</v>
      </c>
      <c r="C75" s="219">
        <f ca="1">IF($H$2=0,0,INDIRECT(ADDRESS(78,$K$2,,,$H$2)))</f>
        <v>178</v>
      </c>
      <c r="D75" s="213">
        <f ca="1">IF($J$2=0,0,INDIRECT(ADDRESS(78,$K$2,,,$J$2)))</f>
        <v>178</v>
      </c>
      <c r="E75" s="424">
        <f t="shared" ca="1" si="3"/>
        <v>0</v>
      </c>
      <c r="F75" s="429"/>
      <c r="G75" s="99"/>
      <c r="H75" s="99"/>
      <c r="I75" s="99"/>
    </row>
    <row r="76" spans="1:29" ht="18.75" customHeight="1">
      <c r="A76" s="400" t="str">
        <f>'Stand der Daten'!B82</f>
        <v xml:space="preserve"> Daten aus dem Gemeinsamen Antrag</v>
      </c>
      <c r="B76" s="415"/>
      <c r="C76" s="418"/>
      <c r="D76" s="420"/>
      <c r="E76" s="408"/>
      <c r="F76" s="429"/>
      <c r="G76" s="99"/>
      <c r="H76" s="99"/>
      <c r="I76" s="99"/>
    </row>
    <row r="77" spans="1:29" ht="15" customHeight="1">
      <c r="A77" s="66" t="str">
        <f>'Stand der Daten'!B83</f>
        <v>Antragsteller</v>
      </c>
      <c r="B77" s="15" t="str">
        <f>Strukturdaten!C77</f>
        <v>Anzahl</v>
      </c>
      <c r="C77" s="212">
        <f ca="1">IF($H$2=0,0,INDIRECT(ADDRESS(80,$K$2,,,$H$2)))</f>
        <v>1428</v>
      </c>
      <c r="D77" s="227">
        <f ca="1">IF($J$2=0,0,INDIRECT(ADDRESS(80,$K$2,,,$J$2)))</f>
        <v>1428</v>
      </c>
      <c r="E77" s="424">
        <f t="shared" ca="1" si="3"/>
        <v>0</v>
      </c>
      <c r="F77" s="429"/>
      <c r="G77" s="99"/>
      <c r="H77" s="99"/>
      <c r="I77" s="99"/>
      <c r="M77" s="3">
        <f ca="1">IF($M$2=0,0,INDIRECT(ADDRESS(80,$K$2,,,$M$2)))</f>
        <v>1630</v>
      </c>
      <c r="N77" s="3">
        <f ca="1">IF($N$2=0,0,INDIRECT(ADDRESS(80,$K$2,,,$N$2)))</f>
        <v>1576</v>
      </c>
      <c r="O77" s="3">
        <f ca="1">IF($O$2=0,0,INDIRECT(ADDRESS(80,$K$2,,,$O$2)))</f>
        <v>1576</v>
      </c>
      <c r="P77" s="3">
        <f ca="1">IF($P$2=0,0,INDIRECT(ADDRESS(80,$K$2,,,$P$2)))</f>
        <v>1544</v>
      </c>
      <c r="Q77" s="3">
        <f ca="1">IF($Q$2=0,0,INDIRECT(ADDRESS(80,$K$2,,,$Q$2)))</f>
        <v>1532</v>
      </c>
      <c r="R77" s="3">
        <f ca="1">IF($R$2=0,0,INDIRECT(ADDRESS(80,$K$2,,,$R$2)))</f>
        <v>1524</v>
      </c>
      <c r="S77" s="3">
        <f ca="1">IF($S$2=0,0,INDIRECT(ADDRESS(80,$K$2,,,$S$2)))</f>
        <v>1514</v>
      </c>
      <c r="T77" s="3">
        <f ca="1">IF($T$2=0,0,INDIRECT(ADDRESS(80,$K$2,,,$T$2)))</f>
        <v>1498</v>
      </c>
      <c r="U77" s="3">
        <f ca="1">IF($U$2=0,0,INDIRECT(ADDRESS(80,$K$2,,,$U$2)))</f>
        <v>1524</v>
      </c>
      <c r="V77" s="3">
        <f ca="1">IF($V$2=0,0,INDIRECT(ADDRESS(80,$K$2,,,$V$2)))</f>
        <v>1488</v>
      </c>
      <c r="W77" s="3">
        <f ca="1">IF($W$2=0,0,INDIRECT(ADDRESS(80,$K$2,,,$W$2)))</f>
        <v>1479</v>
      </c>
      <c r="X77" s="3">
        <f ca="1">IF($X$2=0,0,INDIRECT(ADDRESS(80,$K$2,,,$X$2)))</f>
        <v>1467</v>
      </c>
      <c r="Y77" s="3">
        <f ca="1">IF($Y$2=0,0,INDIRECT(ADDRESS(80,$K$2,,,$Y$2)))</f>
        <v>1486</v>
      </c>
      <c r="Z77" s="3">
        <f ca="1">IF($Z$2=0,0,INDIRECT(ADDRESS(80,$K$2,,,$Z$2)))</f>
        <v>1486</v>
      </c>
      <c r="AA77" s="793">
        <f ca="1">IF($AA$2=0,0,INDIRECT(ADDRESS(80,$K$2,,,$AA$2)))</f>
        <v>1451</v>
      </c>
      <c r="AB77" s="793">
        <f ca="1">IF($AB$2=0,0,INDIRECT(ADDRESS(80,$K$2,,,$AB$2)))</f>
        <v>1442</v>
      </c>
      <c r="AC77" s="793">
        <f ca="1">IF($AC$2=0,0,INDIRECT(ADDRESS(80,$K$2,,,$AC$2)))</f>
        <v>1428</v>
      </c>
    </row>
    <row r="78" spans="1:29" ht="15" hidden="1" customHeight="1">
      <c r="A78" s="67" t="str">
        <f>'Stand der Daten'!B84</f>
        <v>Flurstücke</v>
      </c>
      <c r="B78" s="15" t="str">
        <f>Strukturdaten!C78</f>
        <v>Anzahl</v>
      </c>
      <c r="C78" s="212">
        <f ca="1">IF($H$2=0,0,INDIRECT(ADDRESS(81,$K$2,,,$H$2)))</f>
        <v>34652</v>
      </c>
      <c r="D78" s="228">
        <f ca="1">IF($J$2=0,0,INDIRECT(ADDRESS(81,$K$2,,,$J$2)))</f>
        <v>34652</v>
      </c>
      <c r="E78" s="424">
        <f t="shared" ca="1" si="3"/>
        <v>0</v>
      </c>
      <c r="F78" s="429"/>
      <c r="G78" s="99"/>
      <c r="H78" s="99"/>
      <c r="I78" s="99"/>
    </row>
    <row r="79" spans="1:29" ht="15" hidden="1" customHeight="1">
      <c r="A79" s="67" t="str">
        <f>'Stand der Daten'!B85</f>
        <v>Flurstücke / Antrag</v>
      </c>
      <c r="B79" s="15" t="str">
        <f>Strukturdaten!C79</f>
        <v>Anzahl</v>
      </c>
      <c r="C79" s="212">
        <f ca="1">IF($H$2=0,0,INDIRECT(ADDRESS(82,$K$2,,,$H$2)))</f>
        <v>24.26610644257703</v>
      </c>
      <c r="D79" s="228">
        <f ca="1">IF($J$2=0,0,INDIRECT(ADDRESS(82,$K$2,,,$J$2)))</f>
        <v>24.26610644257703</v>
      </c>
      <c r="E79" s="424">
        <f t="shared" ca="1" si="3"/>
        <v>0</v>
      </c>
      <c r="F79" s="429"/>
      <c r="G79" s="99"/>
      <c r="H79" s="99"/>
      <c r="I79" s="99"/>
      <c r="M79" s="613">
        <f ca="1">IF($M$2=0,0,INDIRECT(ADDRESS(82,$K$2,,,$M$2)))</f>
        <v>0</v>
      </c>
      <c r="N79" s="613">
        <f ca="1">IF($N$2=0,0,INDIRECT(ADDRESS(82,$K$2,,,$N$2)))</f>
        <v>39.296954314720814</v>
      </c>
      <c r="O79" s="613">
        <f ca="1">IF($O$2=0,0,INDIRECT(ADDRESS(82,$K$2,,,$O$2)))</f>
        <v>37.296954314720814</v>
      </c>
      <c r="P79" s="613">
        <f ca="1">IF($P$2=0,0,INDIRECT(ADDRESS(82,$K$2,,,$P$2)))</f>
        <v>37.582901554404145</v>
      </c>
      <c r="Q79" s="613">
        <f ca="1">IF($Q$2=0,0,INDIRECT(ADDRESS(82,$K$2,,,$Q$2)))</f>
        <v>38.027415143603136</v>
      </c>
      <c r="R79" s="613">
        <f ca="1">IF($R$2=0,0,INDIRECT(ADDRESS(82,$K$2,,,$R$2)))</f>
        <v>38.537401574803148</v>
      </c>
      <c r="S79" s="613">
        <f ca="1">IF($S$2=0,0,INDIRECT(ADDRESS(82,$K$2,,,$S$2)))</f>
        <v>38.439233817701457</v>
      </c>
      <c r="T79" s="613">
        <f ca="1">IF($T$2=0,0,INDIRECT(ADDRESS(82,$K$2,,,$T$2)))</f>
        <v>39.022029372496661</v>
      </c>
      <c r="U79" s="613">
        <f ca="1">IF($U$2=0,0,INDIRECT(ADDRESS(82,$K$2,,,$U$2)))</f>
        <v>38.400262467191602</v>
      </c>
      <c r="V79" s="613">
        <f ca="1">IF($V$2=0,0,INDIRECT(ADDRESS(82,$K$2,,,$V$2)))</f>
        <v>39.86424731182796</v>
      </c>
      <c r="W79" s="613">
        <f ca="1">IF($W$2=0,0,INDIRECT(ADDRESS(82,$K$2,,,$W$2)))</f>
        <v>41.874239350912781</v>
      </c>
      <c r="X79" s="613">
        <f ca="1">IF($X$2=0,0,INDIRECT(ADDRESS(82,$K$2,,,$X$2)))</f>
        <v>42.216768916155416</v>
      </c>
      <c r="Y79" s="613">
        <f ca="1">IF($Y$2=0,0,INDIRECT(ADDRESS(82,$K$2,,,$Y$2)))</f>
        <v>23.318977119784655</v>
      </c>
      <c r="Z79" s="613">
        <f ca="1">IF($Z$2=0,0,INDIRECT(ADDRESS(82,$K$2,,,$Z$2)))</f>
        <v>23.318977119784655</v>
      </c>
      <c r="AA79" s="794">
        <f ca="1">IF($AA$2=0,0,INDIRECT(ADDRESS(82,$K$2,,,$AA$2)))</f>
        <v>23.88146106133701</v>
      </c>
      <c r="AB79" s="794">
        <f ca="1">IF($AB$2=0,0,INDIRECT(ADDRESS(82,$K$2,,,$AB$2)))</f>
        <v>24.030513176144243</v>
      </c>
    </row>
    <row r="80" spans="1:29" ht="15" hidden="1" customHeight="1">
      <c r="A80" s="67" t="str">
        <f>'Stand der Daten'!B86</f>
        <v>Nutzungen</v>
      </c>
      <c r="B80" s="15" t="str">
        <f>Strukturdaten!C80</f>
        <v>Anzahl</v>
      </c>
      <c r="C80" s="212">
        <f ca="1">IF($H$2=0,0,INDIRECT(ADDRESS(83,$K$2,,,$H$2)))</f>
        <v>55223</v>
      </c>
      <c r="D80" s="228">
        <f ca="1">IF($J$2=0,0,INDIRECT(ADDRESS(83,$K$2,,,$J$2)))</f>
        <v>55223</v>
      </c>
      <c r="E80" s="424">
        <f t="shared" ca="1" si="3"/>
        <v>0</v>
      </c>
      <c r="F80" s="429"/>
      <c r="G80" s="99"/>
      <c r="H80" s="99"/>
      <c r="I80" s="99"/>
    </row>
    <row r="81" spans="1:29" ht="15" hidden="1" customHeight="1">
      <c r="A81" s="67" t="str">
        <f>'Stand der Daten'!B87</f>
        <v>Nutzungen / Antrag</v>
      </c>
      <c r="B81" s="15" t="str">
        <f>Strukturdaten!C81</f>
        <v>Anzahl</v>
      </c>
      <c r="C81" s="212">
        <f ca="1">IF($H$2=0,0,INDIRECT(ADDRESS(84,$K$2,,,$H$2)))</f>
        <v>38.671568627450981</v>
      </c>
      <c r="D81" s="228">
        <f ca="1">IF($J$2=0,0,INDIRECT(ADDRESS(84,$K$2,,,$J$2)))</f>
        <v>38.671568627450981</v>
      </c>
      <c r="E81" s="424">
        <f t="shared" ca="1" si="3"/>
        <v>0</v>
      </c>
      <c r="F81" s="429"/>
      <c r="G81" s="99"/>
      <c r="H81" s="99"/>
      <c r="I81" s="99"/>
      <c r="M81" s="613">
        <f ca="1">IF($M$2=0,0,INDIRECT(ADDRESS(84,$K$2,,,$M$2)))</f>
        <v>0</v>
      </c>
      <c r="N81" s="613">
        <f ca="1">IF($N$2=0,0,INDIRECT(ADDRESS(84,$K$2,,,$N$2)))</f>
        <v>61.482868020304565</v>
      </c>
      <c r="O81" s="613">
        <f ca="1">IF($O$2=0,0,INDIRECT(ADDRESS(84,$K$2,,,$O$2)))</f>
        <v>62.076776649746193</v>
      </c>
      <c r="P81" s="613">
        <f ca="1">IF($P$2=0,0,INDIRECT(ADDRESS(84,$K$2,,,$P$2)))</f>
        <v>62.341321243523318</v>
      </c>
      <c r="Q81" s="613">
        <f ca="1">IF($Q$2=0,0,INDIRECT(ADDRESS(84,$K$2,,,$Q$2)))</f>
        <v>62.637728459530024</v>
      </c>
      <c r="R81" s="613">
        <f ca="1">IF($R$2=0,0,INDIRECT(ADDRESS(84,$K$2,,,$R$2)))</f>
        <v>63.171259842519682</v>
      </c>
      <c r="S81" s="613">
        <f ca="1">IF($S$2=0,0,INDIRECT(ADDRESS(84,$K$2,,,$S$2)))</f>
        <v>62.771466314398943</v>
      </c>
      <c r="T81" s="613">
        <f ca="1">IF($T$2=0,0,INDIRECT(ADDRESS(84,$K$2,,,$T$2)))</f>
        <v>63.265020026702267</v>
      </c>
      <c r="U81" s="613">
        <f ca="1">IF($U$2=0,0,INDIRECT(ADDRESS(84,$K$2,,,$U$2)))</f>
        <v>62.073490813648291</v>
      </c>
      <c r="V81" s="613">
        <f ca="1">IF($V$2=0,0,INDIRECT(ADDRESS(84,$K$2,,,$V$2)))</f>
        <v>63.733198924731184</v>
      </c>
      <c r="W81" s="613">
        <f ca="1">IF($W$2=0,0,INDIRECT(ADDRESS(84,$K$2,,,$W$2)))</f>
        <v>65.515212981744426</v>
      </c>
      <c r="X81" s="613">
        <f ca="1">IF($X$2=0,0,INDIRECT(ADDRESS(84,$K$2,,,$X$2)))</f>
        <v>66.051124744376281</v>
      </c>
      <c r="Y81" s="613">
        <f ca="1">IF($Y$2=0,0,INDIRECT(ADDRESS(84,$K$2,,,$Y$2)))</f>
        <v>34.90040376850606</v>
      </c>
      <c r="Z81" s="613">
        <f ca="1">IF($Z$2=0,0,INDIRECT(ADDRESS(84,$K$2,,,$Z$2)))</f>
        <v>34.90040376850606</v>
      </c>
      <c r="AA81" s="794">
        <f ca="1">IF($AA$2=0,0,INDIRECT(ADDRESS(84,$K$2,,,$AA$2)))</f>
        <v>38.058580289455548</v>
      </c>
      <c r="AB81" s="794">
        <f ca="1">IF($AB$2=0,0,INDIRECT(ADDRESS(84,$K$2,,,$AB$2)))</f>
        <v>38.296116504854368</v>
      </c>
    </row>
    <row r="82" spans="1:29" ht="15" customHeight="1" thickBot="1">
      <c r="A82" s="67"/>
      <c r="B82" s="15"/>
      <c r="C82" s="229"/>
      <c r="D82" s="230"/>
      <c r="E82" s="424"/>
      <c r="F82" s="429"/>
      <c r="G82" s="99"/>
      <c r="H82" s="99"/>
      <c r="I82" s="99"/>
    </row>
    <row r="83" spans="1:29" ht="18.75" customHeight="1">
      <c r="A83" s="400" t="str">
        <f>'Stand der Daten'!B89</f>
        <v>Landwirtschaftlicher Grundstücksmarkt</v>
      </c>
      <c r="B83" s="415"/>
      <c r="C83" s="406"/>
      <c r="D83" s="421"/>
      <c r="E83" s="408"/>
      <c r="F83" s="429"/>
      <c r="G83" s="99"/>
      <c r="H83" s="99"/>
      <c r="I83" s="99"/>
    </row>
    <row r="84" spans="1:29" ht="15" customHeight="1" thickBot="1">
      <c r="A84" s="397" t="str">
        <f>'Stand der Daten'!B90</f>
        <v>Ø Kaufwert</v>
      </c>
      <c r="B84" s="398" t="str">
        <f>Strukturdaten!C84</f>
        <v>EUR/ha</v>
      </c>
      <c r="C84" s="219">
        <f ca="1">IF($H$2=0,0,INDIRECT(ADDRESS(87,$K$2,,,$H$2)))</f>
        <v>0</v>
      </c>
      <c r="D84" s="399">
        <f ca="1">IF($J$2=0,0,INDIRECT(ADDRESS(87,$K$2,,,$J$2)))</f>
        <v>0</v>
      </c>
      <c r="E84" s="424" t="str">
        <f t="shared" ca="1" si="3"/>
        <v xml:space="preserve"> ---</v>
      </c>
      <c r="F84" s="429"/>
      <c r="G84" s="99"/>
      <c r="H84" s="99"/>
      <c r="I84" s="99"/>
      <c r="M84" s="3">
        <f ca="1">IF($M$2=0,0,INDIRECT(ADDRESS(87,$K$2,,,$M$2)))</f>
        <v>26491</v>
      </c>
      <c r="N84" s="3">
        <f ca="1">IF($N$2=0,0,INDIRECT(ADDRESS(87,$K$2,,,$N$2)))</f>
        <v>21107</v>
      </c>
      <c r="O84" s="3">
        <f ca="1">IF($O$2=0,0,INDIRECT(ADDRESS(87,$K$2,,,$O$2)))</f>
        <v>19293</v>
      </c>
      <c r="P84" s="3">
        <f ca="1">IF($P$2=0,0,INDIRECT(ADDRESS(87,$K$2,,,$P$2)))</f>
        <v>23933</v>
      </c>
      <c r="Q84" s="3">
        <f ca="1">IF($Q$2=0,0,INDIRECT(ADDRESS(87,$K$2,,,$Q$2)))</f>
        <v>24132</v>
      </c>
      <c r="R84" s="3">
        <f ca="1">IF($R$2=0,0,INDIRECT(ADDRESS(87,$K$2,,,$R$2)))</f>
        <v>27270</v>
      </c>
      <c r="S84" s="3">
        <f ca="1">IF($S$2=0,0,INDIRECT(ADDRESS(87,$K$2,,,$S$2)))</f>
        <v>35047</v>
      </c>
      <c r="T84" s="3">
        <f ca="1">IF($T$2=0,0,INDIRECT(ADDRESS(87,$K$2,,,$T$2)))</f>
        <v>22754</v>
      </c>
      <c r="U84" s="3">
        <f ca="1">IF($U$2=0,0,INDIRECT(ADDRESS(87,$K$2,,,$U$2)))</f>
        <v>22754</v>
      </c>
      <c r="V84" s="3">
        <f ca="1">IF($V$2=0,0,INDIRECT(ADDRESS(87,$K$2,,,$V$2)))</f>
        <v>33185</v>
      </c>
      <c r="W84" s="3">
        <f ca="1">IF($W$2=0,0,INDIRECT(ADDRESS(87,$K$2,,,$W$2)))</f>
        <v>23960</v>
      </c>
      <c r="X84" s="3">
        <f ca="1">IF($X$2=0,0,INDIRECT(ADDRESS(87,$K$2,,,$X$2)))</f>
        <v>34322</v>
      </c>
      <c r="Y84" s="3">
        <f ca="1">IF($Y$2=0,0,INDIRECT(ADDRESS(87,$K$2,,,$Y$2)))</f>
        <v>34322</v>
      </c>
      <c r="Z84" s="3">
        <f ca="1">IF($Z$2=0,0,INDIRECT(ADDRESS(87,$K$2,,,$Z$2)))</f>
        <v>34322</v>
      </c>
      <c r="AA84" s="793">
        <f ca="1">IF($AA$2=0,0,INDIRECT(ADDRESS(87,$K$2,,,$AA$2)))</f>
        <v>37451</v>
      </c>
      <c r="AB84" s="793">
        <f ca="1">IF($AB$2=0,0,INDIRECT(ADDRESS(87,$K$2,,,$AB$2)))</f>
        <v>37451</v>
      </c>
      <c r="AC84" s="793">
        <f ca="1">IF($AC$2=0,0,INDIRECT(ADDRESS(87,$K$2,,,$AC$2)))</f>
        <v>0</v>
      </c>
    </row>
    <row r="85" spans="1:29" ht="18.75" customHeight="1">
      <c r="A85" s="400" t="str">
        <f>'Stand der Daten'!B91</f>
        <v>Hektarerträge</v>
      </c>
      <c r="B85" s="415"/>
      <c r="C85" s="406"/>
      <c r="D85" s="421"/>
      <c r="E85" s="408"/>
      <c r="F85" s="429"/>
      <c r="G85" s="99"/>
      <c r="H85" s="99"/>
      <c r="I85" s="99"/>
    </row>
    <row r="86" spans="1:29" ht="15" customHeight="1">
      <c r="A86" s="66" t="str">
        <f>'Stand der Daten'!B92</f>
        <v>Getreide insg. (ohne Körnermais)</v>
      </c>
      <c r="B86" s="15" t="str">
        <f>Strukturdaten!C86</f>
        <v>dt/ha</v>
      </c>
      <c r="C86" s="221" t="str">
        <f ca="1">IF($H$2=0,0,INDIRECT(ADDRESS(89,$K$2,,,$H$2)))</f>
        <v>/</v>
      </c>
      <c r="D86" s="215" t="str">
        <f ca="1">IF($J$2=0,0,INDIRECT(ADDRESS(89,$K$2,,,$J$2)))</f>
        <v>/</v>
      </c>
      <c r="E86" s="424" t="str">
        <f t="shared" ca="1" si="3"/>
        <v xml:space="preserve"> ---</v>
      </c>
      <c r="F86" s="429"/>
      <c r="G86" s="99"/>
      <c r="H86" s="99"/>
      <c r="I86" s="99"/>
      <c r="M86" s="3">
        <f ca="1">IF($M$2=0,0,INDIRECT(ADDRESS(89,$K$2,,,$M$2)))</f>
        <v>70.2</v>
      </c>
      <c r="N86" s="3">
        <f ca="1">IF($N$2=0,0,INDIRECT(ADDRESS(89,$K$2,,,$N$2)))</f>
        <v>76.267299327797545</v>
      </c>
      <c r="O86" s="3">
        <f ca="1">IF($O$2=0,0,INDIRECT(ADDRESS(89,$K$2,,,$O$2)))</f>
        <v>76.7</v>
      </c>
      <c r="P86" s="3">
        <f ca="1">IF($P$2=0,0,INDIRECT(ADDRESS(89,$K$2,,,$P$2)))</f>
        <v>66.599999999999994</v>
      </c>
      <c r="Q86" s="3">
        <f ca="1">IF($Q$2=0,0,INDIRECT(ADDRESS(89,$K$2,,,$Q$2)))</f>
        <v>68.3</v>
      </c>
      <c r="R86" s="3">
        <f ca="1">IF($R$2=0,0,INDIRECT(ADDRESS(89,$K$2,,,$R$2)))</f>
        <v>81.8</v>
      </c>
      <c r="S86" s="3">
        <f ca="1">IF($S$2=0,0,INDIRECT(ADDRESS(89,$K$2,,,$S$2)))</f>
        <v>76.8</v>
      </c>
      <c r="T86" s="3">
        <f ca="1">IF($T$2=0,0,INDIRECT(ADDRESS(89,$K$2,,,$T$2)))</f>
        <v>73.7</v>
      </c>
      <c r="U86" s="3" t="str">
        <f ca="1">IF($U$2=0,0,INDIRECT(ADDRESS(89,$K$2,,,$U$2)))</f>
        <v>-</v>
      </c>
      <c r="V86" s="3">
        <f ca="1">IF($V$2=0,0,INDIRECT(ADDRESS(89,$K$2,,,$V$2)))</f>
        <v>81.7</v>
      </c>
      <c r="W86" s="3">
        <f ca="1">IF($W$2=0,0,INDIRECT(ADDRESS(89,$K$2,,,$W$2)))</f>
        <v>61.4</v>
      </c>
      <c r="X86" s="3">
        <f ca="1">IF($X$2=0,0,INDIRECT(ADDRESS(89,$K$2,,,$X$2)))</f>
        <v>86.8</v>
      </c>
      <c r="Y86" s="3">
        <f ca="1">IF($Y$2=0,0,INDIRECT(ADDRESS(89,$K$2,,,$Y$2)))</f>
        <v>81.2</v>
      </c>
      <c r="Z86" s="3">
        <f ca="1">IF($Z$2=0,0,INDIRECT(ADDRESS(89,$K$2,,,$Z$2)))</f>
        <v>81.2</v>
      </c>
      <c r="AA86" s="793">
        <f ca="1">IF($AA$2=0,0,INDIRECT(ADDRESS(89,$K$2,,,$AA$2)))</f>
        <v>91.6</v>
      </c>
      <c r="AB86" s="793">
        <f ca="1">IF($AB$2=0,0,INDIRECT(ADDRESS(89,$K$2,,,$AB$2)))</f>
        <v>80.099999999999994</v>
      </c>
      <c r="AC86" s="793" t="str">
        <f ca="1">IF($AC$2=0,0,INDIRECT(ADDRESS(89,$K$2,,,$AC$2)))</f>
        <v>/</v>
      </c>
    </row>
    <row r="87" spans="1:29" ht="15" customHeight="1">
      <c r="A87" s="67" t="str">
        <f>'Stand der Daten'!B93</f>
        <v>Zuckerrüben</v>
      </c>
      <c r="B87" s="15" t="str">
        <f>Strukturdaten!C87</f>
        <v>dt/ha</v>
      </c>
      <c r="C87" s="221" t="str">
        <f ca="1">IF($H$2=0,0,INDIRECT(ADDRESS(90,$K$2,,,$H$2)))</f>
        <v>/</v>
      </c>
      <c r="D87" s="209" t="str">
        <f ca="1">IF($J$2=0,0,INDIRECT(ADDRESS(90,$K$2,,,$J$2)))</f>
        <v>/</v>
      </c>
      <c r="E87" s="424" t="str">
        <f t="shared" ca="1" si="3"/>
        <v xml:space="preserve"> ---</v>
      </c>
      <c r="F87" s="429"/>
      <c r="G87" s="99"/>
      <c r="H87" s="99"/>
      <c r="I87" s="99"/>
    </row>
    <row r="88" spans="1:29" ht="15" customHeight="1">
      <c r="A88" s="67" t="str">
        <f>'Stand der Daten'!B94</f>
        <v>Winterraps</v>
      </c>
      <c r="B88" s="15" t="str">
        <f>Strukturdaten!C88</f>
        <v>dt/ha</v>
      </c>
      <c r="C88" s="221" t="str">
        <f ca="1">IF($H$2=0,0,INDIRECT(ADDRESS(91,$K$2,,,$H$2)))</f>
        <v>/</v>
      </c>
      <c r="D88" s="209" t="str">
        <f ca="1">IF($J$2=0,0,INDIRECT(ADDRESS(91,$K$2,,,$J$2)))</f>
        <v>/</v>
      </c>
      <c r="E88" s="424" t="str">
        <f t="shared" ca="1" si="3"/>
        <v xml:space="preserve"> ---</v>
      </c>
      <c r="F88" s="429"/>
      <c r="G88" s="99"/>
      <c r="H88" s="99"/>
      <c r="I88" s="99"/>
    </row>
    <row r="89" spans="1:29" ht="15" customHeight="1" thickBot="1">
      <c r="A89" s="109" t="str">
        <f>'Stand der Daten'!B95</f>
        <v>Silomais</v>
      </c>
      <c r="B89" s="110" t="str">
        <f>Strukturdaten!C89</f>
        <v>dt/ha</v>
      </c>
      <c r="C89" s="222" t="str">
        <f ca="1">IF($H$2=0,0,INDIRECT(ADDRESS(92,$K$2,,,$H$2)))</f>
        <v>/</v>
      </c>
      <c r="D89" s="223" t="str">
        <f ca="1">IF($J$2=0,0,INDIRECT(ADDRESS(92,$K$2,,,$J$2)))</f>
        <v>/</v>
      </c>
      <c r="E89" s="432" t="str">
        <f t="shared" ca="1" si="3"/>
        <v xml:space="preserve"> ---</v>
      </c>
      <c r="F89" s="429"/>
      <c r="G89" s="99"/>
      <c r="H89" s="99"/>
      <c r="I89" s="99"/>
    </row>
    <row r="90" spans="1:29" ht="18" customHeight="1" thickTop="1">
      <c r="A90" s="89"/>
      <c r="G90" s="99"/>
      <c r="H90" s="99"/>
      <c r="I90" s="99"/>
    </row>
    <row r="91" spans="1:29">
      <c r="A91" s="63" t="str">
        <f>Strukturdaten!A91</f>
        <v>Quellen:  Statistisches Landesamt Baden-Württemberg, 2007-2022 (Stala)</v>
      </c>
      <c r="C91" s="94" t="s">
        <v>240</v>
      </c>
      <c r="G91" s="99"/>
      <c r="H91" s="99"/>
      <c r="I91" s="99"/>
    </row>
    <row r="92" spans="1:29">
      <c r="A92" s="74" t="str">
        <f>Strukturdaten!A92</f>
        <v>Bundesagentur für Arbeit</v>
      </c>
      <c r="G92" s="99"/>
      <c r="H92" s="99"/>
      <c r="I92" s="99"/>
    </row>
    <row r="93" spans="1:29">
      <c r="A93" s="74" t="str">
        <f>Strukturdaten!A93</f>
        <v>Bundesanstalt für Landwirtschaft und Ernährung (BLE)</v>
      </c>
      <c r="G93" s="99"/>
      <c r="H93" s="99"/>
      <c r="I93" s="99"/>
    </row>
    <row r="94" spans="1:29">
      <c r="A94" s="74" t="str">
        <f>Strukturdaten!A94</f>
        <v>Landesanstalt für Umwelt, Messungen und Naturschutz (LUBW), Schutzgebietsverzeichnis</v>
      </c>
      <c r="G94" s="99"/>
      <c r="H94" s="99"/>
      <c r="I94" s="99"/>
    </row>
    <row r="95" spans="1:29">
      <c r="A95" s="74" t="str">
        <f>Strukturdaten!A95</f>
        <v>Landesamt für Geoinformation und Landentwicklung (LGL) - Abteilung Geodatenzentrum (GDZ)</v>
      </c>
      <c r="G95" s="99"/>
      <c r="H95" s="99"/>
      <c r="I95" s="99"/>
    </row>
    <row r="96" spans="1:29">
      <c r="A96" s="74" t="str">
        <f>Strukturdaten!A96</f>
        <v>Ministerium für Ernährung, Ländlichen Raum und Verbraucherschutz (MLR), Gemeinsamer Antrag (GA)</v>
      </c>
      <c r="G96" s="99"/>
      <c r="H96" s="99"/>
      <c r="I96" s="99"/>
    </row>
    <row r="97" spans="1:5">
      <c r="A97" s="63" t="str">
        <f>Strukturdaten!A97</f>
        <v>1) Summe aus Gebäude-, Betriebs-, Erholungs- und Verkehrsfläche</v>
      </c>
    </row>
    <row r="98" spans="1:5" ht="12.75" customHeight="1">
      <c r="A98" s="63" t="str">
        <f>Strukturdaten!A98</f>
        <v>2) Bezogen auf alle zivilen Erwerbspersonen</v>
      </c>
    </row>
    <row r="99" spans="1:5">
      <c r="A99" s="888" t="str">
        <f>Strukturdaten!A99</f>
        <v xml:space="preserve">3) Da einzelne Schutzgebiete in mehreren Kreisen liegen, kommt es zu Mehrfachzählungen, welche eine Aggregation auf Regions- </v>
      </c>
      <c r="B99" s="888"/>
      <c r="C99" s="888"/>
      <c r="D99" s="888"/>
      <c r="E99" s="888"/>
    </row>
    <row r="100" spans="1:5">
      <c r="A100" s="888" t="str">
        <f>Strukturdaten!A100</f>
        <v>und Regierungsbezirksebene ausschließen.</v>
      </c>
      <c r="B100" s="888"/>
      <c r="C100" s="888"/>
      <c r="D100" s="888"/>
      <c r="E100" s="888"/>
    </row>
  </sheetData>
  <sheetProtection algorithmName="SHA-512" hashValue="XzX/fWYeuN4E8S9laejFZ/iWt9SNWRPs9jlHpkkqgPzrjpJPho04SD8ybB8pK8v+0/s/4VgDExZgdPXTIvHOXg==" saltValue="bBl1GHI6gCV+1aps6rETLg==" spinCount="100000" sheet="1" autoFilter="0"/>
  <mergeCells count="3">
    <mergeCell ref="C1:E1"/>
    <mergeCell ref="A99:E99"/>
    <mergeCell ref="A100:E100"/>
  </mergeCells>
  <phoneticPr fontId="0" type="noConversion"/>
  <hyperlinks>
    <hyperlink ref="L1" location="Deckblatt!A1" display="Hinweise"/>
  </hyperlinks>
  <pageMargins left="0.59055118110236227" right="0.59055118110236227" top="0.59055118110236227" bottom="0.59055118110236227" header="0.51181102362204722" footer="0.39370078740157483"/>
  <pageSetup paperSize="9" scale="92" fitToHeight="0" orientation="portrait" r:id="rId1"/>
  <headerFooter alignWithMargins="0">
    <oddFooter>&amp;L&amp;"Arial,Fett Kursiv"&amp;12LEL&amp;"Arial,Standard"&amp;10 Schwäbisch Gmünd, Ref. 31&amp;C03.07.2023&amp;R&amp;"Arial,Fett"&amp;P</oddFooter>
  </headerFooter>
  <rowBreaks count="1" manualBreakCount="1">
    <brk id="5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0" r:id="rId4" name="Drop Down 10">
              <controlPr defaultSize="0" print="0" autoLine="0" autoPict="0">
                <anchor moveWithCells="1">
                  <from>
                    <xdr:col>2</xdr:col>
                    <xdr:colOff>0</xdr:colOff>
                    <xdr:row>1</xdr:row>
                    <xdr:rowOff>0</xdr:rowOff>
                  </from>
                  <to>
                    <xdr:col>2</xdr:col>
                    <xdr:colOff>971550</xdr:colOff>
                    <xdr:row>1</xdr:row>
                    <xdr:rowOff>285750</xdr:rowOff>
                  </to>
                </anchor>
              </controlPr>
            </control>
          </mc:Choice>
        </mc:AlternateContent>
        <mc:AlternateContent xmlns:mc="http://schemas.openxmlformats.org/markup-compatibility/2006">
          <mc:Choice Requires="x14">
            <control shapeId="122895" r:id="rId5" name="Drop Down 15">
              <controlPr defaultSize="0" print="0" autoLine="0" autoPict="0">
                <anchor moveWithCells="1">
                  <from>
                    <xdr:col>3</xdr:col>
                    <xdr:colOff>0</xdr:colOff>
                    <xdr:row>1</xdr:row>
                    <xdr:rowOff>0</xdr:rowOff>
                  </from>
                  <to>
                    <xdr:col>4</xdr:col>
                    <xdr:colOff>0</xdr:colOff>
                    <xdr:row>1</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V74"/>
  <sheetViews>
    <sheetView showGridLines="0" zoomScaleNormal="100" workbookViewId="0">
      <selection activeCell="D15" sqref="D15"/>
    </sheetView>
  </sheetViews>
  <sheetFormatPr baseColWidth="10" defaultRowHeight="12.75"/>
  <cols>
    <col min="1" max="1" width="2.85546875" bestFit="1" customWidth="1"/>
    <col min="2" max="5" width="10.5703125" customWidth="1"/>
    <col min="6" max="14" width="11.5703125" customWidth="1"/>
    <col min="20" max="20" width="16.7109375" customWidth="1"/>
    <col min="21" max="21" width="13" bestFit="1" customWidth="1"/>
  </cols>
  <sheetData>
    <row r="1" spans="1:9" ht="7.5" customHeight="1"/>
    <row r="2" spans="1:9" ht="22.7" customHeight="1">
      <c r="A2" s="476">
        <v>14</v>
      </c>
      <c r="I2" s="469" t="s">
        <v>301</v>
      </c>
    </row>
    <row r="3" spans="1:9" ht="22.7" customHeight="1">
      <c r="B3" s="889" t="str">
        <f>Jahresvergleich!C1</f>
        <v>Kreis Bodenseekreis</v>
      </c>
      <c r="C3" s="889"/>
      <c r="D3" s="889"/>
      <c r="E3" s="889"/>
      <c r="F3" s="889"/>
      <c r="G3" s="889"/>
      <c r="H3" s="889"/>
      <c r="I3" s="527" t="s">
        <v>300</v>
      </c>
    </row>
    <row r="4" spans="1:9" ht="18">
      <c r="B4" s="467"/>
      <c r="C4" s="467"/>
      <c r="D4" s="467"/>
      <c r="E4" s="467"/>
      <c r="F4" s="467"/>
      <c r="G4" s="467"/>
      <c r="H4" s="467"/>
    </row>
    <row r="23" spans="2:8" ht="17.850000000000001" customHeight="1">
      <c r="B23" s="466"/>
      <c r="C23" s="699" t="s">
        <v>493</v>
      </c>
    </row>
    <row r="24" spans="2:8" ht="17.850000000000001" customHeight="1">
      <c r="B24" s="466"/>
      <c r="C24" s="355"/>
    </row>
    <row r="25" spans="2:8" ht="17.850000000000001" customHeight="1">
      <c r="B25" s="466"/>
      <c r="C25" s="355"/>
    </row>
    <row r="26" spans="2:8" ht="17.850000000000001" customHeight="1">
      <c r="B26" s="701" t="s">
        <v>230</v>
      </c>
      <c r="C26" s="2"/>
      <c r="D26" s="473"/>
      <c r="E26" s="473"/>
      <c r="F26" s="473"/>
      <c r="G26" s="473"/>
      <c r="H26" s="473"/>
    </row>
    <row r="27" spans="2:8" ht="17.850000000000001" customHeight="1">
      <c r="B27" s="700" t="s">
        <v>378</v>
      </c>
      <c r="C27" s="2"/>
      <c r="D27" s="473"/>
      <c r="E27" s="473"/>
      <c r="F27" s="473"/>
      <c r="G27" s="473"/>
      <c r="H27" s="473"/>
    </row>
    <row r="28" spans="2:8" ht="42" customHeight="1">
      <c r="B28" s="890" t="s">
        <v>379</v>
      </c>
      <c r="C28" s="890"/>
      <c r="D28" s="890"/>
      <c r="E28" s="890"/>
      <c r="F28" s="890"/>
      <c r="G28" s="890"/>
      <c r="H28" s="890"/>
    </row>
    <row r="29" spans="2:8" ht="17.850000000000001" customHeight="1">
      <c r="B29" s="700" t="s">
        <v>483</v>
      </c>
      <c r="C29" s="2"/>
      <c r="D29" s="473"/>
      <c r="E29" s="473"/>
      <c r="F29" s="473"/>
      <c r="G29" s="473"/>
      <c r="H29" s="473"/>
    </row>
    <row r="30" spans="2:8" ht="49.5" customHeight="1">
      <c r="B30" s="891" t="s">
        <v>484</v>
      </c>
      <c r="C30" s="891"/>
      <c r="D30" s="891"/>
      <c r="E30" s="891"/>
      <c r="F30" s="891"/>
      <c r="G30" s="891"/>
      <c r="H30" s="891"/>
    </row>
    <row r="31" spans="2:8" ht="17.850000000000001" customHeight="1">
      <c r="B31" s="810"/>
      <c r="C31" s="2"/>
      <c r="D31" s="473"/>
      <c r="E31" s="473"/>
      <c r="F31" s="473"/>
      <c r="G31" s="473"/>
      <c r="H31" s="473"/>
    </row>
    <row r="32" spans="2:8" s="819" customFormat="1" ht="17.850000000000001" customHeight="1">
      <c r="B32" s="817"/>
      <c r="C32" s="818"/>
      <c r="D32" s="817"/>
      <c r="E32" s="817"/>
      <c r="F32" s="817"/>
      <c r="G32" s="817"/>
      <c r="H32" s="817"/>
    </row>
    <row r="33" spans="1:22" s="819" customFormat="1" ht="17.850000000000001" customHeight="1">
      <c r="B33" s="817"/>
      <c r="C33" s="818"/>
      <c r="D33" s="817"/>
      <c r="E33" s="817"/>
      <c r="F33" s="817"/>
      <c r="G33" s="817"/>
      <c r="H33" s="817"/>
    </row>
    <row r="34" spans="1:22" s="819" customFormat="1" ht="17.850000000000001" customHeight="1">
      <c r="B34" s="817"/>
      <c r="C34" s="818"/>
      <c r="D34" s="817"/>
      <c r="E34" s="817"/>
      <c r="F34" s="817"/>
      <c r="G34" s="817"/>
      <c r="H34" s="817"/>
    </row>
    <row r="35" spans="1:22" s="819" customFormat="1" ht="17.850000000000001" customHeight="1">
      <c r="B35" s="820"/>
      <c r="C35" s="821"/>
    </row>
    <row r="36" spans="1:22" s="819" customFormat="1" ht="17.850000000000001" customHeight="1">
      <c r="B36" s="820"/>
      <c r="C36" s="821"/>
    </row>
    <row r="37" spans="1:22" s="819" customFormat="1" ht="17.850000000000001" customHeight="1">
      <c r="B37" s="820"/>
      <c r="C37" s="821"/>
    </row>
    <row r="38" spans="1:22" s="819" customFormat="1"/>
    <row r="39" spans="1:22" s="819" customFormat="1"/>
    <row r="40" spans="1:22" s="819" customFormat="1">
      <c r="A40" s="819">
        <v>1</v>
      </c>
    </row>
    <row r="41" spans="1:22" s="819" customFormat="1">
      <c r="A41" s="819">
        <v>2</v>
      </c>
      <c r="B41" s="819" t="str">
        <f>'Stand der Daten'!B7</f>
        <v>Bodenfläche (Flächenerhebung) insg.</v>
      </c>
      <c r="F41" s="822">
        <f ca="1">Jahresvergleich!M4</f>
        <v>66478</v>
      </c>
      <c r="G41" s="822">
        <f ca="1">Jahresvergleich!N4</f>
        <v>66478</v>
      </c>
      <c r="H41" s="822">
        <f ca="1">Jahresvergleich!O4</f>
        <v>66478</v>
      </c>
      <c r="I41" s="822">
        <f ca="1">Jahresvergleich!P4</f>
        <v>66478</v>
      </c>
      <c r="J41" s="822">
        <f ca="1">Jahresvergleich!Q4</f>
        <v>66479</v>
      </c>
      <c r="K41" s="822">
        <f ca="1">Jahresvergleich!R4</f>
        <v>66479</v>
      </c>
      <c r="L41" s="822">
        <f ca="1">Jahresvergleich!S4</f>
        <v>66480</v>
      </c>
      <c r="M41" s="822">
        <f ca="1">Jahresvergleich!T4</f>
        <v>66480</v>
      </c>
      <c r="N41" s="822">
        <f ca="1">Jahresvergleich!U4</f>
        <v>66480</v>
      </c>
      <c r="O41" s="822">
        <f ca="1">Jahresvergleich!V4</f>
        <v>66480</v>
      </c>
      <c r="P41" s="822">
        <f ca="1">Jahresvergleich!W4</f>
        <v>66481</v>
      </c>
      <c r="Q41" s="822">
        <f ca="1">Jahresvergleich!X4</f>
        <v>66479</v>
      </c>
      <c r="R41" s="822">
        <f ca="1">Jahresvergleich!Y4</f>
        <v>66479</v>
      </c>
      <c r="S41" s="822">
        <f ca="1">Jahresvergleich!Z4</f>
        <v>66479</v>
      </c>
      <c r="T41" s="822">
        <f ca="1">Jahresvergleich!AA4</f>
        <v>66477</v>
      </c>
      <c r="U41" s="822">
        <f ca="1">Jahresvergleich!AB4</f>
        <v>66477</v>
      </c>
      <c r="V41" s="822">
        <f ca="1">Jahresvergleich!AC4</f>
        <v>66477</v>
      </c>
    </row>
    <row r="42" spans="1:22" s="819" customFormat="1">
      <c r="A42" s="819">
        <v>3</v>
      </c>
      <c r="B42" s="819" t="str">
        <f>'Stand der Daten'!B8</f>
        <v xml:space="preserve">davon Siedlungs- und Verkehrsfläche 1) </v>
      </c>
      <c r="F42" s="823">
        <f ca="1">Jahresvergleich!M5</f>
        <v>8926</v>
      </c>
      <c r="G42" s="823">
        <f ca="1">Jahresvergleich!N5</f>
        <v>9506</v>
      </c>
      <c r="H42" s="823">
        <f ca="1">Jahresvergleich!O5</f>
        <v>9250</v>
      </c>
      <c r="I42" s="823">
        <f ca="1">Jahresvergleich!P5</f>
        <v>9603</v>
      </c>
      <c r="J42" s="823">
        <f ca="1">Jahresvergleich!Q5</f>
        <v>9664</v>
      </c>
      <c r="K42" s="823">
        <f ca="1">Jahresvergleich!R5</f>
        <v>9699</v>
      </c>
      <c r="L42" s="823">
        <f ca="1">Jahresvergleich!S5</f>
        <v>9758</v>
      </c>
      <c r="M42" s="823">
        <f ca="1">Jahresvergleich!T5</f>
        <v>9824</v>
      </c>
      <c r="N42" s="823">
        <f ca="1">Jahresvergleich!U5</f>
        <v>9824</v>
      </c>
      <c r="O42" s="823">
        <f ca="1">Jahresvergleich!V5</f>
        <v>9824</v>
      </c>
      <c r="P42" s="823">
        <f ca="1">Jahresvergleich!W5</f>
        <v>9883</v>
      </c>
      <c r="Q42" s="823">
        <f ca="1">Jahresvergleich!X5</f>
        <v>9929</v>
      </c>
      <c r="R42" s="823">
        <f ca="1">Jahresvergleich!Y5</f>
        <v>9973</v>
      </c>
      <c r="S42" s="823">
        <f ca="1">Jahresvergleich!Z5</f>
        <v>9973</v>
      </c>
      <c r="T42" s="823">
        <f ca="1">Jahresvergleich!AA5</f>
        <v>10068</v>
      </c>
      <c r="U42" s="823">
        <f ca="1">Jahresvergleich!AB5</f>
        <v>10068</v>
      </c>
      <c r="V42" s="823">
        <f ca="1">Jahresvergleich!AC5</f>
        <v>10103</v>
      </c>
    </row>
    <row r="43" spans="1:22" s="819" customFormat="1">
      <c r="A43" s="819">
        <v>4</v>
      </c>
      <c r="B43" s="819" t="str">
        <f>'Stand der Daten'!B14</f>
        <v xml:space="preserve">Bevölkerungsdichte </v>
      </c>
      <c r="F43" s="823">
        <f ca="1">Jahresvergleich!M11</f>
        <v>302.27744516983063</v>
      </c>
      <c r="G43" s="823">
        <f ca="1">Jahresvergleich!N11</f>
        <v>276.44333463702276</v>
      </c>
      <c r="H43" s="823">
        <f ca="1">Jahresvergleich!O11</f>
        <v>312.53346971930563</v>
      </c>
      <c r="I43" s="823">
        <f ca="1">Jahresvergleich!P11</f>
        <v>312.44923132464874</v>
      </c>
      <c r="J43" s="823">
        <f ca="1">Jahresvergleich!Q11</f>
        <v>313.43281336963554</v>
      </c>
      <c r="K43" s="823">
        <f ca="1">Jahresvergleich!R11</f>
        <v>313.43281336963554</v>
      </c>
      <c r="L43" s="823">
        <f ca="1">Jahresvergleich!S11</f>
        <v>309.63146811070999</v>
      </c>
      <c r="M43" s="823">
        <f ca="1">Jahresvergleich!T11</f>
        <v>312.04873646209387</v>
      </c>
      <c r="N43" s="823">
        <f ca="1">Jahresvergleich!U11</f>
        <v>312.04873646209387</v>
      </c>
      <c r="O43" s="823">
        <f ca="1">Jahresvergleich!V11</f>
        <v>314.9608904933815</v>
      </c>
      <c r="P43" s="823">
        <f ca="1">Jahresvergleich!W11</f>
        <v>319.19044539041226</v>
      </c>
      <c r="Q43" s="823">
        <f ca="1">Jahresvergleich!X11</f>
        <v>320.50722784638759</v>
      </c>
      <c r="R43" s="823">
        <f ca="1">Jahresvergleich!Y11</f>
        <v>322.89143940191639</v>
      </c>
      <c r="S43" s="823">
        <f ca="1">Jahresvergleich!Z11</f>
        <v>322.89143940191639</v>
      </c>
      <c r="T43" s="823">
        <f ca="1">Jahresvergleich!AA11</f>
        <v>328.17967116446289</v>
      </c>
      <c r="U43" s="823">
        <f ca="1">Jahresvergleich!AB11</f>
        <v>328.17967116446289</v>
      </c>
      <c r="V43" s="823">
        <f ca="1">Jahresvergleich!AC11</f>
        <v>334.05087473863142</v>
      </c>
    </row>
    <row r="44" spans="1:22" s="819" customFormat="1">
      <c r="A44" s="819">
        <v>5</v>
      </c>
      <c r="B44" s="819" t="str">
        <f>'Stand der Daten'!B17</f>
        <v>Arbeitslosenquote (Jahresdurchschn.) 2)</v>
      </c>
      <c r="F44" s="824">
        <f ca="1">Jahresvergleich!M14</f>
        <v>4.5</v>
      </c>
      <c r="G44" s="824">
        <f ca="1">Jahresvergleich!N14</f>
        <v>3.8</v>
      </c>
      <c r="H44" s="824">
        <f ca="1">Jahresvergleich!O14</f>
        <v>3.4</v>
      </c>
      <c r="I44" s="824">
        <f ca="1">Jahresvergleich!P14</f>
        <v>4.0999999999999996</v>
      </c>
      <c r="J44" s="824">
        <f ca="1">Jahresvergleich!Q14</f>
        <v>3.9</v>
      </c>
      <c r="K44" s="824">
        <f ca="1">Jahresvergleich!R14</f>
        <v>3.1</v>
      </c>
      <c r="L44" s="824">
        <f ca="1">Jahresvergleich!S14</f>
        <v>2.8</v>
      </c>
      <c r="M44" s="824">
        <f ca="1">Jahresvergleich!T14</f>
        <v>2.8</v>
      </c>
      <c r="N44" s="824">
        <f ca="1">Jahresvergleich!U14</f>
        <v>2.8</v>
      </c>
      <c r="O44" s="824">
        <f ca="1">Jahresvergleich!V14</f>
        <v>2.9</v>
      </c>
      <c r="P44" s="824">
        <f ca="1">Jahresvergleich!W14</f>
        <v>2.8</v>
      </c>
      <c r="Q44" s="824">
        <f ca="1">Jahresvergleich!X14</f>
        <v>2.9</v>
      </c>
      <c r="R44" s="824">
        <f ca="1">Jahresvergleich!Y14</f>
        <v>2.5</v>
      </c>
      <c r="S44" s="824">
        <f ca="1">Jahresvergleich!Z14</f>
        <v>2.5</v>
      </c>
      <c r="T44" s="824">
        <f ca="1">Jahresvergleich!AA14</f>
        <v>2.2999999999999998</v>
      </c>
      <c r="U44" s="824">
        <f ca="1">Jahresvergleich!AB14</f>
        <v>2.2999999999999998</v>
      </c>
      <c r="V44" s="824">
        <f ca="1">Jahresvergleich!AC14</f>
        <v>2.6</v>
      </c>
    </row>
    <row r="45" spans="1:22" s="819" customFormat="1">
      <c r="A45" s="819">
        <v>6</v>
      </c>
      <c r="B45" s="819" t="str">
        <f>'Stand der Daten'!B20</f>
        <v>Bruttowertschöpfung insgesamt</v>
      </c>
      <c r="F45" s="823">
        <f ca="1">Jahresvergleich!M17</f>
        <v>5381</v>
      </c>
      <c r="G45" s="823">
        <f ca="1">Jahresvergleich!N17</f>
        <v>6473</v>
      </c>
      <c r="H45" s="823">
        <f ca="1">Jahresvergleich!O17</f>
        <v>6574</v>
      </c>
      <c r="I45" s="823">
        <f ca="1">Jahresvergleich!P17</f>
        <v>6025</v>
      </c>
      <c r="J45" s="823">
        <f ca="1">Jahresvergleich!Q17</f>
        <v>6025</v>
      </c>
      <c r="K45" s="823">
        <f ca="1">Jahresvergleich!R17</f>
        <v>6025</v>
      </c>
      <c r="L45" s="823">
        <f ca="1">Jahresvergleich!S17</f>
        <v>7461.9080000000004</v>
      </c>
      <c r="M45" s="823">
        <f ca="1">Jahresvergleich!T17</f>
        <v>7461.9080000000004</v>
      </c>
      <c r="N45" s="823">
        <f ca="1">Jahresvergleich!U17</f>
        <v>7461.9080000000004</v>
      </c>
      <c r="O45" s="823">
        <f ca="1">Jahresvergleich!V17</f>
        <v>8096</v>
      </c>
      <c r="P45" s="823">
        <f ca="1">Jahresvergleich!W17</f>
        <v>8096</v>
      </c>
      <c r="Q45" s="823">
        <f ca="1">Jahresvergleich!X17</f>
        <v>8496.2759999999998</v>
      </c>
      <c r="R45" s="823">
        <f ca="1">Jahresvergleich!Y17</f>
        <v>9457.0830000000005</v>
      </c>
      <c r="S45" s="823">
        <f ca="1">Jahresvergleich!Z17</f>
        <v>9457.0830000000005</v>
      </c>
      <c r="T45" s="823">
        <f ca="1">Jahresvergleich!AA17</f>
        <v>9755.0869999999995</v>
      </c>
      <c r="U45" s="823">
        <f ca="1">Jahresvergleich!AB17</f>
        <v>9755.0869999999995</v>
      </c>
      <c r="V45" s="823">
        <f ca="1">Jahresvergleich!AC17</f>
        <v>9796</v>
      </c>
    </row>
    <row r="46" spans="1:22" s="819" customFormat="1">
      <c r="A46" s="819">
        <v>7</v>
      </c>
      <c r="B46" s="819" t="str">
        <f>"BWS - "&amp;'Stand der Daten'!B21</f>
        <v>BWS - Anteil der Land- und Forstwirtschaft</v>
      </c>
      <c r="F46" s="824">
        <f ca="1">Jahresvergleich!M18</f>
        <v>1.6353837576658612</v>
      </c>
      <c r="G46" s="824">
        <f ca="1">Jahresvergleich!N18</f>
        <v>1.2976981306967401</v>
      </c>
      <c r="H46" s="824">
        <f ca="1">Jahresvergleich!O18</f>
        <v>1.1560693641618498</v>
      </c>
      <c r="I46" s="824">
        <f ca="1">Jahresvergleich!P18</f>
        <v>1.0622406639004149</v>
      </c>
      <c r="J46" s="824">
        <f ca="1">Jahresvergleich!Q18</f>
        <v>1.0622406639004149</v>
      </c>
      <c r="K46" s="824">
        <f ca="1">Jahresvergleich!R18</f>
        <v>1.0622406639004149</v>
      </c>
      <c r="L46" s="824">
        <f ca="1">Jahresvergleich!S18</f>
        <v>0.81748528660498099</v>
      </c>
      <c r="M46" s="824">
        <f ca="1">Jahresvergleich!T18</f>
        <v>0.81748528660498099</v>
      </c>
      <c r="N46" s="824">
        <f ca="1">Jahresvergleich!U18</f>
        <v>0.81748528660498099</v>
      </c>
      <c r="O46" s="824">
        <f ca="1">Jahresvergleich!V18</f>
        <v>0.85227272727272729</v>
      </c>
      <c r="P46" s="824">
        <f ca="1">Jahresvergleich!W18</f>
        <v>0.85227272727272729</v>
      </c>
      <c r="Q46" s="824">
        <f ca="1">Jahresvergleich!X18</f>
        <v>0.58103103053620198</v>
      </c>
      <c r="R46" s="824">
        <f ca="1">Jahresvergleich!Y18</f>
        <v>0.50697450789001219</v>
      </c>
      <c r="S46" s="824">
        <f ca="1">Jahresvergleich!Z18</f>
        <v>0.50697450789001219</v>
      </c>
      <c r="T46" s="824">
        <f ca="1">Jahresvergleich!AA18</f>
        <v>0.73775866888732</v>
      </c>
      <c r="U46" s="824">
        <f ca="1">Jahresvergleich!AB18</f>
        <v>0.73775866888732</v>
      </c>
      <c r="V46" s="824">
        <f ca="1">Jahresvergleich!AC18</f>
        <v>0.9187423438138016</v>
      </c>
    </row>
    <row r="47" spans="1:22" s="819" customFormat="1">
      <c r="A47" s="819">
        <v>8</v>
      </c>
      <c r="B47" s="819" t="str">
        <f>'Stand der Daten'!B24</f>
        <v>Landwirtschaftl. Betriebe insgesamt</v>
      </c>
      <c r="F47" s="823">
        <f ca="1">Jahresvergleich!M20</f>
        <v>2311</v>
      </c>
      <c r="G47" s="823">
        <f ca="1">Jahresvergleich!N20</f>
        <v>1996</v>
      </c>
      <c r="H47" s="823">
        <f ca="1">Jahresvergleich!O20</f>
        <v>1996</v>
      </c>
      <c r="I47" s="823">
        <f ca="1">Jahresvergleich!P20</f>
        <v>1996</v>
      </c>
      <c r="J47" s="823">
        <f ca="1">Jahresvergleich!Q20</f>
        <v>1677</v>
      </c>
      <c r="K47" s="823">
        <f ca="1">Jahresvergleich!R20</f>
        <v>1677</v>
      </c>
      <c r="L47" s="823">
        <f ca="1">Jahresvergleich!S20</f>
        <v>1677</v>
      </c>
      <c r="M47" s="823">
        <f ca="1">Jahresvergleich!T20</f>
        <v>1677</v>
      </c>
      <c r="N47" s="823">
        <f ca="1">Jahresvergleich!U20</f>
        <v>1677</v>
      </c>
      <c r="O47" s="823">
        <f ca="1">Jahresvergleich!V20</f>
        <v>1677</v>
      </c>
      <c r="P47" s="823">
        <f ca="1">Jahresvergleich!W20</f>
        <v>1510</v>
      </c>
      <c r="Q47" s="823">
        <f ca="1">Jahresvergleich!X20</f>
        <v>1510</v>
      </c>
      <c r="R47" s="823">
        <f ca="1">Jahresvergleich!Y20</f>
        <v>1510</v>
      </c>
      <c r="S47" s="823">
        <f ca="1">Jahresvergleich!Z20</f>
        <v>1510</v>
      </c>
      <c r="T47" s="823">
        <f ca="1">Jahresvergleich!AA20</f>
        <v>1412</v>
      </c>
      <c r="U47" s="823">
        <f ca="1">Jahresvergleich!AB20</f>
        <v>1412</v>
      </c>
      <c r="V47" s="823">
        <f ca="1">Jahresvergleich!AC20</f>
        <v>1412</v>
      </c>
    </row>
    <row r="48" spans="1:22" s="819" customFormat="1">
      <c r="A48" s="819">
        <v>9</v>
      </c>
      <c r="B48" s="819" t="str">
        <f>"Landw. Betriebe - "&amp;'Stand der Daten'!B25</f>
        <v>Landw. Betriebe - davon in Betrieben unter 5 ha</v>
      </c>
      <c r="F48" s="823">
        <f ca="1">Jahresvergleich!M21</f>
        <v>824</v>
      </c>
      <c r="G48" s="823">
        <f ca="1">Jahresvergleich!N21</f>
        <v>723</v>
      </c>
      <c r="H48" s="823">
        <f ca="1">Jahresvergleich!O21</f>
        <v>723</v>
      </c>
      <c r="I48" s="823">
        <f ca="1">Jahresvergleich!P21</f>
        <v>723</v>
      </c>
      <c r="J48" s="823">
        <f ca="1">Jahresvergleich!Q21</f>
        <v>467</v>
      </c>
      <c r="K48" s="823">
        <f ca="1">Jahresvergleich!R21</f>
        <v>467</v>
      </c>
      <c r="L48" s="823">
        <f ca="1">Jahresvergleich!S21</f>
        <v>467</v>
      </c>
      <c r="M48" s="823">
        <f ca="1">Jahresvergleich!T21</f>
        <v>467</v>
      </c>
      <c r="N48" s="823">
        <f ca="1">Jahresvergleich!U21</f>
        <v>467</v>
      </c>
      <c r="O48" s="823">
        <f ca="1">Jahresvergleich!V21</f>
        <v>467</v>
      </c>
      <c r="P48" s="823">
        <f ca="1">Jahresvergleich!W21</f>
        <v>379</v>
      </c>
      <c r="Q48" s="823">
        <f ca="1">Jahresvergleich!X21</f>
        <v>379</v>
      </c>
      <c r="R48" s="823">
        <f ca="1">Jahresvergleich!Y21</f>
        <v>379</v>
      </c>
      <c r="S48" s="823">
        <f ca="1">Jahresvergleich!Z21</f>
        <v>379</v>
      </c>
      <c r="T48" s="823">
        <f ca="1">Jahresvergleich!AA21</f>
        <v>351</v>
      </c>
      <c r="U48" s="823">
        <f ca="1">Jahresvergleich!AB21</f>
        <v>351</v>
      </c>
      <c r="V48" s="823">
        <f ca="1">Jahresvergleich!AC21</f>
        <v>351</v>
      </c>
    </row>
    <row r="49" spans="1:22" s="819" customFormat="1">
      <c r="A49" s="819">
        <v>10</v>
      </c>
      <c r="B49" s="819" t="str">
        <f>'Stand der Daten'!B31</f>
        <v>Ø Betriebsgröße (alle Betriebe)</v>
      </c>
      <c r="F49" s="823">
        <f ca="1">Jahresvergleich!M27</f>
        <v>15.16010385114669</v>
      </c>
      <c r="G49" s="823">
        <f ca="1">Jahresvergleich!N27</f>
        <v>17.063627254509019</v>
      </c>
      <c r="H49" s="823">
        <f ca="1">Jahresvergleich!O27</f>
        <v>17.063627254509019</v>
      </c>
      <c r="I49" s="823">
        <f ca="1">Jahresvergleich!P27</f>
        <v>17.063627254509019</v>
      </c>
      <c r="J49" s="823">
        <f ca="1">Jahresvergleich!Q27</f>
        <v>19.904591532498511</v>
      </c>
      <c r="K49" s="823">
        <f ca="1">Jahresvergleich!R27</f>
        <v>19.904591532498511</v>
      </c>
      <c r="L49" s="823">
        <f ca="1">Jahresvergleich!S27</f>
        <v>19.904591532498511</v>
      </c>
      <c r="M49" s="823">
        <f ca="1">Jahresvergleich!T27</f>
        <v>19.904591532498511</v>
      </c>
      <c r="N49" s="823">
        <f ca="1">Jahresvergleich!U27</f>
        <v>19.904591532498511</v>
      </c>
      <c r="O49" s="823">
        <f ca="1">Jahresvergleich!V27</f>
        <v>19.904591532498511</v>
      </c>
      <c r="P49" s="823">
        <f ca="1">Jahresvergleich!W27</f>
        <v>22.205298013245034</v>
      </c>
      <c r="Q49" s="823">
        <f ca="1">Jahresvergleich!X27</f>
        <v>22.205298013245034</v>
      </c>
      <c r="R49" s="823">
        <f ca="1">Jahresvergleich!Y27</f>
        <v>22.205298013245034</v>
      </c>
      <c r="S49" s="823">
        <f ca="1">Jahresvergleich!Z27</f>
        <v>22.205298013245034</v>
      </c>
      <c r="T49" s="823">
        <f ca="1">Jahresvergleich!AA27</f>
        <v>23.413597733711047</v>
      </c>
      <c r="U49" s="823">
        <f ca="1">Jahresvergleich!AB27</f>
        <v>23.413597733711047</v>
      </c>
      <c r="V49" s="823">
        <f ca="1">Jahresvergleich!AC27</f>
        <v>23.413597733711047</v>
      </c>
    </row>
    <row r="50" spans="1:22" s="819" customFormat="1">
      <c r="A50" s="819">
        <v>11</v>
      </c>
      <c r="B50" s="819" t="str">
        <f>'Stand der Daten'!B33</f>
        <v>Betriebsinhaber im Haupterwerb</v>
      </c>
      <c r="F50" s="823">
        <f ca="1">Jahresvergleich!M29</f>
        <v>49</v>
      </c>
      <c r="G50" s="823">
        <f ca="1">Jahresvergleich!N29</f>
        <v>48</v>
      </c>
      <c r="H50" s="823">
        <f ca="1">Jahresvergleich!O29</f>
        <v>48</v>
      </c>
      <c r="I50" s="823">
        <f ca="1">Jahresvergleich!P29</f>
        <v>48</v>
      </c>
      <c r="J50" s="823">
        <f ca="1">Jahresvergleich!Q29</f>
        <v>44.51</v>
      </c>
      <c r="K50" s="823">
        <f ca="1">Jahresvergleich!R29</f>
        <v>48</v>
      </c>
      <c r="L50" s="823">
        <f ca="1">Jahresvergleich!S29</f>
        <v>48</v>
      </c>
      <c r="M50" s="823">
        <f ca="1">Jahresvergleich!T29</f>
        <v>48</v>
      </c>
      <c r="N50" s="823">
        <f ca="1">Jahresvergleich!U29</f>
        <v>48</v>
      </c>
      <c r="O50" s="823">
        <f ca="1">Jahresvergleich!V29</f>
        <v>48</v>
      </c>
      <c r="P50" s="823">
        <f ca="1">Jahresvergleich!W29</f>
        <v>48</v>
      </c>
      <c r="Q50" s="823">
        <f ca="1">Jahresvergleich!X29</f>
        <v>48</v>
      </c>
      <c r="R50" s="823">
        <f ca="1">Jahresvergleich!Y29</f>
        <v>48</v>
      </c>
      <c r="S50" s="823">
        <f ca="1">Jahresvergleich!Z29</f>
        <v>48</v>
      </c>
      <c r="T50" s="823">
        <f ca="1">Jahresvergleich!AA29</f>
        <v>44.8</v>
      </c>
      <c r="U50" s="823">
        <f ca="1">Jahresvergleich!AB29</f>
        <v>44.8</v>
      </c>
      <c r="V50" s="823">
        <f ca="1">Jahresvergleich!AC29</f>
        <v>44.8</v>
      </c>
    </row>
    <row r="51" spans="1:22" s="819" customFormat="1">
      <c r="A51" s="819">
        <v>12</v>
      </c>
      <c r="B51" s="819" t="str">
        <f>'Stand der Daten'!B36</f>
        <v xml:space="preserve">Landwirtschaftlich gen. Fläche (LF)   </v>
      </c>
      <c r="F51" s="822">
        <f ca="1">Jahresvergleich!M32</f>
        <v>35035</v>
      </c>
      <c r="G51" s="822">
        <f ca="1">Jahresvergleich!N32</f>
        <v>34059</v>
      </c>
      <c r="H51" s="822">
        <f ca="1">Jahresvergleich!O32</f>
        <v>34059</v>
      </c>
      <c r="I51" s="822">
        <f ca="1">Jahresvergleich!P32</f>
        <v>34059</v>
      </c>
      <c r="J51" s="822">
        <f ca="1">Jahresvergleich!Q32</f>
        <v>33380</v>
      </c>
      <c r="K51" s="822">
        <f ca="1">Jahresvergleich!R32</f>
        <v>33380</v>
      </c>
      <c r="L51" s="822">
        <f ca="1">Jahresvergleich!S32</f>
        <v>33380</v>
      </c>
      <c r="M51" s="822">
        <f ca="1">Jahresvergleich!T32</f>
        <v>33380</v>
      </c>
      <c r="N51" s="822">
        <f ca="1">Jahresvergleich!U32</f>
        <v>33380</v>
      </c>
      <c r="O51" s="822">
        <f ca="1">Jahresvergleich!V32</f>
        <v>33380</v>
      </c>
      <c r="P51" s="822">
        <f ca="1">Jahresvergleich!W32</f>
        <v>33530</v>
      </c>
      <c r="Q51" s="822">
        <f ca="1">Jahresvergleich!X32</f>
        <v>33530</v>
      </c>
      <c r="R51" s="822">
        <f ca="1">Jahresvergleich!Y32</f>
        <v>33530</v>
      </c>
      <c r="S51" s="822">
        <f ca="1">Jahresvergleich!Z32</f>
        <v>33530</v>
      </c>
      <c r="T51" s="822">
        <f ca="1">Jahresvergleich!AA32</f>
        <v>33060</v>
      </c>
      <c r="U51" s="822">
        <f ca="1">Jahresvergleich!AB32</f>
        <v>33060</v>
      </c>
      <c r="V51" s="822">
        <f ca="1">Jahresvergleich!AC32</f>
        <v>33060</v>
      </c>
    </row>
    <row r="52" spans="1:22" s="819" customFormat="1">
      <c r="A52" s="819">
        <v>13</v>
      </c>
      <c r="B52" s="819" t="str">
        <f>"LF - "&amp;'Stand der Daten'!B37</f>
        <v>LF - davon Ackerland</v>
      </c>
      <c r="F52" s="823">
        <f ca="1">Jahresvergleich!M33</f>
        <v>14132</v>
      </c>
      <c r="G52" s="823">
        <f ca="1">Jahresvergleich!N33</f>
        <v>13793</v>
      </c>
      <c r="H52" s="823">
        <f ca="1">Jahresvergleich!O33</f>
        <v>13793</v>
      </c>
      <c r="I52" s="823">
        <f ca="1">Jahresvergleich!P33</f>
        <v>13793</v>
      </c>
      <c r="J52" s="823">
        <f ca="1">Jahresvergleich!Q33</f>
        <v>13924</v>
      </c>
      <c r="K52" s="823">
        <f ca="1">Jahresvergleich!R33</f>
        <v>13924</v>
      </c>
      <c r="L52" s="823">
        <f ca="1">Jahresvergleich!S33</f>
        <v>13924</v>
      </c>
      <c r="M52" s="823">
        <f ca="1">Jahresvergleich!T33</f>
        <v>13924</v>
      </c>
      <c r="N52" s="823">
        <f ca="1">Jahresvergleich!U33</f>
        <v>13924</v>
      </c>
      <c r="O52" s="823">
        <f ca="1">Jahresvergleich!V33</f>
        <v>13924</v>
      </c>
      <c r="P52" s="823">
        <f ca="1">Jahresvergleich!W33</f>
        <v>13720</v>
      </c>
      <c r="Q52" s="823">
        <f ca="1">Jahresvergleich!X33</f>
        <v>13720</v>
      </c>
      <c r="R52" s="823">
        <f ca="1">Jahresvergleich!Y33</f>
        <v>13720</v>
      </c>
      <c r="S52" s="823">
        <f ca="1">Jahresvergleich!Z33</f>
        <v>13720</v>
      </c>
      <c r="T52" s="823">
        <f ca="1">Jahresvergleich!AA33</f>
        <v>13412</v>
      </c>
      <c r="U52" s="823">
        <f ca="1">Jahresvergleich!AB33</f>
        <v>13412</v>
      </c>
      <c r="V52" s="823">
        <f ca="1">Jahresvergleich!AC33</f>
        <v>13412</v>
      </c>
    </row>
    <row r="53" spans="1:22" s="819" customFormat="1">
      <c r="A53" s="819">
        <v>14</v>
      </c>
      <c r="B53" s="819" t="str">
        <f>"Viehhaltung - "&amp;'Stand der Daten'!B43</f>
        <v>Viehhaltung - Kühe (Milchkühe und sonstige Kühe)</v>
      </c>
      <c r="F53" s="823">
        <f ca="1">Jahresvergleich!M39</f>
        <v>16139</v>
      </c>
      <c r="G53" s="823">
        <f ca="1">Jahresvergleich!N39</f>
        <v>13832</v>
      </c>
      <c r="H53" s="823">
        <f ca="1">Jahresvergleich!O39</f>
        <v>11903</v>
      </c>
      <c r="I53" s="823">
        <f ca="1">Jahresvergleich!P39</f>
        <v>11560</v>
      </c>
      <c r="J53" s="823">
        <f ca="1">Jahresvergleich!Q39</f>
        <v>11396</v>
      </c>
      <c r="K53" s="823">
        <f ca="1">Jahresvergleich!R39</f>
        <v>11122</v>
      </c>
      <c r="L53" s="823">
        <f ca="1">Jahresvergleich!S39</f>
        <v>10848</v>
      </c>
      <c r="M53" s="823">
        <f ca="1">Jahresvergleich!T39</f>
        <v>10714</v>
      </c>
      <c r="N53" s="823">
        <f ca="1">Jahresvergleich!U39</f>
        <v>10430</v>
      </c>
      <c r="O53" s="823">
        <f ca="1">Jahresvergleich!V39</f>
        <v>10311</v>
      </c>
      <c r="P53" s="823">
        <f ca="1">Jahresvergleich!W39</f>
        <v>10251</v>
      </c>
      <c r="Q53" s="823">
        <f ca="1">Jahresvergleich!X39</f>
        <v>9677</v>
      </c>
      <c r="R53" s="823">
        <f ca="1">Jahresvergleich!Y39</f>
        <v>9677</v>
      </c>
      <c r="S53" s="823">
        <f ca="1">Jahresvergleich!Z39</f>
        <v>9032</v>
      </c>
      <c r="T53" s="823">
        <f ca="1">Jahresvergleich!AA39</f>
        <v>9020</v>
      </c>
      <c r="U53" s="823">
        <f ca="1">Jahresvergleich!AB39</f>
        <v>8981</v>
      </c>
      <c r="V53" s="823">
        <f ca="1">Jahresvergleich!AC39</f>
        <v>8952</v>
      </c>
    </row>
    <row r="54" spans="1:22" s="819" customFormat="1">
      <c r="A54" s="819">
        <v>15</v>
      </c>
      <c r="B54" s="819" t="str">
        <f>"Viehhaltung - "&amp;'Stand der Daten'!B46</f>
        <v>Viehhaltung - Schweine</v>
      </c>
      <c r="F54" s="822">
        <f ca="1">Jahresvergleich!M42</f>
        <v>26480</v>
      </c>
      <c r="G54" s="822">
        <f ca="1">Jahresvergleich!N42</f>
        <v>21765</v>
      </c>
      <c r="H54" s="822">
        <f ca="1">Jahresvergleich!O42</f>
        <v>21765</v>
      </c>
      <c r="I54" s="822">
        <f ca="1">Jahresvergleich!P42</f>
        <v>21765</v>
      </c>
      <c r="J54" s="822">
        <f ca="1">Jahresvergleich!Q42</f>
        <v>20295</v>
      </c>
      <c r="K54" s="822">
        <f ca="1">Jahresvergleich!R42</f>
        <v>20295</v>
      </c>
      <c r="L54" s="822">
        <f ca="1">Jahresvergleich!S42</f>
        <v>20295</v>
      </c>
      <c r="M54" s="822">
        <f ca="1">Jahresvergleich!T42</f>
        <v>20295</v>
      </c>
      <c r="N54" s="822">
        <f ca="1">Jahresvergleich!U42</f>
        <v>20295</v>
      </c>
      <c r="O54" s="822">
        <f ca="1">Jahresvergleich!V42</f>
        <v>20295</v>
      </c>
      <c r="P54" s="822">
        <f ca="1">Jahresvergleich!W42</f>
        <v>14273</v>
      </c>
      <c r="Q54" s="822">
        <f ca="1">Jahresvergleich!X42</f>
        <v>14273</v>
      </c>
      <c r="R54" s="822">
        <f ca="1">Jahresvergleich!Y42</f>
        <v>14273</v>
      </c>
      <c r="S54" s="822">
        <f ca="1">Jahresvergleich!Z42</f>
        <v>14273</v>
      </c>
      <c r="T54" s="823">
        <f ca="1">Jahresvergleich!AA42</f>
        <v>11792</v>
      </c>
      <c r="U54" s="823">
        <f ca="1">Jahresvergleich!AB42</f>
        <v>11792</v>
      </c>
      <c r="V54" s="823">
        <f ca="1">Jahresvergleich!AC42</f>
        <v>11792</v>
      </c>
    </row>
    <row r="55" spans="1:22" s="819" customFormat="1">
      <c r="A55" s="819">
        <v>16</v>
      </c>
      <c r="B55" s="819" t="str">
        <f>'Stand der Daten'!B57</f>
        <v>Naturschutzgebiete</v>
      </c>
      <c r="F55" s="823">
        <f ca="1">Jahresvergleich!M54</f>
        <v>1474</v>
      </c>
      <c r="G55" s="823">
        <f ca="1">Jahresvergleich!N54</f>
        <v>1485</v>
      </c>
      <c r="H55" s="823">
        <f ca="1">Jahresvergleich!O54</f>
        <v>1514</v>
      </c>
      <c r="I55" s="823">
        <f ca="1">Jahresvergleich!P54</f>
        <v>1514</v>
      </c>
      <c r="J55" s="823">
        <f ca="1">Jahresvergleich!Q54</f>
        <v>1217.26</v>
      </c>
      <c r="K55" s="823">
        <f ca="1">Jahresvergleich!R54</f>
        <v>1217.26</v>
      </c>
      <c r="L55" s="823">
        <f ca="1">Jahresvergleich!S54</f>
        <v>1217.26</v>
      </c>
      <c r="M55" s="823">
        <f ca="1">Jahresvergleich!T54</f>
        <v>1217.26</v>
      </c>
      <c r="N55" s="823">
        <f ca="1">Jahresvergleich!U54</f>
        <v>1205</v>
      </c>
      <c r="O55" s="823">
        <f ca="1">Jahresvergleich!V54</f>
        <v>1204.5</v>
      </c>
      <c r="P55" s="823">
        <f ca="1">Jahresvergleich!W54</f>
        <v>1204.5</v>
      </c>
      <c r="Q55" s="823">
        <f ca="1">Jahresvergleich!X54</f>
        <v>1204.5</v>
      </c>
      <c r="R55" s="823">
        <f ca="1">Jahresvergleich!Y54</f>
        <v>1204.5</v>
      </c>
      <c r="S55" s="823">
        <f ca="1">Jahresvergleich!Z54</f>
        <v>1205</v>
      </c>
      <c r="T55" s="823">
        <f ca="1">Jahresvergleich!AA54</f>
        <v>1204.5</v>
      </c>
      <c r="U55" s="823">
        <f ca="1">Jahresvergleich!AB54</f>
        <v>1204.5</v>
      </c>
      <c r="V55" s="823">
        <f ca="1">Jahresvergleich!AC54</f>
        <v>1204.5</v>
      </c>
    </row>
    <row r="56" spans="1:22" s="819" customFormat="1">
      <c r="A56" s="819">
        <v>17</v>
      </c>
      <c r="B56" s="819" t="str">
        <f>"Benacht. Gebiete - "&amp;'Stand der Daten'!B66</f>
        <v>Benacht. Gebiete - Gebietskulisse</v>
      </c>
      <c r="F56" s="823">
        <f ca="1">Jahresvergleich!M62</f>
        <v>8198</v>
      </c>
      <c r="G56" s="823">
        <f ca="1">Jahresvergleich!N62</f>
        <v>8198</v>
      </c>
      <c r="H56" s="823">
        <f ca="1">Jahresvergleich!O62</f>
        <v>8198</v>
      </c>
      <c r="I56" s="823">
        <f ca="1">Jahresvergleich!P62</f>
        <v>8198</v>
      </c>
      <c r="J56" s="823">
        <f ca="1">Jahresvergleich!Q62</f>
        <v>8198</v>
      </c>
      <c r="K56" s="823">
        <f ca="1">Jahresvergleich!R62</f>
        <v>8198</v>
      </c>
      <c r="L56" s="823">
        <f ca="1">Jahresvergleich!S62</f>
        <v>10746.678063158999</v>
      </c>
      <c r="M56" s="823">
        <f ca="1">Jahresvergleich!T62</f>
        <v>10746.678063158999</v>
      </c>
      <c r="N56" s="823">
        <f ca="1">Jahresvergleich!U62</f>
        <v>10746.678063158999</v>
      </c>
      <c r="O56" s="823">
        <f ca="1">Jahresvergleich!V62</f>
        <v>10746.678063158999</v>
      </c>
      <c r="P56" s="823">
        <f ca="1">Jahresvergleich!W62</f>
        <v>10746.678063158999</v>
      </c>
      <c r="Q56" s="823">
        <f ca="1">Jahresvergleich!X62</f>
        <v>10574.161881907999</v>
      </c>
      <c r="R56" s="823">
        <f ca="1">Jahresvergleich!Y62</f>
        <v>10746.678063158999</v>
      </c>
      <c r="S56" s="823">
        <f ca="1">Jahresvergleich!Z62</f>
        <v>3125.2833361050002</v>
      </c>
      <c r="T56" s="823">
        <f ca="1">Jahresvergleich!AA62</f>
        <v>7894</v>
      </c>
      <c r="U56" s="823">
        <f ca="1">Jahresvergleich!AB62</f>
        <v>7894</v>
      </c>
      <c r="V56" s="823">
        <f ca="1">Jahresvergleich!AC62</f>
        <v>7894</v>
      </c>
    </row>
    <row r="57" spans="1:22" s="819" customFormat="1">
      <c r="A57" s="819">
        <v>18</v>
      </c>
      <c r="B57" s="819" t="str">
        <f>"Ökolandbau - "&amp;'Stand der Daten'!B72</f>
        <v>Ökolandbau - Landwirtschaftl. Betriebe</v>
      </c>
      <c r="F57" s="823">
        <f ca="1">Jahresvergleich!M66</f>
        <v>303</v>
      </c>
      <c r="G57" s="823">
        <f ca="1">Jahresvergleich!N66</f>
        <v>178</v>
      </c>
      <c r="H57" s="823">
        <f ca="1">Jahresvergleich!O66</f>
        <v>178</v>
      </c>
      <c r="I57" s="823">
        <f ca="1">Jahresvergleich!P66</f>
        <v>178</v>
      </c>
      <c r="J57" s="823">
        <f ca="1">Jahresvergleich!Q66</f>
        <v>194</v>
      </c>
      <c r="K57" s="823">
        <f ca="1">Jahresvergleich!R66</f>
        <v>103</v>
      </c>
      <c r="L57" s="823">
        <f ca="1">Jahresvergleich!S66</f>
        <v>194</v>
      </c>
      <c r="M57" s="823">
        <f ca="1">Jahresvergleich!T66</f>
        <v>109</v>
      </c>
      <c r="N57" s="823">
        <f ca="1">Jahresvergleich!U66</f>
        <v>105</v>
      </c>
      <c r="O57" s="823">
        <f ca="1">Jahresvergleich!V66</f>
        <v>113</v>
      </c>
      <c r="P57" s="823">
        <f ca="1">Jahresvergleich!W66</f>
        <v>170</v>
      </c>
      <c r="Q57" s="823">
        <f ca="1">Jahresvergleich!X66</f>
        <v>170</v>
      </c>
      <c r="R57" s="823">
        <f ca="1">Jahresvergleich!Y66</f>
        <v>170</v>
      </c>
      <c r="S57" s="823">
        <f ca="1">Jahresvergleich!Z66</f>
        <v>133</v>
      </c>
      <c r="T57" s="823">
        <f ca="1">Jahresvergleich!AA66</f>
        <v>139</v>
      </c>
      <c r="U57" s="823">
        <f ca="1">Jahresvergleich!AB66</f>
        <v>145</v>
      </c>
      <c r="V57" s="823">
        <f ca="1">Jahresvergleich!AC66</f>
        <v>152</v>
      </c>
    </row>
    <row r="58" spans="1:22" s="819" customFormat="1">
      <c r="A58" s="819">
        <v>19</v>
      </c>
      <c r="B58" s="819" t="str">
        <f>"Ökolandbau - "&amp;'Stand der Daten'!B73</f>
        <v xml:space="preserve">Ökolandbau - Landwirtschaftlich genutzte Fläche (LF)   </v>
      </c>
      <c r="F58" s="823">
        <f ca="1">Jahresvergleich!M67</f>
        <v>6302</v>
      </c>
      <c r="G58" s="823">
        <f ca="1">Jahresvergleich!N67</f>
        <v>3609</v>
      </c>
      <c r="H58" s="823">
        <f ca="1">Jahresvergleich!O67</f>
        <v>3609</v>
      </c>
      <c r="I58" s="823">
        <f ca="1">Jahresvergleich!P67</f>
        <v>3609</v>
      </c>
      <c r="J58" s="823">
        <f ca="1">Jahresvergleich!Q67</f>
        <v>3123</v>
      </c>
      <c r="K58" s="823">
        <f ca="1">Jahresvergleich!R67</f>
        <v>2878</v>
      </c>
      <c r="L58" s="823">
        <f ca="1">Jahresvergleich!S67</f>
        <v>3123</v>
      </c>
      <c r="M58" s="823">
        <f ca="1">Jahresvergleich!T67</f>
        <v>3159</v>
      </c>
      <c r="N58" s="823">
        <f ca="1">Jahresvergleich!U67</f>
        <v>3055</v>
      </c>
      <c r="O58" s="823">
        <f ca="1">Jahresvergleich!V67</f>
        <v>3455</v>
      </c>
      <c r="P58" s="823">
        <f ca="1">Jahresvergleich!W67</f>
        <v>3603</v>
      </c>
      <c r="Q58" s="823">
        <f ca="1">Jahresvergleich!X67</f>
        <v>3603</v>
      </c>
      <c r="R58" s="823">
        <f ca="1">Jahresvergleich!Y67</f>
        <v>3603</v>
      </c>
      <c r="S58" s="823">
        <f ca="1">Jahresvergleich!Z67</f>
        <v>4306.7891000000009</v>
      </c>
      <c r="T58" s="823">
        <f ca="1">Jahresvergleich!AA67</f>
        <v>5204.8300999999992</v>
      </c>
      <c r="U58" s="823">
        <f ca="1">Jahresvergleich!AB67</f>
        <v>5335.5539000000017</v>
      </c>
      <c r="V58" s="823">
        <f ca="1">Jahresvergleich!AC67</f>
        <v>5598.2027000000016</v>
      </c>
    </row>
    <row r="59" spans="1:22" s="819" customFormat="1">
      <c r="A59" s="819">
        <v>20</v>
      </c>
      <c r="B59" s="819" t="str">
        <f>'Stand der Daten'!B76</f>
        <v>Ackerbaubetriebe</v>
      </c>
      <c r="F59" s="823">
        <f ca="1">Jahresvergleich!M70</f>
        <v>203</v>
      </c>
      <c r="G59" s="823">
        <f ca="1">Jahresvergleich!N70</f>
        <v>154</v>
      </c>
      <c r="H59" s="823">
        <f ca="1">Jahresvergleich!O70</f>
        <v>154</v>
      </c>
      <c r="I59" s="823">
        <f ca="1">Jahresvergleich!P70</f>
        <v>154</v>
      </c>
      <c r="J59" s="823">
        <f ca="1">Jahresvergleich!Q70</f>
        <v>181</v>
      </c>
      <c r="K59" s="823">
        <f ca="1">Jahresvergleich!R70</f>
        <v>181</v>
      </c>
      <c r="L59" s="823">
        <f ca="1">Jahresvergleich!S70</f>
        <v>181</v>
      </c>
      <c r="M59" s="823">
        <f ca="1">Jahresvergleich!T70</f>
        <v>181</v>
      </c>
      <c r="N59" s="823">
        <f ca="1">Jahresvergleich!U70</f>
        <v>181</v>
      </c>
      <c r="O59" s="823">
        <f ca="1">Jahresvergleich!V70</f>
        <v>181</v>
      </c>
      <c r="P59" s="823">
        <f ca="1">Jahresvergleich!W70</f>
        <v>195</v>
      </c>
      <c r="Q59" s="823">
        <f ca="1">Jahresvergleich!X70</f>
        <v>195</v>
      </c>
      <c r="R59" s="823">
        <f ca="1">Jahresvergleich!Y70</f>
        <v>195</v>
      </c>
      <c r="S59" s="823">
        <f ca="1">Jahresvergleich!Z70</f>
        <v>195</v>
      </c>
      <c r="T59" s="823">
        <f ca="1">Jahresvergleich!AA70</f>
        <v>230</v>
      </c>
      <c r="U59" s="823">
        <f ca="1">Jahresvergleich!AB70</f>
        <v>230</v>
      </c>
      <c r="V59" s="823">
        <f ca="1">Jahresvergleich!AC70</f>
        <v>230</v>
      </c>
    </row>
    <row r="60" spans="1:22" s="819" customFormat="1">
      <c r="A60" s="819">
        <v>21</v>
      </c>
      <c r="B60" s="819" t="str">
        <f>'Stand der Daten'!B83</f>
        <v>Antragsteller</v>
      </c>
      <c r="F60" s="823">
        <f ca="1">Jahresvergleich!M77</f>
        <v>1630</v>
      </c>
      <c r="G60" s="823">
        <f ca="1">Jahresvergleich!N77</f>
        <v>1576</v>
      </c>
      <c r="H60" s="823">
        <f ca="1">Jahresvergleich!O77</f>
        <v>1576</v>
      </c>
      <c r="I60" s="823">
        <f ca="1">Jahresvergleich!P77</f>
        <v>1544</v>
      </c>
      <c r="J60" s="823">
        <f ca="1">Jahresvergleich!Q77</f>
        <v>1532</v>
      </c>
      <c r="K60" s="823">
        <f ca="1">Jahresvergleich!R77</f>
        <v>1524</v>
      </c>
      <c r="L60" s="823">
        <f ca="1">Jahresvergleich!S77</f>
        <v>1514</v>
      </c>
      <c r="M60" s="823">
        <f ca="1">Jahresvergleich!T77</f>
        <v>1498</v>
      </c>
      <c r="N60" s="823">
        <f ca="1">Jahresvergleich!U77</f>
        <v>1524</v>
      </c>
      <c r="O60" s="823">
        <f ca="1">Jahresvergleich!V77</f>
        <v>1488</v>
      </c>
      <c r="P60" s="823">
        <f ca="1">Jahresvergleich!W77</f>
        <v>1479</v>
      </c>
      <c r="Q60" s="823">
        <f ca="1">Jahresvergleich!X77</f>
        <v>1467</v>
      </c>
      <c r="R60" s="823">
        <f ca="1">Jahresvergleich!Y77</f>
        <v>1486</v>
      </c>
      <c r="S60" s="823">
        <f ca="1">Jahresvergleich!Z77</f>
        <v>1486</v>
      </c>
      <c r="T60" s="823">
        <f ca="1">Jahresvergleich!AA77</f>
        <v>1451</v>
      </c>
      <c r="U60" s="823">
        <f ca="1">Jahresvergleich!AB77</f>
        <v>1442</v>
      </c>
      <c r="V60" s="823">
        <f ca="1">Jahresvergleich!AC77</f>
        <v>1428</v>
      </c>
    </row>
    <row r="61" spans="1:22" s="819" customFormat="1">
      <c r="A61" s="819">
        <v>22</v>
      </c>
      <c r="B61" s="819" t="str">
        <f>"LW Grundstücke - "&amp;'Stand der Daten'!B90</f>
        <v>LW Grundstücke - Ø Kaufwert</v>
      </c>
      <c r="F61" s="823">
        <f ca="1">Jahresvergleich!M84</f>
        <v>26491</v>
      </c>
      <c r="G61" s="823">
        <f ca="1">Jahresvergleich!N84</f>
        <v>21107</v>
      </c>
      <c r="H61" s="823">
        <f ca="1">Jahresvergleich!O84</f>
        <v>19293</v>
      </c>
      <c r="I61" s="823">
        <f ca="1">Jahresvergleich!P84</f>
        <v>23933</v>
      </c>
      <c r="J61" s="823">
        <f ca="1">Jahresvergleich!Q84</f>
        <v>24132</v>
      </c>
      <c r="K61" s="823">
        <f ca="1">Jahresvergleich!R84</f>
        <v>27270</v>
      </c>
      <c r="L61" s="823">
        <f ca="1">Jahresvergleich!S84</f>
        <v>35047</v>
      </c>
      <c r="M61" s="823">
        <f ca="1">Jahresvergleich!T84</f>
        <v>22754</v>
      </c>
      <c r="N61" s="823">
        <f ca="1">Jahresvergleich!U84</f>
        <v>22754</v>
      </c>
      <c r="O61" s="823">
        <f ca="1">Jahresvergleich!V84</f>
        <v>33185</v>
      </c>
      <c r="P61" s="823">
        <f ca="1">Jahresvergleich!W84</f>
        <v>23960</v>
      </c>
      <c r="Q61" s="823">
        <f ca="1">Jahresvergleich!X84</f>
        <v>34322</v>
      </c>
      <c r="R61" s="823">
        <f ca="1">Jahresvergleich!Y84</f>
        <v>34322</v>
      </c>
      <c r="S61" s="823">
        <f ca="1">Jahresvergleich!Z84</f>
        <v>34322</v>
      </c>
      <c r="T61" s="823">
        <f ca="1">Jahresvergleich!AA84</f>
        <v>37451</v>
      </c>
      <c r="U61" s="823">
        <f ca="1">Jahresvergleich!AB84</f>
        <v>37451</v>
      </c>
      <c r="V61" s="823">
        <f ca="1">Jahresvergleich!AC84</f>
        <v>0</v>
      </c>
    </row>
    <row r="62" spans="1:22" s="819" customFormat="1">
      <c r="A62" s="819">
        <v>23</v>
      </c>
      <c r="B62" s="819" t="str">
        <f>"Hektarerträge - "&amp;'Stand der Daten'!B92</f>
        <v>Hektarerträge - Getreide insg. (ohne Körnermais)</v>
      </c>
      <c r="F62" s="824">
        <f ca="1">Jahresvergleich!M86</f>
        <v>70.2</v>
      </c>
      <c r="G62" s="824">
        <f ca="1">Jahresvergleich!N86</f>
        <v>76.267299327797545</v>
      </c>
      <c r="H62" s="824">
        <f ca="1">Jahresvergleich!O86</f>
        <v>76.7</v>
      </c>
      <c r="I62" s="824">
        <f ca="1">Jahresvergleich!P86</f>
        <v>66.599999999999994</v>
      </c>
      <c r="J62" s="824">
        <f ca="1">Jahresvergleich!Q86</f>
        <v>68.3</v>
      </c>
      <c r="K62" s="824">
        <f ca="1">Jahresvergleich!R86</f>
        <v>81.8</v>
      </c>
      <c r="L62" s="824">
        <f ca="1">Jahresvergleich!S86</f>
        <v>76.8</v>
      </c>
      <c r="M62" s="824">
        <f ca="1">Jahresvergleich!T86</f>
        <v>73.7</v>
      </c>
      <c r="N62" s="824" t="str">
        <f ca="1">Jahresvergleich!U86</f>
        <v>-</v>
      </c>
      <c r="O62" s="824">
        <f ca="1">Jahresvergleich!V86</f>
        <v>81.7</v>
      </c>
      <c r="P62" s="824">
        <f ca="1">Jahresvergleich!W86</f>
        <v>61.4</v>
      </c>
      <c r="Q62" s="824">
        <f ca="1">Jahresvergleich!X86</f>
        <v>86.8</v>
      </c>
      <c r="R62" s="824">
        <f ca="1">Jahresvergleich!Y86</f>
        <v>81.2</v>
      </c>
      <c r="S62" s="824">
        <f ca="1">Jahresvergleich!Z86</f>
        <v>81.2</v>
      </c>
      <c r="T62" s="824">
        <f ca="1">Jahresvergleich!AA86</f>
        <v>91.6</v>
      </c>
      <c r="U62" s="824">
        <f ca="1">Jahresvergleich!AB86</f>
        <v>80.099999999999994</v>
      </c>
      <c r="V62" s="824" t="str">
        <f ca="1">Jahresvergleich!AC86</f>
        <v>/</v>
      </c>
    </row>
    <row r="63" spans="1:22" s="819" customFormat="1">
      <c r="F63" s="817"/>
      <c r="G63" s="817"/>
      <c r="H63" s="817"/>
      <c r="I63" s="817"/>
      <c r="J63" s="817"/>
      <c r="K63" s="817"/>
      <c r="L63" s="817"/>
      <c r="M63" s="817"/>
      <c r="N63" s="817"/>
    </row>
    <row r="64" spans="1:22" s="819" customFormat="1">
      <c r="F64" s="817"/>
      <c r="G64" s="817"/>
      <c r="H64" s="817"/>
      <c r="I64" s="817"/>
      <c r="J64" s="817"/>
      <c r="K64" s="817"/>
      <c r="L64" s="817"/>
      <c r="M64" s="817"/>
      <c r="N64" s="817"/>
    </row>
    <row r="65" spans="1:22" s="819" customFormat="1">
      <c r="B65" s="819" t="str">
        <f>VLOOKUP($A$2,$A$40:$O$62,2)</f>
        <v>Viehhaltung - Kühe (Milchkühe und sonstige Kühe)</v>
      </c>
      <c r="F65" s="817">
        <f ca="1">VLOOKUP($A$2,$A$40:$S$62,6)</f>
        <v>16139</v>
      </c>
      <c r="G65" s="817">
        <f ca="1">VLOOKUP($A$2,$A$40:$S$62,7)</f>
        <v>13832</v>
      </c>
      <c r="H65" s="817">
        <f ca="1">VLOOKUP($A$2,$A$40:$S$62,8)</f>
        <v>11903</v>
      </c>
      <c r="I65" s="817">
        <f ca="1">VLOOKUP($A$2,$A$40:$S$62,9)</f>
        <v>11560</v>
      </c>
      <c r="J65" s="817">
        <f ca="1">VLOOKUP($A$2,$A$40:$S$62,10)</f>
        <v>11396</v>
      </c>
      <c r="K65" s="817">
        <f ca="1">VLOOKUP($A$2,$A$40:$S$62,11)</f>
        <v>11122</v>
      </c>
      <c r="L65" s="817">
        <f ca="1">VLOOKUP($A$2,$A$40:$S$62,12)</f>
        <v>10848</v>
      </c>
      <c r="M65" s="817">
        <f ca="1">VLOOKUP($A$2,$A$40:$S$62,13)</f>
        <v>10714</v>
      </c>
      <c r="N65" s="825">
        <f ca="1">VLOOKUP($A$2,$A$40:$S$62,14)</f>
        <v>10430</v>
      </c>
      <c r="O65" s="817">
        <f ca="1">VLOOKUP($A$2,$A$40:$S$62,15)</f>
        <v>10311</v>
      </c>
      <c r="P65" s="817">
        <f ca="1">VLOOKUP($A$2,$A$40:$S$62,16)</f>
        <v>10251</v>
      </c>
      <c r="Q65" s="817">
        <f ca="1">VLOOKUP($A$2,$A$40:$S$62,17)</f>
        <v>9677</v>
      </c>
      <c r="R65" s="817">
        <f ca="1">VLOOKUP($A$2,$A$40:$S$62,18)</f>
        <v>9677</v>
      </c>
      <c r="S65" s="817">
        <f ca="1">VLOOKUP($A$2,$A$40:$S$62,19)</f>
        <v>9032</v>
      </c>
      <c r="T65" s="817">
        <f ca="1">VLOOKUP($A$2,$A$40:$T$62,20)</f>
        <v>9020</v>
      </c>
      <c r="U65" s="817">
        <f ca="1">VLOOKUP($A$2,$A$40:$U$62,20)</f>
        <v>9020</v>
      </c>
      <c r="V65" s="817">
        <f ca="1">VLOOKUP($A$2,$A$40:$V$62,20)</f>
        <v>9020</v>
      </c>
    </row>
    <row r="66" spans="1:22">
      <c r="B66" s="466" t="s">
        <v>298</v>
      </c>
      <c r="F66" s="473">
        <f>Jahresvergleich!M2</f>
        <v>2001</v>
      </c>
      <c r="G66" s="473">
        <f>Jahresvergleich!N2</f>
        <v>2007</v>
      </c>
      <c r="H66" s="473">
        <f>Jahresvergleich!O2</f>
        <v>2008</v>
      </c>
      <c r="I66" s="473">
        <f>Jahresvergleich!P2</f>
        <v>2009</v>
      </c>
      <c r="J66" s="473">
        <f>Jahresvergleich!Q2</f>
        <v>2010</v>
      </c>
      <c r="K66" s="473">
        <f>Jahresvergleich!R2</f>
        <v>2011</v>
      </c>
      <c r="L66" s="473">
        <f>Jahresvergleich!S2</f>
        <v>2012</v>
      </c>
      <c r="M66" s="473">
        <f>Jahresvergleich!T2</f>
        <v>2013</v>
      </c>
      <c r="N66" s="473">
        <f>Jahresvergleich!U2</f>
        <v>2014</v>
      </c>
      <c r="O66" s="473">
        <f>Jahresvergleich!V2</f>
        <v>2015</v>
      </c>
      <c r="P66" s="473">
        <f>Jahresvergleich!W2</f>
        <v>2016</v>
      </c>
      <c r="Q66" s="473">
        <f>Jahresvergleich!X2</f>
        <v>2017</v>
      </c>
      <c r="R66" s="473">
        <f>Jahresvergleich!Y2</f>
        <v>2018</v>
      </c>
      <c r="S66" s="473">
        <f>Jahresvergleich!Z2</f>
        <v>2019</v>
      </c>
      <c r="T66" s="473">
        <f>Jahresvergleich!AA2</f>
        <v>2020</v>
      </c>
      <c r="U66" s="473">
        <f>Jahresvergleich!AB2</f>
        <v>2021</v>
      </c>
      <c r="V66" s="473">
        <f>Jahresvergleich!AC2</f>
        <v>2022</v>
      </c>
    </row>
    <row r="70" spans="1:22" hidden="1"/>
    <row r="71" spans="1:22" hidden="1">
      <c r="B71" t="s">
        <v>485</v>
      </c>
    </row>
    <row r="72" spans="1:22" hidden="1"/>
    <row r="73" spans="1:22" hidden="1">
      <c r="A73">
        <v>22</v>
      </c>
      <c r="B73" t="str">
        <f>'Stand der Daten'!B85</f>
        <v>Flurstücke / Antrag</v>
      </c>
      <c r="F73" s="472">
        <f ca="1">Jahresvergleich!M79</f>
        <v>0</v>
      </c>
      <c r="G73" s="472">
        <f ca="1">Jahresvergleich!N79</f>
        <v>39.296954314720814</v>
      </c>
      <c r="H73" s="472">
        <f ca="1">Jahresvergleich!O79</f>
        <v>37.296954314720814</v>
      </c>
      <c r="I73" s="472">
        <f ca="1">Jahresvergleich!P79</f>
        <v>37.582901554404145</v>
      </c>
      <c r="J73" s="472">
        <f ca="1">Jahresvergleich!Q79</f>
        <v>38.027415143603136</v>
      </c>
      <c r="K73" s="472">
        <f ca="1">Jahresvergleich!R79</f>
        <v>38.537401574803148</v>
      </c>
      <c r="L73" s="472">
        <f ca="1">Jahresvergleich!S79</f>
        <v>38.439233817701457</v>
      </c>
      <c r="M73" s="472">
        <f ca="1">Jahresvergleich!T79</f>
        <v>39.022029372496661</v>
      </c>
      <c r="N73" s="472">
        <f ca="1">Jahresvergleich!U79</f>
        <v>38.400262467191602</v>
      </c>
      <c r="O73" s="472">
        <f ca="1">Jahresvergleich!V79</f>
        <v>39.86424731182796</v>
      </c>
      <c r="P73" s="472">
        <f ca="1">Jahresvergleich!W79</f>
        <v>41.874239350912781</v>
      </c>
      <c r="Q73" s="472">
        <f ca="1">Jahresvergleich!X79</f>
        <v>42.216768916155416</v>
      </c>
      <c r="R73" s="472">
        <f ca="1">Jahresvergleich!Y79</f>
        <v>23.318977119784655</v>
      </c>
      <c r="S73" s="472">
        <f ca="1">Jahresvergleich!Z79</f>
        <v>23.318977119784655</v>
      </c>
      <c r="T73" s="472">
        <f ca="1">Jahresvergleich!AA79</f>
        <v>23.88146106133701</v>
      </c>
    </row>
    <row r="74" spans="1:22" hidden="1">
      <c r="A74">
        <v>23</v>
      </c>
      <c r="B74" t="str">
        <f>'Stand der Daten'!B87</f>
        <v>Nutzungen / Antrag</v>
      </c>
      <c r="F74" s="472">
        <f ca="1">Jahresvergleich!M81</f>
        <v>0</v>
      </c>
      <c r="G74" s="472">
        <f ca="1">Jahresvergleich!N81</f>
        <v>61.482868020304565</v>
      </c>
      <c r="H74" s="472">
        <f ca="1">Jahresvergleich!O81</f>
        <v>62.076776649746193</v>
      </c>
      <c r="I74" s="472">
        <f ca="1">Jahresvergleich!P81</f>
        <v>62.341321243523318</v>
      </c>
      <c r="J74" s="472">
        <f ca="1">Jahresvergleich!Q81</f>
        <v>62.637728459530024</v>
      </c>
      <c r="K74" s="472">
        <f ca="1">Jahresvergleich!R81</f>
        <v>63.171259842519682</v>
      </c>
      <c r="L74" s="472">
        <f ca="1">Jahresvergleich!S81</f>
        <v>62.771466314398943</v>
      </c>
      <c r="M74" s="472">
        <f ca="1">Jahresvergleich!T81</f>
        <v>63.265020026702267</v>
      </c>
      <c r="N74" s="472">
        <f ca="1">Jahresvergleich!U81</f>
        <v>62.073490813648291</v>
      </c>
      <c r="O74" s="472">
        <f ca="1">Jahresvergleich!V81</f>
        <v>63.733198924731184</v>
      </c>
      <c r="P74" s="472">
        <f ca="1">Jahresvergleich!W81</f>
        <v>65.515212981744426</v>
      </c>
      <c r="Q74" s="472">
        <f ca="1">Jahresvergleich!X81</f>
        <v>66.051124744376281</v>
      </c>
      <c r="R74" s="472">
        <f ca="1">Jahresvergleich!Y81</f>
        <v>34.90040376850606</v>
      </c>
      <c r="S74" s="472">
        <f ca="1">Jahresvergleich!Z81</f>
        <v>34.90040376850606</v>
      </c>
      <c r="T74" s="472">
        <f ca="1">Jahresvergleich!AA81</f>
        <v>38.058580289455548</v>
      </c>
    </row>
  </sheetData>
  <sheetProtection algorithmName="SHA-512" hashValue="VxutFpa8Yu/akIIGgNNijqKtpZ5IZ/OrbyHwRW+VMyd3hdrhwa5rtzmVeeBtO4EB/efuYp+satWuF4HtSod2lQ==" saltValue="4rP0FrR9mFFQClrRx/SuhQ==" spinCount="100000" sheet="1" autoFilter="0"/>
  <mergeCells count="3">
    <mergeCell ref="B3:H3"/>
    <mergeCell ref="B28:H28"/>
    <mergeCell ref="B30:H30"/>
  </mergeCells>
  <hyperlinks>
    <hyperlink ref="I3" location="Strukturdaten!A1" display="Auswahl im Arbeitsblatt &lt;Strukturdaten&gt;"/>
  </hyperlinks>
  <printOptions horizontalCentered="1"/>
  <pageMargins left="0.59055118110236227" right="0.59055118110236227" top="0.59055118110236227" bottom="0.59055118110236227" header="0.31496062992125984" footer="0.39370078740157483"/>
  <pageSetup paperSize="9" scale="1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8242" r:id="rId4" name="Drop Down 2">
              <controlPr defaultSize="0" print="0" autoLine="0" autoPict="0">
                <anchor moveWithCells="1">
                  <from>
                    <xdr:col>1</xdr:col>
                    <xdr:colOff>0</xdr:colOff>
                    <xdr:row>1</xdr:row>
                    <xdr:rowOff>19050</xdr:rowOff>
                  </from>
                  <to>
                    <xdr:col>6</xdr:col>
                    <xdr:colOff>0</xdr:colOff>
                    <xdr:row>1</xdr:row>
                    <xdr:rowOff>276225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CX154"/>
  <sheetViews>
    <sheetView zoomScaleNormal="100" workbookViewId="0">
      <pane xSplit="5" ySplit="4" topLeftCell="F50" activePane="bottomRight" state="frozen"/>
      <selection activeCell="P47" sqref="P47"/>
      <selection pane="topRight" activeCell="P47" sqref="P47"/>
      <selection pane="bottomLeft" activeCell="P47" sqref="P47"/>
      <selection pane="bottomRight" activeCell="BO62" sqref="BO62:BO63"/>
    </sheetView>
  </sheetViews>
  <sheetFormatPr baseColWidth="10" defaultRowHeight="12.75"/>
  <cols>
    <col min="1" max="1" width="4" customWidth="1"/>
    <col min="2" max="2" width="39" style="58" customWidth="1"/>
    <col min="3" max="3" width="6.85546875" style="198" customWidth="1"/>
    <col min="4" max="4" width="12.5703125" customWidth="1"/>
    <col min="5" max="5" width="13.140625" style="457" customWidth="1"/>
    <col min="6" max="87" width="11.42578125" style="126" customWidth="1"/>
    <col min="88" max="88" width="13.5703125" style="126" customWidth="1"/>
    <col min="89" max="89" width="11.42578125" style="126" customWidth="1"/>
    <col min="90" max="90" width="17.85546875" style="126" customWidth="1"/>
  </cols>
  <sheetData>
    <row r="1" spans="1:95" ht="13.5" thickBot="1">
      <c r="B1" s="70" t="s">
        <v>187</v>
      </c>
      <c r="E1" s="809" t="s">
        <v>482</v>
      </c>
    </row>
    <row r="2" spans="1:95">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5">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5">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5">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5">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5">
      <c r="A7" s="80">
        <f>ROWS($A$3:A5)</f>
        <v>3</v>
      </c>
      <c r="B7" s="92" t="s">
        <v>60</v>
      </c>
      <c r="C7" s="584">
        <v>2020</v>
      </c>
      <c r="D7" s="259" t="s">
        <v>1</v>
      </c>
      <c r="E7" s="705">
        <v>44491</v>
      </c>
      <c r="F7" s="154">
        <f t="shared" ref="F7:F13" si="0">SUM(AT7:BF7)</f>
        <v>1055684</v>
      </c>
      <c r="G7" s="155">
        <f t="shared" ref="G7:G13" si="1">SUM(BG7:BR7)</f>
        <v>691760</v>
      </c>
      <c r="H7" s="155">
        <f t="shared" ref="H7:H13" si="2">SUM(BS7:CB7)</f>
        <v>935635</v>
      </c>
      <c r="I7" s="156">
        <f t="shared" ref="I7:I13" si="3">SUM(CC7:CK7)</f>
        <v>891699</v>
      </c>
      <c r="J7" s="155"/>
      <c r="K7" s="154">
        <f t="shared" ref="K7:K20" si="4">BF7</f>
        <v>151139</v>
      </c>
      <c r="L7" s="155">
        <f t="shared" ref="L7:L20" si="5">AY7</f>
        <v>85808</v>
      </c>
      <c r="M7" s="155">
        <f t="shared" ref="M7:M20" si="6">BD7</f>
        <v>130412</v>
      </c>
      <c r="N7" s="155">
        <f t="shared" ref="N7:N20" si="7">AW7</f>
        <v>64234</v>
      </c>
      <c r="O7" s="155">
        <f t="shared" ref="O7:O20" si="8">BE7</f>
        <v>62714</v>
      </c>
      <c r="P7" s="155">
        <f>'2021'!AZ7+'2021'!BA7</f>
        <v>119981</v>
      </c>
      <c r="Q7" s="155">
        <f>'2021'!AU7</f>
        <v>61776</v>
      </c>
      <c r="R7" s="155">
        <f>AT7+AX7</f>
        <v>89409</v>
      </c>
      <c r="S7" s="155">
        <f t="shared" ref="S7:S20" si="9">AV7</f>
        <v>64128</v>
      </c>
      <c r="T7" s="155">
        <f t="shared" ref="T7:U20" si="10">BB7</f>
        <v>77676</v>
      </c>
      <c r="U7" s="552">
        <f t="shared" si="10"/>
        <v>148407</v>
      </c>
      <c r="V7" s="155">
        <f t="shared" ref="V7:V13" si="11">BG7+BJ7</f>
        <v>87862</v>
      </c>
      <c r="W7" s="155">
        <f t="shared" ref="W7:W20" si="12">BR7</f>
        <v>87040</v>
      </c>
      <c r="X7" s="155">
        <f t="shared" ref="X7:X13" si="13">BH7+BI7</f>
        <v>125840</v>
      </c>
      <c r="Y7" s="155">
        <f t="shared" ref="Y7:Y13" si="14">BK7+BL7+BN7</f>
        <v>131535</v>
      </c>
      <c r="Z7" s="155">
        <f t="shared" ref="Z7:Z20" si="15">BM7</f>
        <v>112595</v>
      </c>
      <c r="AA7" s="155">
        <f t="shared" ref="AA7:AA12" si="16">BO7+BQ7</f>
        <v>67159</v>
      </c>
      <c r="AB7" s="552">
        <f t="shared" ref="AB7:AB20" si="17">BP7</f>
        <v>79729</v>
      </c>
      <c r="AC7" s="155">
        <f t="shared" ref="AC7:AC20" si="18">BX7</f>
        <v>102534</v>
      </c>
      <c r="AD7" s="155">
        <f t="shared" ref="AD7:AD20" si="19">BU7</f>
        <v>67980</v>
      </c>
      <c r="AE7" s="155">
        <f t="shared" ref="AE7:AE13" si="20">BS7+BT7</f>
        <v>153136</v>
      </c>
      <c r="AF7" s="155">
        <f t="shared" ref="AF7:AF20" si="21">CA7</f>
        <v>80666</v>
      </c>
      <c r="AG7" s="155">
        <f t="shared" ref="AG7:AG20" si="22">BV7</f>
        <v>186029</v>
      </c>
      <c r="AH7" s="155">
        <f t="shared" ref="AH7:AH20" si="23">BZ7</f>
        <v>81798</v>
      </c>
      <c r="AI7" s="155">
        <f t="shared" ref="AI7:AI20" si="24">BW7</f>
        <v>76942</v>
      </c>
      <c r="AJ7" s="155">
        <f t="shared" ref="AJ7:AJ20" si="25">BY7</f>
        <v>73438</v>
      </c>
      <c r="AK7" s="552">
        <f t="shared" ref="AK7:AK20" si="26">CB7</f>
        <v>113112</v>
      </c>
      <c r="AL7" s="155">
        <f t="shared" ref="AL7:AL20" si="27">CE7</f>
        <v>91758</v>
      </c>
      <c r="AM7" s="155">
        <f t="shared" ref="AM7:AM20" si="28">CH7</f>
        <v>140952</v>
      </c>
      <c r="AN7" s="155">
        <f t="shared" ref="AN7:AN20" si="29">CJ7</f>
        <v>163208</v>
      </c>
      <c r="AO7" s="155">
        <f t="shared" ref="AO7:AP20" si="30">CC7</f>
        <v>109248</v>
      </c>
      <c r="AP7" s="155">
        <f t="shared" si="30"/>
        <v>51911</v>
      </c>
      <c r="AQ7" s="155">
        <f t="shared" ref="AQ7:AQ20" si="31">CK7</f>
        <v>120423</v>
      </c>
      <c r="AR7" s="155">
        <f t="shared" ref="AR7:AR20" si="32">CI7</f>
        <v>66477</v>
      </c>
      <c r="AS7" s="156">
        <f t="shared" ref="AS7:AS13" si="33">CF7+CG7</f>
        <v>147722</v>
      </c>
      <c r="AT7" s="534">
        <v>20732</v>
      </c>
      <c r="AU7" s="534">
        <v>61776</v>
      </c>
      <c r="AV7" s="534">
        <v>64128</v>
      </c>
      <c r="AW7" s="534">
        <v>64234</v>
      </c>
      <c r="AX7" s="534">
        <v>68677</v>
      </c>
      <c r="AY7" s="534">
        <v>85808</v>
      </c>
      <c r="AZ7" s="534">
        <v>9990</v>
      </c>
      <c r="BA7" s="534">
        <v>109991</v>
      </c>
      <c r="BB7" s="534">
        <v>77676</v>
      </c>
      <c r="BC7" s="534">
        <v>148407</v>
      </c>
      <c r="BD7" s="534">
        <v>130412</v>
      </c>
      <c r="BE7" s="534">
        <v>62714</v>
      </c>
      <c r="BF7" s="557">
        <v>151139</v>
      </c>
      <c r="BG7" s="534">
        <v>14019</v>
      </c>
      <c r="BH7" s="534">
        <v>17342</v>
      </c>
      <c r="BI7" s="534">
        <v>108498</v>
      </c>
      <c r="BJ7" s="534">
        <v>73843</v>
      </c>
      <c r="BK7" s="534">
        <v>10883</v>
      </c>
      <c r="BL7" s="534">
        <v>14497</v>
      </c>
      <c r="BM7" s="534">
        <v>112595</v>
      </c>
      <c r="BN7" s="534">
        <v>106155</v>
      </c>
      <c r="BO7" s="534">
        <v>9799</v>
      </c>
      <c r="BP7" s="534">
        <v>79729</v>
      </c>
      <c r="BQ7" s="534">
        <v>57360</v>
      </c>
      <c r="BR7" s="557">
        <v>87040</v>
      </c>
      <c r="BS7" s="534">
        <v>15304</v>
      </c>
      <c r="BT7" s="534">
        <v>137832</v>
      </c>
      <c r="BU7" s="534">
        <v>67980</v>
      </c>
      <c r="BV7" s="534">
        <v>186029</v>
      </c>
      <c r="BW7" s="534">
        <v>76942</v>
      </c>
      <c r="BX7" s="534">
        <v>102534</v>
      </c>
      <c r="BY7" s="534">
        <v>73438</v>
      </c>
      <c r="BZ7" s="534">
        <v>81798</v>
      </c>
      <c r="CA7" s="534">
        <v>80666</v>
      </c>
      <c r="CB7" s="557">
        <v>113112</v>
      </c>
      <c r="CC7" s="534">
        <v>109248</v>
      </c>
      <c r="CD7" s="534">
        <v>51911</v>
      </c>
      <c r="CE7" s="534">
        <v>91758</v>
      </c>
      <c r="CF7" s="534">
        <v>11868</v>
      </c>
      <c r="CG7" s="534">
        <v>135854</v>
      </c>
      <c r="CH7" s="534">
        <v>140952</v>
      </c>
      <c r="CI7" s="534">
        <v>66477</v>
      </c>
      <c r="CJ7" s="534">
        <v>163208</v>
      </c>
      <c r="CK7" s="534">
        <v>120423</v>
      </c>
      <c r="CL7" s="553">
        <v>3574782</v>
      </c>
      <c r="CM7" s="101"/>
    </row>
    <row r="8" spans="1:95" ht="14.25">
      <c r="A8" s="80">
        <f>ROWS($A$3:A6)</f>
        <v>4</v>
      </c>
      <c r="B8" s="92" t="s">
        <v>387</v>
      </c>
      <c r="C8" s="203"/>
      <c r="D8" s="259" t="s">
        <v>1</v>
      </c>
      <c r="E8" s="705">
        <v>44491</v>
      </c>
      <c r="F8" s="154">
        <f t="shared" si="0"/>
        <v>178649</v>
      </c>
      <c r="G8" s="155">
        <f t="shared" si="1"/>
        <v>116452</v>
      </c>
      <c r="H8" s="155">
        <f t="shared" si="2"/>
        <v>116458</v>
      </c>
      <c r="I8" s="156">
        <f t="shared" si="3"/>
        <v>114118</v>
      </c>
      <c r="J8" s="155"/>
      <c r="K8" s="154">
        <f t="shared" si="4"/>
        <v>20040</v>
      </c>
      <c r="L8" s="155">
        <f t="shared" si="5"/>
        <v>15460</v>
      </c>
      <c r="M8" s="155">
        <f t="shared" si="6"/>
        <v>14361</v>
      </c>
      <c r="N8" s="155">
        <f t="shared" si="7"/>
        <v>10799</v>
      </c>
      <c r="O8" s="155">
        <f t="shared" si="8"/>
        <v>8130</v>
      </c>
      <c r="P8" s="155">
        <f>'2021'!AZ8+'2021'!BA8</f>
        <v>23264</v>
      </c>
      <c r="Q8" s="155">
        <f>'2021'!AU8</f>
        <v>14228</v>
      </c>
      <c r="R8" s="155">
        <f>AT8+AX8</f>
        <v>27905</v>
      </c>
      <c r="S8" s="155">
        <f t="shared" si="9"/>
        <v>16018</v>
      </c>
      <c r="T8" s="155">
        <f t="shared" si="10"/>
        <v>10562</v>
      </c>
      <c r="U8" s="552">
        <f t="shared" si="10"/>
        <v>17882</v>
      </c>
      <c r="V8" s="155">
        <f t="shared" si="11"/>
        <v>12754</v>
      </c>
      <c r="W8" s="155">
        <f t="shared" si="12"/>
        <v>8610</v>
      </c>
      <c r="X8" s="155">
        <f t="shared" si="13"/>
        <v>28029</v>
      </c>
      <c r="Y8" s="155">
        <f t="shared" si="14"/>
        <v>33040</v>
      </c>
      <c r="Z8" s="155">
        <f t="shared" si="15"/>
        <v>12329</v>
      </c>
      <c r="AA8" s="155">
        <f t="shared" si="16"/>
        <v>12488</v>
      </c>
      <c r="AB8" s="552">
        <f t="shared" si="17"/>
        <v>9202</v>
      </c>
      <c r="AC8" s="155">
        <f t="shared" si="18"/>
        <v>12084</v>
      </c>
      <c r="AD8" s="155">
        <f t="shared" si="19"/>
        <v>7760</v>
      </c>
      <c r="AE8" s="155">
        <f t="shared" si="20"/>
        <v>19707</v>
      </c>
      <c r="AF8" s="155">
        <f t="shared" si="21"/>
        <v>10514</v>
      </c>
      <c r="AG8" s="155">
        <f t="shared" si="22"/>
        <v>22515</v>
      </c>
      <c r="AH8" s="155">
        <f t="shared" si="23"/>
        <v>12995</v>
      </c>
      <c r="AI8" s="155">
        <f t="shared" si="24"/>
        <v>10174</v>
      </c>
      <c r="AJ8" s="155">
        <f t="shared" si="25"/>
        <v>8872</v>
      </c>
      <c r="AK8" s="552">
        <f t="shared" si="26"/>
        <v>11837</v>
      </c>
      <c r="AL8" s="155">
        <f t="shared" si="27"/>
        <v>12530</v>
      </c>
      <c r="AM8" s="155">
        <f t="shared" si="28"/>
        <v>17119</v>
      </c>
      <c r="AN8" s="155">
        <f t="shared" si="29"/>
        <v>17819</v>
      </c>
      <c r="AO8" s="155">
        <f t="shared" si="30"/>
        <v>14663</v>
      </c>
      <c r="AP8" s="155">
        <f t="shared" si="30"/>
        <v>9503</v>
      </c>
      <c r="AQ8" s="155">
        <f t="shared" si="31"/>
        <v>12308</v>
      </c>
      <c r="AR8" s="155">
        <f t="shared" si="32"/>
        <v>10068</v>
      </c>
      <c r="AS8" s="156">
        <f t="shared" si="33"/>
        <v>20108</v>
      </c>
      <c r="AT8" s="534">
        <v>10728</v>
      </c>
      <c r="AU8" s="534">
        <v>14228</v>
      </c>
      <c r="AV8" s="534">
        <v>16018</v>
      </c>
      <c r="AW8" s="534">
        <v>10799</v>
      </c>
      <c r="AX8" s="534">
        <v>17177</v>
      </c>
      <c r="AY8" s="534">
        <v>15460</v>
      </c>
      <c r="AZ8" s="534">
        <v>3616</v>
      </c>
      <c r="BA8" s="534">
        <v>19648</v>
      </c>
      <c r="BB8" s="534">
        <v>10562</v>
      </c>
      <c r="BC8" s="534">
        <v>17882</v>
      </c>
      <c r="BD8" s="534">
        <v>14361</v>
      </c>
      <c r="BE8" s="534">
        <v>8130</v>
      </c>
      <c r="BF8" s="557">
        <v>20040</v>
      </c>
      <c r="BG8" s="534">
        <v>2080</v>
      </c>
      <c r="BH8" s="534">
        <v>8097</v>
      </c>
      <c r="BI8" s="534">
        <v>19932</v>
      </c>
      <c r="BJ8" s="534">
        <v>10674</v>
      </c>
      <c r="BK8" s="534">
        <v>3315</v>
      </c>
      <c r="BL8" s="534">
        <v>8436</v>
      </c>
      <c r="BM8" s="534">
        <v>12329</v>
      </c>
      <c r="BN8" s="534">
        <v>21289</v>
      </c>
      <c r="BO8" s="534">
        <v>3051</v>
      </c>
      <c r="BP8" s="534">
        <v>9202</v>
      </c>
      <c r="BQ8" s="534">
        <v>9437</v>
      </c>
      <c r="BR8" s="557">
        <v>8610</v>
      </c>
      <c r="BS8" s="534">
        <v>4949</v>
      </c>
      <c r="BT8" s="534">
        <v>14758</v>
      </c>
      <c r="BU8" s="534">
        <v>7760</v>
      </c>
      <c r="BV8" s="534">
        <v>22515</v>
      </c>
      <c r="BW8" s="534">
        <v>10174</v>
      </c>
      <c r="BX8" s="534">
        <v>12084</v>
      </c>
      <c r="BY8" s="534">
        <v>8872</v>
      </c>
      <c r="BZ8" s="534">
        <v>12995</v>
      </c>
      <c r="CA8" s="534">
        <v>10514</v>
      </c>
      <c r="CB8" s="557">
        <v>11837</v>
      </c>
      <c r="CC8" s="534">
        <v>14663</v>
      </c>
      <c r="CD8" s="534">
        <v>9503</v>
      </c>
      <c r="CE8" s="534">
        <v>12530</v>
      </c>
      <c r="CF8" s="534">
        <v>3933</v>
      </c>
      <c r="CG8" s="534">
        <v>16175</v>
      </c>
      <c r="CH8" s="534">
        <v>17119</v>
      </c>
      <c r="CI8" s="534">
        <v>10068</v>
      </c>
      <c r="CJ8" s="534">
        <v>17819</v>
      </c>
      <c r="CK8" s="534">
        <v>12308</v>
      </c>
      <c r="CL8" s="320">
        <v>525676</v>
      </c>
    </row>
    <row r="9" spans="1:95">
      <c r="A9" s="80">
        <f>ROWS($A$3:A7)</f>
        <v>5</v>
      </c>
      <c r="B9" s="92" t="s">
        <v>0</v>
      </c>
      <c r="C9" s="203"/>
      <c r="D9" s="259" t="s">
        <v>1</v>
      </c>
      <c r="E9" s="705">
        <v>44491</v>
      </c>
      <c r="F9" s="154">
        <f t="shared" si="0"/>
        <v>524483</v>
      </c>
      <c r="G9" s="155">
        <f t="shared" si="1"/>
        <v>248946</v>
      </c>
      <c r="H9" s="155">
        <f t="shared" si="2"/>
        <v>367160</v>
      </c>
      <c r="I9" s="156">
        <f t="shared" si="3"/>
        <v>468534</v>
      </c>
      <c r="J9" s="155"/>
      <c r="K9" s="154">
        <f t="shared" si="4"/>
        <v>69960</v>
      </c>
      <c r="L9" s="155">
        <f t="shared" si="5"/>
        <v>35693</v>
      </c>
      <c r="M9" s="155">
        <f t="shared" si="6"/>
        <v>75087</v>
      </c>
      <c r="N9" s="155">
        <f t="shared" si="7"/>
        <v>31918</v>
      </c>
      <c r="O9" s="155">
        <f t="shared" si="8"/>
        <v>26439</v>
      </c>
      <c r="P9" s="155">
        <f>'2021'!AZ9+'2021'!BA9</f>
        <v>64997</v>
      </c>
      <c r="Q9" s="155">
        <f>'2021'!AU9</f>
        <v>25371</v>
      </c>
      <c r="R9" s="155">
        <f t="shared" ref="R9:R16" si="34">AT9+AX9</f>
        <v>42010</v>
      </c>
      <c r="S9" s="155">
        <f t="shared" si="9"/>
        <v>28246</v>
      </c>
      <c r="T9" s="155">
        <f t="shared" si="10"/>
        <v>43729</v>
      </c>
      <c r="U9" s="552">
        <f t="shared" si="10"/>
        <v>81033</v>
      </c>
      <c r="V9" s="155">
        <f t="shared" si="11"/>
        <v>25572</v>
      </c>
      <c r="W9" s="155">
        <f t="shared" si="12"/>
        <v>22613</v>
      </c>
      <c r="X9" s="155">
        <f t="shared" si="13"/>
        <v>51945</v>
      </c>
      <c r="Y9" s="155">
        <f t="shared" si="14"/>
        <v>50385</v>
      </c>
      <c r="Z9" s="155">
        <f t="shared" si="15"/>
        <v>51267</v>
      </c>
      <c r="AA9" s="155">
        <f t="shared" si="16"/>
        <v>26755</v>
      </c>
      <c r="AB9" s="552">
        <f t="shared" si="17"/>
        <v>20409</v>
      </c>
      <c r="AC9" s="155">
        <f t="shared" si="18"/>
        <v>42123</v>
      </c>
      <c r="AD9" s="155">
        <f t="shared" si="19"/>
        <v>27224</v>
      </c>
      <c r="AE9" s="155">
        <f t="shared" si="20"/>
        <v>57643</v>
      </c>
      <c r="AF9" s="155">
        <f t="shared" si="21"/>
        <v>27283</v>
      </c>
      <c r="AG9" s="155">
        <f t="shared" si="22"/>
        <v>69847</v>
      </c>
      <c r="AH9" s="155">
        <f t="shared" si="23"/>
        <v>39896</v>
      </c>
      <c r="AI9" s="155">
        <f t="shared" si="24"/>
        <v>32517</v>
      </c>
      <c r="AJ9" s="155">
        <f t="shared" si="25"/>
        <v>26964</v>
      </c>
      <c r="AK9" s="552">
        <f t="shared" si="26"/>
        <v>43663</v>
      </c>
      <c r="AL9" s="155">
        <f t="shared" si="27"/>
        <v>40575</v>
      </c>
      <c r="AM9" s="155">
        <f t="shared" si="28"/>
        <v>81078</v>
      </c>
      <c r="AN9" s="155">
        <f t="shared" si="29"/>
        <v>93829</v>
      </c>
      <c r="AO9" s="155">
        <f t="shared" si="30"/>
        <v>51515</v>
      </c>
      <c r="AP9" s="155">
        <f t="shared" si="30"/>
        <v>23565</v>
      </c>
      <c r="AQ9" s="155">
        <f t="shared" si="31"/>
        <v>59191</v>
      </c>
      <c r="AR9" s="155">
        <f t="shared" si="32"/>
        <v>36629</v>
      </c>
      <c r="AS9" s="156">
        <f t="shared" si="33"/>
        <v>82152</v>
      </c>
      <c r="AT9" s="534">
        <v>4709</v>
      </c>
      <c r="AU9" s="534">
        <v>25371</v>
      </c>
      <c r="AV9" s="534">
        <v>28246</v>
      </c>
      <c r="AW9" s="534">
        <v>31918</v>
      </c>
      <c r="AX9" s="534">
        <v>37301</v>
      </c>
      <c r="AY9" s="534">
        <v>35693</v>
      </c>
      <c r="AZ9" s="534">
        <v>4653</v>
      </c>
      <c r="BA9" s="534">
        <v>60344</v>
      </c>
      <c r="BB9" s="534">
        <v>43729</v>
      </c>
      <c r="BC9" s="534">
        <v>81033</v>
      </c>
      <c r="BD9" s="534">
        <v>75087</v>
      </c>
      <c r="BE9" s="534">
        <v>26439</v>
      </c>
      <c r="BF9" s="557">
        <v>69960</v>
      </c>
      <c r="BG9" s="534">
        <v>3099</v>
      </c>
      <c r="BH9" s="534">
        <v>3916</v>
      </c>
      <c r="BI9" s="534">
        <v>48029</v>
      </c>
      <c r="BJ9" s="534">
        <v>22473</v>
      </c>
      <c r="BK9" s="534">
        <v>2863</v>
      </c>
      <c r="BL9" s="534">
        <v>3447</v>
      </c>
      <c r="BM9" s="534">
        <v>51267</v>
      </c>
      <c r="BN9" s="534">
        <v>44075</v>
      </c>
      <c r="BO9" s="534">
        <v>1636</v>
      </c>
      <c r="BP9" s="534">
        <v>20409</v>
      </c>
      <c r="BQ9" s="534">
        <v>25119</v>
      </c>
      <c r="BR9" s="557">
        <v>22613</v>
      </c>
      <c r="BS9" s="534">
        <v>3464</v>
      </c>
      <c r="BT9" s="534">
        <v>54179</v>
      </c>
      <c r="BU9" s="534">
        <v>27224</v>
      </c>
      <c r="BV9" s="534">
        <v>69847</v>
      </c>
      <c r="BW9" s="534">
        <v>32517</v>
      </c>
      <c r="BX9" s="534">
        <v>42123</v>
      </c>
      <c r="BY9" s="534">
        <v>26964</v>
      </c>
      <c r="BZ9" s="534">
        <v>39896</v>
      </c>
      <c r="CA9" s="534">
        <v>27283</v>
      </c>
      <c r="CB9" s="557">
        <v>43663</v>
      </c>
      <c r="CC9" s="534">
        <v>51515</v>
      </c>
      <c r="CD9" s="534">
        <v>23565</v>
      </c>
      <c r="CE9" s="534">
        <v>40575</v>
      </c>
      <c r="CF9" s="534">
        <v>5344</v>
      </c>
      <c r="CG9" s="534">
        <v>76808</v>
      </c>
      <c r="CH9" s="534">
        <v>81078</v>
      </c>
      <c r="CI9" s="534">
        <v>36629</v>
      </c>
      <c r="CJ9" s="534">
        <v>93829</v>
      </c>
      <c r="CK9" s="534">
        <v>59191</v>
      </c>
      <c r="CL9" s="320">
        <v>1609124</v>
      </c>
      <c r="CM9" s="422"/>
    </row>
    <row r="10" spans="1:95">
      <c r="A10" s="80">
        <f>ROWS($A$3:A8)</f>
        <v>6</v>
      </c>
      <c r="B10" s="92" t="s">
        <v>202</v>
      </c>
      <c r="C10" s="203"/>
      <c r="D10" s="259" t="s">
        <v>1</v>
      </c>
      <c r="E10" s="705">
        <v>44491</v>
      </c>
      <c r="F10" s="154">
        <f t="shared" si="0"/>
        <v>331373</v>
      </c>
      <c r="G10" s="155">
        <f t="shared" si="1"/>
        <v>306834</v>
      </c>
      <c r="H10" s="155">
        <f t="shared" si="2"/>
        <v>427608</v>
      </c>
      <c r="I10" s="156">
        <f t="shared" si="3"/>
        <v>286989</v>
      </c>
      <c r="J10" s="155"/>
      <c r="K10" s="154">
        <f t="shared" si="4"/>
        <v>58567</v>
      </c>
      <c r="L10" s="155">
        <f t="shared" si="5"/>
        <v>33519</v>
      </c>
      <c r="M10" s="155">
        <f t="shared" si="6"/>
        <v>38039</v>
      </c>
      <c r="N10" s="155">
        <f t="shared" si="7"/>
        <v>20423</v>
      </c>
      <c r="O10" s="155">
        <f t="shared" si="8"/>
        <v>26877</v>
      </c>
      <c r="P10" s="155">
        <f>'2021'!AZ10+'2021'!BA10</f>
        <v>29107</v>
      </c>
      <c r="Q10" s="155">
        <f>'2021'!AU10</f>
        <v>21167</v>
      </c>
      <c r="R10" s="155">
        <f t="shared" si="34"/>
        <v>17235</v>
      </c>
      <c r="S10" s="155">
        <f t="shared" si="9"/>
        <v>18574</v>
      </c>
      <c r="T10" s="155">
        <f t="shared" si="10"/>
        <v>21272</v>
      </c>
      <c r="U10" s="552">
        <f t="shared" si="10"/>
        <v>46593</v>
      </c>
      <c r="V10" s="155">
        <f t="shared" si="11"/>
        <v>45548</v>
      </c>
      <c r="W10" s="155">
        <f t="shared" si="12"/>
        <v>54166</v>
      </c>
      <c r="X10" s="155">
        <f t="shared" si="13"/>
        <v>40777</v>
      </c>
      <c r="Y10" s="155">
        <f t="shared" si="14"/>
        <v>43735</v>
      </c>
      <c r="Z10" s="155">
        <f t="shared" si="15"/>
        <v>46853</v>
      </c>
      <c r="AA10" s="155">
        <f t="shared" si="16"/>
        <v>26823</v>
      </c>
      <c r="AB10" s="552">
        <f t="shared" si="17"/>
        <v>48932</v>
      </c>
      <c r="AC10" s="155">
        <f t="shared" si="18"/>
        <v>46694</v>
      </c>
      <c r="AD10" s="155">
        <f t="shared" si="19"/>
        <v>30952</v>
      </c>
      <c r="AE10" s="155">
        <f t="shared" si="20"/>
        <v>71311</v>
      </c>
      <c r="AF10" s="155">
        <f t="shared" si="21"/>
        <v>40593</v>
      </c>
      <c r="AG10" s="155">
        <f t="shared" si="22"/>
        <v>87434</v>
      </c>
      <c r="AH10" s="155">
        <f t="shared" si="23"/>
        <v>26780</v>
      </c>
      <c r="AI10" s="155">
        <f t="shared" si="24"/>
        <v>32701</v>
      </c>
      <c r="AJ10" s="155">
        <f t="shared" si="25"/>
        <v>36516</v>
      </c>
      <c r="AK10" s="552">
        <f t="shared" si="26"/>
        <v>54627</v>
      </c>
      <c r="AL10" s="155">
        <f t="shared" si="27"/>
        <v>37064</v>
      </c>
      <c r="AM10" s="155">
        <f t="shared" si="28"/>
        <v>39423</v>
      </c>
      <c r="AN10" s="155">
        <f t="shared" si="29"/>
        <v>45481</v>
      </c>
      <c r="AO10" s="155">
        <f t="shared" si="30"/>
        <v>40538</v>
      </c>
      <c r="AP10" s="155">
        <f t="shared" si="30"/>
        <v>17764</v>
      </c>
      <c r="AQ10" s="155">
        <f t="shared" si="31"/>
        <v>46161</v>
      </c>
      <c r="AR10" s="155">
        <f t="shared" si="32"/>
        <v>18488</v>
      </c>
      <c r="AS10" s="156">
        <f t="shared" si="33"/>
        <v>42070</v>
      </c>
      <c r="AT10" s="534">
        <v>4877</v>
      </c>
      <c r="AU10" s="534">
        <v>21167</v>
      </c>
      <c r="AV10" s="534">
        <v>18574</v>
      </c>
      <c r="AW10" s="534">
        <v>20423</v>
      </c>
      <c r="AX10" s="534">
        <v>12358</v>
      </c>
      <c r="AY10" s="534">
        <v>33519</v>
      </c>
      <c r="AZ10" s="534">
        <v>1346</v>
      </c>
      <c r="BA10" s="534">
        <v>27761</v>
      </c>
      <c r="BB10" s="534">
        <v>21272</v>
      </c>
      <c r="BC10" s="534">
        <v>46593</v>
      </c>
      <c r="BD10" s="534">
        <v>38039</v>
      </c>
      <c r="BE10" s="534">
        <v>26877</v>
      </c>
      <c r="BF10" s="557">
        <v>58567</v>
      </c>
      <c r="BG10" s="534">
        <v>8525</v>
      </c>
      <c r="BH10" s="534">
        <v>4446</v>
      </c>
      <c r="BI10" s="534">
        <v>36331</v>
      </c>
      <c r="BJ10" s="534">
        <v>37023</v>
      </c>
      <c r="BK10" s="534">
        <v>4384</v>
      </c>
      <c r="BL10" s="534">
        <v>1735</v>
      </c>
      <c r="BM10" s="534">
        <v>46853</v>
      </c>
      <c r="BN10" s="534">
        <v>37616</v>
      </c>
      <c r="BO10" s="534">
        <v>5006</v>
      </c>
      <c r="BP10" s="534">
        <v>48932</v>
      </c>
      <c r="BQ10" s="534">
        <v>21817</v>
      </c>
      <c r="BR10" s="557">
        <v>54166</v>
      </c>
      <c r="BS10" s="534">
        <v>6533</v>
      </c>
      <c r="BT10" s="534">
        <v>64778</v>
      </c>
      <c r="BU10" s="534">
        <v>30952</v>
      </c>
      <c r="BV10" s="534">
        <v>87434</v>
      </c>
      <c r="BW10" s="534">
        <v>32701</v>
      </c>
      <c r="BX10" s="534">
        <v>46694</v>
      </c>
      <c r="BY10" s="534">
        <v>36516</v>
      </c>
      <c r="BZ10" s="534">
        <v>26780</v>
      </c>
      <c r="CA10" s="534">
        <v>40593</v>
      </c>
      <c r="CB10" s="557">
        <v>54627</v>
      </c>
      <c r="CC10" s="534">
        <v>40538</v>
      </c>
      <c r="CD10" s="534">
        <v>17764</v>
      </c>
      <c r="CE10" s="534">
        <v>37064</v>
      </c>
      <c r="CF10" s="534">
        <v>2229</v>
      </c>
      <c r="CG10" s="534">
        <v>39841</v>
      </c>
      <c r="CH10" s="534">
        <v>39423</v>
      </c>
      <c r="CI10" s="534">
        <v>18488</v>
      </c>
      <c r="CJ10" s="534">
        <v>45481</v>
      </c>
      <c r="CK10" s="534">
        <v>46161</v>
      </c>
      <c r="CL10" s="320">
        <v>1352803</v>
      </c>
      <c r="CM10" s="422"/>
    </row>
    <row r="11" spans="1:95">
      <c r="A11" s="80">
        <f>ROWS($A$3:A9)</f>
        <v>7</v>
      </c>
      <c r="B11" s="92" t="s">
        <v>2</v>
      </c>
      <c r="C11" s="203"/>
      <c r="D11" s="259" t="s">
        <v>1</v>
      </c>
      <c r="E11" s="705">
        <v>44491</v>
      </c>
      <c r="F11" s="154">
        <f t="shared" si="0"/>
        <v>9130</v>
      </c>
      <c r="G11" s="155">
        <f t="shared" si="1"/>
        <v>10188</v>
      </c>
      <c r="H11" s="155">
        <f t="shared" si="2"/>
        <v>11903</v>
      </c>
      <c r="I11" s="156">
        <f t="shared" si="3"/>
        <v>7997</v>
      </c>
      <c r="J11" s="155"/>
      <c r="K11" s="154">
        <f t="shared" si="4"/>
        <v>1170</v>
      </c>
      <c r="L11" s="155">
        <f t="shared" si="5"/>
        <v>539</v>
      </c>
      <c r="M11" s="155">
        <f t="shared" si="6"/>
        <v>1069</v>
      </c>
      <c r="N11" s="155">
        <f t="shared" si="7"/>
        <v>297</v>
      </c>
      <c r="O11" s="155">
        <f t="shared" si="8"/>
        <v>258</v>
      </c>
      <c r="P11" s="155">
        <f>'2021'!AZ11+'2021'!BA11</f>
        <v>1484</v>
      </c>
      <c r="Q11" s="155">
        <f>'2021'!AU11</f>
        <v>259</v>
      </c>
      <c r="R11" s="155">
        <f t="shared" si="34"/>
        <v>1203</v>
      </c>
      <c r="S11" s="155">
        <f t="shared" si="9"/>
        <v>612</v>
      </c>
      <c r="T11" s="155">
        <f t="shared" si="10"/>
        <v>845</v>
      </c>
      <c r="U11" s="552">
        <f t="shared" si="10"/>
        <v>1394</v>
      </c>
      <c r="V11" s="155">
        <f t="shared" si="11"/>
        <v>2358</v>
      </c>
      <c r="W11" s="155">
        <f t="shared" si="12"/>
        <v>523</v>
      </c>
      <c r="X11" s="155">
        <f t="shared" si="13"/>
        <v>3111</v>
      </c>
      <c r="Y11" s="155">
        <f t="shared" si="14"/>
        <v>2680</v>
      </c>
      <c r="Z11" s="155">
        <f t="shared" si="15"/>
        <v>777</v>
      </c>
      <c r="AA11" s="155">
        <f t="shared" si="16"/>
        <v>412</v>
      </c>
      <c r="AB11" s="552">
        <f t="shared" si="17"/>
        <v>327</v>
      </c>
      <c r="AC11" s="155">
        <f t="shared" si="18"/>
        <v>683</v>
      </c>
      <c r="AD11" s="155">
        <f t="shared" si="19"/>
        <v>985</v>
      </c>
      <c r="AE11" s="155">
        <f t="shared" si="20"/>
        <v>2298</v>
      </c>
      <c r="AF11" s="155">
        <f t="shared" si="21"/>
        <v>920</v>
      </c>
      <c r="AG11" s="155">
        <f t="shared" si="22"/>
        <v>3775</v>
      </c>
      <c r="AH11" s="155">
        <f t="shared" si="23"/>
        <v>971</v>
      </c>
      <c r="AI11" s="155">
        <f t="shared" si="24"/>
        <v>457</v>
      </c>
      <c r="AJ11" s="155">
        <f t="shared" si="25"/>
        <v>354</v>
      </c>
      <c r="AK11" s="552">
        <f t="shared" si="26"/>
        <v>1460</v>
      </c>
      <c r="AL11" s="155">
        <f t="shared" si="27"/>
        <v>381</v>
      </c>
      <c r="AM11" s="155">
        <f t="shared" si="28"/>
        <v>1544</v>
      </c>
      <c r="AN11" s="155">
        <f t="shared" si="29"/>
        <v>2195</v>
      </c>
      <c r="AO11" s="155">
        <f t="shared" si="30"/>
        <v>275</v>
      </c>
      <c r="AP11" s="155">
        <f t="shared" si="30"/>
        <v>476</v>
      </c>
      <c r="AQ11" s="155">
        <f t="shared" si="31"/>
        <v>1122</v>
      </c>
      <c r="AR11" s="155">
        <f t="shared" si="32"/>
        <v>710</v>
      </c>
      <c r="AS11" s="156">
        <f t="shared" si="33"/>
        <v>1294</v>
      </c>
      <c r="AT11" s="466">
        <v>273</v>
      </c>
      <c r="AU11" s="466">
        <v>259</v>
      </c>
      <c r="AV11" s="466">
        <v>612</v>
      </c>
      <c r="AW11" s="466">
        <v>297</v>
      </c>
      <c r="AX11" s="466">
        <v>930</v>
      </c>
      <c r="AY11" s="466">
        <v>539</v>
      </c>
      <c r="AZ11" s="466">
        <v>223</v>
      </c>
      <c r="BA11" s="534">
        <v>1261</v>
      </c>
      <c r="BB11" s="466">
        <v>845</v>
      </c>
      <c r="BC11" s="534">
        <v>1394</v>
      </c>
      <c r="BD11" s="534">
        <v>1069</v>
      </c>
      <c r="BE11" s="466">
        <v>258</v>
      </c>
      <c r="BF11" s="557">
        <v>1170</v>
      </c>
      <c r="BG11" s="466">
        <v>137</v>
      </c>
      <c r="BH11" s="466">
        <v>704</v>
      </c>
      <c r="BI11" s="534">
        <v>2407</v>
      </c>
      <c r="BJ11" s="534">
        <v>2221</v>
      </c>
      <c r="BK11" s="466">
        <v>253</v>
      </c>
      <c r="BL11" s="466">
        <v>765</v>
      </c>
      <c r="BM11" s="466">
        <v>777</v>
      </c>
      <c r="BN11" s="534">
        <v>1662</v>
      </c>
      <c r="BO11" s="466">
        <v>73</v>
      </c>
      <c r="BP11" s="466">
        <v>327</v>
      </c>
      <c r="BQ11" s="466">
        <v>339</v>
      </c>
      <c r="BR11" s="558">
        <v>523</v>
      </c>
      <c r="BS11" s="466">
        <v>204</v>
      </c>
      <c r="BT11" s="534">
        <v>2094</v>
      </c>
      <c r="BU11" s="466">
        <v>985</v>
      </c>
      <c r="BV11" s="534">
        <v>3775</v>
      </c>
      <c r="BW11" s="466">
        <v>457</v>
      </c>
      <c r="BX11" s="466">
        <v>683</v>
      </c>
      <c r="BY11" s="466">
        <v>354</v>
      </c>
      <c r="BZ11" s="466">
        <v>971</v>
      </c>
      <c r="CA11" s="466">
        <v>920</v>
      </c>
      <c r="CB11" s="557">
        <v>1460</v>
      </c>
      <c r="CC11" s="466">
        <v>275</v>
      </c>
      <c r="CD11" s="466">
        <v>476</v>
      </c>
      <c r="CE11" s="466">
        <v>381</v>
      </c>
      <c r="CF11" s="466">
        <v>176</v>
      </c>
      <c r="CG11" s="534">
        <v>1118</v>
      </c>
      <c r="CH11" s="534">
        <v>1544</v>
      </c>
      <c r="CI11" s="466">
        <v>710</v>
      </c>
      <c r="CJ11" s="534">
        <v>2195</v>
      </c>
      <c r="CK11" s="534">
        <v>1122</v>
      </c>
      <c r="CL11" s="320">
        <v>39216</v>
      </c>
      <c r="CM11" s="422"/>
    </row>
    <row r="12" spans="1:95" s="711" customFormat="1">
      <c r="A12" s="709">
        <f>ROWS($A$3:A10)</f>
        <v>8</v>
      </c>
      <c r="B12" s="92" t="s">
        <v>283</v>
      </c>
      <c r="C12" s="203"/>
      <c r="D12" s="259" t="s">
        <v>1</v>
      </c>
      <c r="E12" s="705">
        <v>44491</v>
      </c>
      <c r="F12" s="154">
        <f t="shared" ref="F12" si="35">SUM(AT12:BF12)</f>
        <v>12049</v>
      </c>
      <c r="G12" s="155">
        <f t="shared" ref="G12" si="36">SUM(BG12:BR12)</f>
        <v>9340</v>
      </c>
      <c r="H12" s="155">
        <f t="shared" ref="H12" si="37">SUM(BS12:CB12)</f>
        <v>12506</v>
      </c>
      <c r="I12" s="156">
        <f t="shared" ref="I12" si="38">SUM(CC12:CK12)</f>
        <v>14061</v>
      </c>
      <c r="J12" s="155"/>
      <c r="K12" s="154">
        <f t="shared" si="4"/>
        <v>1402</v>
      </c>
      <c r="L12" s="155">
        <f t="shared" si="5"/>
        <v>597</v>
      </c>
      <c r="M12" s="155">
        <f t="shared" si="6"/>
        <v>1856</v>
      </c>
      <c r="N12" s="155">
        <f t="shared" si="7"/>
        <v>797</v>
      </c>
      <c r="O12" s="155">
        <f t="shared" si="8"/>
        <v>1010</v>
      </c>
      <c r="P12" s="155">
        <f>'2017'!AZ12+'2017'!BA12</f>
        <v>1097</v>
      </c>
      <c r="Q12" s="155">
        <f>'2017'!AU12</f>
        <v>738</v>
      </c>
      <c r="R12" s="155">
        <f t="shared" si="34"/>
        <v>1056</v>
      </c>
      <c r="S12" s="155">
        <f t="shared" si="9"/>
        <v>678</v>
      </c>
      <c r="T12" s="155">
        <f t="shared" si="10"/>
        <v>1268</v>
      </c>
      <c r="U12" s="552">
        <f t="shared" si="10"/>
        <v>1505</v>
      </c>
      <c r="V12" s="155">
        <f t="shared" si="11"/>
        <v>1630</v>
      </c>
      <c r="W12" s="155">
        <f t="shared" si="12"/>
        <v>1128</v>
      </c>
      <c r="X12" s="155">
        <f t="shared" si="13"/>
        <v>1978</v>
      </c>
      <c r="Y12" s="155">
        <f t="shared" si="14"/>
        <v>1695</v>
      </c>
      <c r="Z12" s="155">
        <f t="shared" si="15"/>
        <v>1369</v>
      </c>
      <c r="AA12" s="155">
        <f t="shared" si="16"/>
        <v>681</v>
      </c>
      <c r="AB12" s="552">
        <f t="shared" si="17"/>
        <v>859</v>
      </c>
      <c r="AC12" s="155">
        <f t="shared" si="18"/>
        <v>950</v>
      </c>
      <c r="AD12" s="155">
        <f t="shared" si="19"/>
        <v>1059</v>
      </c>
      <c r="AE12" s="155">
        <f t="shared" si="20"/>
        <v>2177</v>
      </c>
      <c r="AF12" s="155">
        <f t="shared" si="21"/>
        <v>1356</v>
      </c>
      <c r="AG12" s="155">
        <f t="shared" si="22"/>
        <v>2458</v>
      </c>
      <c r="AH12" s="155">
        <f t="shared" si="23"/>
        <v>1156</v>
      </c>
      <c r="AI12" s="155">
        <f t="shared" si="24"/>
        <v>1093</v>
      </c>
      <c r="AJ12" s="155">
        <f t="shared" si="25"/>
        <v>732</v>
      </c>
      <c r="AK12" s="552">
        <f t="shared" si="26"/>
        <v>1525</v>
      </c>
      <c r="AL12" s="155">
        <f t="shared" si="27"/>
        <v>1208</v>
      </c>
      <c r="AM12" s="155">
        <f t="shared" si="28"/>
        <v>1788</v>
      </c>
      <c r="AN12" s="155">
        <f t="shared" si="29"/>
        <v>3884</v>
      </c>
      <c r="AO12" s="155">
        <f t="shared" si="30"/>
        <v>2257</v>
      </c>
      <c r="AP12" s="155">
        <f t="shared" si="30"/>
        <v>603</v>
      </c>
      <c r="AQ12" s="155">
        <f t="shared" si="31"/>
        <v>1641</v>
      </c>
      <c r="AR12" s="155">
        <f t="shared" si="32"/>
        <v>582</v>
      </c>
      <c r="AS12" s="156">
        <f t="shared" si="33"/>
        <v>2098</v>
      </c>
      <c r="AT12" s="281">
        <f>AT7-SUM(AT8:AT11)</f>
        <v>145</v>
      </c>
      <c r="AU12" s="155">
        <f t="shared" ref="AU12:CL12" si="39">AU7-SUM(AU8:AU11)</f>
        <v>751</v>
      </c>
      <c r="AV12" s="155">
        <f t="shared" si="39"/>
        <v>678</v>
      </c>
      <c r="AW12" s="155">
        <f t="shared" si="39"/>
        <v>797</v>
      </c>
      <c r="AX12" s="155">
        <f t="shared" si="39"/>
        <v>911</v>
      </c>
      <c r="AY12" s="155">
        <f t="shared" si="39"/>
        <v>597</v>
      </c>
      <c r="AZ12" s="155">
        <f t="shared" si="39"/>
        <v>152</v>
      </c>
      <c r="BA12" s="155">
        <f t="shared" si="39"/>
        <v>977</v>
      </c>
      <c r="BB12" s="155">
        <f t="shared" si="39"/>
        <v>1268</v>
      </c>
      <c r="BC12" s="155">
        <f t="shared" si="39"/>
        <v>1505</v>
      </c>
      <c r="BD12" s="155">
        <f t="shared" si="39"/>
        <v>1856</v>
      </c>
      <c r="BE12" s="155">
        <f t="shared" si="39"/>
        <v>1010</v>
      </c>
      <c r="BF12" s="552">
        <f t="shared" si="39"/>
        <v>1402</v>
      </c>
      <c r="BG12" s="155">
        <f t="shared" si="39"/>
        <v>178</v>
      </c>
      <c r="BH12" s="155">
        <f t="shared" si="39"/>
        <v>179</v>
      </c>
      <c r="BI12" s="155">
        <f t="shared" si="39"/>
        <v>1799</v>
      </c>
      <c r="BJ12" s="155">
        <f t="shared" si="39"/>
        <v>1452</v>
      </c>
      <c r="BK12" s="155">
        <f t="shared" si="39"/>
        <v>68</v>
      </c>
      <c r="BL12" s="155">
        <f t="shared" si="39"/>
        <v>114</v>
      </c>
      <c r="BM12" s="155">
        <f t="shared" si="39"/>
        <v>1369</v>
      </c>
      <c r="BN12" s="155">
        <f t="shared" si="39"/>
        <v>1513</v>
      </c>
      <c r="BO12" s="155">
        <f t="shared" si="39"/>
        <v>33</v>
      </c>
      <c r="BP12" s="155">
        <f t="shared" si="39"/>
        <v>859</v>
      </c>
      <c r="BQ12" s="155">
        <f t="shared" si="39"/>
        <v>648</v>
      </c>
      <c r="BR12" s="552">
        <f t="shared" si="39"/>
        <v>1128</v>
      </c>
      <c r="BS12" s="155">
        <f t="shared" si="39"/>
        <v>154</v>
      </c>
      <c r="BT12" s="155">
        <f t="shared" si="39"/>
        <v>2023</v>
      </c>
      <c r="BU12" s="155">
        <f t="shared" si="39"/>
        <v>1059</v>
      </c>
      <c r="BV12" s="155">
        <f t="shared" si="39"/>
        <v>2458</v>
      </c>
      <c r="BW12" s="155">
        <f t="shared" si="39"/>
        <v>1093</v>
      </c>
      <c r="BX12" s="155">
        <f t="shared" si="39"/>
        <v>950</v>
      </c>
      <c r="BY12" s="155">
        <f t="shared" si="39"/>
        <v>732</v>
      </c>
      <c r="BZ12" s="155">
        <f t="shared" si="39"/>
        <v>1156</v>
      </c>
      <c r="CA12" s="155">
        <f t="shared" si="39"/>
        <v>1356</v>
      </c>
      <c r="CB12" s="552">
        <f t="shared" si="39"/>
        <v>1525</v>
      </c>
      <c r="CC12" s="155">
        <f t="shared" si="39"/>
        <v>2257</v>
      </c>
      <c r="CD12" s="155">
        <f t="shared" si="39"/>
        <v>603</v>
      </c>
      <c r="CE12" s="155">
        <f t="shared" si="39"/>
        <v>1208</v>
      </c>
      <c r="CF12" s="155">
        <f t="shared" si="39"/>
        <v>186</v>
      </c>
      <c r="CG12" s="281">
        <f t="shared" si="39"/>
        <v>1912</v>
      </c>
      <c r="CH12" s="155">
        <f t="shared" si="39"/>
        <v>1788</v>
      </c>
      <c r="CI12" s="155">
        <f t="shared" si="39"/>
        <v>582</v>
      </c>
      <c r="CJ12" s="155">
        <f t="shared" si="39"/>
        <v>3884</v>
      </c>
      <c r="CK12" s="156">
        <f t="shared" si="39"/>
        <v>1641</v>
      </c>
      <c r="CL12" s="615">
        <f t="shared" si="39"/>
        <v>47963</v>
      </c>
      <c r="CM12" s="422"/>
      <c r="CN12"/>
      <c r="CO12"/>
      <c r="CP12"/>
      <c r="CQ12"/>
    </row>
    <row r="13" spans="1:95">
      <c r="A13" s="80">
        <f>ROWS($A$3:A11)</f>
        <v>9</v>
      </c>
      <c r="B13" s="92" t="s">
        <v>65</v>
      </c>
      <c r="C13" s="584">
        <v>2020</v>
      </c>
      <c r="D13" s="259" t="s">
        <v>11</v>
      </c>
      <c r="E13" s="705">
        <v>44357</v>
      </c>
      <c r="F13" s="154">
        <f t="shared" si="0"/>
        <v>4154806</v>
      </c>
      <c r="G13" s="155">
        <f t="shared" si="1"/>
        <v>2807596</v>
      </c>
      <c r="H13" s="155">
        <f t="shared" si="2"/>
        <v>2273843</v>
      </c>
      <c r="I13" s="156">
        <f t="shared" si="3"/>
        <v>1865746</v>
      </c>
      <c r="J13" s="155"/>
      <c r="K13" s="154">
        <f t="shared" si="4"/>
        <v>314062</v>
      </c>
      <c r="L13" s="155">
        <f t="shared" si="5"/>
        <v>427486</v>
      </c>
      <c r="M13" s="155">
        <f t="shared" si="6"/>
        <v>132523</v>
      </c>
      <c r="N13" s="155">
        <f t="shared" si="7"/>
        <v>258580</v>
      </c>
      <c r="O13" s="155">
        <f t="shared" si="8"/>
        <v>132832</v>
      </c>
      <c r="P13" s="155">
        <f>'2021'!AZ13+'2021'!BA13</f>
        <v>471960</v>
      </c>
      <c r="Q13" s="155">
        <f>'2021'!AU13</f>
        <v>393172</v>
      </c>
      <c r="R13" s="155">
        <f t="shared" si="34"/>
        <v>1179051</v>
      </c>
      <c r="S13" s="155">
        <f t="shared" si="9"/>
        <v>534718</v>
      </c>
      <c r="T13" s="155">
        <f t="shared" si="10"/>
        <v>112966</v>
      </c>
      <c r="U13" s="552">
        <f t="shared" si="10"/>
        <v>197456</v>
      </c>
      <c r="V13" s="155">
        <f t="shared" si="11"/>
        <v>287185</v>
      </c>
      <c r="W13" s="155">
        <f>BR13</f>
        <v>118246</v>
      </c>
      <c r="X13" s="155">
        <f t="shared" si="13"/>
        <v>755640</v>
      </c>
      <c r="Y13" s="155">
        <f t="shared" si="14"/>
        <v>1017272</v>
      </c>
      <c r="Z13" s="155">
        <f t="shared" si="15"/>
        <v>143702</v>
      </c>
      <c r="AA13" s="155">
        <f>BP13+BR13</f>
        <v>278079</v>
      </c>
      <c r="AB13" s="552">
        <f>BQ13</f>
        <v>199773</v>
      </c>
      <c r="AC13" s="155">
        <f t="shared" si="18"/>
        <v>212813</v>
      </c>
      <c r="AD13" s="155">
        <f t="shared" si="19"/>
        <v>166650</v>
      </c>
      <c r="AE13" s="155">
        <f t="shared" si="20"/>
        <v>494952</v>
      </c>
      <c r="AF13" s="155">
        <f t="shared" si="21"/>
        <v>229028</v>
      </c>
      <c r="AG13" s="155">
        <f t="shared" si="22"/>
        <v>431464</v>
      </c>
      <c r="AH13" s="155">
        <f t="shared" si="23"/>
        <v>286666</v>
      </c>
      <c r="AI13" s="155">
        <f t="shared" si="24"/>
        <v>140012</v>
      </c>
      <c r="AJ13" s="155">
        <f t="shared" si="25"/>
        <v>141107</v>
      </c>
      <c r="AK13" s="552">
        <f t="shared" si="26"/>
        <v>171151</v>
      </c>
      <c r="AL13" s="155">
        <f t="shared" si="27"/>
        <v>189480</v>
      </c>
      <c r="AM13" s="155">
        <f t="shared" si="28"/>
        <v>201694</v>
      </c>
      <c r="AN13" s="155">
        <f t="shared" si="29"/>
        <v>286437</v>
      </c>
      <c r="AO13" s="155">
        <f t="shared" si="30"/>
        <v>287057</v>
      </c>
      <c r="AP13" s="155">
        <f t="shared" si="30"/>
        <v>227992</v>
      </c>
      <c r="AQ13" s="155">
        <f t="shared" si="31"/>
        <v>130762</v>
      </c>
      <c r="AR13" s="155">
        <f t="shared" si="32"/>
        <v>218164</v>
      </c>
      <c r="AS13" s="156">
        <f t="shared" si="33"/>
        <v>324160</v>
      </c>
      <c r="AT13" s="281">
        <v>633609</v>
      </c>
      <c r="AU13" s="155">
        <v>393172</v>
      </c>
      <c r="AV13" s="155">
        <v>534718</v>
      </c>
      <c r="AW13" s="155">
        <v>258580</v>
      </c>
      <c r="AX13" s="155">
        <v>545442</v>
      </c>
      <c r="AY13" s="155">
        <v>427486</v>
      </c>
      <c r="AZ13" s="155">
        <v>126317</v>
      </c>
      <c r="BA13" s="155">
        <v>345643</v>
      </c>
      <c r="BB13" s="155">
        <v>112966</v>
      </c>
      <c r="BC13" s="155">
        <v>197456</v>
      </c>
      <c r="BD13" s="155">
        <v>132523</v>
      </c>
      <c r="BE13" s="155">
        <v>132832</v>
      </c>
      <c r="BF13" s="552">
        <v>314062</v>
      </c>
      <c r="BG13" s="155">
        <v>55237</v>
      </c>
      <c r="BH13" s="155">
        <v>309328</v>
      </c>
      <c r="BI13" s="155">
        <v>446312</v>
      </c>
      <c r="BJ13" s="155">
        <v>231948</v>
      </c>
      <c r="BK13" s="155">
        <v>159134</v>
      </c>
      <c r="BL13" s="155">
        <v>309450</v>
      </c>
      <c r="BM13" s="155">
        <v>143702</v>
      </c>
      <c r="BN13" s="155">
        <v>548688</v>
      </c>
      <c r="BO13" s="155">
        <v>125945</v>
      </c>
      <c r="BP13" s="155">
        <v>159833</v>
      </c>
      <c r="BQ13" s="155">
        <v>199773</v>
      </c>
      <c r="BR13" s="552">
        <v>118246</v>
      </c>
      <c r="BS13" s="155">
        <v>230070</v>
      </c>
      <c r="BT13" s="155">
        <v>264882</v>
      </c>
      <c r="BU13" s="155">
        <v>166650</v>
      </c>
      <c r="BV13" s="155">
        <v>431464</v>
      </c>
      <c r="BW13" s="155">
        <v>140012</v>
      </c>
      <c r="BX13" s="155">
        <v>212813</v>
      </c>
      <c r="BY13" s="155">
        <v>141107</v>
      </c>
      <c r="BZ13" s="155">
        <v>286666</v>
      </c>
      <c r="CA13" s="155">
        <v>229028</v>
      </c>
      <c r="CB13" s="552">
        <v>171151</v>
      </c>
      <c r="CC13" s="155">
        <v>287057</v>
      </c>
      <c r="CD13" s="155">
        <v>227992</v>
      </c>
      <c r="CE13" s="155">
        <v>189480</v>
      </c>
      <c r="CF13" s="155">
        <v>126599</v>
      </c>
      <c r="CG13" s="281">
        <v>197561</v>
      </c>
      <c r="CH13" s="155">
        <v>201694</v>
      </c>
      <c r="CI13" s="155">
        <v>218164</v>
      </c>
      <c r="CJ13" s="155">
        <v>286437</v>
      </c>
      <c r="CK13" s="156">
        <v>130762</v>
      </c>
      <c r="CL13" s="320">
        <v>11101991</v>
      </c>
      <c r="CM13" s="422"/>
    </row>
    <row r="14" spans="1:95">
      <c r="A14" s="80">
        <f>ROWS($A$3:A12)</f>
        <v>10</v>
      </c>
      <c r="B14" s="54" t="s">
        <v>61</v>
      </c>
      <c r="C14" s="252"/>
      <c r="D14" s="259" t="s">
        <v>12</v>
      </c>
      <c r="E14" s="705">
        <v>44357</v>
      </c>
      <c r="F14" s="530">
        <f>F13/F7*100</f>
        <v>393.56530931604533</v>
      </c>
      <c r="G14" s="531">
        <f>G13/G7*100</f>
        <v>405.86272695732629</v>
      </c>
      <c r="H14" s="531">
        <f>H13/H7*100</f>
        <v>243.02671447733357</v>
      </c>
      <c r="I14" s="532">
        <f>I13/I7*100</f>
        <v>209.23495484462808</v>
      </c>
      <c r="J14" s="281"/>
      <c r="K14" s="541">
        <f t="shared" si="4"/>
        <v>207.79679632656035</v>
      </c>
      <c r="L14" s="542">
        <f t="shared" si="5"/>
        <v>498.18898004848035</v>
      </c>
      <c r="M14" s="542">
        <f t="shared" si="6"/>
        <v>101.6187160690734</v>
      </c>
      <c r="N14" s="542">
        <f t="shared" si="7"/>
        <v>402.55939222218763</v>
      </c>
      <c r="O14" s="542">
        <f t="shared" si="8"/>
        <v>211.80597633702206</v>
      </c>
      <c r="P14" s="531">
        <f>P13/P7*100</f>
        <v>393.3622823613739</v>
      </c>
      <c r="Q14" s="542">
        <f>'2021'!AU14</f>
        <v>636.44781144781143</v>
      </c>
      <c r="R14" s="531">
        <f>R13/R7*100</f>
        <v>1318.7162366204743</v>
      </c>
      <c r="S14" s="542">
        <f t="shared" si="9"/>
        <v>833.82921656686619</v>
      </c>
      <c r="T14" s="542">
        <f t="shared" si="10"/>
        <v>145.43230856377772</v>
      </c>
      <c r="U14" s="554">
        <f t="shared" si="10"/>
        <v>133.05032781472573</v>
      </c>
      <c r="V14" s="531">
        <f>V13/V7*100</f>
        <v>326.85916550954903</v>
      </c>
      <c r="W14" s="542">
        <f t="shared" si="12"/>
        <v>135.85248161764707</v>
      </c>
      <c r="X14" s="531">
        <f>X13/X7*100</f>
        <v>600.47679593134137</v>
      </c>
      <c r="Y14" s="531">
        <f>Y13/Y7*100</f>
        <v>773.38503060022049</v>
      </c>
      <c r="Z14" s="542">
        <f t="shared" si="15"/>
        <v>127.62733691549357</v>
      </c>
      <c r="AA14" s="531">
        <f>AA13/AA7*100</f>
        <v>414.06066201104841</v>
      </c>
      <c r="AB14" s="554">
        <f t="shared" si="17"/>
        <v>200.47034328788774</v>
      </c>
      <c r="AC14" s="542">
        <f t="shared" si="18"/>
        <v>207.55359197924591</v>
      </c>
      <c r="AD14" s="542">
        <f t="shared" si="19"/>
        <v>245.14563106796118</v>
      </c>
      <c r="AE14" s="531">
        <f>AE13/AE7*100</f>
        <v>323.21074077943786</v>
      </c>
      <c r="AF14" s="542">
        <f t="shared" si="21"/>
        <v>283.92135472193985</v>
      </c>
      <c r="AG14" s="542">
        <f t="shared" si="22"/>
        <v>231.933730762408</v>
      </c>
      <c r="AH14" s="542">
        <f t="shared" si="23"/>
        <v>350.45600136922661</v>
      </c>
      <c r="AI14" s="542">
        <f t="shared" si="24"/>
        <v>181.97083517454706</v>
      </c>
      <c r="AJ14" s="542">
        <f t="shared" si="25"/>
        <v>192.14439391050954</v>
      </c>
      <c r="AK14" s="554">
        <f t="shared" si="26"/>
        <v>151.31108989320319</v>
      </c>
      <c r="AL14" s="542">
        <f t="shared" si="27"/>
        <v>206.49970574772772</v>
      </c>
      <c r="AM14" s="542">
        <f t="shared" si="28"/>
        <v>143.09410295703501</v>
      </c>
      <c r="AN14" s="542">
        <f t="shared" si="29"/>
        <v>175.50426449683837</v>
      </c>
      <c r="AO14" s="542">
        <f t="shared" si="30"/>
        <v>262.75721294669012</v>
      </c>
      <c r="AP14" s="542">
        <f t="shared" si="30"/>
        <v>439.19785787212726</v>
      </c>
      <c r="AQ14" s="542">
        <f t="shared" si="31"/>
        <v>108.58556920189663</v>
      </c>
      <c r="AR14" s="542">
        <f t="shared" si="32"/>
        <v>328.17967116446289</v>
      </c>
      <c r="AS14" s="532">
        <f>AS13/AS7*100</f>
        <v>219.43921690743423</v>
      </c>
      <c r="AT14" s="531">
        <f t="shared" ref="AT14:CK14" si="40">AT13/AT7*100</f>
        <v>3056.1885008682234</v>
      </c>
      <c r="AU14" s="531">
        <f t="shared" si="40"/>
        <v>636.44781144781143</v>
      </c>
      <c r="AV14" s="531">
        <f t="shared" si="40"/>
        <v>833.82921656686619</v>
      </c>
      <c r="AW14" s="531">
        <f t="shared" si="40"/>
        <v>402.55939222218763</v>
      </c>
      <c r="AX14" s="531">
        <f t="shared" si="40"/>
        <v>794.21349214438601</v>
      </c>
      <c r="AY14" s="531">
        <f t="shared" si="40"/>
        <v>498.18898004848035</v>
      </c>
      <c r="AZ14" s="531">
        <f t="shared" si="40"/>
        <v>1264.4344344344343</v>
      </c>
      <c r="BA14" s="531">
        <f t="shared" si="40"/>
        <v>314.24662017801455</v>
      </c>
      <c r="BB14" s="531">
        <f t="shared" si="40"/>
        <v>145.43230856377772</v>
      </c>
      <c r="BC14" s="531">
        <f t="shared" si="40"/>
        <v>133.05032781472573</v>
      </c>
      <c r="BD14" s="531">
        <f t="shared" si="40"/>
        <v>101.6187160690734</v>
      </c>
      <c r="BE14" s="531">
        <f t="shared" si="40"/>
        <v>211.80597633702206</v>
      </c>
      <c r="BF14" s="555">
        <f t="shared" si="40"/>
        <v>207.79679632656035</v>
      </c>
      <c r="BG14" s="531">
        <f t="shared" si="40"/>
        <v>394.01526499750338</v>
      </c>
      <c r="BH14" s="531">
        <f t="shared" si="40"/>
        <v>1783.6927690001155</v>
      </c>
      <c r="BI14" s="531">
        <f t="shared" si="40"/>
        <v>411.3550480193183</v>
      </c>
      <c r="BJ14" s="531">
        <f t="shared" si="40"/>
        <v>314.10966510028032</v>
      </c>
      <c r="BK14" s="531">
        <f t="shared" si="40"/>
        <v>1462.225489295231</v>
      </c>
      <c r="BL14" s="531">
        <f t="shared" si="40"/>
        <v>2134.5795681865211</v>
      </c>
      <c r="BM14" s="531">
        <f t="shared" si="40"/>
        <v>127.62733691549357</v>
      </c>
      <c r="BN14" s="531">
        <f t="shared" si="40"/>
        <v>516.87438180019785</v>
      </c>
      <c r="BO14" s="531">
        <f t="shared" si="40"/>
        <v>1285.2842126747626</v>
      </c>
      <c r="BP14" s="531">
        <f t="shared" si="40"/>
        <v>200.47034328788774</v>
      </c>
      <c r="BQ14" s="531">
        <f t="shared" si="40"/>
        <v>348.27928870292885</v>
      </c>
      <c r="BR14" s="555">
        <f t="shared" si="40"/>
        <v>135.85248161764707</v>
      </c>
      <c r="BS14" s="531">
        <f t="shared" si="40"/>
        <v>1503.3324621014112</v>
      </c>
      <c r="BT14" s="531">
        <f t="shared" si="40"/>
        <v>192.17743339717916</v>
      </c>
      <c r="BU14" s="531">
        <f t="shared" si="40"/>
        <v>245.14563106796118</v>
      </c>
      <c r="BV14" s="531">
        <f t="shared" si="40"/>
        <v>231.933730762408</v>
      </c>
      <c r="BW14" s="531">
        <f t="shared" si="40"/>
        <v>181.97083517454706</v>
      </c>
      <c r="BX14" s="531">
        <f t="shared" si="40"/>
        <v>207.55359197924591</v>
      </c>
      <c r="BY14" s="531">
        <f t="shared" si="40"/>
        <v>192.14439391050954</v>
      </c>
      <c r="BZ14" s="531">
        <f t="shared" si="40"/>
        <v>350.45600136922661</v>
      </c>
      <c r="CA14" s="531">
        <f t="shared" si="40"/>
        <v>283.92135472193985</v>
      </c>
      <c r="CB14" s="555">
        <f t="shared" si="40"/>
        <v>151.31108989320319</v>
      </c>
      <c r="CC14" s="531">
        <f t="shared" si="40"/>
        <v>262.75721294669012</v>
      </c>
      <c r="CD14" s="531">
        <f t="shared" si="40"/>
        <v>439.19785787212726</v>
      </c>
      <c r="CE14" s="531">
        <f t="shared" si="40"/>
        <v>206.49970574772772</v>
      </c>
      <c r="CF14" s="531">
        <f t="shared" si="40"/>
        <v>1066.7256488035052</v>
      </c>
      <c r="CG14" s="531">
        <f>CG13/CG7*100</f>
        <v>145.42155549339734</v>
      </c>
      <c r="CH14" s="531">
        <f t="shared" si="40"/>
        <v>143.09410295703501</v>
      </c>
      <c r="CI14" s="531">
        <f t="shared" si="40"/>
        <v>328.17967116446289</v>
      </c>
      <c r="CJ14" s="531">
        <f t="shared" si="40"/>
        <v>175.50426449683837</v>
      </c>
      <c r="CK14" s="532">
        <f t="shared" si="40"/>
        <v>108.58556920189663</v>
      </c>
      <c r="CL14" s="556">
        <f>CL13/CL7*100</f>
        <v>310.5641406944535</v>
      </c>
      <c r="CM14" s="710"/>
    </row>
    <row r="15" spans="1:95">
      <c r="A15" s="80">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c r="CM15" s="49"/>
      <c r="CN15" s="711"/>
      <c r="CO15" s="711"/>
      <c r="CP15" s="711"/>
    </row>
    <row r="16" spans="1:95">
      <c r="A16" s="80">
        <f>ROWS($A$3:A14)</f>
        <v>12</v>
      </c>
      <c r="B16" s="92" t="s">
        <v>200</v>
      </c>
      <c r="C16" s="584">
        <v>2019</v>
      </c>
      <c r="D16" s="259" t="s">
        <v>11</v>
      </c>
      <c r="E16" s="706">
        <v>44384</v>
      </c>
      <c r="F16" s="534">
        <v>2405600</v>
      </c>
      <c r="G16" s="534">
        <v>1567500</v>
      </c>
      <c r="H16" s="534">
        <v>1240100</v>
      </c>
      <c r="I16" s="535">
        <v>1041300</v>
      </c>
      <c r="J16" s="281"/>
      <c r="K16" s="154">
        <f t="shared" si="4"/>
        <v>172600</v>
      </c>
      <c r="L16" s="155">
        <f t="shared" si="5"/>
        <v>209200</v>
      </c>
      <c r="M16" s="155">
        <f t="shared" si="6"/>
        <v>78100</v>
      </c>
      <c r="N16" s="155">
        <f t="shared" si="7"/>
        <v>122700</v>
      </c>
      <c r="O16" s="155">
        <f t="shared" si="8"/>
        <v>68300</v>
      </c>
      <c r="P16" s="155">
        <f>'2021'!AZ16+'2021'!BA16</f>
        <v>281900</v>
      </c>
      <c r="Q16" s="155">
        <f>'2021'!AU16</f>
        <v>233200</v>
      </c>
      <c r="R16" s="155">
        <f t="shared" si="34"/>
        <v>817700</v>
      </c>
      <c r="S16" s="155">
        <f t="shared" si="9"/>
        <v>291500</v>
      </c>
      <c r="T16" s="155">
        <f t="shared" si="10"/>
        <v>74000</v>
      </c>
      <c r="U16" s="552">
        <f t="shared" si="10"/>
        <v>114900</v>
      </c>
      <c r="V16" s="155">
        <f>BG16+BJ16</f>
        <v>164000</v>
      </c>
      <c r="W16" s="155">
        <f t="shared" si="12"/>
        <v>64599.999999999993</v>
      </c>
      <c r="X16" s="155">
        <f>BH16+BI16</f>
        <v>456600</v>
      </c>
      <c r="Y16" s="155">
        <f>BK16+BL16+BN16</f>
        <v>609000</v>
      </c>
      <c r="Z16" s="155">
        <f t="shared" si="15"/>
        <v>67700</v>
      </c>
      <c r="AA16" s="155">
        <f>BO16+BQ16</f>
        <v>164600</v>
      </c>
      <c r="AB16" s="552">
        <f t="shared" si="17"/>
        <v>68100</v>
      </c>
      <c r="AC16" s="155">
        <f t="shared" si="18"/>
        <v>123400</v>
      </c>
      <c r="AD16" s="155">
        <f t="shared" si="19"/>
        <v>77400</v>
      </c>
      <c r="AE16" s="155">
        <f>BS16+BT16</f>
        <v>302000</v>
      </c>
      <c r="AF16" s="155">
        <f t="shared" si="21"/>
        <v>109700</v>
      </c>
      <c r="AG16" s="155">
        <f t="shared" si="22"/>
        <v>251900</v>
      </c>
      <c r="AH16" s="155">
        <f t="shared" si="23"/>
        <v>148900</v>
      </c>
      <c r="AI16" s="155">
        <f t="shared" si="24"/>
        <v>77600</v>
      </c>
      <c r="AJ16" s="155">
        <f t="shared" si="25"/>
        <v>90300</v>
      </c>
      <c r="AK16" s="552">
        <f t="shared" si="26"/>
        <v>79100</v>
      </c>
      <c r="AL16" s="155">
        <f t="shared" si="27"/>
        <v>96100</v>
      </c>
      <c r="AM16" s="155">
        <f t="shared" si="28"/>
        <v>117100</v>
      </c>
      <c r="AN16" s="155">
        <f t="shared" si="29"/>
        <v>168500</v>
      </c>
      <c r="AO16" s="155">
        <f t="shared" si="30"/>
        <v>159000</v>
      </c>
      <c r="AP16" s="155">
        <f t="shared" si="30"/>
        <v>117800</v>
      </c>
      <c r="AQ16" s="155">
        <f t="shared" si="31"/>
        <v>70400</v>
      </c>
      <c r="AR16" s="155">
        <f t="shared" si="32"/>
        <v>128000</v>
      </c>
      <c r="AS16" s="156">
        <f>CF16+CG16</f>
        <v>209800</v>
      </c>
      <c r="AT16" s="534">
        <v>546200</v>
      </c>
      <c r="AU16" s="534">
        <v>233200</v>
      </c>
      <c r="AV16" s="534">
        <v>291500</v>
      </c>
      <c r="AW16" s="534">
        <v>122700</v>
      </c>
      <c r="AX16" s="534">
        <v>271500</v>
      </c>
      <c r="AY16" s="534">
        <v>209200</v>
      </c>
      <c r="AZ16" s="534">
        <v>97900</v>
      </c>
      <c r="BA16" s="534">
        <v>184000</v>
      </c>
      <c r="BB16" s="534">
        <v>74000</v>
      </c>
      <c r="BC16" s="534">
        <v>114900</v>
      </c>
      <c r="BD16" s="534">
        <v>78100</v>
      </c>
      <c r="BE16" s="534">
        <v>68300</v>
      </c>
      <c r="BF16" s="557">
        <v>172600</v>
      </c>
      <c r="BG16" s="534">
        <v>42300</v>
      </c>
      <c r="BH16" s="534">
        <v>240000</v>
      </c>
      <c r="BI16" s="534">
        <v>216600</v>
      </c>
      <c r="BJ16" s="534">
        <v>121700</v>
      </c>
      <c r="BK16" s="534">
        <v>124500</v>
      </c>
      <c r="BL16" s="534">
        <v>242400</v>
      </c>
      <c r="BM16" s="534">
        <v>67700</v>
      </c>
      <c r="BN16" s="534">
        <v>242100</v>
      </c>
      <c r="BO16" s="534">
        <v>77900</v>
      </c>
      <c r="BP16" s="534">
        <v>68100</v>
      </c>
      <c r="BQ16" s="534">
        <v>86700</v>
      </c>
      <c r="BR16" s="557">
        <v>64599.999999999993</v>
      </c>
      <c r="BS16" s="534">
        <v>180100</v>
      </c>
      <c r="BT16" s="534">
        <v>121900</v>
      </c>
      <c r="BU16" s="534">
        <v>77400</v>
      </c>
      <c r="BV16" s="534">
        <v>251900</v>
      </c>
      <c r="BW16" s="534">
        <v>77600</v>
      </c>
      <c r="BX16" s="534">
        <v>123400</v>
      </c>
      <c r="BY16" s="534">
        <v>90300</v>
      </c>
      <c r="BZ16" s="534">
        <v>148900</v>
      </c>
      <c r="CA16" s="534">
        <v>109700</v>
      </c>
      <c r="CB16" s="557">
        <v>79100</v>
      </c>
      <c r="CC16" s="534">
        <v>159000</v>
      </c>
      <c r="CD16" s="534">
        <v>117800</v>
      </c>
      <c r="CE16" s="534">
        <v>96100</v>
      </c>
      <c r="CF16" s="534">
        <v>127300</v>
      </c>
      <c r="CG16" s="534">
        <v>82500</v>
      </c>
      <c r="CH16" s="534">
        <v>117100</v>
      </c>
      <c r="CI16" s="534">
        <v>128000</v>
      </c>
      <c r="CJ16" s="534">
        <v>168500</v>
      </c>
      <c r="CK16" s="534">
        <v>70400</v>
      </c>
      <c r="CL16" s="320">
        <v>6385500</v>
      </c>
    </row>
    <row r="17" spans="1:94" ht="14.25">
      <c r="A17" s="80">
        <f>ROWS($A$3:A15)</f>
        <v>13</v>
      </c>
      <c r="B17" s="388" t="s">
        <v>243</v>
      </c>
      <c r="C17" s="584">
        <v>2019</v>
      </c>
      <c r="D17" s="259" t="s">
        <v>3</v>
      </c>
      <c r="E17" s="706">
        <v>44384</v>
      </c>
      <c r="F17" s="619">
        <f>(AT16*AT17+AU16*AU17+AV16*AV17+AW16*AW17+AX16*AX17+AY16*AY17+AZ16*AZ17+BA16*BA17+BB16*BB17+BC16*BC17+BD16*BD17+BE16*BE17+BF16*BF17)/F16</f>
        <v>3.3556659461257068</v>
      </c>
      <c r="G17" s="620">
        <f>(BG16*BG17+BH16*BH17+BI16*BI17+BJ16*BJ17+BK16*BK17+BL16*BL17+BM16*BM17+BN16*BN17+BO16*BO17+BP16*BP17+BQ16*BQ17+BR16*BR17)/G16</f>
        <v>3.7795789473684209</v>
      </c>
      <c r="H17" s="620">
        <f>(BS16*BS17+BT16*BT17+BU16*BU17+BV16*BV17+BW16*BW17+BX16*BX17+BY16*BY17+BZ16*BZ17+CA16*CA17+CB16*CB17)/H16</f>
        <v>3.2191597451818401</v>
      </c>
      <c r="I17" s="621">
        <f>(CC16*CC17+CD16*CD17+CE16*CE17+CF16*CF17+CG16*CG17+CH16*CH17+CI16*CI17+CJ16*CJ17+CK16*CK17)/I16</f>
        <v>2.7575338519158743</v>
      </c>
      <c r="J17" s="622"/>
      <c r="K17" s="623">
        <f t="shared" si="4"/>
        <v>2.8</v>
      </c>
      <c r="L17" s="624">
        <f t="shared" si="5"/>
        <v>3.1</v>
      </c>
      <c r="M17" s="624">
        <f t="shared" si="6"/>
        <v>2.6</v>
      </c>
      <c r="N17" s="624">
        <f t="shared" si="7"/>
        <v>3.5</v>
      </c>
      <c r="O17" s="624">
        <f t="shared" si="8"/>
        <v>3.8</v>
      </c>
      <c r="P17" s="620">
        <f>ROUND((AZ16*AZ17/100+BA16*BA17/100)/P16%,1)</f>
        <v>3.5</v>
      </c>
      <c r="Q17" s="624">
        <f>'2021'!AU17</f>
        <v>2.8</v>
      </c>
      <c r="R17" s="620">
        <f>ROUND((AT16*AT17/100+AX16*AX17/100)/R16%,1)</f>
        <v>3.7</v>
      </c>
      <c r="S17" s="624">
        <f t="shared" si="9"/>
        <v>3.2</v>
      </c>
      <c r="T17" s="624">
        <f t="shared" si="10"/>
        <v>2.4</v>
      </c>
      <c r="U17" s="625">
        <f t="shared" si="10"/>
        <v>2.7</v>
      </c>
      <c r="V17" s="620">
        <f>ROUND((BG16*BG17/100+BJ16*BJ17/100)/V16%,1)</f>
        <v>3.3</v>
      </c>
      <c r="W17" s="624">
        <f t="shared" si="12"/>
        <v>2.8</v>
      </c>
      <c r="X17" s="620">
        <f>ROUND((BH16*BH17/100+BI16*BI17/100)/X16%,1)</f>
        <v>3.4</v>
      </c>
      <c r="Y17" s="620">
        <f>ROUND((BK16*BK17/100+BL16*BL17/100+BN16*BN17/100)/Y16%,1)</f>
        <v>4.3</v>
      </c>
      <c r="Z17" s="624">
        <f t="shared" si="15"/>
        <v>3</v>
      </c>
      <c r="AA17" s="620">
        <f>ROUND((BO16*BO17/100+BQ16*BQ17/100)/AA16%,1)</f>
        <v>3.9</v>
      </c>
      <c r="AB17" s="625">
        <f t="shared" si="17"/>
        <v>2.9</v>
      </c>
      <c r="AC17" s="624">
        <f t="shared" si="18"/>
        <v>3</v>
      </c>
      <c r="AD17" s="624">
        <f t="shared" si="19"/>
        <v>2.5</v>
      </c>
      <c r="AE17" s="620">
        <f>ROUND((BS16*BS17/100+BT16*BT17/100)/AE16%,1)</f>
        <v>4</v>
      </c>
      <c r="AF17" s="624">
        <f t="shared" si="21"/>
        <v>3.4</v>
      </c>
      <c r="AG17" s="624">
        <f t="shared" si="22"/>
        <v>2.9</v>
      </c>
      <c r="AH17" s="624">
        <f t="shared" si="23"/>
        <v>3.1</v>
      </c>
      <c r="AI17" s="624">
        <f t="shared" si="24"/>
        <v>2.2999999999999998</v>
      </c>
      <c r="AJ17" s="624">
        <f t="shared" si="25"/>
        <v>2.7</v>
      </c>
      <c r="AK17" s="625">
        <f t="shared" si="26"/>
        <v>2.9</v>
      </c>
      <c r="AL17" s="624">
        <f t="shared" si="27"/>
        <v>3.2</v>
      </c>
      <c r="AM17" s="624">
        <f t="shared" si="28"/>
        <v>2</v>
      </c>
      <c r="AN17" s="624">
        <f t="shared" si="29"/>
        <v>2.4</v>
      </c>
      <c r="AO17" s="624">
        <f t="shared" si="30"/>
        <v>3.3</v>
      </c>
      <c r="AP17" s="624">
        <f t="shared" si="30"/>
        <v>2.6</v>
      </c>
      <c r="AQ17" s="624">
        <f t="shared" si="31"/>
        <v>2.7</v>
      </c>
      <c r="AR17" s="624">
        <f t="shared" si="32"/>
        <v>2.2999999999999998</v>
      </c>
      <c r="AS17" s="621">
        <f>ROUND((CF16*CF17/100+CG16*CG17/100)/AS16%,1)</f>
        <v>2.9</v>
      </c>
      <c r="AT17" s="618">
        <v>4.0999999999999996</v>
      </c>
      <c r="AU17" s="618">
        <v>2.8</v>
      </c>
      <c r="AV17" s="618">
        <v>3.2</v>
      </c>
      <c r="AW17" s="618">
        <v>3.5</v>
      </c>
      <c r="AX17" s="618">
        <v>2.8</v>
      </c>
      <c r="AY17" s="618">
        <v>3.1</v>
      </c>
      <c r="AZ17" s="618">
        <v>4.7</v>
      </c>
      <c r="BA17" s="618">
        <v>2.8</v>
      </c>
      <c r="BB17" s="618">
        <v>2.4</v>
      </c>
      <c r="BC17" s="618">
        <v>2.7</v>
      </c>
      <c r="BD17" s="618">
        <v>2.6</v>
      </c>
      <c r="BE17" s="618">
        <v>3.8</v>
      </c>
      <c r="BF17" s="626">
        <v>2.8</v>
      </c>
      <c r="BG17" s="618">
        <v>4.3</v>
      </c>
      <c r="BH17" s="618">
        <v>3.9</v>
      </c>
      <c r="BI17" s="618">
        <v>2.8</v>
      </c>
      <c r="BJ17" s="618">
        <v>2.9</v>
      </c>
      <c r="BK17" s="618">
        <v>4</v>
      </c>
      <c r="BL17" s="618">
        <v>5.3</v>
      </c>
      <c r="BM17" s="618">
        <v>3</v>
      </c>
      <c r="BN17" s="618">
        <v>3.5</v>
      </c>
      <c r="BO17" s="618">
        <v>5.6</v>
      </c>
      <c r="BP17" s="618">
        <v>2.9</v>
      </c>
      <c r="BQ17" s="618">
        <v>2.2999999999999998</v>
      </c>
      <c r="BR17" s="626">
        <v>2.8</v>
      </c>
      <c r="BS17" s="618">
        <v>4.9000000000000004</v>
      </c>
      <c r="BT17" s="618">
        <v>2.7</v>
      </c>
      <c r="BU17" s="618">
        <v>2.5</v>
      </c>
      <c r="BV17" s="618">
        <v>2.9</v>
      </c>
      <c r="BW17" s="618">
        <v>2.2999999999999998</v>
      </c>
      <c r="BX17" s="618">
        <v>3</v>
      </c>
      <c r="BY17" s="618">
        <v>2.7</v>
      </c>
      <c r="BZ17" s="618">
        <v>3.1</v>
      </c>
      <c r="CA17" s="618">
        <v>3.4</v>
      </c>
      <c r="CB17" s="626">
        <v>2.9</v>
      </c>
      <c r="CC17" s="618">
        <v>3.3</v>
      </c>
      <c r="CD17" s="618">
        <v>2.6</v>
      </c>
      <c r="CE17" s="618">
        <v>3.2</v>
      </c>
      <c r="CF17" s="618">
        <v>3.3</v>
      </c>
      <c r="CG17" s="618">
        <v>2.2999999999999998</v>
      </c>
      <c r="CH17" s="618">
        <v>2</v>
      </c>
      <c r="CI17" s="618">
        <v>2.2999999999999998</v>
      </c>
      <c r="CJ17" s="618">
        <v>2.4</v>
      </c>
      <c r="CK17" s="618">
        <v>2.7</v>
      </c>
      <c r="CL17" s="627">
        <v>3.2</v>
      </c>
    </row>
    <row r="18" spans="1:94">
      <c r="A18" s="80">
        <f>ROWS($A$3:A16)</f>
        <v>14</v>
      </c>
      <c r="B18" s="238" t="s">
        <v>302</v>
      </c>
      <c r="C18" s="202">
        <v>2019</v>
      </c>
      <c r="D18" s="259" t="s">
        <v>11</v>
      </c>
      <c r="E18" s="706">
        <v>44384</v>
      </c>
      <c r="F18" s="534">
        <v>24500</v>
      </c>
      <c r="G18" s="534">
        <v>9600</v>
      </c>
      <c r="H18" s="534">
        <v>18600</v>
      </c>
      <c r="I18" s="535">
        <v>20000</v>
      </c>
      <c r="J18" s="382"/>
      <c r="K18" s="154">
        <f>BF18</f>
        <v>2200</v>
      </c>
      <c r="L18" s="155">
        <f>AY18</f>
        <v>2300</v>
      </c>
      <c r="M18" s="155">
        <f>BD18</f>
        <v>1500</v>
      </c>
      <c r="N18" s="155">
        <f>AW18</f>
        <v>1000</v>
      </c>
      <c r="O18" s="155">
        <f>BE18</f>
        <v>800</v>
      </c>
      <c r="P18" s="531">
        <f>'2021'!AZ18+'2021'!BA18</f>
        <v>4500</v>
      </c>
      <c r="Q18" s="155">
        <f>'2021'!AU18</f>
        <v>800</v>
      </c>
      <c r="R18" s="531">
        <f>AT18+AX18</f>
        <v>4300</v>
      </c>
      <c r="S18" s="155">
        <f>AV18</f>
        <v>1700</v>
      </c>
      <c r="T18" s="155">
        <f>BB18</f>
        <v>2100</v>
      </c>
      <c r="U18" s="552">
        <f>BC18</f>
        <v>2500</v>
      </c>
      <c r="V18" s="531">
        <f>BG18+BJ18</f>
        <v>1200</v>
      </c>
      <c r="W18" s="155">
        <f>BR18</f>
        <v>500</v>
      </c>
      <c r="X18" s="531">
        <f>BH18+BI18</f>
        <v>2000</v>
      </c>
      <c r="Y18" s="531">
        <f>BK18+BL18+BN18</f>
        <v>2900</v>
      </c>
      <c r="Z18" s="155">
        <f>BM18</f>
        <v>1100</v>
      </c>
      <c r="AA18" s="531">
        <f>BO18+BQ18</f>
        <v>900</v>
      </c>
      <c r="AB18" s="552">
        <f>BP18</f>
        <v>600</v>
      </c>
      <c r="AC18" s="155">
        <f>BX18</f>
        <v>1100</v>
      </c>
      <c r="AD18" s="155">
        <f>BU18</f>
        <v>1900</v>
      </c>
      <c r="AE18" s="531">
        <f>BS18+BT18</f>
        <v>5100</v>
      </c>
      <c r="AF18" s="155">
        <f>CA18</f>
        <v>1500</v>
      </c>
      <c r="AG18" s="155">
        <f>BV18</f>
        <v>4700</v>
      </c>
      <c r="AH18" s="155">
        <f>BZ18</f>
        <v>2200</v>
      </c>
      <c r="AI18" s="155">
        <f>BW18</f>
        <v>900</v>
      </c>
      <c r="AJ18" s="155">
        <f>BY18</f>
        <v>500</v>
      </c>
      <c r="AK18" s="552">
        <f>CB18</f>
        <v>1300</v>
      </c>
      <c r="AL18" s="155">
        <f>CE18</f>
        <v>900</v>
      </c>
      <c r="AM18" s="155">
        <f>CH18</f>
        <v>3000</v>
      </c>
      <c r="AN18" s="155">
        <f>CJ18</f>
        <v>5200</v>
      </c>
      <c r="AO18" s="155">
        <f>CC18</f>
        <v>1400</v>
      </c>
      <c r="AP18" s="155">
        <f>CD18</f>
        <v>600</v>
      </c>
      <c r="AQ18" s="155">
        <f>CK18</f>
        <v>1500</v>
      </c>
      <c r="AR18" s="155">
        <f>CI18</f>
        <v>3700</v>
      </c>
      <c r="AS18" s="532">
        <f>CF18+CG18</f>
        <v>2600</v>
      </c>
      <c r="AT18" s="534">
        <v>900</v>
      </c>
      <c r="AU18" s="534">
        <v>800</v>
      </c>
      <c r="AV18" s="534">
        <v>1700</v>
      </c>
      <c r="AW18" s="534">
        <v>1000</v>
      </c>
      <c r="AX18" s="534">
        <v>3400</v>
      </c>
      <c r="AY18" s="534">
        <v>2300</v>
      </c>
      <c r="AZ18" s="534">
        <v>700</v>
      </c>
      <c r="BA18" s="534">
        <v>3800</v>
      </c>
      <c r="BB18" s="534">
        <v>2100</v>
      </c>
      <c r="BC18" s="534">
        <v>2500</v>
      </c>
      <c r="BD18" s="534">
        <v>1500</v>
      </c>
      <c r="BE18" s="534">
        <v>800</v>
      </c>
      <c r="BF18" s="557">
        <v>2200</v>
      </c>
      <c r="BG18" s="534">
        <v>200</v>
      </c>
      <c r="BH18" s="534">
        <v>300</v>
      </c>
      <c r="BI18" s="534">
        <v>1700</v>
      </c>
      <c r="BJ18" s="534">
        <v>1000</v>
      </c>
      <c r="BK18" s="534">
        <v>300</v>
      </c>
      <c r="BL18" s="534">
        <v>300</v>
      </c>
      <c r="BM18" s="534">
        <v>1100</v>
      </c>
      <c r="BN18" s="534">
        <v>2300</v>
      </c>
      <c r="BO18" s="534">
        <v>200</v>
      </c>
      <c r="BP18" s="534">
        <v>600</v>
      </c>
      <c r="BQ18" s="534">
        <v>700</v>
      </c>
      <c r="BR18" s="557">
        <v>500</v>
      </c>
      <c r="BS18" s="534">
        <v>500</v>
      </c>
      <c r="BT18" s="534">
        <v>4600</v>
      </c>
      <c r="BU18" s="534">
        <v>1900</v>
      </c>
      <c r="BV18" s="534">
        <v>4700</v>
      </c>
      <c r="BW18" s="534">
        <v>900</v>
      </c>
      <c r="BX18" s="534">
        <v>1100</v>
      </c>
      <c r="BY18" s="534">
        <v>500</v>
      </c>
      <c r="BZ18" s="534">
        <v>2200</v>
      </c>
      <c r="CA18" s="534">
        <v>1500</v>
      </c>
      <c r="CB18" s="557">
        <v>1300</v>
      </c>
      <c r="CC18" s="534">
        <v>1400</v>
      </c>
      <c r="CD18" s="534">
        <v>600</v>
      </c>
      <c r="CE18" s="534">
        <v>900</v>
      </c>
      <c r="CF18" s="534">
        <v>300</v>
      </c>
      <c r="CG18" s="534">
        <v>2300</v>
      </c>
      <c r="CH18" s="534">
        <v>3000</v>
      </c>
      <c r="CI18" s="534">
        <v>3700</v>
      </c>
      <c r="CJ18" s="534">
        <v>5200</v>
      </c>
      <c r="CK18" s="534">
        <v>1500</v>
      </c>
      <c r="CL18" s="320">
        <v>71300</v>
      </c>
    </row>
    <row r="19" spans="1:94">
      <c r="A19" s="80">
        <f>ROWS($A$3:A17)</f>
        <v>15</v>
      </c>
      <c r="B19" s="238" t="s">
        <v>268</v>
      </c>
      <c r="C19" s="584">
        <v>2021</v>
      </c>
      <c r="D19" s="259" t="s">
        <v>11</v>
      </c>
      <c r="E19" s="706">
        <v>44662</v>
      </c>
      <c r="F19" s="533">
        <f>SUM(AT19:BF19)</f>
        <v>1880504</v>
      </c>
      <c r="G19" s="281">
        <f>SUM(BG19:BR19)</f>
        <v>1201048</v>
      </c>
      <c r="H19" s="281">
        <f>SUM(BS19:CB19)</f>
        <v>913606</v>
      </c>
      <c r="I19" s="300">
        <f>SUM(CC19:CK19)</f>
        <v>785891</v>
      </c>
      <c r="J19" s="382"/>
      <c r="K19" s="154">
        <f>BF19</f>
        <v>128990</v>
      </c>
      <c r="L19" s="155">
        <f>AY19</f>
        <v>152692</v>
      </c>
      <c r="M19" s="155">
        <f>BD19</f>
        <v>56132</v>
      </c>
      <c r="N19" s="155">
        <f>AW19</f>
        <v>88342</v>
      </c>
      <c r="O19" s="155">
        <f>BE19</f>
        <v>52956</v>
      </c>
      <c r="P19" s="531">
        <f>'2021'!AZ19+'2021'!BA19</f>
        <v>218906</v>
      </c>
      <c r="Q19" s="155">
        <f>'2021'!AU19</f>
        <v>181178</v>
      </c>
      <c r="R19" s="531">
        <f>AT19+AX19</f>
        <v>636068</v>
      </c>
      <c r="S19" s="155">
        <f>AV19</f>
        <v>218760</v>
      </c>
      <c r="T19" s="155">
        <f>BB19</f>
        <v>59784</v>
      </c>
      <c r="U19" s="552">
        <f>BC19</f>
        <v>86696</v>
      </c>
      <c r="V19" s="531">
        <f>BG19+BJ19</f>
        <v>123711</v>
      </c>
      <c r="W19" s="155">
        <f>BR19</f>
        <v>48725</v>
      </c>
      <c r="X19" s="531">
        <f>BH19+BI19</f>
        <v>343822</v>
      </c>
      <c r="Y19" s="531">
        <f>BK19+BL19+BN19</f>
        <v>466772</v>
      </c>
      <c r="Z19" s="155">
        <f>BM19</f>
        <v>46347</v>
      </c>
      <c r="AA19" s="531">
        <f>BO19+BQ19</f>
        <v>122484</v>
      </c>
      <c r="AB19" s="552">
        <f>BP19</f>
        <v>49187</v>
      </c>
      <c r="AC19" s="155">
        <f>BX19</f>
        <v>88259</v>
      </c>
      <c r="AD19" s="155">
        <f>BU19</f>
        <v>55304</v>
      </c>
      <c r="AE19" s="531">
        <f>BS19+BT19</f>
        <v>217804</v>
      </c>
      <c r="AF19" s="155">
        <f>CA19</f>
        <v>78706</v>
      </c>
      <c r="AG19" s="155">
        <f>BV19</f>
        <v>187538</v>
      </c>
      <c r="AH19" s="155">
        <f>BZ19</f>
        <v>105088</v>
      </c>
      <c r="AI19" s="155">
        <f>BW19</f>
        <v>58281</v>
      </c>
      <c r="AJ19" s="155">
        <f>BY19</f>
        <v>67650</v>
      </c>
      <c r="AK19" s="552">
        <f>CB19</f>
        <v>54976</v>
      </c>
      <c r="AL19" s="155">
        <f>CE19</f>
        <v>71190</v>
      </c>
      <c r="AM19" s="155">
        <f>CH19</f>
        <v>87689</v>
      </c>
      <c r="AN19" s="155">
        <f>CJ19</f>
        <v>123466</v>
      </c>
      <c r="AO19" s="155">
        <f>CC19</f>
        <v>116337</v>
      </c>
      <c r="AP19" s="155">
        <f>CD19</f>
        <v>87909</v>
      </c>
      <c r="AQ19" s="155">
        <f>CK19</f>
        <v>48888</v>
      </c>
      <c r="AR19" s="155">
        <f>CI19</f>
        <v>94690</v>
      </c>
      <c r="AS19" s="532">
        <f>CF19+CG19</f>
        <v>155722</v>
      </c>
      <c r="AT19" s="534">
        <v>427401</v>
      </c>
      <c r="AU19" s="534">
        <v>181178</v>
      </c>
      <c r="AV19" s="534">
        <v>218760</v>
      </c>
      <c r="AW19" s="534">
        <v>88342</v>
      </c>
      <c r="AX19" s="534">
        <v>208667</v>
      </c>
      <c r="AY19" s="534">
        <v>152692</v>
      </c>
      <c r="AZ19" s="534">
        <v>73438</v>
      </c>
      <c r="BA19" s="534">
        <v>145468</v>
      </c>
      <c r="BB19" s="534">
        <v>59784</v>
      </c>
      <c r="BC19" s="534">
        <v>86696</v>
      </c>
      <c r="BD19" s="534">
        <v>56132</v>
      </c>
      <c r="BE19" s="534">
        <v>52956</v>
      </c>
      <c r="BF19" s="557">
        <v>128990</v>
      </c>
      <c r="BG19" s="534">
        <v>31520</v>
      </c>
      <c r="BH19" s="534">
        <v>182077</v>
      </c>
      <c r="BI19" s="534">
        <v>161745</v>
      </c>
      <c r="BJ19" s="534">
        <v>92191</v>
      </c>
      <c r="BK19" s="534">
        <v>94398</v>
      </c>
      <c r="BL19" s="534">
        <v>191633</v>
      </c>
      <c r="BM19" s="534">
        <v>46347</v>
      </c>
      <c r="BN19" s="534">
        <v>180741</v>
      </c>
      <c r="BO19" s="534">
        <v>59040</v>
      </c>
      <c r="BP19" s="534">
        <v>49187</v>
      </c>
      <c r="BQ19" s="534">
        <v>63444</v>
      </c>
      <c r="BR19" s="557">
        <v>48725</v>
      </c>
      <c r="BS19" s="534">
        <v>132823</v>
      </c>
      <c r="BT19" s="534">
        <v>84981</v>
      </c>
      <c r="BU19" s="534">
        <v>55304</v>
      </c>
      <c r="BV19" s="534">
        <v>187538</v>
      </c>
      <c r="BW19" s="534">
        <v>58281</v>
      </c>
      <c r="BX19" s="534">
        <v>88259</v>
      </c>
      <c r="BY19" s="534">
        <v>67650</v>
      </c>
      <c r="BZ19" s="534">
        <v>105088</v>
      </c>
      <c r="CA19" s="534">
        <v>78706</v>
      </c>
      <c r="CB19" s="557">
        <v>54976</v>
      </c>
      <c r="CC19" s="534">
        <v>116337</v>
      </c>
      <c r="CD19" s="534">
        <v>87909</v>
      </c>
      <c r="CE19" s="534">
        <v>71190</v>
      </c>
      <c r="CF19" s="534">
        <v>98054</v>
      </c>
      <c r="CG19" s="534">
        <v>57668</v>
      </c>
      <c r="CH19" s="534">
        <v>87689</v>
      </c>
      <c r="CI19" s="534">
        <v>94690</v>
      </c>
      <c r="CJ19" s="534">
        <v>123466</v>
      </c>
      <c r="CK19" s="534">
        <v>48888</v>
      </c>
      <c r="CL19" s="320">
        <v>4781049</v>
      </c>
    </row>
    <row r="20" spans="1:94" ht="13.5" customHeight="1">
      <c r="A20" s="80">
        <f>ROWS($A$3:A18)</f>
        <v>16</v>
      </c>
      <c r="B20" s="92" t="s">
        <v>64</v>
      </c>
      <c r="C20" s="584">
        <v>2019</v>
      </c>
      <c r="D20" s="259" t="s">
        <v>285</v>
      </c>
      <c r="E20" s="706">
        <v>44431</v>
      </c>
      <c r="F20" s="154">
        <v>200629.51699999999</v>
      </c>
      <c r="G20" s="155">
        <v>114593.72100000001</v>
      </c>
      <c r="H20" s="155">
        <v>80431.793000000005</v>
      </c>
      <c r="I20" s="156">
        <v>74977.202000000005</v>
      </c>
      <c r="J20" s="281"/>
      <c r="K20" s="154">
        <f t="shared" si="4"/>
        <v>12747.746999999999</v>
      </c>
      <c r="L20" s="155">
        <f t="shared" si="5"/>
        <v>13794.36</v>
      </c>
      <c r="M20" s="155">
        <f t="shared" si="6"/>
        <v>4804.8050000000003</v>
      </c>
      <c r="N20" s="155">
        <f t="shared" si="7"/>
        <v>7682.2430000000004</v>
      </c>
      <c r="O20" s="155">
        <f t="shared" si="8"/>
        <v>4427.4110000000001</v>
      </c>
      <c r="P20" s="155">
        <f>AZ20+BA20</f>
        <v>24676.362999999998</v>
      </c>
      <c r="Q20" s="155">
        <f>AU20</f>
        <v>23576.325000000001</v>
      </c>
      <c r="R20" s="155">
        <f>AT20+AX20</f>
        <v>74546.756999999998</v>
      </c>
      <c r="S20" s="155">
        <f t="shared" si="9"/>
        <v>20757.932000000001</v>
      </c>
      <c r="T20" s="155">
        <f t="shared" si="10"/>
        <v>5264.6639999999998</v>
      </c>
      <c r="U20" s="552">
        <f t="shared" si="10"/>
        <v>8350.9110000000001</v>
      </c>
      <c r="V20" s="155">
        <f>BG20+BJ20</f>
        <v>12116.624</v>
      </c>
      <c r="W20" s="155">
        <f t="shared" si="12"/>
        <v>4303.5069999999996</v>
      </c>
      <c r="X20" s="155">
        <f>BH20+BI20</f>
        <v>34209.442999999999</v>
      </c>
      <c r="Y20" s="155">
        <f>BK20+BL20+BN20</f>
        <v>45416.184000000001</v>
      </c>
      <c r="Z20" s="155">
        <f t="shared" si="15"/>
        <v>4061.587</v>
      </c>
      <c r="AA20" s="155">
        <f>BO20+BQ20</f>
        <v>10248.244999999999</v>
      </c>
      <c r="AB20" s="552">
        <f t="shared" si="17"/>
        <v>4238.13</v>
      </c>
      <c r="AC20" s="155">
        <f t="shared" si="18"/>
        <v>7580.7460000000001</v>
      </c>
      <c r="AD20" s="155">
        <f t="shared" si="19"/>
        <v>4967.2889999999998</v>
      </c>
      <c r="AE20" s="155">
        <f>BS20+BT20</f>
        <v>18763.919999999998</v>
      </c>
      <c r="AF20" s="155">
        <f t="shared" si="21"/>
        <v>7117.25</v>
      </c>
      <c r="AG20" s="155">
        <f t="shared" si="22"/>
        <v>16193.245999999999</v>
      </c>
      <c r="AH20" s="155">
        <f t="shared" si="23"/>
        <v>9244.64</v>
      </c>
      <c r="AI20" s="155">
        <f t="shared" si="24"/>
        <v>5494.7520000000004</v>
      </c>
      <c r="AJ20" s="155">
        <f t="shared" si="25"/>
        <v>6320.5240000000003</v>
      </c>
      <c r="AK20" s="552">
        <f t="shared" si="26"/>
        <v>4749.4250000000002</v>
      </c>
      <c r="AL20" s="155">
        <f t="shared" si="27"/>
        <v>6111.8909999999996</v>
      </c>
      <c r="AM20" s="155">
        <f t="shared" si="28"/>
        <v>9794.3770000000004</v>
      </c>
      <c r="AN20" s="155">
        <f t="shared" si="29"/>
        <v>12174.539000000001</v>
      </c>
      <c r="AO20" s="155">
        <f t="shared" si="30"/>
        <v>10686.986999999999</v>
      </c>
      <c r="AP20" s="155">
        <f t="shared" si="30"/>
        <v>7053.473</v>
      </c>
      <c r="AQ20" s="155">
        <f t="shared" si="31"/>
        <v>4435.9480000000003</v>
      </c>
      <c r="AR20" s="155">
        <f t="shared" si="32"/>
        <v>9755.0869999999995</v>
      </c>
      <c r="AS20" s="156">
        <f>CF20+CG20</f>
        <v>14964.900000000001</v>
      </c>
      <c r="AT20" s="281">
        <v>52201.014000000003</v>
      </c>
      <c r="AU20" s="155">
        <v>23576.325000000001</v>
      </c>
      <c r="AV20" s="155">
        <v>20757.932000000001</v>
      </c>
      <c r="AW20" s="155">
        <v>7682.2430000000004</v>
      </c>
      <c r="AX20" s="155">
        <v>22345.742999999999</v>
      </c>
      <c r="AY20" s="155">
        <v>13794.36</v>
      </c>
      <c r="AZ20" s="155">
        <v>6600.7759999999998</v>
      </c>
      <c r="BA20" s="155">
        <v>18075.587</v>
      </c>
      <c r="BB20" s="155">
        <v>5264.6639999999998</v>
      </c>
      <c r="BC20" s="155">
        <v>8350.9110000000001</v>
      </c>
      <c r="BD20" s="155">
        <v>4804.8050000000003</v>
      </c>
      <c r="BE20" s="155">
        <v>4427.4110000000001</v>
      </c>
      <c r="BF20" s="552">
        <v>12747.746999999999</v>
      </c>
      <c r="BG20" s="155">
        <v>2806.6579999999999</v>
      </c>
      <c r="BH20" s="155">
        <v>18741.955000000002</v>
      </c>
      <c r="BI20" s="155">
        <v>15467.487999999999</v>
      </c>
      <c r="BJ20" s="155">
        <v>9309.9660000000003</v>
      </c>
      <c r="BK20" s="155">
        <v>8435.7109999999993</v>
      </c>
      <c r="BL20" s="155">
        <v>18752.792000000001</v>
      </c>
      <c r="BM20" s="155">
        <v>4061.587</v>
      </c>
      <c r="BN20" s="155">
        <v>18227.681</v>
      </c>
      <c r="BO20" s="155">
        <v>4704.3819999999996</v>
      </c>
      <c r="BP20" s="155">
        <v>4238.13</v>
      </c>
      <c r="BQ20" s="155">
        <v>5543.8630000000003</v>
      </c>
      <c r="BR20" s="552">
        <v>4303.5069999999996</v>
      </c>
      <c r="BS20" s="155">
        <v>11486.987999999999</v>
      </c>
      <c r="BT20" s="155">
        <v>7276.9319999999998</v>
      </c>
      <c r="BU20" s="155">
        <v>4967.2889999999998</v>
      </c>
      <c r="BV20" s="155">
        <v>16193.245999999999</v>
      </c>
      <c r="BW20" s="155">
        <v>5494.7520000000004</v>
      </c>
      <c r="BX20" s="155">
        <v>7580.7460000000001</v>
      </c>
      <c r="BY20" s="155">
        <v>6320.5240000000003</v>
      </c>
      <c r="BZ20" s="155">
        <v>9244.64</v>
      </c>
      <c r="CA20" s="155">
        <v>7117.25</v>
      </c>
      <c r="CB20" s="552">
        <v>4749.4250000000002</v>
      </c>
      <c r="CC20" s="155">
        <v>10686.986999999999</v>
      </c>
      <c r="CD20" s="155">
        <v>7053.473</v>
      </c>
      <c r="CE20" s="155">
        <v>6111.8909999999996</v>
      </c>
      <c r="CF20" s="155">
        <v>9037.0380000000005</v>
      </c>
      <c r="CG20" s="281">
        <v>5927.8620000000001</v>
      </c>
      <c r="CH20" s="155">
        <v>9794.3770000000004</v>
      </c>
      <c r="CI20" s="155">
        <v>9755.0869999999995</v>
      </c>
      <c r="CJ20" s="155">
        <v>12174.539000000001</v>
      </c>
      <c r="CK20" s="156">
        <v>4435.9480000000003</v>
      </c>
      <c r="CL20" s="320">
        <v>470632.23300000001</v>
      </c>
    </row>
    <row r="21" spans="1:94">
      <c r="A21" s="80">
        <f>ROWS($A$3:A19)</f>
        <v>17</v>
      </c>
      <c r="B21" s="698" t="s">
        <v>62</v>
      </c>
      <c r="C21" s="584">
        <v>2019</v>
      </c>
      <c r="D21" s="259" t="s">
        <v>3</v>
      </c>
      <c r="E21" s="706">
        <v>44431</v>
      </c>
      <c r="F21" s="536">
        <f>F118/F20%</f>
        <v>0.36734624646482106</v>
      </c>
      <c r="G21" s="537">
        <f>G118/G20%</f>
        <v>0.28511597070837763</v>
      </c>
      <c r="H21" s="537">
        <f>H118/H20%</f>
        <v>0.75682758930911809</v>
      </c>
      <c r="I21" s="538">
        <f>I118/I20%</f>
        <v>0.69008443393233043</v>
      </c>
      <c r="J21" s="382"/>
      <c r="K21" s="539">
        <f t="shared" ref="K21:AS21" si="41">K118/K20%</f>
        <v>0.69154965187181705</v>
      </c>
      <c r="L21" s="521">
        <f t="shared" si="41"/>
        <v>0.37605224164078654</v>
      </c>
      <c r="M21" s="521">
        <f t="shared" si="41"/>
        <v>1.3640511945854203</v>
      </c>
      <c r="N21" s="521">
        <f t="shared" si="41"/>
        <v>0.44161581454791266</v>
      </c>
      <c r="O21" s="521">
        <f t="shared" si="41"/>
        <v>0.77652605552093545</v>
      </c>
      <c r="P21" s="521">
        <f t="shared" si="41"/>
        <v>0.44501695813114761</v>
      </c>
      <c r="Q21" s="521">
        <f t="shared" si="41"/>
        <v>0.10365483170086941</v>
      </c>
      <c r="R21" s="521">
        <f t="shared" si="41"/>
        <v>0.11884219188770342</v>
      </c>
      <c r="S21" s="521">
        <f t="shared" si="41"/>
        <v>0.16338332739504108</v>
      </c>
      <c r="T21" s="521">
        <f t="shared" si="41"/>
        <v>1.4255040777531103</v>
      </c>
      <c r="U21" s="559">
        <f t="shared" si="41"/>
        <v>1.5725230456892665</v>
      </c>
      <c r="V21" s="521">
        <f t="shared" si="41"/>
        <v>0.35532999951141503</v>
      </c>
      <c r="W21" s="521">
        <f t="shared" si="41"/>
        <v>0.54114005159048195</v>
      </c>
      <c r="X21" s="521">
        <f t="shared" si="41"/>
        <v>0.20294688808584224</v>
      </c>
      <c r="Y21" s="521">
        <f t="shared" si="41"/>
        <v>0.17808409442766043</v>
      </c>
      <c r="Z21" s="521">
        <f t="shared" si="41"/>
        <v>1.3201982377824235</v>
      </c>
      <c r="AA21" s="521">
        <f t="shared" si="41"/>
        <v>0.28397057252241731</v>
      </c>
      <c r="AB21" s="559">
        <f t="shared" si="41"/>
        <v>0.64540257141711088</v>
      </c>
      <c r="AC21" s="521">
        <f t="shared" si="41"/>
        <v>0.58911088697603109</v>
      </c>
      <c r="AD21" s="521">
        <f t="shared" si="41"/>
        <v>1.0633768238570376</v>
      </c>
      <c r="AE21" s="521">
        <f t="shared" si="41"/>
        <v>0.72286068156334071</v>
      </c>
      <c r="AF21" s="521">
        <f t="shared" si="41"/>
        <v>0.57697846780708839</v>
      </c>
      <c r="AG21" s="521">
        <f t="shared" si="41"/>
        <v>0.93156739544375478</v>
      </c>
      <c r="AH21" s="521">
        <f t="shared" si="41"/>
        <v>0.77328051714290658</v>
      </c>
      <c r="AI21" s="521">
        <f t="shared" si="41"/>
        <v>0.76241839486113294</v>
      </c>
      <c r="AJ21" s="521">
        <f t="shared" si="41"/>
        <v>0.39503053860724202</v>
      </c>
      <c r="AK21" s="559">
        <f t="shared" si="41"/>
        <v>0.95483137432426024</v>
      </c>
      <c r="AL21" s="521">
        <f t="shared" si="41"/>
        <v>0.50408294257865527</v>
      </c>
      <c r="AM21" s="521">
        <f t="shared" si="41"/>
        <v>0.90573397368714725</v>
      </c>
      <c r="AN21" s="521">
        <f t="shared" si="41"/>
        <v>0.9941813813237611</v>
      </c>
      <c r="AO21" s="521">
        <f t="shared" si="41"/>
        <v>0.37518526035448529</v>
      </c>
      <c r="AP21" s="521">
        <f t="shared" si="41"/>
        <v>0.23148879991459526</v>
      </c>
      <c r="AQ21" s="521">
        <f t="shared" si="41"/>
        <v>1.3133607517491186</v>
      </c>
      <c r="AR21" s="521">
        <f t="shared" si="41"/>
        <v>0.73775866888732</v>
      </c>
      <c r="AS21" s="540">
        <f t="shared" si="41"/>
        <v>0.60271702450400599</v>
      </c>
      <c r="AT21" s="537">
        <v>3.8390058859776172E-2</v>
      </c>
      <c r="AU21" s="537">
        <v>0.10365483170086941</v>
      </c>
      <c r="AV21" s="537">
        <v>0.16338332739504108</v>
      </c>
      <c r="AW21" s="537">
        <v>0.4416158145479126</v>
      </c>
      <c r="AX21" s="537">
        <v>0.306783265161512</v>
      </c>
      <c r="AY21" s="537">
        <v>0.37605224164078654</v>
      </c>
      <c r="AZ21" s="537">
        <v>0.2114902853846275</v>
      </c>
      <c r="BA21" s="537">
        <v>0.53029536468165595</v>
      </c>
      <c r="BB21" s="537">
        <v>1.4255040777531103</v>
      </c>
      <c r="BC21" s="537">
        <v>1.5725230456892665</v>
      </c>
      <c r="BD21" s="537">
        <v>1.3640511945854203</v>
      </c>
      <c r="BE21" s="537">
        <v>0.77652605552093545</v>
      </c>
      <c r="BF21" s="563">
        <v>0.69154965187181705</v>
      </c>
      <c r="BG21" s="537">
        <v>0.32754257911010176</v>
      </c>
      <c r="BH21" s="537">
        <v>5.7571368621896692E-2</v>
      </c>
      <c r="BI21" s="537">
        <v>0.37909840305032078</v>
      </c>
      <c r="BJ21" s="537">
        <v>0.36370702105679009</v>
      </c>
      <c r="BK21" s="537">
        <v>0.12600004907707246</v>
      </c>
      <c r="BL21" s="537">
        <v>2.3708469650812528E-2</v>
      </c>
      <c r="BM21" s="537">
        <v>1.3201982377824235</v>
      </c>
      <c r="BN21" s="537">
        <v>0.36101136507710446</v>
      </c>
      <c r="BO21" s="537">
        <v>0.14686307361944673</v>
      </c>
      <c r="BP21" s="537">
        <v>0.64540257141711088</v>
      </c>
      <c r="BQ21" s="537">
        <v>0.40031653018842639</v>
      </c>
      <c r="BR21" s="563">
        <v>0.54114005159048195</v>
      </c>
      <c r="BS21" s="537">
        <v>0.1246279703608988</v>
      </c>
      <c r="BT21" s="537">
        <v>1.667199858401865</v>
      </c>
      <c r="BU21" s="537">
        <v>1.0633768238570376</v>
      </c>
      <c r="BV21" s="537">
        <v>0.93156739544375478</v>
      </c>
      <c r="BW21" s="537">
        <v>0.76241839486113294</v>
      </c>
      <c r="BX21" s="537">
        <v>0.58911088697603109</v>
      </c>
      <c r="BY21" s="537">
        <v>0.39503053860724202</v>
      </c>
      <c r="BZ21" s="537">
        <v>0.77328051714290658</v>
      </c>
      <c r="CA21" s="537">
        <v>0.57697846780708839</v>
      </c>
      <c r="CB21" s="563">
        <v>0.95483137432426024</v>
      </c>
      <c r="CC21" s="537">
        <v>0.37518526035448529</v>
      </c>
      <c r="CD21" s="537">
        <v>0.23148879991459526</v>
      </c>
      <c r="CE21" s="537">
        <v>0.50408294257865527</v>
      </c>
      <c r="CF21" s="537">
        <v>9.6491792996776155E-2</v>
      </c>
      <c r="CG21" s="537">
        <v>1.3744584472445545</v>
      </c>
      <c r="CH21" s="537">
        <v>0.90573397368714714</v>
      </c>
      <c r="CI21" s="537">
        <v>0.73775866888732</v>
      </c>
      <c r="CJ21" s="537">
        <v>0.99418138132376099</v>
      </c>
      <c r="CK21" s="538">
        <v>1.3133607517491188</v>
      </c>
      <c r="CL21" s="564">
        <v>0.46530302143584795</v>
      </c>
    </row>
    <row r="22" spans="1:94">
      <c r="A22" s="80">
        <f>ROWS($A$3:A20)</f>
        <v>18</v>
      </c>
      <c r="B22" s="59" t="s">
        <v>66</v>
      </c>
      <c r="C22" s="387">
        <v>2020</v>
      </c>
      <c r="D22" s="259"/>
      <c r="E22" s="451"/>
      <c r="F22" s="154"/>
      <c r="G22" s="155"/>
      <c r="H22" s="155"/>
      <c r="I22" s="156"/>
      <c r="J22" s="281"/>
      <c r="K22" s="154"/>
      <c r="L22" s="155"/>
      <c r="M22" s="155"/>
      <c r="N22" s="155"/>
      <c r="O22" s="155"/>
      <c r="P22" s="155"/>
      <c r="Q22" s="155">
        <f>'2021'!AU22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c r="A23" s="80">
        <f>ROWS($A$3:A21)</f>
        <v>19</v>
      </c>
      <c r="B23" s="52" t="s">
        <v>253</v>
      </c>
      <c r="C23" s="205">
        <v>2020</v>
      </c>
      <c r="D23" s="259" t="s">
        <v>13</v>
      </c>
      <c r="E23" s="706">
        <v>44428</v>
      </c>
      <c r="F23" s="154">
        <v>12429</v>
      </c>
      <c r="G23" s="155">
        <v>4406</v>
      </c>
      <c r="H23" s="155">
        <v>11988</v>
      </c>
      <c r="I23" s="156">
        <v>10262</v>
      </c>
      <c r="J23" s="281"/>
      <c r="K23" s="154">
        <f t="shared" ref="K23:K33" si="42">BF23</f>
        <v>1628</v>
      </c>
      <c r="L23" s="155">
        <f t="shared" ref="L23:L33" si="43">AY23</f>
        <v>1058</v>
      </c>
      <c r="M23" s="155">
        <f t="shared" ref="M23:M33" si="44">BD23</f>
        <v>1268</v>
      </c>
      <c r="N23" s="155">
        <f t="shared" ref="N23:N33" si="45">AW23</f>
        <v>706</v>
      </c>
      <c r="O23" s="155">
        <f t="shared" ref="O23:O33" si="46">BE23</f>
        <v>515</v>
      </c>
      <c r="P23" s="155">
        <f>AZ23+BA23</f>
        <v>1922</v>
      </c>
      <c r="Q23" s="155">
        <f>AU23</f>
        <v>555</v>
      </c>
      <c r="R23" s="155">
        <f t="shared" ref="R23:R29" si="47">AT23+AX23</f>
        <v>1303</v>
      </c>
      <c r="S23" s="155">
        <f t="shared" ref="S23:S33" si="48">AV23</f>
        <v>629</v>
      </c>
      <c r="T23" s="155">
        <f t="shared" ref="T23:U33" si="49">BB23</f>
        <v>1042</v>
      </c>
      <c r="U23" s="552">
        <f t="shared" si="49"/>
        <v>1803</v>
      </c>
      <c r="V23" s="155">
        <f t="shared" ref="V23:V29" si="50">BG23+BJ23</f>
        <v>539</v>
      </c>
      <c r="W23" s="155">
        <f t="shared" ref="W23:W33" si="51">BR23</f>
        <v>470</v>
      </c>
      <c r="X23" s="155">
        <f t="shared" ref="X23:X29" si="52">BH23+BI23</f>
        <v>768</v>
      </c>
      <c r="Y23" s="155">
        <f t="shared" ref="Y23:Y29" si="53">BK23+BL23+BN23</f>
        <v>963</v>
      </c>
      <c r="Z23" s="155">
        <f t="shared" ref="Z23:Z33" si="54">BM23</f>
        <v>802</v>
      </c>
      <c r="AA23" s="155">
        <f t="shared" ref="AA23:AA29" si="55">BO23+BQ23</f>
        <v>433</v>
      </c>
      <c r="AB23" s="552">
        <f t="shared" ref="AB23:AB33" si="56">BP23</f>
        <v>431</v>
      </c>
      <c r="AC23" s="155">
        <f t="shared" ref="AC23:AC33" si="57">BX23</f>
        <v>954</v>
      </c>
      <c r="AD23" s="155">
        <f t="shared" ref="AD23:AD33" si="58">BU23</f>
        <v>1186</v>
      </c>
      <c r="AE23" s="155">
        <f t="shared" ref="AE23:AE29" si="59">BS23+BT23</f>
        <v>2706</v>
      </c>
      <c r="AF23" s="155">
        <f t="shared" ref="AF23:AF33" si="60">CA23</f>
        <v>946</v>
      </c>
      <c r="AG23" s="155">
        <f t="shared" ref="AG23:AG33" si="61">BV23</f>
        <v>3161</v>
      </c>
      <c r="AH23" s="155">
        <f t="shared" ref="AH23:AH33" si="62">BZ23</f>
        <v>791</v>
      </c>
      <c r="AI23" s="155">
        <f t="shared" ref="AI23:AI33" si="63">BW23</f>
        <v>734</v>
      </c>
      <c r="AJ23" s="155">
        <f t="shared" ref="AJ23:AJ33" si="64">BY23</f>
        <v>416</v>
      </c>
      <c r="AK23" s="552">
        <f t="shared" ref="AK23:AK33" si="65">CB23</f>
        <v>1094</v>
      </c>
      <c r="AL23" s="155">
        <f t="shared" ref="AL23:AL33" si="66">CE23</f>
        <v>700</v>
      </c>
      <c r="AM23" s="155">
        <f t="shared" ref="AM23:AM33" si="67">CH23</f>
        <v>1633</v>
      </c>
      <c r="AN23" s="155">
        <f t="shared" ref="AN23:AN33" si="68">CJ23</f>
        <v>2250</v>
      </c>
      <c r="AO23" s="155">
        <f t="shared" ref="AO23:AP33" si="69">CC23</f>
        <v>997</v>
      </c>
      <c r="AP23" s="155">
        <f t="shared" si="69"/>
        <v>377</v>
      </c>
      <c r="AQ23" s="155">
        <f t="shared" ref="AQ23:AQ33" si="70">CK23</f>
        <v>1135</v>
      </c>
      <c r="AR23" s="155">
        <f t="shared" ref="AR23:AR33" si="71">CI23</f>
        <v>1412</v>
      </c>
      <c r="AS23" s="156">
        <f t="shared" ref="AS23:AS29" si="72">CF23+CG23</f>
        <v>1758</v>
      </c>
      <c r="AT23" s="155">
        <v>182</v>
      </c>
      <c r="AU23" s="155">
        <v>555</v>
      </c>
      <c r="AV23" s="155">
        <v>629</v>
      </c>
      <c r="AW23" s="155">
        <v>706</v>
      </c>
      <c r="AX23" s="155">
        <v>1121</v>
      </c>
      <c r="AY23" s="155">
        <v>1058</v>
      </c>
      <c r="AZ23" s="155">
        <v>158</v>
      </c>
      <c r="BA23" s="155">
        <v>1764</v>
      </c>
      <c r="BB23" s="155">
        <v>1042</v>
      </c>
      <c r="BC23" s="155">
        <v>1803</v>
      </c>
      <c r="BD23" s="155">
        <v>1268</v>
      </c>
      <c r="BE23" s="155">
        <v>515</v>
      </c>
      <c r="BF23" s="552">
        <v>1628</v>
      </c>
      <c r="BG23" s="155">
        <v>84</v>
      </c>
      <c r="BH23" s="155">
        <v>66</v>
      </c>
      <c r="BI23" s="155">
        <v>702</v>
      </c>
      <c r="BJ23" s="155">
        <v>455</v>
      </c>
      <c r="BK23" s="155">
        <v>66</v>
      </c>
      <c r="BL23" s="155">
        <v>55</v>
      </c>
      <c r="BM23" s="155">
        <v>802</v>
      </c>
      <c r="BN23" s="155">
        <v>842</v>
      </c>
      <c r="BO23" s="155">
        <v>23</v>
      </c>
      <c r="BP23" s="155">
        <v>431</v>
      </c>
      <c r="BQ23" s="155">
        <v>410</v>
      </c>
      <c r="BR23" s="552">
        <v>470</v>
      </c>
      <c r="BS23" s="155">
        <v>178</v>
      </c>
      <c r="BT23" s="155">
        <v>2528</v>
      </c>
      <c r="BU23" s="155">
        <v>1186</v>
      </c>
      <c r="BV23" s="155">
        <v>3161</v>
      </c>
      <c r="BW23" s="155">
        <v>734</v>
      </c>
      <c r="BX23" s="155">
        <v>954</v>
      </c>
      <c r="BY23" s="155">
        <v>416</v>
      </c>
      <c r="BZ23" s="155">
        <v>791</v>
      </c>
      <c r="CA23" s="155">
        <v>946</v>
      </c>
      <c r="CB23" s="552">
        <v>1094</v>
      </c>
      <c r="CC23" s="155">
        <v>997</v>
      </c>
      <c r="CD23" s="155">
        <v>377</v>
      </c>
      <c r="CE23" s="155">
        <v>700</v>
      </c>
      <c r="CF23" s="155">
        <v>107</v>
      </c>
      <c r="CG23" s="155">
        <v>1651</v>
      </c>
      <c r="CH23" s="155">
        <v>1633</v>
      </c>
      <c r="CI23" s="155">
        <v>1412</v>
      </c>
      <c r="CJ23" s="155">
        <v>2250</v>
      </c>
      <c r="CK23" s="156">
        <v>1135</v>
      </c>
      <c r="CL23" s="320">
        <v>39085</v>
      </c>
      <c r="CM23" s="628"/>
    </row>
    <row r="24" spans="1:94">
      <c r="A24" s="80">
        <f>ROWS($A$3:A22)</f>
        <v>20</v>
      </c>
      <c r="B24" s="52" t="s">
        <v>249</v>
      </c>
      <c r="C24" s="203">
        <v>2020</v>
      </c>
      <c r="D24" s="259" t="s">
        <v>13</v>
      </c>
      <c r="E24" s="706">
        <v>44428</v>
      </c>
      <c r="F24" s="154">
        <v>2089</v>
      </c>
      <c r="G24" s="155">
        <v>599</v>
      </c>
      <c r="H24" s="155">
        <v>2723</v>
      </c>
      <c r="I24" s="156">
        <v>728</v>
      </c>
      <c r="J24" s="281"/>
      <c r="K24" s="154">
        <f>L24+M24</f>
        <v>436</v>
      </c>
      <c r="L24" s="155">
        <f t="shared" si="43"/>
        <v>294</v>
      </c>
      <c r="M24" s="155">
        <f t="shared" si="44"/>
        <v>142</v>
      </c>
      <c r="N24" s="155">
        <f t="shared" si="45"/>
        <v>51</v>
      </c>
      <c r="O24" s="155">
        <f t="shared" si="46"/>
        <v>18</v>
      </c>
      <c r="P24" s="155">
        <f t="shared" ref="P24:P29" si="73">AZ24+BA24</f>
        <v>647</v>
      </c>
      <c r="Q24" s="155">
        <f t="shared" ref="Q24:Q33" si="74">AU24</f>
        <v>43</v>
      </c>
      <c r="R24" s="155">
        <f t="shared" si="47"/>
        <v>459</v>
      </c>
      <c r="S24" s="155">
        <f t="shared" si="48"/>
        <v>98</v>
      </c>
      <c r="T24" s="155">
        <f t="shared" si="49"/>
        <v>194</v>
      </c>
      <c r="U24" s="552">
        <f t="shared" si="49"/>
        <v>90</v>
      </c>
      <c r="V24" s="155">
        <f t="shared" si="50"/>
        <v>185</v>
      </c>
      <c r="W24" s="155">
        <f t="shared" si="51"/>
        <v>16</v>
      </c>
      <c r="X24" s="155">
        <f t="shared" si="52"/>
        <v>123</v>
      </c>
      <c r="Y24" s="155">
        <f t="shared" si="53"/>
        <v>154</v>
      </c>
      <c r="Z24" s="155">
        <f t="shared" si="54"/>
        <v>41</v>
      </c>
      <c r="AA24" s="155">
        <f t="shared" si="55"/>
        <v>59</v>
      </c>
      <c r="AB24" s="552">
        <f t="shared" si="56"/>
        <v>21</v>
      </c>
      <c r="AC24" s="155">
        <f t="shared" si="57"/>
        <v>14</v>
      </c>
      <c r="AD24" s="155">
        <f t="shared" si="58"/>
        <v>368</v>
      </c>
      <c r="AE24" s="155">
        <f t="shared" si="59"/>
        <v>945</v>
      </c>
      <c r="AF24" s="155">
        <f t="shared" si="60"/>
        <v>139</v>
      </c>
      <c r="AG24" s="155">
        <f t="shared" si="61"/>
        <v>1079</v>
      </c>
      <c r="AH24" s="155">
        <f t="shared" si="62"/>
        <v>123</v>
      </c>
      <c r="AI24" s="155">
        <f t="shared" si="63"/>
        <v>15</v>
      </c>
      <c r="AJ24" s="155">
        <f t="shared" si="64"/>
        <v>10</v>
      </c>
      <c r="AK24" s="552">
        <f t="shared" si="65"/>
        <v>30</v>
      </c>
      <c r="AL24" s="155">
        <f t="shared" si="66"/>
        <v>21</v>
      </c>
      <c r="AM24" s="155">
        <f t="shared" si="67"/>
        <v>62</v>
      </c>
      <c r="AN24" s="155">
        <f t="shared" si="68"/>
        <v>112</v>
      </c>
      <c r="AO24" s="155">
        <f t="shared" si="69"/>
        <v>48</v>
      </c>
      <c r="AP24" s="155">
        <f t="shared" si="69"/>
        <v>32</v>
      </c>
      <c r="AQ24" s="155">
        <f t="shared" si="70"/>
        <v>33</v>
      </c>
      <c r="AR24" s="155">
        <f t="shared" si="71"/>
        <v>351</v>
      </c>
      <c r="AS24" s="156">
        <f t="shared" si="72"/>
        <v>69</v>
      </c>
      <c r="AT24" s="155">
        <v>95</v>
      </c>
      <c r="AU24" s="155">
        <v>43</v>
      </c>
      <c r="AV24" s="155">
        <v>98</v>
      </c>
      <c r="AW24" s="155">
        <v>51</v>
      </c>
      <c r="AX24" s="155">
        <v>364</v>
      </c>
      <c r="AY24" s="155">
        <v>294</v>
      </c>
      <c r="AZ24" s="155">
        <v>44</v>
      </c>
      <c r="BA24" s="155">
        <v>603</v>
      </c>
      <c r="BB24" s="155">
        <v>194</v>
      </c>
      <c r="BC24" s="155">
        <v>90</v>
      </c>
      <c r="BD24" s="155">
        <v>142</v>
      </c>
      <c r="BE24" s="155">
        <v>18</v>
      </c>
      <c r="BF24" s="552">
        <v>53</v>
      </c>
      <c r="BG24" s="155">
        <v>48</v>
      </c>
      <c r="BH24" s="155">
        <v>11</v>
      </c>
      <c r="BI24" s="155">
        <v>112</v>
      </c>
      <c r="BJ24" s="155">
        <v>137</v>
      </c>
      <c r="BK24" s="155">
        <v>13</v>
      </c>
      <c r="BL24" s="155">
        <v>9</v>
      </c>
      <c r="BM24" s="155">
        <v>41</v>
      </c>
      <c r="BN24" s="155">
        <v>132</v>
      </c>
      <c r="BO24" s="155">
        <v>8</v>
      </c>
      <c r="BP24" s="155">
        <v>21</v>
      </c>
      <c r="BQ24" s="155">
        <v>51</v>
      </c>
      <c r="BR24" s="552">
        <v>16</v>
      </c>
      <c r="BS24" s="155">
        <v>82</v>
      </c>
      <c r="BT24" s="155">
        <v>863</v>
      </c>
      <c r="BU24" s="155">
        <v>368</v>
      </c>
      <c r="BV24" s="155">
        <v>1079</v>
      </c>
      <c r="BW24" s="155">
        <v>15</v>
      </c>
      <c r="BX24" s="155">
        <v>14</v>
      </c>
      <c r="BY24" s="155">
        <v>10</v>
      </c>
      <c r="BZ24" s="155">
        <v>123</v>
      </c>
      <c r="CA24" s="155">
        <v>139</v>
      </c>
      <c r="CB24" s="552">
        <v>30</v>
      </c>
      <c r="CC24" s="155">
        <v>48</v>
      </c>
      <c r="CD24" s="155">
        <v>32</v>
      </c>
      <c r="CE24" s="155">
        <v>21</v>
      </c>
      <c r="CF24" s="155">
        <v>12</v>
      </c>
      <c r="CG24" s="155">
        <v>57</v>
      </c>
      <c r="CH24" s="155">
        <v>62</v>
      </c>
      <c r="CI24" s="155">
        <v>351</v>
      </c>
      <c r="CJ24" s="155">
        <v>112</v>
      </c>
      <c r="CK24" s="156">
        <v>33</v>
      </c>
      <c r="CL24" s="320">
        <v>6139</v>
      </c>
      <c r="CN24" s="628"/>
      <c r="CO24" s="628"/>
      <c r="CP24" s="628"/>
    </row>
    <row r="25" spans="1:94">
      <c r="A25" s="80">
        <f>ROWS($A$3:A23)</f>
        <v>21</v>
      </c>
      <c r="B25" s="52" t="s">
        <v>250</v>
      </c>
      <c r="C25" s="203">
        <v>2020</v>
      </c>
      <c r="D25" s="259" t="s">
        <v>13</v>
      </c>
      <c r="E25" s="706">
        <v>44428</v>
      </c>
      <c r="F25" s="154">
        <v>2002</v>
      </c>
      <c r="G25" s="155">
        <v>777</v>
      </c>
      <c r="H25" s="155">
        <v>2560</v>
      </c>
      <c r="I25" s="156">
        <v>1663</v>
      </c>
      <c r="J25" s="281"/>
      <c r="K25" s="154">
        <f>L25+M25</f>
        <v>348</v>
      </c>
      <c r="L25" s="155">
        <f t="shared" si="43"/>
        <v>200</v>
      </c>
      <c r="M25" s="155">
        <f t="shared" si="44"/>
        <v>148</v>
      </c>
      <c r="N25" s="155">
        <f t="shared" si="45"/>
        <v>119</v>
      </c>
      <c r="O25" s="155">
        <f t="shared" si="46"/>
        <v>63</v>
      </c>
      <c r="P25" s="155">
        <f t="shared" si="73"/>
        <v>282</v>
      </c>
      <c r="Q25" s="155">
        <f t="shared" si="74"/>
        <v>99</v>
      </c>
      <c r="R25" s="155">
        <f t="shared" si="47"/>
        <v>149</v>
      </c>
      <c r="S25" s="155">
        <f t="shared" si="48"/>
        <v>120</v>
      </c>
      <c r="T25" s="155">
        <f t="shared" si="49"/>
        <v>165</v>
      </c>
      <c r="U25" s="552">
        <f t="shared" si="49"/>
        <v>316</v>
      </c>
      <c r="V25" s="155">
        <f t="shared" si="50"/>
        <v>100</v>
      </c>
      <c r="W25" s="155">
        <f t="shared" si="51"/>
        <v>116</v>
      </c>
      <c r="X25" s="155">
        <f t="shared" si="52"/>
        <v>106</v>
      </c>
      <c r="Y25" s="155">
        <f t="shared" si="53"/>
        <v>132</v>
      </c>
      <c r="Z25" s="155">
        <f t="shared" si="54"/>
        <v>139</v>
      </c>
      <c r="AA25" s="155">
        <f t="shared" si="55"/>
        <v>71</v>
      </c>
      <c r="AB25" s="552">
        <f t="shared" si="56"/>
        <v>113</v>
      </c>
      <c r="AC25" s="155">
        <f t="shared" si="57"/>
        <v>181</v>
      </c>
      <c r="AD25" s="155">
        <f t="shared" si="58"/>
        <v>242</v>
      </c>
      <c r="AE25" s="155">
        <f t="shared" si="59"/>
        <v>473</v>
      </c>
      <c r="AF25" s="155">
        <f t="shared" si="60"/>
        <v>222</v>
      </c>
      <c r="AG25" s="155">
        <f t="shared" si="61"/>
        <v>784</v>
      </c>
      <c r="AH25" s="155">
        <f t="shared" si="62"/>
        <v>112</v>
      </c>
      <c r="AI25" s="155">
        <f t="shared" si="63"/>
        <v>175</v>
      </c>
      <c r="AJ25" s="155">
        <f t="shared" si="64"/>
        <v>70</v>
      </c>
      <c r="AK25" s="552">
        <f t="shared" si="65"/>
        <v>301</v>
      </c>
      <c r="AL25" s="155">
        <f t="shared" si="66"/>
        <v>150</v>
      </c>
      <c r="AM25" s="155">
        <f t="shared" si="67"/>
        <v>210</v>
      </c>
      <c r="AN25" s="155">
        <f t="shared" si="68"/>
        <v>362</v>
      </c>
      <c r="AO25" s="155">
        <f t="shared" si="69"/>
        <v>178</v>
      </c>
      <c r="AP25" s="155">
        <f t="shared" si="69"/>
        <v>65</v>
      </c>
      <c r="AQ25" s="155">
        <f t="shared" si="70"/>
        <v>206</v>
      </c>
      <c r="AR25" s="155">
        <f t="shared" si="71"/>
        <v>257</v>
      </c>
      <c r="AS25" s="156">
        <f t="shared" si="72"/>
        <v>235</v>
      </c>
      <c r="AT25" s="155">
        <v>27</v>
      </c>
      <c r="AU25" s="155">
        <v>99</v>
      </c>
      <c r="AV25" s="155">
        <v>120</v>
      </c>
      <c r="AW25" s="155">
        <v>119</v>
      </c>
      <c r="AX25" s="155">
        <v>122</v>
      </c>
      <c r="AY25" s="155">
        <v>200</v>
      </c>
      <c r="AZ25" s="155">
        <v>29</v>
      </c>
      <c r="BA25" s="155">
        <v>253</v>
      </c>
      <c r="BB25" s="155">
        <v>165</v>
      </c>
      <c r="BC25" s="155">
        <v>316</v>
      </c>
      <c r="BD25" s="155">
        <v>148</v>
      </c>
      <c r="BE25" s="155">
        <v>63</v>
      </c>
      <c r="BF25" s="552">
        <v>341</v>
      </c>
      <c r="BG25" s="155">
        <v>13</v>
      </c>
      <c r="BH25" s="155">
        <v>9</v>
      </c>
      <c r="BI25" s="155">
        <v>97</v>
      </c>
      <c r="BJ25" s="155">
        <v>87</v>
      </c>
      <c r="BK25" s="155">
        <v>10</v>
      </c>
      <c r="BL25" s="155">
        <v>6</v>
      </c>
      <c r="BM25" s="155">
        <v>139</v>
      </c>
      <c r="BN25" s="155">
        <v>116</v>
      </c>
      <c r="BO25" s="155">
        <v>3</v>
      </c>
      <c r="BP25" s="155">
        <v>113</v>
      </c>
      <c r="BQ25" s="155">
        <v>68</v>
      </c>
      <c r="BR25" s="552">
        <v>116</v>
      </c>
      <c r="BS25" s="155">
        <v>25</v>
      </c>
      <c r="BT25" s="155">
        <v>448</v>
      </c>
      <c r="BU25" s="155">
        <v>242</v>
      </c>
      <c r="BV25" s="155">
        <v>784</v>
      </c>
      <c r="BW25" s="155">
        <v>175</v>
      </c>
      <c r="BX25" s="155">
        <v>181</v>
      </c>
      <c r="BY25" s="155">
        <v>70</v>
      </c>
      <c r="BZ25" s="155">
        <v>112</v>
      </c>
      <c r="CA25" s="155">
        <v>222</v>
      </c>
      <c r="CB25" s="552">
        <v>301</v>
      </c>
      <c r="CC25" s="155">
        <v>178</v>
      </c>
      <c r="CD25" s="155">
        <v>65</v>
      </c>
      <c r="CE25" s="155">
        <v>150</v>
      </c>
      <c r="CF25" s="155">
        <v>13</v>
      </c>
      <c r="CG25" s="155">
        <v>222</v>
      </c>
      <c r="CH25" s="155">
        <v>210</v>
      </c>
      <c r="CI25" s="155">
        <v>257</v>
      </c>
      <c r="CJ25" s="155">
        <v>362</v>
      </c>
      <c r="CK25" s="156">
        <v>206</v>
      </c>
      <c r="CL25" s="320">
        <v>7002</v>
      </c>
    </row>
    <row r="26" spans="1:94">
      <c r="A26" s="80">
        <f>ROWS($A$3:A24)</f>
        <v>22</v>
      </c>
      <c r="B26" s="52" t="s">
        <v>251</v>
      </c>
      <c r="C26" s="203">
        <v>2020</v>
      </c>
      <c r="D26" s="259" t="s">
        <v>13</v>
      </c>
      <c r="E26" s="706">
        <v>44428</v>
      </c>
      <c r="F26" s="154">
        <v>2328</v>
      </c>
      <c r="G26" s="155">
        <v>810</v>
      </c>
      <c r="H26" s="155">
        <v>2612</v>
      </c>
      <c r="I26" s="156">
        <v>2293</v>
      </c>
      <c r="J26" s="281"/>
      <c r="K26" s="154">
        <f>L26+M26</f>
        <v>439</v>
      </c>
      <c r="L26" s="155">
        <f t="shared" si="43"/>
        <v>204</v>
      </c>
      <c r="M26" s="155">
        <f t="shared" si="44"/>
        <v>235</v>
      </c>
      <c r="N26" s="155">
        <f t="shared" si="45"/>
        <v>151</v>
      </c>
      <c r="O26" s="155">
        <f t="shared" si="46"/>
        <v>98</v>
      </c>
      <c r="P26" s="155">
        <f t="shared" si="73"/>
        <v>280</v>
      </c>
      <c r="Q26" s="155">
        <f t="shared" si="74"/>
        <v>107</v>
      </c>
      <c r="R26" s="155">
        <f t="shared" si="47"/>
        <v>163</v>
      </c>
      <c r="S26" s="155">
        <f t="shared" si="48"/>
        <v>128</v>
      </c>
      <c r="T26" s="155">
        <f t="shared" si="49"/>
        <v>176</v>
      </c>
      <c r="U26" s="552">
        <f t="shared" si="49"/>
        <v>362</v>
      </c>
      <c r="V26" s="155">
        <f t="shared" si="50"/>
        <v>94</v>
      </c>
      <c r="W26" s="155">
        <f t="shared" si="51"/>
        <v>113</v>
      </c>
      <c r="X26" s="155">
        <f t="shared" si="52"/>
        <v>131</v>
      </c>
      <c r="Y26" s="155">
        <f t="shared" si="53"/>
        <v>136</v>
      </c>
      <c r="Z26" s="155">
        <f t="shared" si="54"/>
        <v>154</v>
      </c>
      <c r="AA26" s="155">
        <f t="shared" si="55"/>
        <v>80</v>
      </c>
      <c r="AB26" s="552">
        <f t="shared" si="56"/>
        <v>102</v>
      </c>
      <c r="AC26" s="155">
        <f t="shared" si="57"/>
        <v>224</v>
      </c>
      <c r="AD26" s="155">
        <f t="shared" si="58"/>
        <v>296</v>
      </c>
      <c r="AE26" s="155">
        <f t="shared" si="59"/>
        <v>492</v>
      </c>
      <c r="AF26" s="155">
        <f t="shared" si="60"/>
        <v>232</v>
      </c>
      <c r="AG26" s="155">
        <f t="shared" si="61"/>
        <v>667</v>
      </c>
      <c r="AH26" s="155">
        <f t="shared" si="62"/>
        <v>153</v>
      </c>
      <c r="AI26" s="155">
        <f t="shared" si="63"/>
        <v>182</v>
      </c>
      <c r="AJ26" s="155">
        <f t="shared" si="64"/>
        <v>90</v>
      </c>
      <c r="AK26" s="552">
        <f t="shared" si="65"/>
        <v>276</v>
      </c>
      <c r="AL26" s="155">
        <f t="shared" si="66"/>
        <v>152</v>
      </c>
      <c r="AM26" s="155">
        <f t="shared" si="67"/>
        <v>357</v>
      </c>
      <c r="AN26" s="155">
        <f t="shared" si="68"/>
        <v>502</v>
      </c>
      <c r="AO26" s="155">
        <f t="shared" si="69"/>
        <v>253</v>
      </c>
      <c r="AP26" s="155">
        <f t="shared" si="69"/>
        <v>67</v>
      </c>
      <c r="AQ26" s="155">
        <f t="shared" si="70"/>
        <v>259</v>
      </c>
      <c r="AR26" s="155">
        <f t="shared" si="71"/>
        <v>330</v>
      </c>
      <c r="AS26" s="156">
        <f t="shared" si="72"/>
        <v>373</v>
      </c>
      <c r="AT26" s="155">
        <v>27</v>
      </c>
      <c r="AU26" s="155">
        <v>107</v>
      </c>
      <c r="AV26" s="155">
        <v>128</v>
      </c>
      <c r="AW26" s="155">
        <v>151</v>
      </c>
      <c r="AX26" s="155">
        <v>136</v>
      </c>
      <c r="AY26" s="155">
        <v>204</v>
      </c>
      <c r="AZ26" s="155">
        <v>26</v>
      </c>
      <c r="BA26" s="155">
        <v>254</v>
      </c>
      <c r="BB26" s="155">
        <v>176</v>
      </c>
      <c r="BC26" s="155">
        <v>362</v>
      </c>
      <c r="BD26" s="155">
        <v>235</v>
      </c>
      <c r="BE26" s="155">
        <v>98</v>
      </c>
      <c r="BF26" s="552">
        <v>424</v>
      </c>
      <c r="BG26" s="155">
        <v>10</v>
      </c>
      <c r="BH26" s="155">
        <v>18</v>
      </c>
      <c r="BI26" s="155">
        <v>113</v>
      </c>
      <c r="BJ26" s="155">
        <v>84</v>
      </c>
      <c r="BK26" s="155">
        <v>10</v>
      </c>
      <c r="BL26" s="155">
        <v>5</v>
      </c>
      <c r="BM26" s="155">
        <v>154</v>
      </c>
      <c r="BN26" s="155">
        <v>121</v>
      </c>
      <c r="BO26" s="155">
        <v>2</v>
      </c>
      <c r="BP26" s="155">
        <v>102</v>
      </c>
      <c r="BQ26" s="155">
        <v>78</v>
      </c>
      <c r="BR26" s="552">
        <v>113</v>
      </c>
      <c r="BS26" s="155">
        <v>22</v>
      </c>
      <c r="BT26" s="155">
        <v>470</v>
      </c>
      <c r="BU26" s="155">
        <v>296</v>
      </c>
      <c r="BV26" s="155">
        <v>667</v>
      </c>
      <c r="BW26" s="155">
        <v>182</v>
      </c>
      <c r="BX26" s="155">
        <v>224</v>
      </c>
      <c r="BY26" s="155">
        <v>90</v>
      </c>
      <c r="BZ26" s="155">
        <v>153</v>
      </c>
      <c r="CA26" s="155">
        <v>232</v>
      </c>
      <c r="CB26" s="552">
        <v>276</v>
      </c>
      <c r="CC26" s="155">
        <v>253</v>
      </c>
      <c r="CD26" s="155">
        <v>67</v>
      </c>
      <c r="CE26" s="155">
        <v>152</v>
      </c>
      <c r="CF26" s="155">
        <v>17</v>
      </c>
      <c r="CG26" s="155">
        <v>356</v>
      </c>
      <c r="CH26" s="155">
        <v>357</v>
      </c>
      <c r="CI26" s="155">
        <v>330</v>
      </c>
      <c r="CJ26" s="155">
        <v>502</v>
      </c>
      <c r="CK26" s="156">
        <v>259</v>
      </c>
      <c r="CL26" s="320">
        <v>8043</v>
      </c>
    </row>
    <row r="27" spans="1:94">
      <c r="A27" s="80">
        <f>ROWS($A$3:A25)</f>
        <v>23</v>
      </c>
      <c r="B27" s="52" t="s">
        <v>252</v>
      </c>
      <c r="C27" s="203">
        <v>2020</v>
      </c>
      <c r="D27" s="259" t="s">
        <v>13</v>
      </c>
      <c r="E27" s="706">
        <v>44428</v>
      </c>
      <c r="F27" s="154">
        <v>2870</v>
      </c>
      <c r="G27" s="155">
        <v>887</v>
      </c>
      <c r="H27" s="155">
        <v>2237</v>
      </c>
      <c r="I27" s="156">
        <v>2692</v>
      </c>
      <c r="J27" s="281"/>
      <c r="K27" s="154">
        <f>L27+M27</f>
        <v>542</v>
      </c>
      <c r="L27" s="155">
        <f t="shared" si="43"/>
        <v>210</v>
      </c>
      <c r="M27" s="155">
        <f t="shared" si="44"/>
        <v>332</v>
      </c>
      <c r="N27" s="155">
        <f t="shared" si="45"/>
        <v>190</v>
      </c>
      <c r="O27" s="155">
        <f t="shared" si="46"/>
        <v>140</v>
      </c>
      <c r="P27" s="155">
        <f t="shared" si="73"/>
        <v>325</v>
      </c>
      <c r="Q27" s="155">
        <f t="shared" si="74"/>
        <v>138</v>
      </c>
      <c r="R27" s="155">
        <f t="shared" si="47"/>
        <v>298</v>
      </c>
      <c r="S27" s="155">
        <f t="shared" si="48"/>
        <v>140</v>
      </c>
      <c r="T27" s="155">
        <f t="shared" si="49"/>
        <v>239</v>
      </c>
      <c r="U27" s="552">
        <f t="shared" si="49"/>
        <v>475</v>
      </c>
      <c r="V27" s="155">
        <f t="shared" si="50"/>
        <v>72</v>
      </c>
      <c r="W27" s="155">
        <f t="shared" si="51"/>
        <v>115</v>
      </c>
      <c r="X27" s="155">
        <f t="shared" si="52"/>
        <v>145</v>
      </c>
      <c r="Y27" s="155">
        <f t="shared" si="53"/>
        <v>229</v>
      </c>
      <c r="Z27" s="155">
        <f t="shared" si="54"/>
        <v>169</v>
      </c>
      <c r="AA27" s="155">
        <f t="shared" si="55"/>
        <v>76</v>
      </c>
      <c r="AB27" s="552">
        <f t="shared" si="56"/>
        <v>81</v>
      </c>
      <c r="AC27" s="155">
        <f t="shared" si="57"/>
        <v>292</v>
      </c>
      <c r="AD27" s="155">
        <f t="shared" si="58"/>
        <v>177</v>
      </c>
      <c r="AE27" s="155">
        <f t="shared" si="59"/>
        <v>542</v>
      </c>
      <c r="AF27" s="155">
        <f t="shared" si="60"/>
        <v>231</v>
      </c>
      <c r="AG27" s="155">
        <f t="shared" si="61"/>
        <v>342</v>
      </c>
      <c r="AH27" s="155">
        <f t="shared" si="62"/>
        <v>167</v>
      </c>
      <c r="AI27" s="155">
        <f t="shared" si="63"/>
        <v>150</v>
      </c>
      <c r="AJ27" s="155">
        <f t="shared" si="64"/>
        <v>87</v>
      </c>
      <c r="AK27" s="552">
        <f t="shared" si="65"/>
        <v>249</v>
      </c>
      <c r="AL27" s="155">
        <f t="shared" si="66"/>
        <v>172</v>
      </c>
      <c r="AM27" s="155">
        <f t="shared" si="67"/>
        <v>471</v>
      </c>
      <c r="AN27" s="155">
        <f t="shared" si="68"/>
        <v>643</v>
      </c>
      <c r="AO27" s="155">
        <f t="shared" si="69"/>
        <v>234</v>
      </c>
      <c r="AP27" s="155">
        <f t="shared" si="69"/>
        <v>90</v>
      </c>
      <c r="AQ27" s="155">
        <f t="shared" si="70"/>
        <v>271</v>
      </c>
      <c r="AR27" s="155">
        <f t="shared" si="71"/>
        <v>303</v>
      </c>
      <c r="AS27" s="156">
        <f t="shared" si="72"/>
        <v>508</v>
      </c>
      <c r="AT27" s="155">
        <v>20</v>
      </c>
      <c r="AU27" s="155">
        <v>138</v>
      </c>
      <c r="AV27" s="155">
        <v>140</v>
      </c>
      <c r="AW27" s="155">
        <v>190</v>
      </c>
      <c r="AX27" s="155">
        <v>278</v>
      </c>
      <c r="AY27" s="155">
        <v>210</v>
      </c>
      <c r="AZ27" s="155">
        <v>35</v>
      </c>
      <c r="BA27" s="155">
        <v>290</v>
      </c>
      <c r="BB27" s="155">
        <v>239</v>
      </c>
      <c r="BC27" s="155">
        <v>475</v>
      </c>
      <c r="BD27" s="155">
        <v>332</v>
      </c>
      <c r="BE27" s="155">
        <v>140</v>
      </c>
      <c r="BF27" s="552">
        <v>383</v>
      </c>
      <c r="BG27" s="155">
        <v>5</v>
      </c>
      <c r="BH27" s="155">
        <v>16</v>
      </c>
      <c r="BI27" s="155">
        <v>129</v>
      </c>
      <c r="BJ27" s="155">
        <v>67</v>
      </c>
      <c r="BK27" s="155">
        <v>19</v>
      </c>
      <c r="BL27" s="155">
        <v>12</v>
      </c>
      <c r="BM27" s="155">
        <v>169</v>
      </c>
      <c r="BN27" s="155">
        <v>198</v>
      </c>
      <c r="BO27" s="155">
        <v>2</v>
      </c>
      <c r="BP27" s="155">
        <v>81</v>
      </c>
      <c r="BQ27" s="155">
        <v>74</v>
      </c>
      <c r="BR27" s="552">
        <v>115</v>
      </c>
      <c r="BS27" s="155">
        <v>32</v>
      </c>
      <c r="BT27" s="155">
        <v>510</v>
      </c>
      <c r="BU27" s="155">
        <v>177</v>
      </c>
      <c r="BV27" s="155">
        <v>342</v>
      </c>
      <c r="BW27" s="155">
        <v>150</v>
      </c>
      <c r="BX27" s="155">
        <v>292</v>
      </c>
      <c r="BY27" s="155">
        <v>87</v>
      </c>
      <c r="BZ27" s="155">
        <v>167</v>
      </c>
      <c r="CA27" s="155">
        <v>231</v>
      </c>
      <c r="CB27" s="552">
        <v>249</v>
      </c>
      <c r="CC27" s="155">
        <v>234</v>
      </c>
      <c r="CD27" s="155">
        <v>90</v>
      </c>
      <c r="CE27" s="155">
        <v>172</v>
      </c>
      <c r="CF27" s="155">
        <v>24</v>
      </c>
      <c r="CG27" s="155">
        <v>484</v>
      </c>
      <c r="CH27" s="155">
        <v>471</v>
      </c>
      <c r="CI27" s="155">
        <v>303</v>
      </c>
      <c r="CJ27" s="155">
        <v>643</v>
      </c>
      <c r="CK27" s="156">
        <v>271</v>
      </c>
      <c r="CL27" s="320">
        <v>8686</v>
      </c>
    </row>
    <row r="28" spans="1:94">
      <c r="A28" s="80">
        <f>ROWS($A$3:A26)</f>
        <v>24</v>
      </c>
      <c r="B28" s="52" t="s">
        <v>4</v>
      </c>
      <c r="C28" s="203">
        <v>2020</v>
      </c>
      <c r="D28" s="259" t="s">
        <v>13</v>
      </c>
      <c r="E28" s="706">
        <v>44428</v>
      </c>
      <c r="F28" s="154">
        <v>2042</v>
      </c>
      <c r="G28" s="155">
        <v>727</v>
      </c>
      <c r="H28" s="155">
        <v>1203</v>
      </c>
      <c r="I28" s="156">
        <v>1898</v>
      </c>
      <c r="J28" s="281"/>
      <c r="K28" s="154">
        <f t="shared" si="42"/>
        <v>272</v>
      </c>
      <c r="L28" s="155">
        <f t="shared" si="43"/>
        <v>109</v>
      </c>
      <c r="M28" s="155">
        <f>BD28</f>
        <v>210</v>
      </c>
      <c r="N28" s="155">
        <f>AW28</f>
        <v>134</v>
      </c>
      <c r="O28" s="155">
        <f>BE28</f>
        <v>126</v>
      </c>
      <c r="P28" s="155">
        <f t="shared" si="73"/>
        <v>249</v>
      </c>
      <c r="Q28" s="155">
        <f t="shared" si="74"/>
        <v>108</v>
      </c>
      <c r="R28" s="155">
        <f>AT28+AX28</f>
        <v>183</v>
      </c>
      <c r="S28" s="155">
        <f>AV28</f>
        <v>106</v>
      </c>
      <c r="T28" s="155">
        <f>BB28</f>
        <v>161</v>
      </c>
      <c r="U28" s="552">
        <f>BC28</f>
        <v>384</v>
      </c>
      <c r="V28" s="155">
        <f>BG28+BJ28</f>
        <v>43</v>
      </c>
      <c r="W28" s="155">
        <f>BR28</f>
        <v>63</v>
      </c>
      <c r="X28" s="155">
        <f>BH28+BI28</f>
        <v>118</v>
      </c>
      <c r="Y28" s="155">
        <f>BK28+BL28+BN28</f>
        <v>203</v>
      </c>
      <c r="Z28" s="155">
        <f>BM28</f>
        <v>152</v>
      </c>
      <c r="AA28" s="155">
        <f>BO28+BQ28</f>
        <v>80</v>
      </c>
      <c r="AB28" s="552">
        <f>BP28</f>
        <v>68</v>
      </c>
      <c r="AC28" s="155">
        <f>BX28</f>
        <v>159</v>
      </c>
      <c r="AD28" s="155">
        <f>BU28</f>
        <v>67</v>
      </c>
      <c r="AE28" s="155">
        <f>BS28+BT28</f>
        <v>195</v>
      </c>
      <c r="AF28" s="155">
        <f>CA28</f>
        <v>97</v>
      </c>
      <c r="AG28" s="155">
        <f>BV28</f>
        <v>196</v>
      </c>
      <c r="AH28" s="155">
        <f>BZ28</f>
        <v>145</v>
      </c>
      <c r="AI28" s="155">
        <f>BW28</f>
        <v>128</v>
      </c>
      <c r="AJ28" s="155">
        <f>BY28</f>
        <v>72</v>
      </c>
      <c r="AK28" s="552">
        <f>CB28</f>
        <v>144</v>
      </c>
      <c r="AL28" s="155">
        <f>CE28</f>
        <v>90</v>
      </c>
      <c r="AM28" s="155">
        <f>CH28</f>
        <v>355</v>
      </c>
      <c r="AN28" s="155">
        <f>CJ28</f>
        <v>502</v>
      </c>
      <c r="AO28" s="155">
        <f>CC28</f>
        <v>180</v>
      </c>
      <c r="AP28" s="155">
        <f>CD28</f>
        <v>57</v>
      </c>
      <c r="AQ28" s="155">
        <f>CK28</f>
        <v>197</v>
      </c>
      <c r="AR28" s="155">
        <f>CI28</f>
        <v>130</v>
      </c>
      <c r="AS28" s="156">
        <f t="shared" si="72"/>
        <v>387</v>
      </c>
      <c r="AT28" s="155">
        <v>10</v>
      </c>
      <c r="AU28" s="155">
        <v>108</v>
      </c>
      <c r="AV28" s="155">
        <v>106</v>
      </c>
      <c r="AW28" s="155">
        <v>134</v>
      </c>
      <c r="AX28" s="155">
        <v>173</v>
      </c>
      <c r="AY28" s="155">
        <v>109</v>
      </c>
      <c r="AZ28" s="155">
        <v>15</v>
      </c>
      <c r="BA28" s="155">
        <v>234</v>
      </c>
      <c r="BB28" s="155">
        <v>161</v>
      </c>
      <c r="BC28" s="155">
        <v>384</v>
      </c>
      <c r="BD28" s="155">
        <v>210</v>
      </c>
      <c r="BE28" s="155">
        <v>126</v>
      </c>
      <c r="BF28" s="552">
        <v>272</v>
      </c>
      <c r="BG28" s="155">
        <v>3</v>
      </c>
      <c r="BH28" s="155">
        <v>5</v>
      </c>
      <c r="BI28" s="155">
        <v>113</v>
      </c>
      <c r="BJ28" s="155">
        <v>40</v>
      </c>
      <c r="BK28" s="155">
        <v>12</v>
      </c>
      <c r="BL28" s="155">
        <v>16</v>
      </c>
      <c r="BM28" s="155">
        <v>152</v>
      </c>
      <c r="BN28" s="155">
        <v>175</v>
      </c>
      <c r="BO28" s="155">
        <v>5</v>
      </c>
      <c r="BP28" s="155">
        <v>68</v>
      </c>
      <c r="BQ28" s="155">
        <v>75</v>
      </c>
      <c r="BR28" s="552">
        <v>63</v>
      </c>
      <c r="BS28" s="155">
        <v>12</v>
      </c>
      <c r="BT28" s="155">
        <v>183</v>
      </c>
      <c r="BU28" s="155">
        <v>67</v>
      </c>
      <c r="BV28" s="155">
        <v>196</v>
      </c>
      <c r="BW28" s="155">
        <v>128</v>
      </c>
      <c r="BX28" s="155">
        <v>159</v>
      </c>
      <c r="BY28" s="155">
        <v>72</v>
      </c>
      <c r="BZ28" s="155">
        <v>145</v>
      </c>
      <c r="CA28" s="155">
        <v>97</v>
      </c>
      <c r="CB28" s="552">
        <v>144</v>
      </c>
      <c r="CC28" s="155">
        <v>180</v>
      </c>
      <c r="CD28" s="155">
        <v>57</v>
      </c>
      <c r="CE28" s="155">
        <v>90</v>
      </c>
      <c r="CF28" s="155">
        <v>29</v>
      </c>
      <c r="CG28" s="155">
        <v>358</v>
      </c>
      <c r="CH28" s="155">
        <v>355</v>
      </c>
      <c r="CI28" s="155">
        <v>130</v>
      </c>
      <c r="CJ28" s="155">
        <v>502</v>
      </c>
      <c r="CK28" s="156">
        <v>197</v>
      </c>
      <c r="CL28" s="320">
        <v>5870</v>
      </c>
    </row>
    <row r="29" spans="1:94">
      <c r="A29" s="80">
        <f>ROWS($A$3:A27)</f>
        <v>25</v>
      </c>
      <c r="B29" s="52" t="s">
        <v>5</v>
      </c>
      <c r="C29" s="203">
        <v>2020</v>
      </c>
      <c r="D29" s="259" t="s">
        <v>13</v>
      </c>
      <c r="E29" s="706">
        <v>44428</v>
      </c>
      <c r="F29" s="154">
        <v>1098</v>
      </c>
      <c r="G29" s="155">
        <v>606</v>
      </c>
      <c r="H29" s="155">
        <v>653</v>
      </c>
      <c r="I29" s="156">
        <v>988</v>
      </c>
      <c r="J29" s="281"/>
      <c r="K29" s="154">
        <f t="shared" si="42"/>
        <v>155</v>
      </c>
      <c r="L29" s="155">
        <f t="shared" si="43"/>
        <v>41</v>
      </c>
      <c r="M29" s="155">
        <f t="shared" si="44"/>
        <v>201</v>
      </c>
      <c r="N29" s="155">
        <f t="shared" si="45"/>
        <v>61</v>
      </c>
      <c r="O29" s="155">
        <f t="shared" si="46"/>
        <v>70</v>
      </c>
      <c r="P29" s="155">
        <f t="shared" si="73"/>
        <v>139</v>
      </c>
      <c r="Q29" s="155">
        <f t="shared" si="74"/>
        <v>60</v>
      </c>
      <c r="R29" s="155">
        <f t="shared" si="47"/>
        <v>51</v>
      </c>
      <c r="S29" s="155">
        <f t="shared" si="48"/>
        <v>37</v>
      </c>
      <c r="T29" s="155">
        <f t="shared" si="49"/>
        <v>107</v>
      </c>
      <c r="U29" s="552">
        <f t="shared" si="49"/>
        <v>176</v>
      </c>
      <c r="V29" s="155">
        <f t="shared" si="50"/>
        <v>45</v>
      </c>
      <c r="W29" s="155">
        <f t="shared" si="51"/>
        <v>47</v>
      </c>
      <c r="X29" s="155">
        <f t="shared" si="52"/>
        <v>145</v>
      </c>
      <c r="Y29" s="155">
        <f t="shared" si="53"/>
        <v>109</v>
      </c>
      <c r="Z29" s="155">
        <f t="shared" si="54"/>
        <v>147</v>
      </c>
      <c r="AA29" s="155">
        <f t="shared" si="55"/>
        <v>67</v>
      </c>
      <c r="AB29" s="552">
        <f t="shared" si="56"/>
        <v>46</v>
      </c>
      <c r="AC29" s="155">
        <f t="shared" si="57"/>
        <v>84</v>
      </c>
      <c r="AD29" s="155">
        <f t="shared" si="58"/>
        <v>36</v>
      </c>
      <c r="AE29" s="155">
        <f t="shared" si="59"/>
        <v>59</v>
      </c>
      <c r="AF29" s="155">
        <f t="shared" si="60"/>
        <v>25</v>
      </c>
      <c r="AG29" s="155">
        <f t="shared" si="61"/>
        <v>93</v>
      </c>
      <c r="AH29" s="155">
        <f t="shared" si="62"/>
        <v>91</v>
      </c>
      <c r="AI29" s="155">
        <f t="shared" si="63"/>
        <v>84</v>
      </c>
      <c r="AJ29" s="155">
        <f t="shared" si="64"/>
        <v>87</v>
      </c>
      <c r="AK29" s="552">
        <f t="shared" si="65"/>
        <v>94</v>
      </c>
      <c r="AL29" s="155">
        <f t="shared" si="66"/>
        <v>115</v>
      </c>
      <c r="AM29" s="155">
        <f t="shared" si="67"/>
        <v>178</v>
      </c>
      <c r="AN29" s="155">
        <f t="shared" si="68"/>
        <v>129</v>
      </c>
      <c r="AO29" s="155">
        <f t="shared" si="69"/>
        <v>104</v>
      </c>
      <c r="AP29" s="155">
        <f t="shared" si="69"/>
        <v>66</v>
      </c>
      <c r="AQ29" s="155">
        <f t="shared" si="70"/>
        <v>169</v>
      </c>
      <c r="AR29" s="155">
        <f t="shared" si="71"/>
        <v>41</v>
      </c>
      <c r="AS29" s="156">
        <f t="shared" si="72"/>
        <v>186</v>
      </c>
      <c r="AT29" s="155">
        <v>3</v>
      </c>
      <c r="AU29" s="155">
        <v>60</v>
      </c>
      <c r="AV29" s="155">
        <v>37</v>
      </c>
      <c r="AW29" s="155">
        <v>61</v>
      </c>
      <c r="AX29" s="155">
        <v>48</v>
      </c>
      <c r="AY29" s="155">
        <v>41</v>
      </c>
      <c r="AZ29" s="155">
        <v>9</v>
      </c>
      <c r="BA29" s="155">
        <v>130</v>
      </c>
      <c r="BB29" s="155">
        <v>107</v>
      </c>
      <c r="BC29" s="155">
        <v>176</v>
      </c>
      <c r="BD29" s="155">
        <v>201</v>
      </c>
      <c r="BE29" s="155">
        <v>70</v>
      </c>
      <c r="BF29" s="552">
        <v>155</v>
      </c>
      <c r="BG29" s="155">
        <v>5</v>
      </c>
      <c r="BH29" s="155">
        <v>7</v>
      </c>
      <c r="BI29" s="155">
        <v>138</v>
      </c>
      <c r="BJ29" s="155">
        <v>40</v>
      </c>
      <c r="BK29" s="155">
        <v>2</v>
      </c>
      <c r="BL29" s="155">
        <v>7</v>
      </c>
      <c r="BM29" s="155">
        <v>147</v>
      </c>
      <c r="BN29" s="155">
        <v>100</v>
      </c>
      <c r="BO29" s="155">
        <v>3</v>
      </c>
      <c r="BP29" s="155">
        <v>46</v>
      </c>
      <c r="BQ29" s="155">
        <v>64</v>
      </c>
      <c r="BR29" s="552">
        <v>47</v>
      </c>
      <c r="BS29" s="155">
        <v>5</v>
      </c>
      <c r="BT29" s="155">
        <v>54</v>
      </c>
      <c r="BU29" s="155">
        <v>36</v>
      </c>
      <c r="BV29" s="155">
        <v>93</v>
      </c>
      <c r="BW29" s="155">
        <v>84</v>
      </c>
      <c r="BX29" s="155">
        <v>84</v>
      </c>
      <c r="BY29" s="155">
        <v>87</v>
      </c>
      <c r="BZ29" s="155">
        <v>91</v>
      </c>
      <c r="CA29" s="155">
        <v>25</v>
      </c>
      <c r="CB29" s="552">
        <v>94</v>
      </c>
      <c r="CC29" s="155">
        <v>104</v>
      </c>
      <c r="CD29" s="155">
        <v>66</v>
      </c>
      <c r="CE29" s="155">
        <v>115</v>
      </c>
      <c r="CF29" s="155">
        <v>12</v>
      </c>
      <c r="CG29" s="155">
        <v>174</v>
      </c>
      <c r="CH29" s="155">
        <v>178</v>
      </c>
      <c r="CI29" s="155">
        <v>41</v>
      </c>
      <c r="CJ29" s="155">
        <v>129</v>
      </c>
      <c r="CK29" s="156">
        <v>169</v>
      </c>
      <c r="CL29" s="320">
        <v>3345</v>
      </c>
    </row>
    <row r="30" spans="1:94">
      <c r="A30" s="80">
        <f>ROWS($A$3:A28)</f>
        <v>26</v>
      </c>
      <c r="B30" s="53" t="s">
        <v>256</v>
      </c>
      <c r="C30" s="252"/>
      <c r="D30" s="259" t="s">
        <v>1</v>
      </c>
      <c r="E30" s="706">
        <v>44428</v>
      </c>
      <c r="F30" s="539">
        <f>F35/F23</f>
        <v>37.26060020918819</v>
      </c>
      <c r="G30" s="521">
        <f>G35/G23</f>
        <v>46.016114389468903</v>
      </c>
      <c r="H30" s="521">
        <f>H35/H23</f>
        <v>26.375625625625627</v>
      </c>
      <c r="I30" s="540">
        <f>I35/I23</f>
        <v>41.513740011693628</v>
      </c>
      <c r="J30" s="382"/>
      <c r="K30" s="536">
        <f>BF30</f>
        <v>38.946560196560199</v>
      </c>
      <c r="L30" s="537">
        <f t="shared" si="43"/>
        <v>23.946124763705104</v>
      </c>
      <c r="M30" s="537">
        <f t="shared" si="44"/>
        <v>53.24921135646688</v>
      </c>
      <c r="N30" s="537">
        <f t="shared" si="45"/>
        <v>39.597733711048157</v>
      </c>
      <c r="O30" s="537">
        <f t="shared" si="46"/>
        <v>50.796116504854368</v>
      </c>
      <c r="P30" s="521">
        <f>P35/P23</f>
        <v>30.069198751300728</v>
      </c>
      <c r="Q30" s="537">
        <f t="shared" si="74"/>
        <v>40.509909909909908</v>
      </c>
      <c r="R30" s="521">
        <f>R35/R23</f>
        <v>26.71834228702993</v>
      </c>
      <c r="S30" s="537">
        <f t="shared" si="48"/>
        <v>31.976152623211448</v>
      </c>
      <c r="T30" s="537">
        <f t="shared" si="49"/>
        <v>40.147792706333973</v>
      </c>
      <c r="U30" s="561">
        <f t="shared" si="49"/>
        <v>41.984470327232387</v>
      </c>
      <c r="V30" s="521">
        <f>V35/V23</f>
        <v>29.786641929499073</v>
      </c>
      <c r="W30" s="537">
        <f t="shared" si="51"/>
        <v>39.897872340425529</v>
      </c>
      <c r="X30" s="521">
        <f>X35/X23</f>
        <v>52.927083333333336</v>
      </c>
      <c r="Y30" s="521">
        <f>Y35/Y23</f>
        <v>45.084112149532707</v>
      </c>
      <c r="Z30" s="537">
        <f t="shared" si="54"/>
        <v>56.765586034912715</v>
      </c>
      <c r="AA30" s="521">
        <f>AA35/AA23</f>
        <v>47.478060046189377</v>
      </c>
      <c r="AB30" s="561">
        <f t="shared" si="56"/>
        <v>41.280742459396748</v>
      </c>
      <c r="AC30" s="537">
        <f t="shared" si="57"/>
        <v>40.098532494758906</v>
      </c>
      <c r="AD30" s="537">
        <f t="shared" si="58"/>
        <v>18.743676222596964</v>
      </c>
      <c r="AE30" s="521">
        <f>AE35/AE23</f>
        <v>19.2719881744272</v>
      </c>
      <c r="AF30" s="537">
        <f t="shared" si="60"/>
        <v>24.048625792811841</v>
      </c>
      <c r="AG30" s="537">
        <f t="shared" si="61"/>
        <v>17.688706105662764</v>
      </c>
      <c r="AH30" s="537">
        <f t="shared" si="62"/>
        <v>41.723135271807841</v>
      </c>
      <c r="AI30" s="537">
        <f t="shared" si="63"/>
        <v>40.698910081743868</v>
      </c>
      <c r="AJ30" s="537">
        <f t="shared" si="64"/>
        <v>57.588942307692307</v>
      </c>
      <c r="AK30" s="561">
        <f t="shared" si="65"/>
        <v>34.790676416819011</v>
      </c>
      <c r="AL30" s="537">
        <f t="shared" si="66"/>
        <v>49.227142857142859</v>
      </c>
      <c r="AM30" s="537">
        <f t="shared" si="67"/>
        <v>46.053276178812006</v>
      </c>
      <c r="AN30" s="537">
        <f t="shared" si="68"/>
        <v>38.202666666666666</v>
      </c>
      <c r="AO30" s="537">
        <f t="shared" si="69"/>
        <v>44.35406218655968</v>
      </c>
      <c r="AP30" s="537">
        <f t="shared" si="69"/>
        <v>53.132625994694962</v>
      </c>
      <c r="AQ30" s="537">
        <f t="shared" si="70"/>
        <v>48.122466960352426</v>
      </c>
      <c r="AR30" s="537">
        <f t="shared" si="71"/>
        <v>23.413597733711047</v>
      </c>
      <c r="AS30" s="540">
        <f>AS35/AS23</f>
        <v>44.631968145620021</v>
      </c>
      <c r="AT30" s="521">
        <f>AT35/AT23</f>
        <v>13.598901098901099</v>
      </c>
      <c r="AU30" s="521">
        <f>AU35/AU23</f>
        <v>40.509909909909908</v>
      </c>
      <c r="AV30" s="521">
        <f t="shared" ref="AV30:CL30" si="75">AV35/AV23</f>
        <v>31.976152623211448</v>
      </c>
      <c r="AW30" s="521">
        <f t="shared" si="75"/>
        <v>39.597733711048157</v>
      </c>
      <c r="AX30" s="521">
        <f>AX35/AX23</f>
        <v>28.848349687778768</v>
      </c>
      <c r="AY30" s="521">
        <f t="shared" si="75"/>
        <v>23.946124763705104</v>
      </c>
      <c r="AZ30" s="521">
        <f t="shared" si="75"/>
        <v>25.537974683544302</v>
      </c>
      <c r="BA30" s="521">
        <f t="shared" si="75"/>
        <v>30.475056689342402</v>
      </c>
      <c r="BB30" s="521">
        <f t="shared" si="75"/>
        <v>40.147792706333973</v>
      </c>
      <c r="BC30" s="521">
        <f t="shared" si="75"/>
        <v>41.984470327232387</v>
      </c>
      <c r="BD30" s="521">
        <f>BD35/BD23</f>
        <v>53.24921135646688</v>
      </c>
      <c r="BE30" s="521">
        <f t="shared" si="75"/>
        <v>50.796116504854368</v>
      </c>
      <c r="BF30" s="559">
        <f t="shared" si="75"/>
        <v>38.946560196560199</v>
      </c>
      <c r="BG30" s="521">
        <f t="shared" si="75"/>
        <v>17.238095238095237</v>
      </c>
      <c r="BH30" s="521">
        <f>BH35/BH23</f>
        <v>39.106060606060609</v>
      </c>
      <c r="BI30" s="521">
        <f>BI35/BI23</f>
        <v>54.226495726495727</v>
      </c>
      <c r="BJ30" s="521">
        <f>BJ35/BJ23</f>
        <v>32.103296703296706</v>
      </c>
      <c r="BK30" s="521">
        <f t="shared" si="75"/>
        <v>27.712121212121211</v>
      </c>
      <c r="BL30" s="521">
        <f t="shared" si="75"/>
        <v>52.854545454545452</v>
      </c>
      <c r="BM30" s="521">
        <f>BM35/BM23</f>
        <v>56.765586034912715</v>
      </c>
      <c r="BN30" s="521">
        <f t="shared" si="75"/>
        <v>45.938242280285039</v>
      </c>
      <c r="BO30" s="521">
        <f t="shared" si="75"/>
        <v>43.217391304347828</v>
      </c>
      <c r="BP30" s="521">
        <f t="shared" si="75"/>
        <v>41.280742459396748</v>
      </c>
      <c r="BQ30" s="521">
        <f>BQ35/BQ23</f>
        <v>47.717073170731709</v>
      </c>
      <c r="BR30" s="559">
        <f t="shared" si="75"/>
        <v>39.897872340425529</v>
      </c>
      <c r="BS30" s="521">
        <f t="shared" si="75"/>
        <v>19.426966292134832</v>
      </c>
      <c r="BT30" s="521">
        <f t="shared" si="75"/>
        <v>19.26107594936709</v>
      </c>
      <c r="BU30" s="521">
        <f t="shared" si="75"/>
        <v>18.743676222596964</v>
      </c>
      <c r="BV30" s="521">
        <f t="shared" si="75"/>
        <v>17.688706105662764</v>
      </c>
      <c r="BW30" s="521">
        <f t="shared" si="75"/>
        <v>40.698910081743868</v>
      </c>
      <c r="BX30" s="521">
        <f t="shared" si="75"/>
        <v>40.098532494758906</v>
      </c>
      <c r="BY30" s="521">
        <f t="shared" si="75"/>
        <v>57.588942307692307</v>
      </c>
      <c r="BZ30" s="521">
        <f t="shared" si="75"/>
        <v>41.723135271807841</v>
      </c>
      <c r="CA30" s="521">
        <f t="shared" si="75"/>
        <v>24.048625792811841</v>
      </c>
      <c r="CB30" s="559">
        <f t="shared" si="75"/>
        <v>34.790676416819011</v>
      </c>
      <c r="CC30" s="521">
        <f t="shared" si="75"/>
        <v>44.35406218655968</v>
      </c>
      <c r="CD30" s="521">
        <f t="shared" si="75"/>
        <v>53.132625994694962</v>
      </c>
      <c r="CE30" s="521">
        <f t="shared" si="75"/>
        <v>49.227142857142859</v>
      </c>
      <c r="CF30" s="521">
        <f t="shared" si="75"/>
        <v>43.635514018691588</v>
      </c>
      <c r="CG30" s="521">
        <f t="shared" si="75"/>
        <v>44.696547546941247</v>
      </c>
      <c r="CH30" s="521">
        <f t="shared" si="75"/>
        <v>46.053276178812006</v>
      </c>
      <c r="CI30" s="521">
        <f t="shared" si="75"/>
        <v>23.413597733711047</v>
      </c>
      <c r="CJ30" s="521">
        <f t="shared" si="75"/>
        <v>38.202666666666666</v>
      </c>
      <c r="CK30" s="540">
        <f t="shared" si="75"/>
        <v>48.122466960352426</v>
      </c>
      <c r="CL30" s="560">
        <f t="shared" si="75"/>
        <v>36.025662018677245</v>
      </c>
    </row>
    <row r="31" spans="1:94">
      <c r="A31" s="80">
        <f>ROWS($A$3:A29)</f>
        <v>27</v>
      </c>
      <c r="B31" s="53" t="str">
        <f>"Entwicklung Betriebe ab 5 ha LF von 2001 / "&amp;C22</f>
        <v>Entwicklung Betriebe ab 5 ha LF von 2001 / 2020</v>
      </c>
      <c r="C31" s="252"/>
      <c r="D31" s="259" t="s">
        <v>3</v>
      </c>
      <c r="E31" s="706">
        <v>44428</v>
      </c>
      <c r="F31" s="530">
        <f>(F23-F24)/('2001'!F23-'2001'!F24)%-100</f>
        <v>-29.831704668838228</v>
      </c>
      <c r="G31" s="531">
        <f>(G23-G24)/('2001'!G23-'2001'!G24)%-100</f>
        <v>-25.147463625639006</v>
      </c>
      <c r="H31" s="531">
        <f>(H23-H24)/('2001'!H23-'2001'!H24)%-100</f>
        <v>-25.167595509248045</v>
      </c>
      <c r="I31" s="532">
        <f>(I23-I24)/('2001'!I23-'2001'!I24)%-100</f>
        <v>-30.489938757655295</v>
      </c>
      <c r="J31" s="281"/>
      <c r="K31" s="154">
        <f t="shared" si="42"/>
        <v>-30.86040386303776</v>
      </c>
      <c r="L31" s="155">
        <f t="shared" si="43"/>
        <v>-26.325940212150428</v>
      </c>
      <c r="M31" s="155">
        <f t="shared" si="44"/>
        <v>-39.168017287952466</v>
      </c>
      <c r="N31" s="155">
        <f t="shared" si="45"/>
        <v>-23.302107728337234</v>
      </c>
      <c r="O31" s="155">
        <f t="shared" si="46"/>
        <v>-25.710014947683106</v>
      </c>
      <c r="P31" s="531">
        <f>100-(P23%/((AZ23%)/(100-AZ31)+(BA23%)/(100-BA31)))</f>
        <v>-27.237027754235385</v>
      </c>
      <c r="Q31" s="542">
        <f t="shared" si="74"/>
        <v>-29.08587257617728</v>
      </c>
      <c r="R31" s="531">
        <f>100-(R23%/((AT23%)/(100-AT31)+(AX23%)/(100-AX31)))</f>
        <v>-22.605392838737302</v>
      </c>
      <c r="S31" s="542">
        <f t="shared" si="48"/>
        <v>-19.423368740515926</v>
      </c>
      <c r="T31" s="542">
        <f t="shared" si="49"/>
        <v>-34.466769706336933</v>
      </c>
      <c r="U31" s="554">
        <f t="shared" si="49"/>
        <v>-31.91573926868044</v>
      </c>
      <c r="V31" s="531">
        <f>100-(V23%/((BG23%)/(100-BG31)+(BJ23%)/(100-BJ31)))</f>
        <v>-11.594202898550705</v>
      </c>
      <c r="W31" s="542">
        <f t="shared" si="51"/>
        <v>-28.164556962025316</v>
      </c>
      <c r="X31" s="531">
        <f>100-(X23%/((BH23%)/(100-BH31)+(BI23%)/(100-BI31)))</f>
        <v>-19.286501552887955</v>
      </c>
      <c r="Y31" s="531">
        <f>100-(Y23%/((BK23%)/(100-BK31)+(BL23%)/(100-BL31)+(BN23%)/(100-BN31)))</f>
        <v>-27.766235803201752</v>
      </c>
      <c r="Z31" s="542">
        <f t="shared" si="54"/>
        <v>-30.818181818181813</v>
      </c>
      <c r="AA31" s="531">
        <f>100-(AA23%/((BO23%)/(100-BO31)+(BQ23%)/(100-BQ31)))</f>
        <v>-18.373347410266945</v>
      </c>
      <c r="AB31" s="554">
        <f t="shared" si="56"/>
        <v>-28.571428571428569</v>
      </c>
      <c r="AC31" s="542">
        <f t="shared" si="57"/>
        <v>-26.332288401253919</v>
      </c>
      <c r="AD31" s="542">
        <f t="shared" si="58"/>
        <v>-22.537878787878796</v>
      </c>
      <c r="AE31" s="531">
        <f>100-(AE23%/((BS23%)/(100-BS31)+(BT23%)/(100-BT31)))</f>
        <v>-19.212894765506078</v>
      </c>
      <c r="AF31" s="542">
        <f t="shared" si="60"/>
        <v>-24.79030754892824</v>
      </c>
      <c r="AG31" s="542">
        <f t="shared" si="61"/>
        <v>-23.680351906158364</v>
      </c>
      <c r="AH31" s="542">
        <f t="shared" si="62"/>
        <v>-27.312295973884659</v>
      </c>
      <c r="AI31" s="542">
        <f t="shared" si="63"/>
        <v>-27.300303336703749</v>
      </c>
      <c r="AJ31" s="542">
        <f t="shared" si="64"/>
        <v>-32.333333333333329</v>
      </c>
      <c r="AK31" s="554">
        <f t="shared" si="65"/>
        <v>-31.794871794871796</v>
      </c>
      <c r="AL31" s="542">
        <f t="shared" si="66"/>
        <v>-26.673866090712735</v>
      </c>
      <c r="AM31" s="542">
        <f t="shared" si="67"/>
        <v>-31.932409012131714</v>
      </c>
      <c r="AN31" s="542">
        <f t="shared" si="68"/>
        <v>-29.671052631578945</v>
      </c>
      <c r="AO31" s="542">
        <f t="shared" si="69"/>
        <v>-26.774691358024697</v>
      </c>
      <c r="AP31" s="542">
        <f t="shared" si="69"/>
        <v>-30.583501006036215</v>
      </c>
      <c r="AQ31" s="542">
        <f t="shared" si="70"/>
        <v>-32.101047443006777</v>
      </c>
      <c r="AR31" s="542">
        <f t="shared" si="71"/>
        <v>-28.648285137861464</v>
      </c>
      <c r="AS31" s="532">
        <f>100-(AS23%/((CF23%)/(100-CF31)+(CG23%)/(100-CG31)))</f>
        <v>-33.459164916451357</v>
      </c>
      <c r="AT31" s="542">
        <f>(AT23-AT24)/('2001'!AT23-'2001'!AT24)%-100</f>
        <v>-11.224489795918359</v>
      </c>
      <c r="AU31" s="155">
        <f>(AU23-AU24)/('2001'!AU23-'2001'!AU24)%-100</f>
        <v>-29.08587257617728</v>
      </c>
      <c r="AV31" s="155">
        <f>(AV23-AV24)/('2001'!AV23-'2001'!AV24)%-100</f>
        <v>-19.423368740515926</v>
      </c>
      <c r="AW31" s="155">
        <f>(AW23-AW24)/('2001'!AW23-'2001'!AW24)%-100</f>
        <v>-23.302107728337234</v>
      </c>
      <c r="AX31" s="155">
        <f>(AX23-AX24)/('2001'!AX23-'2001'!AX24)%-100</f>
        <v>-24.676616915422898</v>
      </c>
      <c r="AY31" s="155">
        <f>(AY23-AY24)/('2001'!AY23-'2001'!AY24)%-100</f>
        <v>-26.325940212150428</v>
      </c>
      <c r="AZ31" s="155">
        <f>(AZ23-AZ24)/('2001'!AZ23-'2001'!AZ24)%-100</f>
        <v>-29.629629629629633</v>
      </c>
      <c r="BA31" s="155">
        <f>(BA23-BA24)/('2001'!BA23-'2001'!BA24)%-100</f>
        <v>-27.027027027027032</v>
      </c>
      <c r="BB31" s="155">
        <f>(BB23-BB24)/('2001'!BB23-'2001'!BB24)%-100</f>
        <v>-34.466769706336933</v>
      </c>
      <c r="BC31" s="155">
        <f>(BC23-BC24)/('2001'!BC23-'2001'!BC24)%-100</f>
        <v>-31.91573926868044</v>
      </c>
      <c r="BD31" s="155">
        <f>(BD23-BD24)/('2001'!BD23-'2001'!BD24)%-100</f>
        <v>-39.168017287952466</v>
      </c>
      <c r="BE31" s="155">
        <f>(BE23-BE24)/('2001'!BE23-'2001'!BE24)%-100</f>
        <v>-25.710014947683106</v>
      </c>
      <c r="BF31" s="552">
        <f>(BF23-BF24)/('2001'!BF23-'2001'!BF24)%-100</f>
        <v>-30.86040386303776</v>
      </c>
      <c r="BG31" s="155">
        <f>(BG23-BG24)/('2001'!BG23-'2001'!BG24)%-100</f>
        <v>-20</v>
      </c>
      <c r="BH31" s="155">
        <f>(BH23-BH24)/('2001'!BH23-'2001'!BH24)%-100</f>
        <v>-12.698412698412696</v>
      </c>
      <c r="BI31" s="155">
        <f>(BI23-BI24)/('2001'!BI23-'2001'!BI24)%-100</f>
        <v>-19.945725915875173</v>
      </c>
      <c r="BJ31" s="155">
        <f>(BJ23-BJ24)/('2001'!BJ23-'2001'!BJ24)%-100</f>
        <v>-10.169491525423723</v>
      </c>
      <c r="BK31" s="155">
        <f>(BK23-BK24)/('2001'!BK23-'2001'!BK24)%-100</f>
        <v>-22.058823529411768</v>
      </c>
      <c r="BL31" s="155">
        <f>(BL23-BL24)/('2001'!BL23-'2001'!BL24)%-100</f>
        <v>-37.837837837837839</v>
      </c>
      <c r="BM31" s="155">
        <f>(BM23-BM24)/('2001'!BM23-'2001'!BM24)%-100</f>
        <v>-30.818181818181813</v>
      </c>
      <c r="BN31" s="155">
        <f>(BN23-BN24)/('2001'!BN23-'2001'!BN24)%-100</f>
        <v>-27.624872579001021</v>
      </c>
      <c r="BO31" s="155">
        <f>(BO23-BO24)/('2001'!BO23-'2001'!BO24)%-100</f>
        <v>-28.571428571428569</v>
      </c>
      <c r="BP31" s="155">
        <f>(BP23-BP24)/('2001'!BP23-'2001'!BP24)%-100</f>
        <v>-28.571428571428569</v>
      </c>
      <c r="BQ31" s="155">
        <f>(BQ23-BQ24)/('2001'!BQ23-'2001'!BQ24)%-100</f>
        <v>-17.848970251716253</v>
      </c>
      <c r="BR31" s="552">
        <f>(BR23-BR24)/('2001'!BR23-'2001'!BR24)%-100</f>
        <v>-28.164556962025316</v>
      </c>
      <c r="BS31" s="155">
        <f>(BS23-BS24)/('2001'!BS23-'2001'!BS24)%-100</f>
        <v>-18.644067796610159</v>
      </c>
      <c r="BT31" s="155">
        <f>(BT23-BT24)/('2001'!BT23-'2001'!BT24)%-100</f>
        <v>-19.253152279340455</v>
      </c>
      <c r="BU31" s="155">
        <f>(BU23-BU24)/('2001'!BU23-'2001'!BU24)%-100</f>
        <v>-22.537878787878796</v>
      </c>
      <c r="BV31" s="155">
        <f>(BV23-BV24)/('2001'!BV23-'2001'!BV24)%-100</f>
        <v>-23.680351906158364</v>
      </c>
      <c r="BW31" s="155">
        <f>(BW23-BW24)/('2001'!BW23-'2001'!BW24)%-100</f>
        <v>-27.300303336703749</v>
      </c>
      <c r="BX31" s="155">
        <f>(BX23-BX24)/('2001'!BX23-'2001'!BX24)%-100</f>
        <v>-26.332288401253919</v>
      </c>
      <c r="BY31" s="155">
        <f>(BY23-BY24)/('2001'!BY23-'2001'!BY24)%-100</f>
        <v>-32.333333333333329</v>
      </c>
      <c r="BZ31" s="155">
        <f>(BZ23-BZ24)/('2001'!BZ23-'2001'!BZ24)%-100</f>
        <v>-27.312295973884659</v>
      </c>
      <c r="CA31" s="155">
        <f>(CA23-CA24)/('2001'!CA23-'2001'!CA24)%-100</f>
        <v>-24.79030754892824</v>
      </c>
      <c r="CB31" s="552">
        <f>(CB23-CB24)/('2001'!CB23-'2001'!CB24)%-100</f>
        <v>-31.794871794871796</v>
      </c>
      <c r="CC31" s="155">
        <f>(CC23-CC24)/('2001'!CC23-'2001'!CC24)%-100</f>
        <v>-26.774691358024697</v>
      </c>
      <c r="CD31" s="155">
        <f>(CD23-CD24)/('2001'!CD23-'2001'!CD24)%-100</f>
        <v>-30.583501006036215</v>
      </c>
      <c r="CE31" s="155">
        <f>(CE23-CE24)/('2001'!CE23-'2001'!CE24)%-100</f>
        <v>-26.673866090712735</v>
      </c>
      <c r="CF31" s="155">
        <f>(CF23-CF24)/('2001'!CF23-'2001'!CF24)%-100</f>
        <v>-31.159420289855063</v>
      </c>
      <c r="CG31" s="155">
        <f>(CG23-CG24)/('2001'!CG23-'2001'!CG24)%-100</f>
        <v>-33.610995418575598</v>
      </c>
      <c r="CH31" s="155">
        <f>(CH23-CH24)/('2001'!CH23-'2001'!CH24)%-100</f>
        <v>-31.932409012131714</v>
      </c>
      <c r="CI31" s="155">
        <f>(CI23-CI24)/('2001'!CI23-'2001'!CI24)%-100</f>
        <v>-28.648285137861464</v>
      </c>
      <c r="CJ31" s="155">
        <f>(CJ23-CJ24)/('2001'!CJ23-'2001'!CJ24)%-100</f>
        <v>-29.671052631578945</v>
      </c>
      <c r="CK31" s="156">
        <f>(CK23-CK24)/('2001'!CK23-'2001'!CK24)%-100</f>
        <v>-32.101047443006777</v>
      </c>
      <c r="CL31" s="320">
        <f>(CL23-CL24)/('2001'!CL23-'2001'!CL24)%-100</f>
        <v>-28.251921862409901</v>
      </c>
    </row>
    <row r="32" spans="1:94" ht="13.5" customHeight="1">
      <c r="A32" s="80">
        <f>ROWS($A$3:A30)</f>
        <v>28</v>
      </c>
      <c r="B32" s="53" t="s">
        <v>170</v>
      </c>
      <c r="C32" s="252"/>
      <c r="D32" s="259" t="s">
        <v>3</v>
      </c>
      <c r="E32" s="706">
        <v>44428</v>
      </c>
      <c r="F32" s="154">
        <v>35.4</v>
      </c>
      <c r="G32" s="155">
        <v>32.200000000000003</v>
      </c>
      <c r="H32" s="155">
        <v>32.700000000000003</v>
      </c>
      <c r="I32" s="156">
        <v>40.1</v>
      </c>
      <c r="J32" s="281"/>
      <c r="K32" s="154">
        <f t="shared" si="42"/>
        <v>28.6</v>
      </c>
      <c r="L32" s="155">
        <f t="shared" si="43"/>
        <v>35.5</v>
      </c>
      <c r="M32" s="155">
        <f t="shared" si="44"/>
        <v>30.9</v>
      </c>
      <c r="N32" s="155">
        <f t="shared" si="45"/>
        <v>33.200000000000003</v>
      </c>
      <c r="O32" s="155">
        <f t="shared" si="46"/>
        <v>37.200000000000003</v>
      </c>
      <c r="P32" s="531">
        <f>(AZ23*AZ32+BA23*BA32)/P23</f>
        <v>41.070031217481791</v>
      </c>
      <c r="Q32" s="542">
        <f t="shared" si="74"/>
        <v>29.9</v>
      </c>
      <c r="R32" s="531">
        <f>(AT23*AT32+AX23*AX32)/R23</f>
        <v>39.290713737528783</v>
      </c>
      <c r="S32" s="542">
        <f t="shared" si="48"/>
        <v>34.1</v>
      </c>
      <c r="T32" s="542">
        <f t="shared" si="49"/>
        <v>35.5</v>
      </c>
      <c r="U32" s="554">
        <f t="shared" si="49"/>
        <v>38.9</v>
      </c>
      <c r="V32" s="531">
        <f>(BG23*BG32+BJ23*BJ32)/V23</f>
        <v>26.111688311688312</v>
      </c>
      <c r="W32" s="542">
        <f t="shared" si="51"/>
        <v>24</v>
      </c>
      <c r="X32" s="531">
        <f>(BH23*BH32+BI23*BI32)/X23</f>
        <v>36.489843749999999</v>
      </c>
      <c r="Y32" s="531">
        <f>(BK23*BK32+BL23*BL32+BN23*BN32)/Y23</f>
        <v>42.581516095534788</v>
      </c>
      <c r="Z32" s="542">
        <f t="shared" si="54"/>
        <v>28</v>
      </c>
      <c r="AA32" s="531">
        <f>(BO23*BO32+BQ23*BQ32)/AA23</f>
        <v>32.294919168591228</v>
      </c>
      <c r="AB32" s="554">
        <f t="shared" si="56"/>
        <v>26.5</v>
      </c>
      <c r="AC32" s="542">
        <f t="shared" si="57"/>
        <v>34.9</v>
      </c>
      <c r="AD32" s="542">
        <f t="shared" si="58"/>
        <v>29.4</v>
      </c>
      <c r="AE32" s="531">
        <f>(BS23*BS32+BT23*BT32)/AE23</f>
        <v>36.851219512195122</v>
      </c>
      <c r="AF32" s="542">
        <f t="shared" si="60"/>
        <v>27</v>
      </c>
      <c r="AG32" s="542">
        <f t="shared" si="61"/>
        <v>32</v>
      </c>
      <c r="AH32" s="542">
        <f t="shared" si="62"/>
        <v>44.7</v>
      </c>
      <c r="AI32" s="542">
        <f t="shared" si="63"/>
        <v>26.8</v>
      </c>
      <c r="AJ32" s="542">
        <f t="shared" si="64"/>
        <v>30.6</v>
      </c>
      <c r="AK32" s="554">
        <f t="shared" si="65"/>
        <v>27.2</v>
      </c>
      <c r="AL32" s="542">
        <f t="shared" si="66"/>
        <v>25.8</v>
      </c>
      <c r="AM32" s="542">
        <f t="shared" si="67"/>
        <v>43.5</v>
      </c>
      <c r="AN32" s="542">
        <f t="shared" si="68"/>
        <v>56.1</v>
      </c>
      <c r="AO32" s="542">
        <f t="shared" si="69"/>
        <v>24.6</v>
      </c>
      <c r="AP32" s="542">
        <f t="shared" si="69"/>
        <v>26.5</v>
      </c>
      <c r="AQ32" s="542">
        <f t="shared" si="70"/>
        <v>29.4</v>
      </c>
      <c r="AR32" s="542">
        <f t="shared" si="71"/>
        <v>44.8</v>
      </c>
      <c r="AS32" s="532">
        <f>(CF23*CF32+CG23*CG32)/AS23</f>
        <v>36.023435722411833</v>
      </c>
      <c r="AT32" s="542">
        <v>53.4</v>
      </c>
      <c r="AU32" s="155">
        <v>29.9</v>
      </c>
      <c r="AV32" s="155">
        <v>34.1</v>
      </c>
      <c r="AW32" s="155">
        <v>33.200000000000003</v>
      </c>
      <c r="AX32" s="155">
        <v>37</v>
      </c>
      <c r="AY32" s="155">
        <v>35.5</v>
      </c>
      <c r="AZ32" s="155">
        <v>51.9</v>
      </c>
      <c r="BA32" s="155">
        <v>40.1</v>
      </c>
      <c r="BB32" s="155">
        <v>35.5</v>
      </c>
      <c r="BC32" s="155">
        <v>38.9</v>
      </c>
      <c r="BD32" s="155">
        <v>30.9</v>
      </c>
      <c r="BE32" s="155">
        <v>37.200000000000003</v>
      </c>
      <c r="BF32" s="552">
        <v>28.6</v>
      </c>
      <c r="BG32" s="155">
        <v>27.8</v>
      </c>
      <c r="BH32" s="155">
        <v>30</v>
      </c>
      <c r="BI32" s="155">
        <v>37.1</v>
      </c>
      <c r="BJ32" s="155">
        <v>25.8</v>
      </c>
      <c r="BK32" s="155">
        <v>58.5</v>
      </c>
      <c r="BL32" s="155">
        <v>63</v>
      </c>
      <c r="BM32" s="155">
        <v>28</v>
      </c>
      <c r="BN32" s="155">
        <v>40</v>
      </c>
      <c r="BO32" s="155">
        <v>42.9</v>
      </c>
      <c r="BP32" s="155">
        <v>26.5</v>
      </c>
      <c r="BQ32" s="155">
        <v>31.7</v>
      </c>
      <c r="BR32" s="552">
        <v>24</v>
      </c>
      <c r="BS32" s="155">
        <v>46.1</v>
      </c>
      <c r="BT32" s="155">
        <v>36.200000000000003</v>
      </c>
      <c r="BU32" s="155">
        <v>29.4</v>
      </c>
      <c r="BV32" s="155">
        <v>32</v>
      </c>
      <c r="BW32" s="155">
        <v>26.8</v>
      </c>
      <c r="BX32" s="155">
        <v>34.9</v>
      </c>
      <c r="BY32" s="155">
        <v>30.6</v>
      </c>
      <c r="BZ32" s="155">
        <v>44.7</v>
      </c>
      <c r="CA32" s="155">
        <v>27</v>
      </c>
      <c r="CB32" s="552">
        <v>27.2</v>
      </c>
      <c r="CC32" s="155">
        <v>24.6</v>
      </c>
      <c r="CD32" s="155">
        <v>26.5</v>
      </c>
      <c r="CE32" s="155">
        <v>25.8</v>
      </c>
      <c r="CF32" s="155">
        <v>44.1</v>
      </c>
      <c r="CG32" s="155">
        <v>35.5</v>
      </c>
      <c r="CH32" s="155">
        <v>43.5</v>
      </c>
      <c r="CI32" s="155">
        <v>44.8</v>
      </c>
      <c r="CJ32" s="155">
        <v>56.1</v>
      </c>
      <c r="CK32" s="156">
        <v>29.4</v>
      </c>
      <c r="CL32" s="320">
        <v>35.4</v>
      </c>
    </row>
    <row r="33" spans="1:90">
      <c r="A33" s="80">
        <f>ROWS($A$3:A31)</f>
        <v>29</v>
      </c>
      <c r="B33" s="53" t="s">
        <v>68</v>
      </c>
      <c r="C33" s="252"/>
      <c r="D33" s="259" t="s">
        <v>3</v>
      </c>
      <c r="E33" s="706">
        <v>44428</v>
      </c>
      <c r="F33" s="530">
        <f>100-F32</f>
        <v>64.599999999999994</v>
      </c>
      <c r="G33" s="531">
        <f>100-G32</f>
        <v>67.8</v>
      </c>
      <c r="H33" s="531">
        <f>100-H32</f>
        <v>67.3</v>
      </c>
      <c r="I33" s="532">
        <f>100-I32</f>
        <v>59.9</v>
      </c>
      <c r="J33" s="281"/>
      <c r="K33" s="541">
        <f t="shared" si="42"/>
        <v>71.400000000000006</v>
      </c>
      <c r="L33" s="542">
        <f t="shared" si="43"/>
        <v>64.5</v>
      </c>
      <c r="M33" s="542">
        <f t="shared" si="44"/>
        <v>69.099999999999994</v>
      </c>
      <c r="N33" s="542">
        <f t="shared" si="45"/>
        <v>66.8</v>
      </c>
      <c r="O33" s="542">
        <f t="shared" si="46"/>
        <v>62.8</v>
      </c>
      <c r="P33" s="531">
        <f>100-P32</f>
        <v>58.929968782518209</v>
      </c>
      <c r="Q33" s="542">
        <f t="shared" si="74"/>
        <v>70.099999999999994</v>
      </c>
      <c r="R33" s="531">
        <f>100-R32</f>
        <v>60.709286262471217</v>
      </c>
      <c r="S33" s="542">
        <f t="shared" si="48"/>
        <v>65.900000000000006</v>
      </c>
      <c r="T33" s="542">
        <f t="shared" si="49"/>
        <v>64.5</v>
      </c>
      <c r="U33" s="554">
        <f t="shared" si="49"/>
        <v>61.1</v>
      </c>
      <c r="V33" s="531">
        <f>100-V32</f>
        <v>73.888311688311688</v>
      </c>
      <c r="W33" s="542">
        <f t="shared" si="51"/>
        <v>76</v>
      </c>
      <c r="X33" s="531">
        <f>100-X32</f>
        <v>63.510156250000001</v>
      </c>
      <c r="Y33" s="531">
        <f>100-Y32</f>
        <v>57.418483904465212</v>
      </c>
      <c r="Z33" s="542">
        <f t="shared" si="54"/>
        <v>72</v>
      </c>
      <c r="AA33" s="531">
        <f>100-AA32</f>
        <v>67.705080831408765</v>
      </c>
      <c r="AB33" s="554">
        <f t="shared" si="56"/>
        <v>73.5</v>
      </c>
      <c r="AC33" s="542">
        <f t="shared" si="57"/>
        <v>65.099999999999994</v>
      </c>
      <c r="AD33" s="542">
        <f t="shared" si="58"/>
        <v>70.599999999999994</v>
      </c>
      <c r="AE33" s="531">
        <f>100-AE32</f>
        <v>63.148780487804878</v>
      </c>
      <c r="AF33" s="542">
        <f t="shared" si="60"/>
        <v>73</v>
      </c>
      <c r="AG33" s="542">
        <f t="shared" si="61"/>
        <v>68</v>
      </c>
      <c r="AH33" s="542">
        <f t="shared" si="62"/>
        <v>55.3</v>
      </c>
      <c r="AI33" s="542">
        <f t="shared" si="63"/>
        <v>73.2</v>
      </c>
      <c r="AJ33" s="542">
        <f t="shared" si="64"/>
        <v>69.400000000000006</v>
      </c>
      <c r="AK33" s="554">
        <f t="shared" si="65"/>
        <v>72.8</v>
      </c>
      <c r="AL33" s="542">
        <f t="shared" si="66"/>
        <v>74.2</v>
      </c>
      <c r="AM33" s="542">
        <f t="shared" si="67"/>
        <v>56.5</v>
      </c>
      <c r="AN33" s="542">
        <f t="shared" si="68"/>
        <v>43.9</v>
      </c>
      <c r="AO33" s="542">
        <f t="shared" si="69"/>
        <v>75.400000000000006</v>
      </c>
      <c r="AP33" s="542">
        <f t="shared" si="69"/>
        <v>73.5</v>
      </c>
      <c r="AQ33" s="542">
        <f t="shared" si="70"/>
        <v>70.599999999999994</v>
      </c>
      <c r="AR33" s="542">
        <f t="shared" si="71"/>
        <v>55.2</v>
      </c>
      <c r="AS33" s="532">
        <f>100-AS32</f>
        <v>63.976564277588167</v>
      </c>
      <c r="AT33" s="531">
        <f>100-AT32</f>
        <v>46.6</v>
      </c>
      <c r="AU33" s="531">
        <f>100-AU32</f>
        <v>70.099999999999994</v>
      </c>
      <c r="AV33" s="531">
        <f t="shared" ref="AV33:CL33" si="76">100-AV32</f>
        <v>65.900000000000006</v>
      </c>
      <c r="AW33" s="531">
        <f t="shared" si="76"/>
        <v>66.8</v>
      </c>
      <c r="AX33" s="531">
        <f>100-AX32</f>
        <v>63</v>
      </c>
      <c r="AY33" s="531">
        <f t="shared" si="76"/>
        <v>64.5</v>
      </c>
      <c r="AZ33" s="531">
        <f t="shared" si="76"/>
        <v>48.1</v>
      </c>
      <c r="BA33" s="531">
        <f t="shared" si="76"/>
        <v>59.9</v>
      </c>
      <c r="BB33" s="531">
        <f t="shared" si="76"/>
        <v>64.5</v>
      </c>
      <c r="BC33" s="531">
        <f t="shared" si="76"/>
        <v>61.1</v>
      </c>
      <c r="BD33" s="531">
        <f t="shared" si="76"/>
        <v>69.099999999999994</v>
      </c>
      <c r="BE33" s="531">
        <f t="shared" si="76"/>
        <v>62.8</v>
      </c>
      <c r="BF33" s="555">
        <f t="shared" si="76"/>
        <v>71.400000000000006</v>
      </c>
      <c r="BG33" s="531">
        <f t="shared" si="76"/>
        <v>72.2</v>
      </c>
      <c r="BH33" s="531">
        <f>100-BH32</f>
        <v>70</v>
      </c>
      <c r="BI33" s="531">
        <f>100-BI32</f>
        <v>62.9</v>
      </c>
      <c r="BJ33" s="531">
        <f>100-BJ32</f>
        <v>74.2</v>
      </c>
      <c r="BK33" s="531">
        <f t="shared" si="76"/>
        <v>41.5</v>
      </c>
      <c r="BL33" s="531">
        <f t="shared" si="76"/>
        <v>37</v>
      </c>
      <c r="BM33" s="531">
        <f>100-BM32</f>
        <v>72</v>
      </c>
      <c r="BN33" s="531">
        <f t="shared" si="76"/>
        <v>60</v>
      </c>
      <c r="BO33" s="531">
        <f t="shared" si="76"/>
        <v>57.1</v>
      </c>
      <c r="BP33" s="531">
        <f t="shared" si="76"/>
        <v>73.5</v>
      </c>
      <c r="BQ33" s="531">
        <f>100-BQ32</f>
        <v>68.3</v>
      </c>
      <c r="BR33" s="555">
        <f t="shared" si="76"/>
        <v>76</v>
      </c>
      <c r="BS33" s="531">
        <f t="shared" si="76"/>
        <v>53.9</v>
      </c>
      <c r="BT33" s="531">
        <f t="shared" si="76"/>
        <v>63.8</v>
      </c>
      <c r="BU33" s="531">
        <f t="shared" si="76"/>
        <v>70.599999999999994</v>
      </c>
      <c r="BV33" s="531">
        <f t="shared" si="76"/>
        <v>68</v>
      </c>
      <c r="BW33" s="531">
        <f t="shared" si="76"/>
        <v>73.2</v>
      </c>
      <c r="BX33" s="531">
        <f t="shared" si="76"/>
        <v>65.099999999999994</v>
      </c>
      <c r="BY33" s="531">
        <f t="shared" si="76"/>
        <v>69.400000000000006</v>
      </c>
      <c r="BZ33" s="531">
        <f t="shared" si="76"/>
        <v>55.3</v>
      </c>
      <c r="CA33" s="531">
        <f t="shared" si="76"/>
        <v>73</v>
      </c>
      <c r="CB33" s="555">
        <f t="shared" si="76"/>
        <v>72.8</v>
      </c>
      <c r="CC33" s="531">
        <f t="shared" si="76"/>
        <v>75.400000000000006</v>
      </c>
      <c r="CD33" s="531">
        <f t="shared" si="76"/>
        <v>73.5</v>
      </c>
      <c r="CE33" s="531">
        <f t="shared" si="76"/>
        <v>74.2</v>
      </c>
      <c r="CF33" s="531">
        <f t="shared" si="76"/>
        <v>55.9</v>
      </c>
      <c r="CG33" s="531">
        <f t="shared" si="76"/>
        <v>64.5</v>
      </c>
      <c r="CH33" s="531">
        <f t="shared" si="76"/>
        <v>56.5</v>
      </c>
      <c r="CI33" s="531">
        <f t="shared" si="76"/>
        <v>55.2</v>
      </c>
      <c r="CJ33" s="531">
        <f t="shared" si="76"/>
        <v>43.9</v>
      </c>
      <c r="CK33" s="532">
        <f t="shared" si="76"/>
        <v>70.599999999999994</v>
      </c>
      <c r="CL33" s="556">
        <f t="shared" si="76"/>
        <v>64.599999999999994</v>
      </c>
    </row>
    <row r="34" spans="1:90">
      <c r="A34" s="80">
        <f>ROWS($A$3:A32)</f>
        <v>30</v>
      </c>
      <c r="B34" s="59" t="s">
        <v>69</v>
      </c>
      <c r="C34" s="202">
        <v>2020</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c r="A35" s="80">
        <f>ROWS($A$3:A33)</f>
        <v>31</v>
      </c>
      <c r="B35" s="92" t="s">
        <v>71</v>
      </c>
      <c r="C35" s="205"/>
      <c r="D35" s="259" t="s">
        <v>1</v>
      </c>
      <c r="E35" s="706">
        <v>44431</v>
      </c>
      <c r="F35" s="154">
        <v>463112</v>
      </c>
      <c r="G35" s="155">
        <v>202747</v>
      </c>
      <c r="H35" s="155">
        <v>316191</v>
      </c>
      <c r="I35" s="156">
        <v>426014</v>
      </c>
      <c r="J35" s="281"/>
      <c r="K35" s="154">
        <f>BF35</f>
        <v>63405</v>
      </c>
      <c r="L35" s="155">
        <f>AY35</f>
        <v>25335</v>
      </c>
      <c r="M35" s="155">
        <f>BD35</f>
        <v>67520</v>
      </c>
      <c r="N35" s="155">
        <f>AW35</f>
        <v>27956</v>
      </c>
      <c r="O35" s="155">
        <f>BE35</f>
        <v>26160</v>
      </c>
      <c r="P35" s="155">
        <f>AZ35+BA35</f>
        <v>57793</v>
      </c>
      <c r="Q35" s="155">
        <f>AU35</f>
        <v>22483</v>
      </c>
      <c r="R35" s="155">
        <f t="shared" ref="R35:R41" si="77">AT35+AX35</f>
        <v>34814</v>
      </c>
      <c r="S35" s="155">
        <f>AV35</f>
        <v>20113</v>
      </c>
      <c r="T35" s="155">
        <f t="shared" ref="T35:U39" si="78">BB35</f>
        <v>41834</v>
      </c>
      <c r="U35" s="552">
        <f t="shared" si="78"/>
        <v>75698</v>
      </c>
      <c r="V35" s="155">
        <f>BG35+BJ35</f>
        <v>16055</v>
      </c>
      <c r="W35" s="155">
        <f>BR35</f>
        <v>18752</v>
      </c>
      <c r="X35" s="155">
        <f>BH35+BI35</f>
        <v>40648</v>
      </c>
      <c r="Y35" s="155">
        <f>BK35+BL35+BN35</f>
        <v>43416</v>
      </c>
      <c r="Z35" s="155">
        <f>BM35</f>
        <v>45526</v>
      </c>
      <c r="AA35" s="155">
        <f>BO35+BQ35</f>
        <v>20558</v>
      </c>
      <c r="AB35" s="552">
        <f>BP35</f>
        <v>17792</v>
      </c>
      <c r="AC35" s="155">
        <f>BX35</f>
        <v>38254</v>
      </c>
      <c r="AD35" s="155">
        <f>BU35</f>
        <v>22230</v>
      </c>
      <c r="AE35" s="155">
        <f>BS35+BT35</f>
        <v>52150</v>
      </c>
      <c r="AF35" s="155">
        <f>CA35</f>
        <v>22750</v>
      </c>
      <c r="AG35" s="155">
        <f>BV35</f>
        <v>55914</v>
      </c>
      <c r="AH35" s="155">
        <f>BZ35</f>
        <v>33003</v>
      </c>
      <c r="AI35" s="155">
        <f>BW35</f>
        <v>29873</v>
      </c>
      <c r="AJ35" s="155">
        <f>BY35</f>
        <v>23957</v>
      </c>
      <c r="AK35" s="552">
        <f>CB35</f>
        <v>38061</v>
      </c>
      <c r="AL35" s="155">
        <f>CE35</f>
        <v>34459</v>
      </c>
      <c r="AM35" s="155">
        <f>CH35</f>
        <v>75205</v>
      </c>
      <c r="AN35" s="155">
        <f>CJ35</f>
        <v>85956</v>
      </c>
      <c r="AO35" s="155">
        <f t="shared" ref="AO35:AP39" si="79">CC35</f>
        <v>44221</v>
      </c>
      <c r="AP35" s="155">
        <f t="shared" si="79"/>
        <v>20031</v>
      </c>
      <c r="AQ35" s="155">
        <f>CK35</f>
        <v>54619</v>
      </c>
      <c r="AR35" s="155">
        <f>CI35</f>
        <v>33060</v>
      </c>
      <c r="AS35" s="156">
        <f>CF35+CG35</f>
        <v>78463</v>
      </c>
      <c r="AT35" s="155">
        <v>2475</v>
      </c>
      <c r="AU35" s="155">
        <v>22483</v>
      </c>
      <c r="AV35" s="155">
        <v>20113</v>
      </c>
      <c r="AW35" s="155">
        <v>27956</v>
      </c>
      <c r="AX35" s="155">
        <v>32339</v>
      </c>
      <c r="AY35" s="155">
        <v>25335</v>
      </c>
      <c r="AZ35" s="155">
        <v>4035</v>
      </c>
      <c r="BA35" s="155">
        <v>53758</v>
      </c>
      <c r="BB35" s="155">
        <v>41834</v>
      </c>
      <c r="BC35" s="155">
        <v>75698</v>
      </c>
      <c r="BD35" s="155">
        <v>67520</v>
      </c>
      <c r="BE35" s="155">
        <v>26160</v>
      </c>
      <c r="BF35" s="552">
        <v>63405</v>
      </c>
      <c r="BG35" s="155">
        <v>1448</v>
      </c>
      <c r="BH35" s="155">
        <v>2581</v>
      </c>
      <c r="BI35" s="155">
        <v>38067</v>
      </c>
      <c r="BJ35" s="155">
        <v>14607</v>
      </c>
      <c r="BK35" s="155">
        <v>1829</v>
      </c>
      <c r="BL35" s="155">
        <v>2907</v>
      </c>
      <c r="BM35" s="155">
        <v>45526</v>
      </c>
      <c r="BN35" s="155">
        <v>38680</v>
      </c>
      <c r="BO35" s="155">
        <v>994</v>
      </c>
      <c r="BP35" s="155">
        <v>17792</v>
      </c>
      <c r="BQ35" s="155">
        <v>19564</v>
      </c>
      <c r="BR35" s="552">
        <v>18752</v>
      </c>
      <c r="BS35" s="155">
        <v>3458</v>
      </c>
      <c r="BT35" s="155">
        <v>48692</v>
      </c>
      <c r="BU35" s="155">
        <v>22230</v>
      </c>
      <c r="BV35" s="155">
        <v>55914</v>
      </c>
      <c r="BW35" s="155">
        <v>29873</v>
      </c>
      <c r="BX35" s="155">
        <v>38254</v>
      </c>
      <c r="BY35" s="155">
        <v>23957</v>
      </c>
      <c r="BZ35" s="155">
        <v>33003</v>
      </c>
      <c r="CA35" s="155">
        <v>22750</v>
      </c>
      <c r="CB35" s="552">
        <v>38061</v>
      </c>
      <c r="CC35" s="155">
        <v>44221</v>
      </c>
      <c r="CD35" s="155">
        <v>20031</v>
      </c>
      <c r="CE35" s="155">
        <v>34459</v>
      </c>
      <c r="CF35" s="155">
        <v>4669</v>
      </c>
      <c r="CG35" s="155">
        <v>73794</v>
      </c>
      <c r="CH35" s="155">
        <v>75205</v>
      </c>
      <c r="CI35" s="155">
        <v>33060</v>
      </c>
      <c r="CJ35" s="155">
        <v>85956</v>
      </c>
      <c r="CK35" s="156">
        <v>54619</v>
      </c>
      <c r="CL35" s="320">
        <v>1408063</v>
      </c>
    </row>
    <row r="36" spans="1:90">
      <c r="A36" s="80">
        <f>ROWS($A$3:A34)</f>
        <v>32</v>
      </c>
      <c r="B36" s="92" t="s">
        <v>72</v>
      </c>
      <c r="C36" s="203"/>
      <c r="D36" s="259" t="s">
        <v>1</v>
      </c>
      <c r="E36" s="706">
        <v>44431</v>
      </c>
      <c r="F36" s="154">
        <v>306738</v>
      </c>
      <c r="G36" s="155">
        <v>137003</v>
      </c>
      <c r="H36" s="155">
        <v>136880</v>
      </c>
      <c r="I36" s="156">
        <v>229660</v>
      </c>
      <c r="J36" s="281"/>
      <c r="K36" s="154">
        <f>BF36</f>
        <v>33645</v>
      </c>
      <c r="L36" s="155">
        <f>AY36</f>
        <v>11146</v>
      </c>
      <c r="M36" s="155">
        <f>BD36</f>
        <v>57915</v>
      </c>
      <c r="N36" s="155">
        <f>AW36</f>
        <v>12209</v>
      </c>
      <c r="O36" s="155">
        <f>BE36</f>
        <v>17142</v>
      </c>
      <c r="P36" s="155">
        <f t="shared" ref="P36:P39" si="80">AZ36+BA36</f>
        <v>43263</v>
      </c>
      <c r="Q36" s="155">
        <f t="shared" ref="Q36:Q39" si="81">AU36</f>
        <v>15160</v>
      </c>
      <c r="R36" s="155">
        <f t="shared" si="77"/>
        <v>25566</v>
      </c>
      <c r="S36" s="155">
        <f>AV36</f>
        <v>9929</v>
      </c>
      <c r="T36" s="155">
        <f t="shared" si="78"/>
        <v>30920</v>
      </c>
      <c r="U36" s="552">
        <f t="shared" si="78"/>
        <v>49842</v>
      </c>
      <c r="V36" s="155">
        <f>BG36+BJ36</f>
        <v>9873</v>
      </c>
      <c r="W36" s="155">
        <f>BR36</f>
        <v>9051</v>
      </c>
      <c r="X36" s="155">
        <f>BH36+BI36</f>
        <v>30651</v>
      </c>
      <c r="Y36" s="155">
        <f>BK36+BL36+BN36</f>
        <v>33761</v>
      </c>
      <c r="Z36" s="155">
        <f>BM36</f>
        <v>33511</v>
      </c>
      <c r="AA36" s="155">
        <f>BO36+BQ36</f>
        <v>11989</v>
      </c>
      <c r="AB36" s="552">
        <f>BP36</f>
        <v>8166</v>
      </c>
      <c r="AC36" s="155">
        <f>BX36</f>
        <v>15053</v>
      </c>
      <c r="AD36" s="155">
        <f>BU36</f>
        <v>10096</v>
      </c>
      <c r="AE36" s="155">
        <f>BS36+BT36</f>
        <v>19908</v>
      </c>
      <c r="AF36" s="155">
        <f>CA36</f>
        <v>6652</v>
      </c>
      <c r="AG36" s="155">
        <f>BV36</f>
        <v>27536</v>
      </c>
      <c r="AH36" s="155">
        <f>BZ36</f>
        <v>18252</v>
      </c>
      <c r="AI36" s="155">
        <f>BW36</f>
        <v>16432</v>
      </c>
      <c r="AJ36" s="155">
        <f>BY36</f>
        <v>8379</v>
      </c>
      <c r="AK36" s="552">
        <f>CB36</f>
        <v>14572</v>
      </c>
      <c r="AL36" s="155">
        <f>CE36</f>
        <v>12270</v>
      </c>
      <c r="AM36" s="155">
        <f>CH36</f>
        <v>50709</v>
      </c>
      <c r="AN36" s="155">
        <f>CJ36</f>
        <v>27058</v>
      </c>
      <c r="AO36" s="155">
        <f t="shared" si="79"/>
        <v>20507</v>
      </c>
      <c r="AP36" s="155">
        <f t="shared" si="79"/>
        <v>12618</v>
      </c>
      <c r="AQ36" s="155">
        <f>CK36</f>
        <v>34421</v>
      </c>
      <c r="AR36" s="155">
        <f>CI36</f>
        <v>13412</v>
      </c>
      <c r="AS36" s="156">
        <f>CF36+CG36</f>
        <v>58666</v>
      </c>
      <c r="AT36" s="155">
        <v>1453</v>
      </c>
      <c r="AU36" s="155">
        <v>15160</v>
      </c>
      <c r="AV36" s="155">
        <v>9929</v>
      </c>
      <c r="AW36" s="155">
        <v>12209</v>
      </c>
      <c r="AX36" s="155">
        <v>24113</v>
      </c>
      <c r="AY36" s="155">
        <v>11146</v>
      </c>
      <c r="AZ36" s="155">
        <v>3089</v>
      </c>
      <c r="BA36" s="155">
        <v>40174</v>
      </c>
      <c r="BB36" s="155">
        <v>30920</v>
      </c>
      <c r="BC36" s="155">
        <v>49842</v>
      </c>
      <c r="BD36" s="155">
        <v>57915</v>
      </c>
      <c r="BE36" s="155">
        <v>17142</v>
      </c>
      <c r="BF36" s="552">
        <v>33645</v>
      </c>
      <c r="BG36" s="155">
        <v>506</v>
      </c>
      <c r="BH36" s="155">
        <v>1810</v>
      </c>
      <c r="BI36" s="155">
        <v>28841</v>
      </c>
      <c r="BJ36" s="155">
        <v>9367</v>
      </c>
      <c r="BK36" s="155">
        <v>1512</v>
      </c>
      <c r="BL36" s="155">
        <v>2342</v>
      </c>
      <c r="BM36" s="155">
        <v>33511</v>
      </c>
      <c r="BN36" s="155">
        <v>29907</v>
      </c>
      <c r="BO36" s="155">
        <v>530</v>
      </c>
      <c r="BP36" s="155">
        <v>8166</v>
      </c>
      <c r="BQ36" s="155">
        <v>11459</v>
      </c>
      <c r="BR36" s="552">
        <v>9051</v>
      </c>
      <c r="BS36" s="155">
        <v>1628</v>
      </c>
      <c r="BT36" s="155">
        <v>18280</v>
      </c>
      <c r="BU36" s="155">
        <v>10096</v>
      </c>
      <c r="BV36" s="155">
        <v>27536</v>
      </c>
      <c r="BW36" s="155">
        <v>16432</v>
      </c>
      <c r="BX36" s="155">
        <v>15053</v>
      </c>
      <c r="BY36" s="155">
        <v>8379</v>
      </c>
      <c r="BZ36" s="155">
        <v>18252</v>
      </c>
      <c r="CA36" s="155">
        <v>6652</v>
      </c>
      <c r="CB36" s="552">
        <v>14572</v>
      </c>
      <c r="CC36" s="155">
        <v>20507</v>
      </c>
      <c r="CD36" s="155">
        <v>12618</v>
      </c>
      <c r="CE36" s="155">
        <v>12270</v>
      </c>
      <c r="CF36" s="155">
        <v>3992</v>
      </c>
      <c r="CG36" s="155">
        <v>54674</v>
      </c>
      <c r="CH36" s="155">
        <v>50709</v>
      </c>
      <c r="CI36" s="155">
        <v>13412</v>
      </c>
      <c r="CJ36" s="155">
        <v>27058</v>
      </c>
      <c r="CK36" s="156">
        <v>34421</v>
      </c>
      <c r="CL36" s="320">
        <v>810280</v>
      </c>
    </row>
    <row r="37" spans="1:90">
      <c r="A37" s="80">
        <f>ROWS($A$3:A35)</f>
        <v>33</v>
      </c>
      <c r="B37" s="92" t="s">
        <v>6</v>
      </c>
      <c r="C37" s="203"/>
      <c r="D37" s="259" t="s">
        <v>1</v>
      </c>
      <c r="E37" s="706">
        <v>44431</v>
      </c>
      <c r="F37" s="154">
        <v>140541</v>
      </c>
      <c r="G37" s="155">
        <v>61059</v>
      </c>
      <c r="H37" s="155">
        <v>159294</v>
      </c>
      <c r="I37" s="156">
        <v>185835</v>
      </c>
      <c r="J37" s="281"/>
      <c r="K37" s="154">
        <f>BF37</f>
        <v>29241</v>
      </c>
      <c r="L37" s="155">
        <f>AY37</f>
        <v>12427</v>
      </c>
      <c r="M37" s="155">
        <f>BD37</f>
        <v>8616</v>
      </c>
      <c r="N37" s="155">
        <f>AW37</f>
        <v>15599</v>
      </c>
      <c r="O37" s="155">
        <f>BE37</f>
        <v>8993</v>
      </c>
      <c r="P37" s="155">
        <f t="shared" si="80"/>
        <v>7388</v>
      </c>
      <c r="Q37" s="155">
        <f t="shared" si="81"/>
        <v>7231</v>
      </c>
      <c r="R37" s="155">
        <f t="shared" si="77"/>
        <v>6438</v>
      </c>
      <c r="S37" s="155">
        <f>AV37</f>
        <v>9784</v>
      </c>
      <c r="T37" s="155">
        <f t="shared" si="78"/>
        <v>9210</v>
      </c>
      <c r="U37" s="552">
        <f t="shared" si="78"/>
        <v>25614</v>
      </c>
      <c r="V37" s="155">
        <f>BG37+BJ37</f>
        <v>5198</v>
      </c>
      <c r="W37" s="155">
        <f>BR37</f>
        <v>9690</v>
      </c>
      <c r="X37" s="155">
        <f>BH37+BI37</f>
        <v>8894</v>
      </c>
      <c r="Y37" s="155">
        <f>BK37+BN37</f>
        <v>7825</v>
      </c>
      <c r="Z37" s="155">
        <f>BM37</f>
        <v>11017</v>
      </c>
      <c r="AA37" s="155">
        <f>BQ37</f>
        <v>7841</v>
      </c>
      <c r="AB37" s="552">
        <f>BP37</f>
        <v>9573</v>
      </c>
      <c r="AC37" s="155">
        <f>BX37</f>
        <v>23170</v>
      </c>
      <c r="AD37" s="155">
        <f>BU37</f>
        <v>9582</v>
      </c>
      <c r="AE37" s="155">
        <f>BS37+BT37</f>
        <v>25055</v>
      </c>
      <c r="AF37" s="155">
        <f>CA37</f>
        <v>14625</v>
      </c>
      <c r="AG37" s="155">
        <f>BV37</f>
        <v>21040</v>
      </c>
      <c r="AH37" s="155">
        <f>BZ37</f>
        <v>13596</v>
      </c>
      <c r="AI37" s="155">
        <f>BW37</f>
        <v>13414</v>
      </c>
      <c r="AJ37" s="155">
        <f>BY37</f>
        <v>15568</v>
      </c>
      <c r="AK37" s="552">
        <f>CB37</f>
        <v>23243</v>
      </c>
      <c r="AL37" s="155">
        <f>CE37</f>
        <v>22049</v>
      </c>
      <c r="AM37" s="155">
        <f>CH37</f>
        <v>24321</v>
      </c>
      <c r="AN37" s="155">
        <f>CJ37</f>
        <v>57064</v>
      </c>
      <c r="AO37" s="155">
        <f t="shared" si="79"/>
        <v>23591</v>
      </c>
      <c r="AP37" s="155">
        <f t="shared" si="79"/>
        <v>7352</v>
      </c>
      <c r="AQ37" s="155">
        <f>CK37</f>
        <v>20116</v>
      </c>
      <c r="AR37" s="155">
        <f>CI37</f>
        <v>11681</v>
      </c>
      <c r="AS37" s="156">
        <f>CF37+CG37</f>
        <v>19660</v>
      </c>
      <c r="AT37" s="155">
        <v>569</v>
      </c>
      <c r="AU37" s="155">
        <v>7231</v>
      </c>
      <c r="AV37" s="155">
        <v>9784</v>
      </c>
      <c r="AW37" s="155">
        <v>15599</v>
      </c>
      <c r="AX37" s="155">
        <v>5869</v>
      </c>
      <c r="AY37" s="155">
        <v>12427</v>
      </c>
      <c r="AZ37" s="155">
        <v>241</v>
      </c>
      <c r="BA37" s="155">
        <v>7147</v>
      </c>
      <c r="BB37" s="155">
        <v>9210</v>
      </c>
      <c r="BC37" s="155">
        <v>25614</v>
      </c>
      <c r="BD37" s="155">
        <v>8616</v>
      </c>
      <c r="BE37" s="155">
        <v>8993</v>
      </c>
      <c r="BF37" s="552">
        <v>29241</v>
      </c>
      <c r="BG37" s="155">
        <v>688</v>
      </c>
      <c r="BH37" s="155">
        <v>668</v>
      </c>
      <c r="BI37" s="155">
        <v>8226</v>
      </c>
      <c r="BJ37" s="155">
        <v>4510</v>
      </c>
      <c r="BK37" s="155">
        <v>231</v>
      </c>
      <c r="BL37" s="155" t="s">
        <v>304</v>
      </c>
      <c r="BM37" s="155">
        <v>11017</v>
      </c>
      <c r="BN37" s="155">
        <v>7594</v>
      </c>
      <c r="BO37" s="155" t="s">
        <v>304</v>
      </c>
      <c r="BP37" s="155">
        <v>9573</v>
      </c>
      <c r="BQ37" s="155">
        <v>7841</v>
      </c>
      <c r="BR37" s="552">
        <v>9690</v>
      </c>
      <c r="BS37" s="155">
        <v>935</v>
      </c>
      <c r="BT37" s="155">
        <v>24120</v>
      </c>
      <c r="BU37" s="155">
        <v>9582</v>
      </c>
      <c r="BV37" s="155">
        <v>21040</v>
      </c>
      <c r="BW37" s="155">
        <v>13414</v>
      </c>
      <c r="BX37" s="155">
        <v>23170</v>
      </c>
      <c r="BY37" s="155">
        <v>15568</v>
      </c>
      <c r="BZ37" s="155">
        <v>13596</v>
      </c>
      <c r="CA37" s="155">
        <v>14625</v>
      </c>
      <c r="CB37" s="552">
        <v>23243</v>
      </c>
      <c r="CC37" s="155">
        <v>23591</v>
      </c>
      <c r="CD37" s="155">
        <v>7352</v>
      </c>
      <c r="CE37" s="155">
        <v>22049</v>
      </c>
      <c r="CF37" s="155">
        <v>661</v>
      </c>
      <c r="CG37" s="155">
        <v>18999</v>
      </c>
      <c r="CH37" s="155">
        <v>24321</v>
      </c>
      <c r="CI37" s="155">
        <v>11681</v>
      </c>
      <c r="CJ37" s="155">
        <v>57064</v>
      </c>
      <c r="CK37" s="156">
        <v>20116</v>
      </c>
      <c r="CL37" s="320">
        <v>546729</v>
      </c>
    </row>
    <row r="38" spans="1:90">
      <c r="A38" s="80">
        <f>ROWS($A$3:A36)</f>
        <v>34</v>
      </c>
      <c r="B38" s="92" t="s">
        <v>244</v>
      </c>
      <c r="C38" s="203"/>
      <c r="D38" s="259" t="s">
        <v>1</v>
      </c>
      <c r="E38" s="706">
        <v>44431</v>
      </c>
      <c r="F38" s="154">
        <v>3467</v>
      </c>
      <c r="G38" s="155">
        <v>1267</v>
      </c>
      <c r="H38" s="155">
        <v>7122</v>
      </c>
      <c r="I38" s="156">
        <v>9217</v>
      </c>
      <c r="J38" s="281"/>
      <c r="K38" s="154">
        <f>BF38</f>
        <v>18</v>
      </c>
      <c r="L38" s="155">
        <f>AY38</f>
        <v>508</v>
      </c>
      <c r="M38" s="155">
        <f>BD38</f>
        <v>80</v>
      </c>
      <c r="N38" s="155">
        <f>AW38</f>
        <v>104</v>
      </c>
      <c r="O38" s="155">
        <f>BE38</f>
        <v>4</v>
      </c>
      <c r="P38" s="155">
        <f t="shared" si="80"/>
        <v>1012</v>
      </c>
      <c r="Q38" s="155">
        <f t="shared" si="81"/>
        <v>63</v>
      </c>
      <c r="R38" s="155">
        <f t="shared" si="77"/>
        <v>533</v>
      </c>
      <c r="S38" s="155">
        <f>AV38</f>
        <v>157</v>
      </c>
      <c r="T38" s="155">
        <f t="shared" si="78"/>
        <v>797</v>
      </c>
      <c r="U38" s="552">
        <f t="shared" si="78"/>
        <v>190</v>
      </c>
      <c r="V38" s="155">
        <f>BG38+BJ38</f>
        <v>403</v>
      </c>
      <c r="W38" s="155">
        <f>BR38</f>
        <v>4</v>
      </c>
      <c r="X38" s="155">
        <f>BI38</f>
        <v>157</v>
      </c>
      <c r="Y38" s="155">
        <f>BN38</f>
        <v>369</v>
      </c>
      <c r="Z38" s="155">
        <f>BM38</f>
        <v>197</v>
      </c>
      <c r="AA38" s="155">
        <f>BQ38</f>
        <v>25</v>
      </c>
      <c r="AB38" s="552">
        <f>BP38</f>
        <v>3</v>
      </c>
      <c r="AC38" s="155" t="str">
        <f>BX38</f>
        <v>.</v>
      </c>
      <c r="AD38" s="155">
        <f>BU38</f>
        <v>557</v>
      </c>
      <c r="AE38" s="155">
        <f>BS38+BT38</f>
        <v>798</v>
      </c>
      <c r="AF38" s="155">
        <f>CA38</f>
        <v>601</v>
      </c>
      <c r="AG38" s="155">
        <f>BV38</f>
        <v>4014</v>
      </c>
      <c r="AH38" s="155">
        <f>BZ38</f>
        <v>1014</v>
      </c>
      <c r="AI38" s="155" t="str">
        <f>BW38</f>
        <v>.</v>
      </c>
      <c r="AJ38" s="155" t="str">
        <f>BY38</f>
        <v>–</v>
      </c>
      <c r="AK38" s="552">
        <f>CB38</f>
        <v>117</v>
      </c>
      <c r="AL38" s="155">
        <f>CE38</f>
        <v>7</v>
      </c>
      <c r="AM38" s="155">
        <f>CH38</f>
        <v>38</v>
      </c>
      <c r="AN38" s="155">
        <f>CJ38</f>
        <v>1675</v>
      </c>
      <c r="AO38" s="155">
        <f t="shared" si="79"/>
        <v>54</v>
      </c>
      <c r="AP38" s="155">
        <f t="shared" si="79"/>
        <v>41</v>
      </c>
      <c r="AQ38" s="155">
        <f>CK38</f>
        <v>21</v>
      </c>
      <c r="AR38" s="155">
        <f>CI38</f>
        <v>7320</v>
      </c>
      <c r="AS38" s="156">
        <f>CF38+CG38</f>
        <v>62</v>
      </c>
      <c r="AT38" s="155">
        <v>62</v>
      </c>
      <c r="AU38" s="155">
        <v>63</v>
      </c>
      <c r="AV38" s="155">
        <v>157</v>
      </c>
      <c r="AW38" s="155">
        <v>104</v>
      </c>
      <c r="AX38" s="155">
        <v>471</v>
      </c>
      <c r="AY38" s="155">
        <v>508</v>
      </c>
      <c r="AZ38" s="155">
        <v>52</v>
      </c>
      <c r="BA38" s="155">
        <v>960</v>
      </c>
      <c r="BB38" s="155">
        <v>797</v>
      </c>
      <c r="BC38" s="155">
        <v>190</v>
      </c>
      <c r="BD38" s="155">
        <v>80</v>
      </c>
      <c r="BE38" s="155">
        <v>4</v>
      </c>
      <c r="BF38" s="552">
        <v>18</v>
      </c>
      <c r="BG38" s="155">
        <v>24</v>
      </c>
      <c r="BH38" s="155" t="s">
        <v>304</v>
      </c>
      <c r="BI38" s="155">
        <v>157</v>
      </c>
      <c r="BJ38" s="155">
        <v>379</v>
      </c>
      <c r="BK38" s="155">
        <v>26</v>
      </c>
      <c r="BL38" s="155" t="s">
        <v>304</v>
      </c>
      <c r="BM38" s="155">
        <v>197</v>
      </c>
      <c r="BN38" s="155">
        <v>369</v>
      </c>
      <c r="BO38" s="155" t="s">
        <v>304</v>
      </c>
      <c r="BP38" s="155">
        <v>3</v>
      </c>
      <c r="BQ38" s="155">
        <v>25</v>
      </c>
      <c r="BR38" s="552">
        <v>4</v>
      </c>
      <c r="BS38" s="155">
        <v>53</v>
      </c>
      <c r="BT38" s="155">
        <v>745</v>
      </c>
      <c r="BU38" s="155">
        <v>557</v>
      </c>
      <c r="BV38" s="155">
        <v>4014</v>
      </c>
      <c r="BW38" s="155" t="s">
        <v>304</v>
      </c>
      <c r="BX38" s="155" t="s">
        <v>304</v>
      </c>
      <c r="BY38" s="155" t="s">
        <v>41</v>
      </c>
      <c r="BZ38" s="155">
        <v>1014</v>
      </c>
      <c r="CA38" s="155">
        <v>601</v>
      </c>
      <c r="CB38" s="552">
        <v>117</v>
      </c>
      <c r="CC38" s="155">
        <v>54</v>
      </c>
      <c r="CD38" s="155">
        <v>41</v>
      </c>
      <c r="CE38" s="155">
        <v>7</v>
      </c>
      <c r="CF38" s="155">
        <v>3</v>
      </c>
      <c r="CG38" s="155">
        <v>59</v>
      </c>
      <c r="CH38" s="155">
        <v>38</v>
      </c>
      <c r="CI38" s="155">
        <v>7320</v>
      </c>
      <c r="CJ38" s="155">
        <v>1675</v>
      </c>
      <c r="CK38" s="156">
        <v>21</v>
      </c>
      <c r="CL38" s="320">
        <v>21073</v>
      </c>
    </row>
    <row r="39" spans="1:90">
      <c r="A39" s="80">
        <f>ROWS($A$3:A37)</f>
        <v>35</v>
      </c>
      <c r="B39" s="92" t="s">
        <v>245</v>
      </c>
      <c r="C39" s="203"/>
      <c r="D39" s="259" t="s">
        <v>1</v>
      </c>
      <c r="E39" s="706">
        <v>44431</v>
      </c>
      <c r="F39" s="154">
        <v>10797</v>
      </c>
      <c r="G39" s="155">
        <v>2270</v>
      </c>
      <c r="H39" s="155">
        <v>11791</v>
      </c>
      <c r="I39" s="156">
        <v>608</v>
      </c>
      <c r="J39" s="281"/>
      <c r="K39" s="154" t="str">
        <f>BF39</f>
        <v>–</v>
      </c>
      <c r="L39" s="155">
        <f>AY39</f>
        <v>1157</v>
      </c>
      <c r="M39" s="155">
        <f>BD39</f>
        <v>742</v>
      </c>
      <c r="N39" s="155" t="str">
        <f>AW39</f>
        <v>.</v>
      </c>
      <c r="O39" s="155" t="str">
        <f>BE39</f>
        <v>–</v>
      </c>
      <c r="P39" s="155">
        <f t="shared" si="80"/>
        <v>5792</v>
      </c>
      <c r="Q39" s="155" t="str">
        <f t="shared" si="81"/>
        <v>–</v>
      </c>
      <c r="R39" s="155">
        <f t="shared" si="77"/>
        <v>2132</v>
      </c>
      <c r="S39" s="155">
        <f>AV39</f>
        <v>132</v>
      </c>
      <c r="T39" s="155">
        <f t="shared" si="78"/>
        <v>842</v>
      </c>
      <c r="U39" s="552" t="str">
        <f t="shared" si="78"/>
        <v>.</v>
      </c>
      <c r="V39" s="155">
        <f>BG39+BJ39</f>
        <v>518</v>
      </c>
      <c r="W39" s="155" t="str">
        <f>BR39</f>
        <v>.</v>
      </c>
      <c r="X39" s="155">
        <f>BI39</f>
        <v>794</v>
      </c>
      <c r="Y39" s="155">
        <f>BN39</f>
        <v>672</v>
      </c>
      <c r="Z39" s="155" t="str">
        <f>BM39</f>
        <v>.</v>
      </c>
      <c r="AA39" s="155">
        <f>BQ39</f>
        <v>220</v>
      </c>
      <c r="AB39" s="552" t="str">
        <f>BP39</f>
        <v>–</v>
      </c>
      <c r="AC39" s="155" t="str">
        <f>BX39</f>
        <v>–</v>
      </c>
      <c r="AD39" s="155">
        <f>BU39</f>
        <v>1878</v>
      </c>
      <c r="AE39" s="155">
        <f>BT39</f>
        <v>5459</v>
      </c>
      <c r="AF39" s="155">
        <f>CA39</f>
        <v>804</v>
      </c>
      <c r="AG39" s="155">
        <f>BV39</f>
        <v>2684</v>
      </c>
      <c r="AH39" s="155">
        <f>BZ39</f>
        <v>67</v>
      </c>
      <c r="AI39" s="155" t="str">
        <f>BW39</f>
        <v>–</v>
      </c>
      <c r="AJ39" s="155" t="str">
        <f>BY39</f>
        <v>–</v>
      </c>
      <c r="AK39" s="552">
        <f>CB39</f>
        <v>69</v>
      </c>
      <c r="AL39" s="155" t="str">
        <f>CE39</f>
        <v>–</v>
      </c>
      <c r="AM39" s="155" t="str">
        <f>CH39</f>
        <v>.</v>
      </c>
      <c r="AN39" s="155" t="str">
        <f>CJ39</f>
        <v>.</v>
      </c>
      <c r="AO39" s="155">
        <f t="shared" si="79"/>
        <v>24</v>
      </c>
      <c r="AP39" s="155" t="str">
        <f t="shared" si="79"/>
        <v>.</v>
      </c>
      <c r="AQ39" s="155" t="str">
        <f>CK39</f>
        <v>–</v>
      </c>
      <c r="AR39" s="155">
        <f>CI39</f>
        <v>571</v>
      </c>
      <c r="AS39" s="156" t="str">
        <f>CG39</f>
        <v>–</v>
      </c>
      <c r="AT39" s="155">
        <v>360</v>
      </c>
      <c r="AU39" s="155" t="s">
        <v>41</v>
      </c>
      <c r="AV39" s="155">
        <v>132</v>
      </c>
      <c r="AW39" s="155" t="s">
        <v>304</v>
      </c>
      <c r="AX39" s="155">
        <v>1772</v>
      </c>
      <c r="AY39" s="155">
        <v>1157</v>
      </c>
      <c r="AZ39" s="155">
        <v>609</v>
      </c>
      <c r="BA39" s="155">
        <v>5183</v>
      </c>
      <c r="BB39" s="155">
        <v>842</v>
      </c>
      <c r="BC39" s="155" t="s">
        <v>304</v>
      </c>
      <c r="BD39" s="155">
        <v>742</v>
      </c>
      <c r="BE39" s="155" t="s">
        <v>41</v>
      </c>
      <c r="BF39" s="552" t="s">
        <v>41</v>
      </c>
      <c r="BG39" s="155">
        <v>203</v>
      </c>
      <c r="BH39" s="155" t="s">
        <v>304</v>
      </c>
      <c r="BI39" s="155">
        <v>794</v>
      </c>
      <c r="BJ39" s="155">
        <v>315</v>
      </c>
      <c r="BK39" s="155">
        <v>56</v>
      </c>
      <c r="BL39" s="155" t="s">
        <v>41</v>
      </c>
      <c r="BM39" s="155" t="s">
        <v>304</v>
      </c>
      <c r="BN39" s="155">
        <v>672</v>
      </c>
      <c r="BO39" s="155" t="s">
        <v>41</v>
      </c>
      <c r="BP39" s="155" t="s">
        <v>41</v>
      </c>
      <c r="BQ39" s="155">
        <v>220</v>
      </c>
      <c r="BR39" s="552" t="s">
        <v>304</v>
      </c>
      <c r="BS39" s="155">
        <v>829</v>
      </c>
      <c r="BT39" s="155">
        <v>5459</v>
      </c>
      <c r="BU39" s="155">
        <v>1878</v>
      </c>
      <c r="BV39" s="155">
        <v>2684</v>
      </c>
      <c r="BW39" s="155" t="s">
        <v>41</v>
      </c>
      <c r="BX39" s="155" t="s">
        <v>41</v>
      </c>
      <c r="BY39" s="155" t="s">
        <v>41</v>
      </c>
      <c r="BZ39" s="155">
        <v>67</v>
      </c>
      <c r="CA39" s="155">
        <v>804</v>
      </c>
      <c r="CB39" s="552">
        <v>69</v>
      </c>
      <c r="CC39" s="155">
        <v>24</v>
      </c>
      <c r="CD39" s="155" t="s">
        <v>304</v>
      </c>
      <c r="CE39" s="155" t="s">
        <v>41</v>
      </c>
      <c r="CF39" s="155" t="s">
        <v>41</v>
      </c>
      <c r="CG39" s="155" t="s">
        <v>41</v>
      </c>
      <c r="CH39" s="155" t="s">
        <v>304</v>
      </c>
      <c r="CI39" s="155">
        <v>571</v>
      </c>
      <c r="CJ39" s="155" t="s">
        <v>304</v>
      </c>
      <c r="CK39" s="156" t="s">
        <v>41</v>
      </c>
      <c r="CL39" s="320">
        <v>25465</v>
      </c>
    </row>
    <row r="40" spans="1:90">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c r="A41" s="80">
        <f>ROWS($A$3:A39)</f>
        <v>37</v>
      </c>
      <c r="B41" s="92" t="s">
        <v>73</v>
      </c>
      <c r="C41" s="584">
        <v>2021</v>
      </c>
      <c r="D41" s="259" t="s">
        <v>7</v>
      </c>
      <c r="E41" s="706">
        <v>44631</v>
      </c>
      <c r="F41">
        <v>275370</v>
      </c>
      <c r="G41">
        <v>74428</v>
      </c>
      <c r="H41">
        <v>192446</v>
      </c>
      <c r="I41">
        <v>368833</v>
      </c>
      <c r="J41" s="281"/>
      <c r="K41" s="154">
        <f t="shared" ref="K41:K54" si="82">BF41</f>
        <v>67833</v>
      </c>
      <c r="L41" s="155">
        <f t="shared" ref="L41:L54" si="83">AY41</f>
        <v>19971</v>
      </c>
      <c r="M41" s="155">
        <f t="shared" ref="M41:M54" si="84">BD41</f>
        <v>17533</v>
      </c>
      <c r="N41" s="155">
        <f t="shared" ref="N41:N54" si="85">AW41</f>
        <v>29321</v>
      </c>
      <c r="O41" s="155">
        <f t="shared" ref="O41:O54" si="86">BE41</f>
        <v>19339</v>
      </c>
      <c r="P41" s="155">
        <f>AZ41+BA41</f>
        <v>11893</v>
      </c>
      <c r="Q41" s="155">
        <f>AU41</f>
        <v>8992</v>
      </c>
      <c r="R41" s="155">
        <f t="shared" si="77"/>
        <v>12454</v>
      </c>
      <c r="S41" s="155">
        <f t="shared" ref="S41:S54" si="87">AV41</f>
        <v>7978</v>
      </c>
      <c r="T41" s="155">
        <f t="shared" ref="T41:U54" si="88">BB41</f>
        <v>21189</v>
      </c>
      <c r="U41" s="552">
        <f t="shared" si="88"/>
        <v>58867</v>
      </c>
      <c r="V41" s="155">
        <f>BG41+BJ41</f>
        <v>2301</v>
      </c>
      <c r="W41" s="155">
        <f t="shared" ref="W41:W54" si="89">BR41</f>
        <v>11003</v>
      </c>
      <c r="X41" s="155">
        <f>BH41+BI41</f>
        <v>5386</v>
      </c>
      <c r="Y41" s="155">
        <f>BK41+BL41+BN41</f>
        <v>10911</v>
      </c>
      <c r="Z41" s="155">
        <f t="shared" ref="Z41:Z54" si="90">BM41</f>
        <v>21323</v>
      </c>
      <c r="AA41" s="155">
        <f>BO41+BQ41</f>
        <v>10436</v>
      </c>
      <c r="AB41" s="552">
        <f t="shared" ref="AB41:AB54" si="91">BP41</f>
        <v>13068</v>
      </c>
      <c r="AC41" s="155">
        <f t="shared" ref="AC41:AC54" si="92">BX41</f>
        <v>29630</v>
      </c>
      <c r="AD41" s="155">
        <f t="shared" ref="AD41:AD54" si="93">BU41</f>
        <v>12424</v>
      </c>
      <c r="AE41" s="155">
        <f>BS41+BT41</f>
        <v>26582</v>
      </c>
      <c r="AF41" s="155">
        <f t="shared" ref="AF41:AF54" si="94">CA41</f>
        <v>13191</v>
      </c>
      <c r="AG41" s="155">
        <f t="shared" ref="AG41:AG54" si="95">BV41</f>
        <v>25370</v>
      </c>
      <c r="AH41" s="155">
        <f t="shared" ref="AH41:AH54" si="96">BZ41</f>
        <v>22362</v>
      </c>
      <c r="AI41" s="155">
        <f t="shared" ref="AI41:AI54" si="97">BW41</f>
        <v>15427</v>
      </c>
      <c r="AJ41" s="155">
        <f t="shared" ref="AJ41:AJ54" si="98">BY41</f>
        <v>15162</v>
      </c>
      <c r="AK41" s="552">
        <f t="shared" ref="AK41:AK54" si="99">CB41</f>
        <v>32298</v>
      </c>
      <c r="AL41" s="155">
        <f t="shared" ref="AL41:AL54" si="100">CE41</f>
        <v>14481</v>
      </c>
      <c r="AM41" s="155">
        <f t="shared" ref="AM41:AM54" si="101">CH41</f>
        <v>83286</v>
      </c>
      <c r="AN41" s="155">
        <f t="shared" ref="AN41:AN54" si="102">CJ41</f>
        <v>134006</v>
      </c>
      <c r="AO41" s="155">
        <f t="shared" ref="AO41:AP54" si="103">CC41</f>
        <v>26013</v>
      </c>
      <c r="AP41" s="155">
        <f t="shared" si="103"/>
        <v>5844</v>
      </c>
      <c r="AQ41" s="155">
        <f t="shared" ref="AQ41:AQ54" si="104">CK41</f>
        <v>34578</v>
      </c>
      <c r="AR41" s="155">
        <f t="shared" ref="AR41:AR54" si="105">CI41</f>
        <v>20450</v>
      </c>
      <c r="AS41" s="156">
        <f>CF41+CG41</f>
        <v>50175</v>
      </c>
      <c r="AT41">
        <v>784</v>
      </c>
      <c r="AU41">
        <v>8992</v>
      </c>
      <c r="AV41">
        <v>7978</v>
      </c>
      <c r="AW41">
        <v>29321</v>
      </c>
      <c r="AX41">
        <v>11670</v>
      </c>
      <c r="AY41">
        <v>19971</v>
      </c>
      <c r="AZ41">
        <v>368</v>
      </c>
      <c r="BA41">
        <v>11525</v>
      </c>
      <c r="BB41">
        <v>21189</v>
      </c>
      <c r="BC41">
        <v>58867</v>
      </c>
      <c r="BD41">
        <v>17533</v>
      </c>
      <c r="BE41">
        <v>19339</v>
      </c>
      <c r="BF41">
        <v>67833</v>
      </c>
      <c r="BG41">
        <v>252</v>
      </c>
      <c r="BH41">
        <v>289</v>
      </c>
      <c r="BI41">
        <v>5097</v>
      </c>
      <c r="BJ41">
        <v>2049</v>
      </c>
      <c r="BK41">
        <v>311</v>
      </c>
      <c r="BL41">
        <v>36</v>
      </c>
      <c r="BM41">
        <v>21323</v>
      </c>
      <c r="BN41">
        <v>10564</v>
      </c>
      <c r="BO41">
        <v>133</v>
      </c>
      <c r="BP41">
        <v>13068</v>
      </c>
      <c r="BQ41">
        <v>10303</v>
      </c>
      <c r="BR41">
        <v>11003</v>
      </c>
      <c r="BS41">
        <v>491</v>
      </c>
      <c r="BT41">
        <v>26091</v>
      </c>
      <c r="BU41">
        <v>12424</v>
      </c>
      <c r="BV41">
        <v>25370</v>
      </c>
      <c r="BW41">
        <v>15427</v>
      </c>
      <c r="BX41">
        <v>29630</v>
      </c>
      <c r="BY41">
        <v>15162</v>
      </c>
      <c r="BZ41">
        <v>22362</v>
      </c>
      <c r="CA41">
        <v>13191</v>
      </c>
      <c r="CB41">
        <v>32298</v>
      </c>
      <c r="CC41">
        <v>26013</v>
      </c>
      <c r="CD41">
        <v>5844</v>
      </c>
      <c r="CE41">
        <v>14481</v>
      </c>
      <c r="CF41">
        <v>2415</v>
      </c>
      <c r="CG41">
        <v>47760</v>
      </c>
      <c r="CH41">
        <v>83286</v>
      </c>
      <c r="CI41">
        <v>20450</v>
      </c>
      <c r="CJ41">
        <v>134006</v>
      </c>
      <c r="CK41">
        <v>34578</v>
      </c>
      <c r="CL41">
        <v>911077</v>
      </c>
    </row>
    <row r="42" spans="1:90">
      <c r="A42" s="80">
        <f>ROWS($A$3:A40)</f>
        <v>38</v>
      </c>
      <c r="B42" s="92" t="s">
        <v>305</v>
      </c>
      <c r="C42" s="584">
        <v>2021</v>
      </c>
      <c r="D42" s="259" t="s">
        <v>7</v>
      </c>
      <c r="E42" s="706">
        <v>44631</v>
      </c>
      <c r="F42">
        <v>104855</v>
      </c>
      <c r="G42">
        <v>27714</v>
      </c>
      <c r="H42">
        <v>79784</v>
      </c>
      <c r="I42">
        <v>157702</v>
      </c>
      <c r="J42" s="281"/>
      <c r="K42" s="154">
        <f t="shared" si="82"/>
        <v>26796</v>
      </c>
      <c r="L42" s="155">
        <f t="shared" si="83"/>
        <v>8048</v>
      </c>
      <c r="M42" s="155">
        <f t="shared" si="84"/>
        <v>6700</v>
      </c>
      <c r="N42" s="155">
        <f t="shared" si="85"/>
        <v>11861</v>
      </c>
      <c r="O42" s="155">
        <f t="shared" si="86"/>
        <v>6998</v>
      </c>
      <c r="P42" s="155">
        <f>'2021'!BA42</f>
        <v>3838</v>
      </c>
      <c r="Q42" s="155">
        <f>'2021'!AU42</f>
        <v>3594</v>
      </c>
      <c r="R42" s="155">
        <f>AX42</f>
        <v>4301</v>
      </c>
      <c r="S42" s="155">
        <f t="shared" si="87"/>
        <v>2832</v>
      </c>
      <c r="T42" s="155">
        <f t="shared" si="88"/>
        <v>8396</v>
      </c>
      <c r="U42" s="552">
        <f t="shared" si="88"/>
        <v>21048</v>
      </c>
      <c r="V42" s="155">
        <f>BJ42</f>
        <v>720</v>
      </c>
      <c r="W42" s="155">
        <f t="shared" si="89"/>
        <v>4409</v>
      </c>
      <c r="X42" s="155">
        <f>BI42</f>
        <v>1927</v>
      </c>
      <c r="Y42" s="155">
        <f>BN42</f>
        <v>3939</v>
      </c>
      <c r="Z42" s="155">
        <f t="shared" si="90"/>
        <v>7627</v>
      </c>
      <c r="AA42" s="155">
        <f>BQ42</f>
        <v>3498</v>
      </c>
      <c r="AB42" s="552">
        <f t="shared" si="91"/>
        <v>5250</v>
      </c>
      <c r="AC42" s="155">
        <f t="shared" si="92"/>
        <v>13700</v>
      </c>
      <c r="AD42" s="155">
        <f t="shared" si="93"/>
        <v>4276</v>
      </c>
      <c r="AE42" s="155">
        <f>BS42+BT42</f>
        <v>12221</v>
      </c>
      <c r="AF42" s="155">
        <f t="shared" si="94"/>
        <v>5344</v>
      </c>
      <c r="AG42" s="155">
        <f t="shared" si="95"/>
        <v>9626</v>
      </c>
      <c r="AH42" s="155">
        <f t="shared" si="96"/>
        <v>9124</v>
      </c>
      <c r="AI42" s="155">
        <f t="shared" si="97"/>
        <v>5517</v>
      </c>
      <c r="AJ42" s="155">
        <f t="shared" si="98"/>
        <v>6655</v>
      </c>
      <c r="AK42" s="552">
        <f t="shared" si="99"/>
        <v>13321</v>
      </c>
      <c r="AL42" s="155">
        <f t="shared" si="100"/>
        <v>5565</v>
      </c>
      <c r="AM42" s="155">
        <f t="shared" si="101"/>
        <v>32635</v>
      </c>
      <c r="AN42" s="155">
        <f t="shared" si="102"/>
        <v>66138</v>
      </c>
      <c r="AO42" s="155">
        <f t="shared" si="103"/>
        <v>8641</v>
      </c>
      <c r="AP42" s="155">
        <f t="shared" si="103"/>
        <v>2041</v>
      </c>
      <c r="AQ42" s="155">
        <f t="shared" si="104"/>
        <v>14391</v>
      </c>
      <c r="AR42" s="155">
        <f t="shared" si="105"/>
        <v>8981</v>
      </c>
      <c r="AS42" s="156">
        <f>CF42+CG42</f>
        <v>19310</v>
      </c>
      <c r="AT42" t="s">
        <v>304</v>
      </c>
      <c r="AU42">
        <v>3594</v>
      </c>
      <c r="AV42">
        <v>2832</v>
      </c>
      <c r="AW42">
        <v>11861</v>
      </c>
      <c r="AX42">
        <v>4301</v>
      </c>
      <c r="AY42">
        <v>8048</v>
      </c>
      <c r="AZ42" t="s">
        <v>304</v>
      </c>
      <c r="BA42">
        <v>3838</v>
      </c>
      <c r="BB42">
        <v>8396</v>
      </c>
      <c r="BC42">
        <v>21048</v>
      </c>
      <c r="BD42">
        <v>6700</v>
      </c>
      <c r="BE42">
        <v>6998</v>
      </c>
      <c r="BF42">
        <v>26796</v>
      </c>
      <c r="BG42">
        <v>97</v>
      </c>
      <c r="BH42" t="s">
        <v>304</v>
      </c>
      <c r="BI42">
        <v>1927</v>
      </c>
      <c r="BJ42">
        <v>720</v>
      </c>
      <c r="BK42" t="s">
        <v>304</v>
      </c>
      <c r="BL42">
        <v>12</v>
      </c>
      <c r="BM42">
        <v>7627</v>
      </c>
      <c r="BN42">
        <v>3939</v>
      </c>
      <c r="BO42" t="s">
        <v>304</v>
      </c>
      <c r="BP42">
        <v>5250</v>
      </c>
      <c r="BQ42">
        <v>3498</v>
      </c>
      <c r="BR42">
        <v>4409</v>
      </c>
      <c r="BS42">
        <v>190</v>
      </c>
      <c r="BT42">
        <v>12031</v>
      </c>
      <c r="BU42">
        <v>4276</v>
      </c>
      <c r="BV42">
        <v>9626</v>
      </c>
      <c r="BW42">
        <v>5517</v>
      </c>
      <c r="BX42">
        <v>13700</v>
      </c>
      <c r="BY42">
        <v>6655</v>
      </c>
      <c r="BZ42">
        <v>9124</v>
      </c>
      <c r="CA42">
        <v>5344</v>
      </c>
      <c r="CB42">
        <v>13321</v>
      </c>
      <c r="CC42">
        <v>8641</v>
      </c>
      <c r="CD42">
        <v>2041</v>
      </c>
      <c r="CE42">
        <v>5565</v>
      </c>
      <c r="CF42">
        <v>1099</v>
      </c>
      <c r="CG42">
        <v>18211</v>
      </c>
      <c r="CH42">
        <v>32635</v>
      </c>
      <c r="CI42">
        <v>8981</v>
      </c>
      <c r="CJ42">
        <v>66138</v>
      </c>
      <c r="CK42">
        <v>14391</v>
      </c>
      <c r="CL42">
        <v>370055</v>
      </c>
    </row>
    <row r="43" spans="1:90">
      <c r="A43" s="80">
        <f>ROWS($A$3:A41)</f>
        <v>39</v>
      </c>
      <c r="B43" s="92" t="s">
        <v>14</v>
      </c>
      <c r="C43" s="584">
        <v>2021</v>
      </c>
      <c r="D43" s="259" t="s">
        <v>7</v>
      </c>
      <c r="E43" s="706">
        <v>44631</v>
      </c>
      <c r="F43">
        <v>90574</v>
      </c>
      <c r="G43">
        <v>20943</v>
      </c>
      <c r="H43">
        <v>59120</v>
      </c>
      <c r="I43">
        <v>144700</v>
      </c>
      <c r="J43" s="281"/>
      <c r="K43" s="154">
        <f>BF43</f>
        <v>23350</v>
      </c>
      <c r="L43" s="155">
        <f>AY43</f>
        <v>6677</v>
      </c>
      <c r="M43" s="155">
        <f>BD43</f>
        <v>5726</v>
      </c>
      <c r="N43" s="155">
        <f>AW43</f>
        <v>10397</v>
      </c>
      <c r="O43" s="155">
        <f>BE43</f>
        <v>6425</v>
      </c>
      <c r="P43" s="155">
        <f>'2021'!BA43</f>
        <v>3088</v>
      </c>
      <c r="Q43" s="155">
        <f>'2021'!AU43</f>
        <v>2932</v>
      </c>
      <c r="R43" s="155">
        <f>AX43</f>
        <v>4016</v>
      </c>
      <c r="S43" s="155">
        <f>AV43</f>
        <v>1926</v>
      </c>
      <c r="T43" s="155">
        <f>BB43</f>
        <v>7199</v>
      </c>
      <c r="U43" s="552">
        <f>BC43</f>
        <v>18453</v>
      </c>
      <c r="V43" s="155">
        <f>BJ43</f>
        <v>128</v>
      </c>
      <c r="W43" s="155">
        <f>BR43</f>
        <v>3539</v>
      </c>
      <c r="X43" s="155">
        <f>BI43</f>
        <v>1240</v>
      </c>
      <c r="Y43" s="155">
        <f>BN43</f>
        <v>2889</v>
      </c>
      <c r="Z43" s="155">
        <f>BM43</f>
        <v>6514</v>
      </c>
      <c r="AA43" s="155">
        <f>BQ43</f>
        <v>2620</v>
      </c>
      <c r="AB43" s="552">
        <f>BP43</f>
        <v>3948</v>
      </c>
      <c r="AC43" s="155">
        <f>BX43</f>
        <v>11750</v>
      </c>
      <c r="AD43" s="155">
        <f>BU43</f>
        <v>2580</v>
      </c>
      <c r="AE43" s="155">
        <f>BS43+BT43</f>
        <v>8612</v>
      </c>
      <c r="AF43" s="155">
        <f>CA43</f>
        <v>2639</v>
      </c>
      <c r="AG43" s="155">
        <f>BV43</f>
        <v>5844</v>
      </c>
      <c r="AH43" s="155">
        <f>BZ43</f>
        <v>7961</v>
      </c>
      <c r="AI43" s="155">
        <f>BW43</f>
        <v>3989</v>
      </c>
      <c r="AJ43" s="155">
        <f>BY43</f>
        <v>5630</v>
      </c>
      <c r="AK43" s="552">
        <f>CB43</f>
        <v>10115</v>
      </c>
      <c r="AL43" s="155">
        <f>CE43</f>
        <v>3440</v>
      </c>
      <c r="AM43" s="155">
        <f>CH43</f>
        <v>30528</v>
      </c>
      <c r="AN43" s="155">
        <f>CJ43</f>
        <v>63749</v>
      </c>
      <c r="AO43" s="155">
        <f>CC43</f>
        <v>7296</v>
      </c>
      <c r="AP43" s="155">
        <f>CD43</f>
        <v>1348</v>
      </c>
      <c r="AQ43" s="155">
        <f>CK43</f>
        <v>12701</v>
      </c>
      <c r="AR43" s="155">
        <f>CI43</f>
        <v>7946</v>
      </c>
      <c r="AS43" s="156">
        <f>CF43+CG43</f>
        <v>17692</v>
      </c>
      <c r="AT43" t="s">
        <v>304</v>
      </c>
      <c r="AU43">
        <v>2932</v>
      </c>
      <c r="AV43">
        <v>1926</v>
      </c>
      <c r="AW43">
        <v>10397</v>
      </c>
      <c r="AX43">
        <v>4016</v>
      </c>
      <c r="AY43">
        <v>6677</v>
      </c>
      <c r="AZ43" t="s">
        <v>304</v>
      </c>
      <c r="BA43">
        <v>3088</v>
      </c>
      <c r="BB43">
        <v>7199</v>
      </c>
      <c r="BC43">
        <v>18453</v>
      </c>
      <c r="BD43">
        <v>5726</v>
      </c>
      <c r="BE43">
        <v>6425</v>
      </c>
      <c r="BF43">
        <v>23350</v>
      </c>
      <c r="BG43" t="s">
        <v>41</v>
      </c>
      <c r="BH43" t="s">
        <v>304</v>
      </c>
      <c r="BI43">
        <v>1240</v>
      </c>
      <c r="BJ43">
        <v>128</v>
      </c>
      <c r="BK43" t="s">
        <v>304</v>
      </c>
      <c r="BL43" t="s">
        <v>41</v>
      </c>
      <c r="BM43">
        <v>6514</v>
      </c>
      <c r="BN43">
        <v>2889</v>
      </c>
      <c r="BO43" t="s">
        <v>304</v>
      </c>
      <c r="BP43">
        <v>3948</v>
      </c>
      <c r="BQ43">
        <v>2620</v>
      </c>
      <c r="BR43">
        <v>3539</v>
      </c>
      <c r="BS43">
        <v>65</v>
      </c>
      <c r="BT43">
        <v>8547</v>
      </c>
      <c r="BU43">
        <v>2580</v>
      </c>
      <c r="BV43">
        <v>5844</v>
      </c>
      <c r="BW43">
        <v>3989</v>
      </c>
      <c r="BX43">
        <v>11750</v>
      </c>
      <c r="BY43">
        <v>5630</v>
      </c>
      <c r="BZ43">
        <v>7961</v>
      </c>
      <c r="CA43">
        <v>2639</v>
      </c>
      <c r="CB43">
        <v>10115</v>
      </c>
      <c r="CC43">
        <v>7296</v>
      </c>
      <c r="CD43">
        <v>1348</v>
      </c>
      <c r="CE43">
        <v>3440</v>
      </c>
      <c r="CF43">
        <v>1057</v>
      </c>
      <c r="CG43">
        <v>16635</v>
      </c>
      <c r="CH43">
        <v>30528</v>
      </c>
      <c r="CI43">
        <v>7946</v>
      </c>
      <c r="CJ43">
        <v>63749</v>
      </c>
      <c r="CK43">
        <v>12701</v>
      </c>
      <c r="CL43">
        <v>315337</v>
      </c>
    </row>
    <row r="44" spans="1:90">
      <c r="A44" s="80">
        <f>ROWS($A$3:A42)</f>
        <v>40</v>
      </c>
      <c r="B44" s="388" t="s">
        <v>20</v>
      </c>
      <c r="C44" s="584">
        <v>2020</v>
      </c>
      <c r="D44" s="259" t="s">
        <v>241</v>
      </c>
      <c r="E44" s="719">
        <v>44379</v>
      </c>
      <c r="F44" s="154">
        <f>IF(ISERROR(F43/F123)=TRUE,"*",F43/F123)</f>
        <v>56.928975487115025</v>
      </c>
      <c r="G44" s="155">
        <f>IF(ISERROR(G43/G123)=TRUE,"*",G43/G123)</f>
        <v>62.891891891891895</v>
      </c>
      <c r="H44" s="155">
        <f>IF(ISERROR(H43/H123)=TRUE,"*",H43/H123)</f>
        <v>41.256106071179346</v>
      </c>
      <c r="I44" s="156">
        <f>IF(ISERROR(I43/I123)=TRUE,"*",I43/I123)</f>
        <v>61.443736730360932</v>
      </c>
      <c r="J44" s="281"/>
      <c r="K44" s="154">
        <f t="shared" ref="K44:BV44" si="106">IF(ISERROR(K43/K123)=TRUE,"*",K43/K123)</f>
        <v>59.871794871794869</v>
      </c>
      <c r="L44" s="155">
        <f t="shared" si="106"/>
        <v>48.737226277372265</v>
      </c>
      <c r="M44" s="155">
        <f t="shared" si="106"/>
        <v>53.018518518518519</v>
      </c>
      <c r="N44" s="155">
        <f t="shared" si="106"/>
        <v>60.447674418604649</v>
      </c>
      <c r="O44" s="155">
        <f t="shared" si="106"/>
        <v>60.046728971962615</v>
      </c>
      <c r="P44" s="155">
        <f t="shared" si="106"/>
        <v>52.33898305084746</v>
      </c>
      <c r="Q44" s="155">
        <f t="shared" si="106"/>
        <v>63.739130434782609</v>
      </c>
      <c r="R44" s="155">
        <f t="shared" si="106"/>
        <v>49.580246913580247</v>
      </c>
      <c r="S44" s="155">
        <f t="shared" si="106"/>
        <v>39.306122448979593</v>
      </c>
      <c r="T44" s="155">
        <f t="shared" si="106"/>
        <v>60.495798319327733</v>
      </c>
      <c r="U44" s="552">
        <f t="shared" si="106"/>
        <v>57.130030959752325</v>
      </c>
      <c r="V44" s="155">
        <f t="shared" si="106"/>
        <v>14.222222222222221</v>
      </c>
      <c r="W44" s="155">
        <f t="shared" si="106"/>
        <v>58.016393442622949</v>
      </c>
      <c r="X44" s="155">
        <f t="shared" si="106"/>
        <v>72.941176470588232</v>
      </c>
      <c r="Y44" s="155">
        <f t="shared" si="106"/>
        <v>68.785714285714292</v>
      </c>
      <c r="Z44" s="155">
        <f t="shared" si="106"/>
        <v>65.797979797979792</v>
      </c>
      <c r="AA44" s="155">
        <f t="shared" si="106"/>
        <v>58.222222222222221</v>
      </c>
      <c r="AB44" s="552">
        <f t="shared" si="106"/>
        <v>65.8</v>
      </c>
      <c r="AC44" s="155">
        <f t="shared" si="106"/>
        <v>41.37323943661972</v>
      </c>
      <c r="AD44" s="155">
        <f t="shared" si="106"/>
        <v>28.988764044943821</v>
      </c>
      <c r="AE44" s="155">
        <f t="shared" si="106"/>
        <v>30.006968641114984</v>
      </c>
      <c r="AF44" s="155">
        <f t="shared" si="106"/>
        <v>35.186666666666667</v>
      </c>
      <c r="AG44" s="155">
        <f t="shared" si="106"/>
        <v>27.696682464454977</v>
      </c>
      <c r="AH44" s="155">
        <f t="shared" si="106"/>
        <v>60.770992366412216</v>
      </c>
      <c r="AI44" s="155">
        <f t="shared" si="106"/>
        <v>37.632075471698116</v>
      </c>
      <c r="AJ44" s="155">
        <f t="shared" si="106"/>
        <v>79.295774647887328</v>
      </c>
      <c r="AK44" s="552">
        <f t="shared" si="106"/>
        <v>56.508379888268159</v>
      </c>
      <c r="AL44" s="155">
        <f t="shared" si="106"/>
        <v>74.782608695652172</v>
      </c>
      <c r="AM44" s="155">
        <f t="shared" si="106"/>
        <v>63.467775467775468</v>
      </c>
      <c r="AN44" s="155">
        <f t="shared" si="106"/>
        <v>61.238232468780019</v>
      </c>
      <c r="AO44" s="155">
        <f t="shared" si="106"/>
        <v>62.896551724137929</v>
      </c>
      <c r="AP44" s="155">
        <f t="shared" si="106"/>
        <v>74.888888888888886</v>
      </c>
      <c r="AQ44" s="155">
        <f t="shared" si="106"/>
        <v>66.151041666666671</v>
      </c>
      <c r="AR44" s="155">
        <f t="shared" si="106"/>
        <v>50.291139240506332</v>
      </c>
      <c r="AS44" s="156">
        <f t="shared" si="106"/>
        <v>58.38943894389439</v>
      </c>
      <c r="AT44" s="155" t="str">
        <f t="shared" si="106"/>
        <v>*</v>
      </c>
      <c r="AU44" s="155">
        <f t="shared" si="106"/>
        <v>63.739130434782609</v>
      </c>
      <c r="AV44" s="155">
        <f t="shared" si="106"/>
        <v>39.306122448979593</v>
      </c>
      <c r="AW44" s="155">
        <f t="shared" si="106"/>
        <v>60.447674418604649</v>
      </c>
      <c r="AX44" s="155">
        <f t="shared" si="106"/>
        <v>57.371428571428574</v>
      </c>
      <c r="AY44" s="155">
        <f t="shared" si="106"/>
        <v>48.737226277372265</v>
      </c>
      <c r="AZ44" s="155" t="str">
        <f t="shared" si="106"/>
        <v>*</v>
      </c>
      <c r="BA44" s="155">
        <f t="shared" si="106"/>
        <v>53.241379310344826</v>
      </c>
      <c r="BB44" s="155">
        <f t="shared" si="106"/>
        <v>60.495798319327733</v>
      </c>
      <c r="BC44" s="155">
        <f t="shared" si="106"/>
        <v>57.130030959752325</v>
      </c>
      <c r="BD44" s="155">
        <f t="shared" si="106"/>
        <v>53.018518518518519</v>
      </c>
      <c r="BE44" s="155">
        <f t="shared" si="106"/>
        <v>60.046728971962615</v>
      </c>
      <c r="BF44" s="552">
        <f t="shared" si="106"/>
        <v>59.871794871794869</v>
      </c>
      <c r="BG44" s="155" t="str">
        <f t="shared" si="106"/>
        <v>*</v>
      </c>
      <c r="BH44" s="155" t="str">
        <f t="shared" si="106"/>
        <v>*</v>
      </c>
      <c r="BI44" s="155">
        <f t="shared" si="106"/>
        <v>82.666666666666671</v>
      </c>
      <c r="BJ44" s="155">
        <f t="shared" si="106"/>
        <v>14.222222222222221</v>
      </c>
      <c r="BK44" s="155" t="str">
        <f t="shared" si="106"/>
        <v>*</v>
      </c>
      <c r="BL44" s="155" t="str">
        <f t="shared" si="106"/>
        <v>*</v>
      </c>
      <c r="BM44" s="155">
        <f t="shared" si="106"/>
        <v>65.797979797979792</v>
      </c>
      <c r="BN44" s="155">
        <f t="shared" si="106"/>
        <v>72.224999999999994</v>
      </c>
      <c r="BO44" s="155" t="str">
        <f t="shared" si="106"/>
        <v>*</v>
      </c>
      <c r="BP44" s="155">
        <f t="shared" si="106"/>
        <v>65.8</v>
      </c>
      <c r="BQ44" s="155">
        <f t="shared" si="106"/>
        <v>59.545454545454547</v>
      </c>
      <c r="BR44" s="552">
        <f t="shared" si="106"/>
        <v>58.016393442622949</v>
      </c>
      <c r="BS44" s="155">
        <f t="shared" si="106"/>
        <v>21.666666666666668</v>
      </c>
      <c r="BT44" s="155">
        <f t="shared" si="106"/>
        <v>30.095070422535212</v>
      </c>
      <c r="BU44" s="155">
        <f t="shared" si="106"/>
        <v>28.988764044943821</v>
      </c>
      <c r="BV44" s="155">
        <f t="shared" si="106"/>
        <v>27.696682464454977</v>
      </c>
      <c r="BW44" s="155">
        <f t="shared" ref="BW44:CL44" si="107">IF(ISERROR(BW43/BW123)=TRUE,"*",BW43/BW123)</f>
        <v>37.632075471698116</v>
      </c>
      <c r="BX44" s="155">
        <f t="shared" si="107"/>
        <v>41.37323943661972</v>
      </c>
      <c r="BY44" s="155">
        <f t="shared" si="107"/>
        <v>79.295774647887328</v>
      </c>
      <c r="BZ44" s="155">
        <f t="shared" si="107"/>
        <v>60.770992366412216</v>
      </c>
      <c r="CA44" s="155">
        <f t="shared" si="107"/>
        <v>35.186666666666667</v>
      </c>
      <c r="CB44" s="552">
        <f t="shared" si="107"/>
        <v>56.508379888268159</v>
      </c>
      <c r="CC44" s="155">
        <f t="shared" si="107"/>
        <v>62.896551724137929</v>
      </c>
      <c r="CD44" s="155">
        <f t="shared" si="107"/>
        <v>74.888888888888886</v>
      </c>
      <c r="CE44" s="155">
        <f t="shared" si="107"/>
        <v>74.782608695652172</v>
      </c>
      <c r="CF44" s="155">
        <f t="shared" si="107"/>
        <v>88.083333333333329</v>
      </c>
      <c r="CG44" s="155">
        <f t="shared" si="107"/>
        <v>57.164948453608247</v>
      </c>
      <c r="CH44" s="155">
        <f t="shared" si="107"/>
        <v>63.467775467775468</v>
      </c>
      <c r="CI44" s="155">
        <f t="shared" si="107"/>
        <v>50.291139240506332</v>
      </c>
      <c r="CJ44" s="155">
        <f t="shared" si="107"/>
        <v>61.238232468780019</v>
      </c>
      <c r="CK44" s="156">
        <f t="shared" si="107"/>
        <v>66.151041666666671</v>
      </c>
      <c r="CL44" s="320">
        <f t="shared" si="107"/>
        <v>55.206057422969188</v>
      </c>
    </row>
    <row r="45" spans="1:90">
      <c r="A45" s="80">
        <f>ROWS($A$3:A43)</f>
        <v>41</v>
      </c>
      <c r="B45" s="92" t="s">
        <v>74</v>
      </c>
      <c r="C45" s="202">
        <v>2020</v>
      </c>
      <c r="D45" s="259" t="s">
        <v>7</v>
      </c>
      <c r="E45" s="719">
        <v>44379</v>
      </c>
      <c r="F45" s="154">
        <v>915009</v>
      </c>
      <c r="G45" s="155">
        <v>68743</v>
      </c>
      <c r="H45" s="155">
        <v>103557</v>
      </c>
      <c r="I45" s="156">
        <v>583100</v>
      </c>
      <c r="J45" s="281"/>
      <c r="K45" s="154">
        <f t="shared" si="82"/>
        <v>135241</v>
      </c>
      <c r="L45" s="155">
        <f t="shared" si="83"/>
        <v>9447</v>
      </c>
      <c r="M45" s="155">
        <f t="shared" si="84"/>
        <v>107656</v>
      </c>
      <c r="N45" s="155">
        <f t="shared" si="85"/>
        <v>22867</v>
      </c>
      <c r="O45" s="155">
        <f t="shared" si="86"/>
        <v>35904</v>
      </c>
      <c r="P45" s="806">
        <f>IF(ISERROR(AZ45+BA45),BA45,AZ45+BA45)</f>
        <v>21541</v>
      </c>
      <c r="Q45" s="155">
        <f>'2021'!AU45</f>
        <v>16637</v>
      </c>
      <c r="R45" s="806">
        <f>IF(ISERROR(AT45+AX45),AX45,AT45+AX45)</f>
        <v>28484</v>
      </c>
      <c r="S45" s="155" t="str">
        <f t="shared" si="87"/>
        <v>.</v>
      </c>
      <c r="T45" s="155">
        <f t="shared" si="88"/>
        <v>132742</v>
      </c>
      <c r="U45" s="552">
        <f t="shared" si="88"/>
        <v>398991</v>
      </c>
      <c r="V45" s="806">
        <f>IF(ISERROR(BG45+BJ45),BJ45,(BG45+BJ45))</f>
        <v>3148</v>
      </c>
      <c r="W45" s="155">
        <f t="shared" si="89"/>
        <v>10582</v>
      </c>
      <c r="X45" s="806">
        <f>IF(ISERROR(BH45+BI45),BI45,(BH45+BI45))</f>
        <v>2127</v>
      </c>
      <c r="Y45" s="806">
        <f>IF(ISERROR(BK45+BL45+BN45),BN45,(BK45+BL45+BN45))</f>
        <v>12433</v>
      </c>
      <c r="Z45" s="155">
        <f t="shared" si="90"/>
        <v>30622</v>
      </c>
      <c r="AA45" s="806">
        <f>IF(ISERROR(BO45+BQ45),BQ45,(BO45+BQ45))</f>
        <v>3983</v>
      </c>
      <c r="AB45" s="552">
        <f t="shared" si="91"/>
        <v>4177</v>
      </c>
      <c r="AC45" s="155">
        <f t="shared" si="92"/>
        <v>18403</v>
      </c>
      <c r="AD45" s="155">
        <f t="shared" si="93"/>
        <v>2058</v>
      </c>
      <c r="AE45" s="806">
        <f>IF(ISERROR(BS45+BT45),BT45,(BS45+BT45))</f>
        <v>6129</v>
      </c>
      <c r="AF45" s="155" t="str">
        <f t="shared" si="94"/>
        <v>.</v>
      </c>
      <c r="AG45" s="155">
        <f t="shared" si="95"/>
        <v>21690</v>
      </c>
      <c r="AH45" s="155">
        <f t="shared" si="96"/>
        <v>11262</v>
      </c>
      <c r="AI45" s="155">
        <f t="shared" si="97"/>
        <v>25878</v>
      </c>
      <c r="AJ45" s="155">
        <f t="shared" si="98"/>
        <v>6860</v>
      </c>
      <c r="AK45" s="552">
        <f t="shared" si="99"/>
        <v>9101</v>
      </c>
      <c r="AL45" s="155">
        <f t="shared" si="100"/>
        <v>6555</v>
      </c>
      <c r="AM45" s="155">
        <f t="shared" si="101"/>
        <v>155679</v>
      </c>
      <c r="AN45" s="155">
        <f t="shared" si="102"/>
        <v>45759</v>
      </c>
      <c r="AO45" s="155">
        <f t="shared" si="103"/>
        <v>19032</v>
      </c>
      <c r="AP45" s="155">
        <f t="shared" si="103"/>
        <v>10505</v>
      </c>
      <c r="AQ45" s="155">
        <f t="shared" si="104"/>
        <v>97988</v>
      </c>
      <c r="AR45" s="155">
        <f t="shared" si="105"/>
        <v>11792</v>
      </c>
      <c r="AS45" s="156">
        <f>CF45+CG45</f>
        <v>235790</v>
      </c>
      <c r="AT45" s="155" t="s">
        <v>41</v>
      </c>
      <c r="AU45" s="155">
        <v>16637</v>
      </c>
      <c r="AV45" s="155" t="s">
        <v>304</v>
      </c>
      <c r="AW45" s="155">
        <v>22867</v>
      </c>
      <c r="AX45" s="155">
        <v>28484</v>
      </c>
      <c r="AY45" s="155">
        <v>9447</v>
      </c>
      <c r="AZ45" s="155" t="s">
        <v>304</v>
      </c>
      <c r="BA45" s="155">
        <v>21541</v>
      </c>
      <c r="BB45" s="155">
        <v>132742</v>
      </c>
      <c r="BC45" s="155">
        <v>398991</v>
      </c>
      <c r="BD45" s="776">
        <v>107656</v>
      </c>
      <c r="BE45" s="776">
        <v>35904</v>
      </c>
      <c r="BF45" s="804">
        <v>135241</v>
      </c>
      <c r="BG45" s="155" t="s">
        <v>41</v>
      </c>
      <c r="BH45" s="155" t="s">
        <v>304</v>
      </c>
      <c r="BI45" s="155">
        <v>2127</v>
      </c>
      <c r="BJ45" s="155">
        <v>3148</v>
      </c>
      <c r="BK45" s="155" t="s">
        <v>304</v>
      </c>
      <c r="BL45" s="155" t="s">
        <v>304</v>
      </c>
      <c r="BM45" s="155">
        <v>30622</v>
      </c>
      <c r="BN45" s="155">
        <v>12433</v>
      </c>
      <c r="BO45" s="155" t="s">
        <v>304</v>
      </c>
      <c r="BP45" s="155">
        <v>4177</v>
      </c>
      <c r="BQ45" s="155">
        <v>3983</v>
      </c>
      <c r="BR45" s="804">
        <v>10582</v>
      </c>
      <c r="BS45" s="805" t="s">
        <v>304</v>
      </c>
      <c r="BT45" s="155">
        <v>6129</v>
      </c>
      <c r="BU45" s="155">
        <v>2058</v>
      </c>
      <c r="BV45" s="155">
        <v>21690</v>
      </c>
      <c r="BW45" s="155">
        <v>25878</v>
      </c>
      <c r="BX45" s="155">
        <v>18403</v>
      </c>
      <c r="BY45" s="155">
        <v>6860</v>
      </c>
      <c r="BZ45" s="155">
        <v>11262</v>
      </c>
      <c r="CA45" s="155" t="s">
        <v>304</v>
      </c>
      <c r="CB45" s="552">
        <v>9101</v>
      </c>
      <c r="CC45" s="155">
        <v>19032</v>
      </c>
      <c r="CD45" s="155">
        <v>10505</v>
      </c>
      <c r="CE45" s="155">
        <v>6555</v>
      </c>
      <c r="CF45" s="155">
        <v>12117</v>
      </c>
      <c r="CG45" s="155">
        <v>223673</v>
      </c>
      <c r="CH45" s="155">
        <v>155679</v>
      </c>
      <c r="CI45" s="155">
        <v>11792</v>
      </c>
      <c r="CJ45" s="155">
        <v>45759</v>
      </c>
      <c r="CK45" s="156">
        <v>97988</v>
      </c>
      <c r="CL45" s="320">
        <v>1670409</v>
      </c>
    </row>
    <row r="46" spans="1:90">
      <c r="A46" s="80">
        <f>ROWS($A$3:A44)</f>
        <v>42</v>
      </c>
      <c r="B46" s="92" t="s">
        <v>8</v>
      </c>
      <c r="C46" s="203"/>
      <c r="D46" s="259" t="s">
        <v>7</v>
      </c>
      <c r="E46" s="719">
        <v>44379</v>
      </c>
      <c r="F46" s="154">
        <v>80943</v>
      </c>
      <c r="G46" s="155">
        <v>3583</v>
      </c>
      <c r="H46" s="155">
        <v>8315</v>
      </c>
      <c r="I46" s="156">
        <v>43624</v>
      </c>
      <c r="J46" s="281"/>
      <c r="K46" s="154">
        <f t="shared" si="82"/>
        <v>14887</v>
      </c>
      <c r="L46" s="155" t="str">
        <f t="shared" si="83"/>
        <v>.</v>
      </c>
      <c r="M46" s="155">
        <f t="shared" si="84"/>
        <v>9605</v>
      </c>
      <c r="N46" s="155">
        <f t="shared" si="85"/>
        <v>2330</v>
      </c>
      <c r="O46" s="155">
        <f t="shared" si="86"/>
        <v>1908</v>
      </c>
      <c r="P46" s="806">
        <f>IF(ISERROR(AZ46+BA46),BA46,AZ46+BA46)</f>
        <v>1712</v>
      </c>
      <c r="Q46" s="155">
        <f>'2021'!AU46</f>
        <v>1225</v>
      </c>
      <c r="R46" s="806">
        <f>IF(ISERROR(AT46+AX46),AX46,AT46+AX46)</f>
        <v>1946</v>
      </c>
      <c r="S46" s="155" t="str">
        <f t="shared" si="87"/>
        <v>.</v>
      </c>
      <c r="T46" s="155">
        <f t="shared" si="88"/>
        <v>12736</v>
      </c>
      <c r="U46" s="552">
        <f t="shared" si="88"/>
        <v>33599</v>
      </c>
      <c r="V46" s="806" t="str">
        <f>IF(ISERROR(BG46+BJ46),BJ46,(BG46+BJ46))</f>
        <v>.</v>
      </c>
      <c r="W46" s="155">
        <f t="shared" si="89"/>
        <v>863</v>
      </c>
      <c r="X46" s="806" t="str">
        <f>IF(ISERROR(BH46+BI46),BI46,(BH46+BI46))</f>
        <v>.</v>
      </c>
      <c r="Y46" s="806">
        <f>IF(ISERROR(BK46+BL46+BN46),BN46,(BK46+BL46+BN46))</f>
        <v>816</v>
      </c>
      <c r="Z46" s="155">
        <f t="shared" si="90"/>
        <v>1333</v>
      </c>
      <c r="AA46" s="806" t="str">
        <f>IF(ISERROR(BO46+BQ46),BQ46,(BO46+BQ46))</f>
        <v>.</v>
      </c>
      <c r="AB46" s="552">
        <f t="shared" si="91"/>
        <v>288</v>
      </c>
      <c r="AC46" s="155">
        <f t="shared" si="92"/>
        <v>1449</v>
      </c>
      <c r="AD46" s="155" t="str">
        <f t="shared" si="93"/>
        <v>.</v>
      </c>
      <c r="AE46" s="806">
        <f>IF(ISERROR(BS46+BT46),BT46,(BS46+BT46))</f>
        <v>338</v>
      </c>
      <c r="AF46" s="155" t="str">
        <f t="shared" si="94"/>
        <v>.</v>
      </c>
      <c r="AG46" s="155">
        <f t="shared" si="95"/>
        <v>1945</v>
      </c>
      <c r="AH46" s="155">
        <f t="shared" si="96"/>
        <v>851</v>
      </c>
      <c r="AI46" s="155">
        <f t="shared" si="97"/>
        <v>1802</v>
      </c>
      <c r="AJ46" s="155">
        <f t="shared" si="98"/>
        <v>1055</v>
      </c>
      <c r="AK46" s="552">
        <f t="shared" si="99"/>
        <v>754</v>
      </c>
      <c r="AL46" s="155">
        <f t="shared" si="100"/>
        <v>430</v>
      </c>
      <c r="AM46" s="155">
        <f t="shared" si="101"/>
        <v>12339</v>
      </c>
      <c r="AN46" s="155">
        <f t="shared" si="102"/>
        <v>4425</v>
      </c>
      <c r="AO46" s="155">
        <f t="shared" si="103"/>
        <v>1402</v>
      </c>
      <c r="AP46" s="155">
        <f t="shared" si="103"/>
        <v>310</v>
      </c>
      <c r="AQ46" s="155">
        <f t="shared" si="104"/>
        <v>7623</v>
      </c>
      <c r="AR46" s="155">
        <f t="shared" si="105"/>
        <v>698</v>
      </c>
      <c r="AS46" s="156">
        <f>CF46+CG46</f>
        <v>16397</v>
      </c>
      <c r="AT46" s="155" t="s">
        <v>41</v>
      </c>
      <c r="AU46" s="776">
        <v>1225</v>
      </c>
      <c r="AV46" s="155" t="s">
        <v>304</v>
      </c>
      <c r="AW46" s="776">
        <v>2330</v>
      </c>
      <c r="AX46" s="776">
        <v>1946</v>
      </c>
      <c r="AY46" s="155" t="s">
        <v>304</v>
      </c>
      <c r="AZ46" s="155" t="s">
        <v>41</v>
      </c>
      <c r="BA46" s="776">
        <v>1712</v>
      </c>
      <c r="BB46" s="776">
        <v>12736</v>
      </c>
      <c r="BC46" s="776">
        <v>33599</v>
      </c>
      <c r="BD46" s="776">
        <v>9605</v>
      </c>
      <c r="BE46" s="776">
        <v>1908</v>
      </c>
      <c r="BF46" s="804">
        <v>14887</v>
      </c>
      <c r="BG46" s="155" t="s">
        <v>41</v>
      </c>
      <c r="BH46" s="155" t="s">
        <v>41</v>
      </c>
      <c r="BI46" s="155" t="s">
        <v>304</v>
      </c>
      <c r="BJ46" s="155" t="s">
        <v>304</v>
      </c>
      <c r="BK46" s="155" t="s">
        <v>41</v>
      </c>
      <c r="BL46" s="155" t="s">
        <v>41</v>
      </c>
      <c r="BM46" s="776">
        <v>1333</v>
      </c>
      <c r="BN46" s="776">
        <v>816</v>
      </c>
      <c r="BO46" s="155" t="s">
        <v>304</v>
      </c>
      <c r="BP46" s="776">
        <v>288</v>
      </c>
      <c r="BQ46" s="155" t="s">
        <v>304</v>
      </c>
      <c r="BR46" s="804">
        <v>863</v>
      </c>
      <c r="BS46" s="805" t="s">
        <v>304</v>
      </c>
      <c r="BT46" s="776">
        <v>338</v>
      </c>
      <c r="BU46" s="155" t="s">
        <v>304</v>
      </c>
      <c r="BV46" s="776">
        <v>1945</v>
      </c>
      <c r="BW46" s="776">
        <v>1802</v>
      </c>
      <c r="BX46" s="776">
        <v>1449</v>
      </c>
      <c r="BY46" s="776">
        <v>1055</v>
      </c>
      <c r="BZ46" s="776">
        <v>851</v>
      </c>
      <c r="CA46" s="155" t="s">
        <v>304</v>
      </c>
      <c r="CB46" s="804">
        <v>754</v>
      </c>
      <c r="CC46" s="776">
        <v>1402</v>
      </c>
      <c r="CD46" s="776">
        <v>310</v>
      </c>
      <c r="CE46" s="776">
        <v>430</v>
      </c>
      <c r="CF46" s="776">
        <v>611</v>
      </c>
      <c r="CG46" s="776">
        <v>15786</v>
      </c>
      <c r="CH46" s="155">
        <v>12339</v>
      </c>
      <c r="CI46" s="155">
        <v>698</v>
      </c>
      <c r="CJ46" s="155">
        <v>4425</v>
      </c>
      <c r="CK46" s="777">
        <v>7623</v>
      </c>
      <c r="CL46" s="795">
        <v>136465</v>
      </c>
    </row>
    <row r="47" spans="1:90">
      <c r="A47" s="80">
        <f>ROWS($A$3:A45)</f>
        <v>43</v>
      </c>
      <c r="B47" s="388" t="s">
        <v>19</v>
      </c>
      <c r="C47" s="252"/>
      <c r="D47" s="259" t="s">
        <v>241</v>
      </c>
      <c r="E47" s="719">
        <v>44379</v>
      </c>
      <c r="F47" s="154">
        <f>F125/F124</f>
        <v>293.42363877822044</v>
      </c>
      <c r="G47" s="155">
        <f>G125/G124</f>
        <v>155.67100977198697</v>
      </c>
      <c r="H47" s="155">
        <f>H125/H124</f>
        <v>71.355835240274601</v>
      </c>
      <c r="I47" s="156">
        <f>I125/I124</f>
        <v>291.69797421731124</v>
      </c>
      <c r="J47" s="281"/>
      <c r="K47" s="154">
        <f t="shared" si="82"/>
        <v>192.32300884955751</v>
      </c>
      <c r="L47" s="155">
        <f t="shared" si="83"/>
        <v>69.118421052631575</v>
      </c>
      <c r="M47" s="155">
        <f t="shared" si="84"/>
        <v>306.17415730337081</v>
      </c>
      <c r="N47" s="155">
        <f t="shared" si="85"/>
        <v>199.60714285714286</v>
      </c>
      <c r="O47" s="155">
        <f t="shared" si="86"/>
        <v>308.40229885057471</v>
      </c>
      <c r="P47" s="806">
        <f>IF(ISERROR((BA45*BA47+AZ45*AZ47)/P45),BA47,(BA45*BA47+AZ45*AZ47)/P45)</f>
        <v>212.38596491228071</v>
      </c>
      <c r="Q47" s="155">
        <f>'2021'!AU47</f>
        <v>191.21276595744681</v>
      </c>
      <c r="R47" s="806">
        <f>IF(ISERROR((AT47*AT45+AX45*AX47)/R45),AX47,(AT47*AT45+AX45*AX47)/R45)</f>
        <v>318.66071428571428</v>
      </c>
      <c r="S47" s="155" t="str">
        <f>AV47</f>
        <v>*</v>
      </c>
      <c r="T47" s="155">
        <f t="shared" si="88"/>
        <v>325.69565217391306</v>
      </c>
      <c r="U47" s="552">
        <f t="shared" si="88"/>
        <v>387.14145383104125</v>
      </c>
      <c r="V47" s="806">
        <f>IF(ISERROR((BG47*BG45+BJ45*BJ47)/V45),BJ47,(BG47*BG45+BJ45*BJ47)/V45)</f>
        <v>109.78947368421052</v>
      </c>
      <c r="W47" s="155">
        <f t="shared" si="89"/>
        <v>99.478260869565219</v>
      </c>
      <c r="X47" s="806">
        <f>IF(ISERROR((BH45*BH47+BI45*BI47)/X45),BI47,(BH45*BH47+BI45*BI47)/X45)</f>
        <v>80.16</v>
      </c>
      <c r="Y47" s="806">
        <f>IF(ISERROR(BK47*BK45+BL47*BL45+BN47*BN45)/Y45,BN47,(BK47*BK45+BL47*BL45+BN47*BN45)/Y45)</f>
        <v>188.74468085106383</v>
      </c>
      <c r="Z47" s="155">
        <f t="shared" si="90"/>
        <v>281.63414634146341</v>
      </c>
      <c r="AA47" s="807">
        <f>IF(ISERROR((BO47*BO45+BQ47*BQ45)/AA45),BQ47,(BO47*BO45+BQ47*BQ45)/AA45)</f>
        <v>101.25</v>
      </c>
      <c r="AB47" s="552">
        <f t="shared" si="91"/>
        <v>46.073170731707314</v>
      </c>
      <c r="AC47" s="155">
        <f t="shared" si="92"/>
        <v>91.743119266055047</v>
      </c>
      <c r="AD47" s="155" t="str">
        <f t="shared" si="93"/>
        <v>*</v>
      </c>
      <c r="AE47" s="806">
        <f>IF(ISERROR((BS45*BS47+BT45*BT47)/AE45),BT47,(BS45*BS47+BT45*BT47)/AE45)</f>
        <v>37.992307692307691</v>
      </c>
      <c r="AF47" s="155" t="str">
        <f t="shared" si="94"/>
        <v>.</v>
      </c>
      <c r="AG47" s="155">
        <f t="shared" si="95"/>
        <v>52.435779816513758</v>
      </c>
      <c r="AH47" s="155">
        <f t="shared" si="96"/>
        <v>118.75925925925925</v>
      </c>
      <c r="AI47" s="155">
        <f t="shared" si="97"/>
        <v>167.91818181818181</v>
      </c>
      <c r="AJ47" s="155">
        <f t="shared" si="98"/>
        <v>75.264705882352942</v>
      </c>
      <c r="AK47" s="552">
        <f t="shared" si="99"/>
        <v>56.735632183908045</v>
      </c>
      <c r="AL47" s="155">
        <f t="shared" si="100"/>
        <v>116.66666666666667</v>
      </c>
      <c r="AM47" s="155">
        <f t="shared" si="101"/>
        <v>341.85185185185185</v>
      </c>
      <c r="AN47" s="155">
        <f t="shared" si="102"/>
        <v>191.08</v>
      </c>
      <c r="AO47" s="155">
        <f t="shared" si="103"/>
        <v>104.78409090909091</v>
      </c>
      <c r="AP47" s="155">
        <f t="shared" si="103"/>
        <v>198.90625</v>
      </c>
      <c r="AQ47" s="155">
        <f t="shared" si="104"/>
        <v>316.38596491228071</v>
      </c>
      <c r="AR47" s="155">
        <f t="shared" si="105"/>
        <v>139</v>
      </c>
      <c r="AS47" s="532">
        <f>(CF45*CF47+CG45*CG47)/AS45</f>
        <v>373.29831432338455</v>
      </c>
      <c r="AT47" s="155" t="s">
        <v>58</v>
      </c>
      <c r="AU47" s="155">
        <f t="shared" ref="AU47:CJ47" si="108">AU125/AU124</f>
        <v>191.21276595744681</v>
      </c>
      <c r="AV47" s="155" t="s">
        <v>233</v>
      </c>
      <c r="AW47" s="155">
        <f t="shared" si="108"/>
        <v>199.60714285714286</v>
      </c>
      <c r="AX47" s="155">
        <f t="shared" si="108"/>
        <v>318.66071428571428</v>
      </c>
      <c r="AY47" s="155">
        <f t="shared" si="108"/>
        <v>69.118421052631575</v>
      </c>
      <c r="AZ47" s="155" t="s">
        <v>58</v>
      </c>
      <c r="BA47" s="155">
        <f t="shared" si="108"/>
        <v>212.38596491228071</v>
      </c>
      <c r="BB47" s="155">
        <f t="shared" si="108"/>
        <v>325.69565217391306</v>
      </c>
      <c r="BC47" s="155">
        <f t="shared" si="108"/>
        <v>387.14145383104125</v>
      </c>
      <c r="BD47" s="155">
        <f t="shared" si="108"/>
        <v>306.17415730337081</v>
      </c>
      <c r="BE47" s="155">
        <f t="shared" si="108"/>
        <v>308.40229885057471</v>
      </c>
      <c r="BF47" s="552">
        <f t="shared" si="108"/>
        <v>192.32300884955751</v>
      </c>
      <c r="BG47" s="155" t="s">
        <v>58</v>
      </c>
      <c r="BH47" s="155" t="s">
        <v>233</v>
      </c>
      <c r="BI47" s="155">
        <f t="shared" si="108"/>
        <v>80.16</v>
      </c>
      <c r="BJ47" s="155">
        <f t="shared" si="108"/>
        <v>109.78947368421052</v>
      </c>
      <c r="BK47" s="155" t="str">
        <f>IF(ISERROR(BK125/BK124),"-",(BK125/BK124))</f>
        <v>-</v>
      </c>
      <c r="BL47" s="155" t="s">
        <v>58</v>
      </c>
      <c r="BM47" s="155">
        <f t="shared" si="108"/>
        <v>281.63414634146341</v>
      </c>
      <c r="BN47" s="155">
        <f t="shared" si="108"/>
        <v>188.74468085106383</v>
      </c>
      <c r="BO47" s="155" t="s">
        <v>58</v>
      </c>
      <c r="BP47" s="155">
        <f t="shared" si="108"/>
        <v>46.073170731707314</v>
      </c>
      <c r="BQ47" s="155">
        <f t="shared" si="108"/>
        <v>101.25</v>
      </c>
      <c r="BR47" s="552">
        <f t="shared" si="108"/>
        <v>99.478260869565219</v>
      </c>
      <c r="BS47" s="805" t="s">
        <v>304</v>
      </c>
      <c r="BT47" s="155">
        <f t="shared" si="108"/>
        <v>37.992307692307691</v>
      </c>
      <c r="BU47" s="155" t="s">
        <v>233</v>
      </c>
      <c r="BV47" s="155">
        <f t="shared" si="108"/>
        <v>52.435779816513758</v>
      </c>
      <c r="BW47" s="155">
        <f t="shared" si="108"/>
        <v>167.91818181818181</v>
      </c>
      <c r="BX47" s="155">
        <f t="shared" si="108"/>
        <v>91.743119266055047</v>
      </c>
      <c r="BY47" s="155">
        <f t="shared" si="108"/>
        <v>75.264705882352942</v>
      </c>
      <c r="BZ47" s="155">
        <f t="shared" si="108"/>
        <v>118.75925925925925</v>
      </c>
      <c r="CA47" s="155" t="str">
        <f>IF(ISERROR(CA125/CA124),".","CA125"/124)</f>
        <v>.</v>
      </c>
      <c r="CB47" s="552">
        <f t="shared" si="108"/>
        <v>56.735632183908045</v>
      </c>
      <c r="CC47" s="155">
        <f t="shared" si="108"/>
        <v>104.78409090909091</v>
      </c>
      <c r="CD47" s="155">
        <f t="shared" si="108"/>
        <v>198.90625</v>
      </c>
      <c r="CE47" s="155">
        <f t="shared" si="108"/>
        <v>116.66666666666667</v>
      </c>
      <c r="CF47" s="155">
        <f t="shared" si="108"/>
        <v>521.93333333333328</v>
      </c>
      <c r="CG47" s="155">
        <f t="shared" si="108"/>
        <v>365.24633431085044</v>
      </c>
      <c r="CH47" s="155">
        <f t="shared" si="108"/>
        <v>341.85185185185185</v>
      </c>
      <c r="CI47" s="155">
        <f t="shared" si="108"/>
        <v>139</v>
      </c>
      <c r="CJ47" s="155">
        <f t="shared" si="108"/>
        <v>191.08</v>
      </c>
      <c r="CK47" s="156">
        <f>CK125/CK124</f>
        <v>316.38596491228071</v>
      </c>
      <c r="CL47" s="320">
        <f>CL125/CL124</f>
        <v>230.27723297111052</v>
      </c>
    </row>
    <row r="48" spans="1:90">
      <c r="A48" s="80">
        <f>ROWS($A$3:A46)</f>
        <v>44</v>
      </c>
      <c r="B48" s="196" t="s">
        <v>239</v>
      </c>
      <c r="C48" s="202">
        <v>2020</v>
      </c>
      <c r="D48" s="259" t="s">
        <v>7</v>
      </c>
      <c r="E48" s="719">
        <v>44379</v>
      </c>
      <c r="F48" s="154">
        <v>20224</v>
      </c>
      <c r="G48" s="155">
        <v>12047</v>
      </c>
      <c r="H48" s="155">
        <v>14687</v>
      </c>
      <c r="I48" s="156">
        <v>17801</v>
      </c>
      <c r="J48" s="281"/>
      <c r="K48" s="154">
        <f t="shared" si="82"/>
        <v>3186</v>
      </c>
      <c r="L48" s="155">
        <f t="shared" si="83"/>
        <v>2500</v>
      </c>
      <c r="M48" s="155">
        <f t="shared" si="84"/>
        <v>960</v>
      </c>
      <c r="N48" s="155">
        <f t="shared" si="85"/>
        <v>1840</v>
      </c>
      <c r="O48" s="155">
        <f t="shared" si="86"/>
        <v>668</v>
      </c>
      <c r="P48" s="155">
        <f>'2021'!BA48</f>
        <v>1461</v>
      </c>
      <c r="Q48" s="155">
        <f>'2021'!AU48</f>
        <v>2354</v>
      </c>
      <c r="R48" s="155">
        <f>AX48</f>
        <v>2167</v>
      </c>
      <c r="S48" s="155">
        <f t="shared" si="87"/>
        <v>2639</v>
      </c>
      <c r="T48" s="155">
        <f t="shared" si="88"/>
        <v>760</v>
      </c>
      <c r="U48" s="552">
        <f t="shared" si="88"/>
        <v>1486</v>
      </c>
      <c r="V48" s="155">
        <f>BG48+BJ48</f>
        <v>991</v>
      </c>
      <c r="W48" s="155">
        <f t="shared" si="89"/>
        <v>854</v>
      </c>
      <c r="X48" s="155">
        <f>BH48+BI48</f>
        <v>2767</v>
      </c>
      <c r="Y48" s="155">
        <f>BK48+BL48+BN48</f>
        <v>2898</v>
      </c>
      <c r="Z48" s="155">
        <f t="shared" si="90"/>
        <v>1655</v>
      </c>
      <c r="AA48" s="155">
        <f>BO48+BQ48</f>
        <v>1481</v>
      </c>
      <c r="AB48" s="552">
        <f t="shared" si="91"/>
        <v>1401</v>
      </c>
      <c r="AC48" s="155">
        <f t="shared" si="92"/>
        <v>1210</v>
      </c>
      <c r="AD48" s="155">
        <f t="shared" si="93"/>
        <v>903</v>
      </c>
      <c r="AE48" s="155">
        <f>BS48+BT48</f>
        <v>2776</v>
      </c>
      <c r="AF48" s="155">
        <f t="shared" si="94"/>
        <v>1857</v>
      </c>
      <c r="AG48" s="155">
        <f t="shared" si="95"/>
        <v>1854</v>
      </c>
      <c r="AH48" s="155">
        <f t="shared" si="96"/>
        <v>1924</v>
      </c>
      <c r="AI48" s="155">
        <f t="shared" si="97"/>
        <v>966</v>
      </c>
      <c r="AJ48" s="155">
        <f t="shared" si="98"/>
        <v>835</v>
      </c>
      <c r="AK48" s="552">
        <f t="shared" si="99"/>
        <v>2362</v>
      </c>
      <c r="AL48" s="155">
        <f t="shared" si="100"/>
        <v>1619</v>
      </c>
      <c r="AM48" s="155">
        <f t="shared" si="101"/>
        <v>2355</v>
      </c>
      <c r="AN48" s="155" t="str">
        <f t="shared" si="102"/>
        <v>4047</v>
      </c>
      <c r="AO48" s="155">
        <f t="shared" si="103"/>
        <v>2927</v>
      </c>
      <c r="AP48" s="155">
        <f t="shared" si="103"/>
        <v>1203</v>
      </c>
      <c r="AQ48" s="155">
        <f t="shared" si="104"/>
        <v>1767</v>
      </c>
      <c r="AR48" s="155">
        <f t="shared" si="105"/>
        <v>1627</v>
      </c>
      <c r="AS48" s="156">
        <f>CF48+CG48</f>
        <v>2256</v>
      </c>
      <c r="AT48" s="776">
        <v>151</v>
      </c>
      <c r="AU48" s="776">
        <v>2354</v>
      </c>
      <c r="AV48" s="776">
        <v>2639</v>
      </c>
      <c r="AW48" s="776">
        <v>1840</v>
      </c>
      <c r="AX48" s="776">
        <v>2167</v>
      </c>
      <c r="AY48" s="776">
        <v>2500</v>
      </c>
      <c r="AZ48" s="776">
        <v>52</v>
      </c>
      <c r="BA48" s="776">
        <v>1461</v>
      </c>
      <c r="BB48" s="776">
        <v>760</v>
      </c>
      <c r="BC48" s="776">
        <v>1486</v>
      </c>
      <c r="BD48" s="776">
        <v>960</v>
      </c>
      <c r="BE48" s="776">
        <v>668</v>
      </c>
      <c r="BF48" s="804">
        <v>3186</v>
      </c>
      <c r="BG48" s="776">
        <v>70</v>
      </c>
      <c r="BH48" s="776">
        <v>138</v>
      </c>
      <c r="BI48" s="776">
        <v>2629</v>
      </c>
      <c r="BJ48" s="776">
        <v>921</v>
      </c>
      <c r="BK48" s="776">
        <v>81</v>
      </c>
      <c r="BL48" s="776">
        <v>569</v>
      </c>
      <c r="BM48" s="776">
        <v>1655</v>
      </c>
      <c r="BN48" s="776">
        <v>2248</v>
      </c>
      <c r="BO48" s="776">
        <v>65</v>
      </c>
      <c r="BP48" s="776">
        <v>1401</v>
      </c>
      <c r="BQ48" s="776">
        <v>1416</v>
      </c>
      <c r="BR48" s="804">
        <v>854</v>
      </c>
      <c r="BS48" s="155" t="s">
        <v>474</v>
      </c>
      <c r="BT48" s="776">
        <v>2481</v>
      </c>
      <c r="BU48" s="776">
        <v>903</v>
      </c>
      <c r="BV48" s="776">
        <v>1854</v>
      </c>
      <c r="BW48" s="776">
        <v>966</v>
      </c>
      <c r="BX48" s="776">
        <v>1210</v>
      </c>
      <c r="BY48" s="776">
        <v>835</v>
      </c>
      <c r="BZ48" s="776">
        <v>1924</v>
      </c>
      <c r="CA48" s="776">
        <v>1857</v>
      </c>
      <c r="CB48" s="804">
        <v>2362</v>
      </c>
      <c r="CC48" s="776">
        <v>2927</v>
      </c>
      <c r="CD48" s="776">
        <v>1203</v>
      </c>
      <c r="CE48" s="776">
        <v>1619</v>
      </c>
      <c r="CF48" s="776">
        <v>268</v>
      </c>
      <c r="CG48" s="776">
        <v>1988</v>
      </c>
      <c r="CH48" s="776">
        <v>2355</v>
      </c>
      <c r="CI48" s="776">
        <v>1627</v>
      </c>
      <c r="CJ48" s="155" t="s">
        <v>475</v>
      </c>
      <c r="CK48" s="777">
        <v>1767</v>
      </c>
      <c r="CL48" s="795">
        <v>64759</v>
      </c>
    </row>
    <row r="49" spans="1:90">
      <c r="A49" s="80">
        <f>ROWS($A$3:A47)</f>
        <v>45</v>
      </c>
      <c r="B49" s="92" t="s">
        <v>75</v>
      </c>
      <c r="C49" s="202">
        <v>2020</v>
      </c>
      <c r="D49" s="259" t="s">
        <v>7</v>
      </c>
      <c r="E49" s="719">
        <v>44379</v>
      </c>
      <c r="F49" s="154">
        <v>87177</v>
      </c>
      <c r="G49" s="155">
        <v>36830</v>
      </c>
      <c r="H49" s="155">
        <v>42882</v>
      </c>
      <c r="I49" s="156">
        <v>74082</v>
      </c>
      <c r="J49" s="281"/>
      <c r="K49" s="154">
        <f t="shared" si="82"/>
        <v>10403</v>
      </c>
      <c r="L49" s="155">
        <f t="shared" si="83"/>
        <v>7613</v>
      </c>
      <c r="M49" s="155">
        <f t="shared" si="84"/>
        <v>3999</v>
      </c>
      <c r="N49" s="155">
        <f t="shared" si="85"/>
        <v>10105</v>
      </c>
      <c r="O49" s="155">
        <f t="shared" si="86"/>
        <v>8740</v>
      </c>
      <c r="P49" s="155">
        <f>'2021'!BA49</f>
        <v>8371</v>
      </c>
      <c r="Q49" s="155">
        <f>'2021'!AU49</f>
        <v>4998</v>
      </c>
      <c r="R49" s="155">
        <f>AX49</f>
        <v>2482</v>
      </c>
      <c r="S49" s="155">
        <f t="shared" si="87"/>
        <v>14151</v>
      </c>
      <c r="T49" s="155">
        <f t="shared" si="88"/>
        <v>3982</v>
      </c>
      <c r="U49" s="552">
        <f t="shared" si="88"/>
        <v>12234</v>
      </c>
      <c r="V49" s="155">
        <f>BG49+BJ49</f>
        <v>2836</v>
      </c>
      <c r="W49" s="155">
        <f t="shared" si="89"/>
        <v>8299</v>
      </c>
      <c r="X49" s="155">
        <f>BH49+BI49</f>
        <v>4219</v>
      </c>
      <c r="Y49" s="155">
        <f>BN49</f>
        <v>4754</v>
      </c>
      <c r="Z49" s="155">
        <f t="shared" si="90"/>
        <v>1964</v>
      </c>
      <c r="AA49" s="155">
        <f>BQ49</f>
        <v>1662</v>
      </c>
      <c r="AB49" s="552">
        <f t="shared" si="91"/>
        <v>10769</v>
      </c>
      <c r="AC49" s="155">
        <f t="shared" si="92"/>
        <v>3300</v>
      </c>
      <c r="AD49" s="155">
        <f t="shared" si="93"/>
        <v>2282</v>
      </c>
      <c r="AE49" s="155">
        <f>BS49+BT49</f>
        <v>7623</v>
      </c>
      <c r="AF49" s="155">
        <f t="shared" si="94"/>
        <v>4236</v>
      </c>
      <c r="AG49" s="155">
        <f t="shared" si="95"/>
        <v>5671</v>
      </c>
      <c r="AH49" s="155">
        <f t="shared" si="96"/>
        <v>4892</v>
      </c>
      <c r="AI49" s="155">
        <f t="shared" si="97"/>
        <v>6171</v>
      </c>
      <c r="AJ49" s="155">
        <f t="shared" si="98"/>
        <v>5269</v>
      </c>
      <c r="AK49" s="552">
        <f t="shared" si="99"/>
        <v>3438</v>
      </c>
      <c r="AL49" s="155">
        <f t="shared" si="100"/>
        <v>17847</v>
      </c>
      <c r="AM49" s="155">
        <f t="shared" si="101"/>
        <v>3440</v>
      </c>
      <c r="AN49" s="155">
        <f t="shared" si="102"/>
        <v>5022</v>
      </c>
      <c r="AO49" s="155">
        <f t="shared" si="103"/>
        <v>20650</v>
      </c>
      <c r="AP49" s="155">
        <f t="shared" si="103"/>
        <v>7110</v>
      </c>
      <c r="AQ49" s="155">
        <f t="shared" si="104"/>
        <v>4240</v>
      </c>
      <c r="AR49" s="155">
        <f t="shared" si="105"/>
        <v>5155</v>
      </c>
      <c r="AS49" s="156">
        <f>CG49</f>
        <v>10436</v>
      </c>
      <c r="AT49" s="155" t="s">
        <v>304</v>
      </c>
      <c r="AU49" s="155">
        <v>4998</v>
      </c>
      <c r="AV49" s="155">
        <v>14151</v>
      </c>
      <c r="AW49" s="155">
        <v>10105</v>
      </c>
      <c r="AX49" s="155">
        <v>2482</v>
      </c>
      <c r="AY49" s="155">
        <v>7613</v>
      </c>
      <c r="AZ49" s="155" t="s">
        <v>304</v>
      </c>
      <c r="BA49" s="155">
        <v>8371</v>
      </c>
      <c r="BB49" s="155">
        <v>3982</v>
      </c>
      <c r="BC49" s="155">
        <v>12234</v>
      </c>
      <c r="BD49" s="155">
        <v>3999</v>
      </c>
      <c r="BE49" s="155">
        <v>8740</v>
      </c>
      <c r="BF49" s="552">
        <v>10403</v>
      </c>
      <c r="BG49" s="155"/>
      <c r="BH49" s="155">
        <v>168</v>
      </c>
      <c r="BI49" s="155">
        <v>4051</v>
      </c>
      <c r="BJ49" s="155">
        <v>2836</v>
      </c>
      <c r="BK49" s="155" t="s">
        <v>41</v>
      </c>
      <c r="BL49" s="155" t="s">
        <v>304</v>
      </c>
      <c r="BM49" s="155">
        <v>1964</v>
      </c>
      <c r="BN49" s="155">
        <v>4754</v>
      </c>
      <c r="BO49" s="155">
        <v>546</v>
      </c>
      <c r="BP49" s="155">
        <v>10769</v>
      </c>
      <c r="BQ49" s="155">
        <v>1662</v>
      </c>
      <c r="BR49" s="552">
        <v>8299</v>
      </c>
      <c r="BS49" s="155">
        <v>2029</v>
      </c>
      <c r="BT49" s="155">
        <v>5594</v>
      </c>
      <c r="BU49" s="155">
        <v>2282</v>
      </c>
      <c r="BV49" s="155">
        <v>5671</v>
      </c>
      <c r="BW49" s="155">
        <v>6171</v>
      </c>
      <c r="BX49" s="155">
        <v>3300</v>
      </c>
      <c r="BY49" s="155">
        <v>5269</v>
      </c>
      <c r="BZ49" s="155">
        <v>4892</v>
      </c>
      <c r="CA49" s="155">
        <v>4236</v>
      </c>
      <c r="CB49" s="552">
        <v>3438</v>
      </c>
      <c r="CC49" s="155">
        <v>20650</v>
      </c>
      <c r="CD49" s="155">
        <v>7110</v>
      </c>
      <c r="CE49" s="155">
        <v>17847</v>
      </c>
      <c r="CF49" s="155">
        <v>182</v>
      </c>
      <c r="CG49" s="155">
        <v>10436</v>
      </c>
      <c r="CH49" s="155">
        <v>3440</v>
      </c>
      <c r="CI49" s="155">
        <v>5155</v>
      </c>
      <c r="CJ49" s="155">
        <v>5022</v>
      </c>
      <c r="CK49" s="156">
        <v>4240</v>
      </c>
      <c r="CL49" s="320">
        <v>240971</v>
      </c>
    </row>
    <row r="50" spans="1:90">
      <c r="A50" s="80">
        <f>ROWS($A$3:A48)</f>
        <v>46</v>
      </c>
      <c r="B50" s="52" t="s">
        <v>76</v>
      </c>
      <c r="C50" s="202">
        <v>2020</v>
      </c>
      <c r="D50" s="259" t="s">
        <v>21</v>
      </c>
      <c r="E50" s="719">
        <v>44482</v>
      </c>
      <c r="F50" s="154">
        <v>70.099999999999994</v>
      </c>
      <c r="G50" s="155">
        <v>38.1</v>
      </c>
      <c r="H50" s="155">
        <v>55.8</v>
      </c>
      <c r="I50" s="156">
        <v>85.5</v>
      </c>
      <c r="J50" s="281"/>
      <c r="K50" s="154">
        <f t="shared" si="82"/>
        <v>104.3</v>
      </c>
      <c r="L50" s="155">
        <f t="shared" si="83"/>
        <v>76</v>
      </c>
      <c r="M50" s="155">
        <f t="shared" si="84"/>
        <v>37.4</v>
      </c>
      <c r="N50" s="155">
        <f t="shared" si="85"/>
        <v>98</v>
      </c>
      <c r="O50" s="155">
        <f t="shared" si="86"/>
        <v>74.900000000000006</v>
      </c>
      <c r="P50" s="531">
        <f>(AZ50*AZ35+BA50*BA35)/P35</f>
        <v>22.896655304275608</v>
      </c>
      <c r="Q50" s="155">
        <f>'2021'!AU50</f>
        <v>49.7</v>
      </c>
      <c r="R50" s="531">
        <f>(AT50*AT35+AX50*AX35)/R35</f>
        <v>44.290021255816626</v>
      </c>
      <c r="S50" s="155">
        <f t="shared" si="87"/>
        <v>53.1</v>
      </c>
      <c r="T50" s="155">
        <f t="shared" si="88"/>
        <v>74.2</v>
      </c>
      <c r="U50" s="552">
        <f t="shared" si="88"/>
        <v>112.7</v>
      </c>
      <c r="V50" s="531">
        <f>(BG50*BG35+BJ50*BJ35)/V35</f>
        <v>20.241930862659608</v>
      </c>
      <c r="W50" s="155">
        <f t="shared" si="89"/>
        <v>58.9</v>
      </c>
      <c r="X50" s="531">
        <f>(BH50*BH35+BI50*BI35)/X35</f>
        <v>18.231748179492225</v>
      </c>
      <c r="Y50" s="531">
        <f>(BK50*BK35+BL50*BL35+BN50*BN35)/Y35</f>
        <v>30.491024046434497</v>
      </c>
      <c r="Z50" s="155">
        <f t="shared" si="90"/>
        <v>45.3</v>
      </c>
      <c r="AA50" s="531">
        <f>(BO50*BO35+BQ50*BQ35)/AA35</f>
        <v>46.200895028699293</v>
      </c>
      <c r="AB50" s="552">
        <f t="shared" si="91"/>
        <v>68.2</v>
      </c>
      <c r="AC50" s="155">
        <f t="shared" si="92"/>
        <v>69.400000000000006</v>
      </c>
      <c r="AD50" s="155">
        <f t="shared" si="93"/>
        <v>48.1</v>
      </c>
      <c r="AE50" s="531">
        <f>(BS50*BS35+BT50*BT35)/AE35</f>
        <v>47.862711409395978</v>
      </c>
      <c r="AF50" s="155">
        <f t="shared" si="94"/>
        <v>54.1</v>
      </c>
      <c r="AG50" s="155">
        <f t="shared" si="95"/>
        <v>42.1</v>
      </c>
      <c r="AH50" s="155">
        <f t="shared" si="96"/>
        <v>64</v>
      </c>
      <c r="AI50" s="155">
        <f t="shared" si="97"/>
        <v>52.9</v>
      </c>
      <c r="AJ50" s="155">
        <f t="shared" si="98"/>
        <v>57.2</v>
      </c>
      <c r="AK50" s="552">
        <f t="shared" si="99"/>
        <v>73.099999999999994</v>
      </c>
      <c r="AL50" s="155">
        <f t="shared" si="100"/>
        <v>41.8</v>
      </c>
      <c r="AM50" s="155">
        <f t="shared" si="101"/>
        <v>107.4</v>
      </c>
      <c r="AN50" s="155">
        <f t="shared" si="102"/>
        <v>133</v>
      </c>
      <c r="AO50" s="155">
        <f t="shared" si="103"/>
        <v>56.5</v>
      </c>
      <c r="AP50" s="155">
        <f t="shared" si="103"/>
        <v>35</v>
      </c>
      <c r="AQ50" s="155">
        <f t="shared" si="104"/>
        <v>71.099999999999994</v>
      </c>
      <c r="AR50" s="155">
        <f t="shared" si="105"/>
        <v>57.1</v>
      </c>
      <c r="AS50" s="532">
        <f>(CF50*CF35+CG50*CG35)/AS35</f>
        <v>83.226425194040502</v>
      </c>
      <c r="AT50" s="466">
        <v>32.4</v>
      </c>
      <c r="AU50" s="466">
        <v>49.7</v>
      </c>
      <c r="AV50" s="466">
        <v>53.1</v>
      </c>
      <c r="AW50" s="466">
        <v>98</v>
      </c>
      <c r="AX50" s="466">
        <v>45.2</v>
      </c>
      <c r="AY50" s="466">
        <v>76</v>
      </c>
      <c r="AZ50" s="466">
        <v>4.2</v>
      </c>
      <c r="BA50" s="466">
        <v>24.3</v>
      </c>
      <c r="BB50" s="466">
        <v>74.2</v>
      </c>
      <c r="BC50" s="466">
        <v>112.7</v>
      </c>
      <c r="BD50" s="466">
        <v>37.4</v>
      </c>
      <c r="BE50" s="466">
        <v>74.900000000000006</v>
      </c>
      <c r="BF50" s="558">
        <v>104.3</v>
      </c>
      <c r="BG50" s="466">
        <v>24.7</v>
      </c>
      <c r="BH50" s="466">
        <v>18.7</v>
      </c>
      <c r="BI50" s="466">
        <v>18.2</v>
      </c>
      <c r="BJ50" s="466">
        <v>19.8</v>
      </c>
      <c r="BK50" s="466">
        <v>22.6</v>
      </c>
      <c r="BL50" s="466">
        <v>20.7</v>
      </c>
      <c r="BM50" s="466">
        <v>45.3</v>
      </c>
      <c r="BN50" s="466">
        <v>31.6</v>
      </c>
      <c r="BO50" s="466">
        <v>22.6</v>
      </c>
      <c r="BP50" s="466">
        <v>68.2</v>
      </c>
      <c r="BQ50" s="466">
        <v>47.4</v>
      </c>
      <c r="BR50" s="558">
        <v>58.9</v>
      </c>
      <c r="BS50" s="466">
        <v>23.4</v>
      </c>
      <c r="BT50" s="466">
        <v>49.6</v>
      </c>
      <c r="BU50" s="466">
        <v>48.1</v>
      </c>
      <c r="BV50" s="466">
        <v>42.1</v>
      </c>
      <c r="BW50" s="466">
        <v>52.9</v>
      </c>
      <c r="BX50" s="466">
        <v>69.400000000000006</v>
      </c>
      <c r="BY50" s="466">
        <v>57.2</v>
      </c>
      <c r="BZ50" s="466">
        <v>64</v>
      </c>
      <c r="CA50" s="466">
        <v>54.1</v>
      </c>
      <c r="CB50" s="558">
        <v>73.099999999999994</v>
      </c>
      <c r="CC50" s="466">
        <v>56.5</v>
      </c>
      <c r="CD50" s="466">
        <v>35</v>
      </c>
      <c r="CE50" s="466">
        <v>41.8</v>
      </c>
      <c r="CF50" s="466">
        <v>71</v>
      </c>
      <c r="CG50" s="466">
        <v>84</v>
      </c>
      <c r="CH50" s="466">
        <v>107.4</v>
      </c>
      <c r="CI50" s="466">
        <v>57.1</v>
      </c>
      <c r="CJ50" s="466">
        <v>133</v>
      </c>
      <c r="CK50" s="466">
        <v>71.099999999999994</v>
      </c>
      <c r="CL50" s="319">
        <v>66.900000000000006</v>
      </c>
    </row>
    <row r="51" spans="1:90" ht="12" customHeight="1">
      <c r="A51" s="80">
        <f>ROWS($A$3:A49)</f>
        <v>47</v>
      </c>
      <c r="B51" s="388" t="s">
        <v>92</v>
      </c>
      <c r="C51" s="584">
        <v>2020</v>
      </c>
      <c r="D51" s="259" t="s">
        <v>9</v>
      </c>
      <c r="E51" s="719">
        <v>44475</v>
      </c>
      <c r="F51" s="154">
        <v>7632.1677682350646</v>
      </c>
      <c r="G51" s="155">
        <v>7648.7601755717487</v>
      </c>
      <c r="H51" s="155">
        <v>6371.0994185242944</v>
      </c>
      <c r="I51" s="156">
        <v>7580.1207114296121</v>
      </c>
      <c r="J51" s="281"/>
      <c r="K51" s="541">
        <f t="shared" si="82"/>
        <v>8188.5361488038152</v>
      </c>
      <c r="L51" s="542">
        <f t="shared" si="83"/>
        <v>7410.1248441824819</v>
      </c>
      <c r="M51" s="542">
        <f t="shared" si="84"/>
        <v>7868.4784412116878</v>
      </c>
      <c r="N51" s="542">
        <f t="shared" si="85"/>
        <v>6842.7177800713889</v>
      </c>
      <c r="O51" s="542">
        <f t="shared" si="86"/>
        <v>7188.412660333257</v>
      </c>
      <c r="P51" s="531">
        <f>IF(ISERROR(P95/P42)=TRUE,0,ROUND(P95/P42*1000,0))</f>
        <v>7139</v>
      </c>
      <c r="Q51" s="542">
        <f>'2010'!AU51</f>
        <v>4651</v>
      </c>
      <c r="R51" s="531">
        <f>IF(ISERROR(R95/R42)=TRUE,0,ROUND(R95/R42*1000,0))</f>
        <v>6696</v>
      </c>
      <c r="S51" s="542">
        <f t="shared" si="87"/>
        <v>6142.0875254022749</v>
      </c>
      <c r="T51" s="542">
        <f t="shared" si="88"/>
        <v>8185.2120646770036</v>
      </c>
      <c r="U51" s="554">
        <f t="shared" si="88"/>
        <v>7566.8407834414948</v>
      </c>
      <c r="V51" s="531">
        <f>IF(ISERROR(V95/V42)=TRUE,0,ROUND(V95/V42*1000,0))</f>
        <v>2639</v>
      </c>
      <c r="W51" s="542">
        <f t="shared" si="89"/>
        <v>7151.0228036241742</v>
      </c>
      <c r="X51" s="531">
        <f>IF(ISERROR(X95/X42)=TRUE,0,ROUND(X95/X42*1000,0))</f>
        <v>3321</v>
      </c>
      <c r="Y51" s="531">
        <f>IF(ISERROR(Y95/Y42)=TRUE,0,ROUND(Y95/Y42*1000,0))</f>
        <v>5763</v>
      </c>
      <c r="Z51" s="542">
        <f t="shared" si="90"/>
        <v>8010.2882056716289</v>
      </c>
      <c r="AA51" s="531">
        <f>IF(ISERROR(AA95/AA42)=TRUE,0,ROUND(AA95/AA42*1000,0))</f>
        <v>5317</v>
      </c>
      <c r="AB51" s="554">
        <f t="shared" si="91"/>
        <v>7335.5233821181246</v>
      </c>
      <c r="AC51" s="542">
        <f t="shared" si="92"/>
        <v>6685.0141976386376</v>
      </c>
      <c r="AD51" s="542" t="str">
        <f t="shared" si="93"/>
        <v>*</v>
      </c>
      <c r="AE51" s="531">
        <f>IF(ISERROR(AE95/AE42)=TRUE,0,ROUND(AE95/AE42*1000,0))</f>
        <v>4607</v>
      </c>
      <c r="AF51" s="542">
        <f t="shared" si="94"/>
        <v>5316.4026577757968</v>
      </c>
      <c r="AG51" s="542">
        <f t="shared" si="95"/>
        <v>5327.548230387908</v>
      </c>
      <c r="AH51" s="542">
        <f t="shared" si="96"/>
        <v>7585.3937206242272</v>
      </c>
      <c r="AI51" s="542">
        <f t="shared" si="97"/>
        <v>6178.0807917305056</v>
      </c>
      <c r="AJ51" s="542">
        <f t="shared" si="98"/>
        <v>7814.4713815460864</v>
      </c>
      <c r="AK51" s="554">
        <f t="shared" si="99"/>
        <v>7418.9909777112407</v>
      </c>
      <c r="AL51" s="542">
        <f t="shared" si="100"/>
        <v>8093.3251839587037</v>
      </c>
      <c r="AM51" s="542">
        <f t="shared" si="101"/>
        <v>7601.4492703355882</v>
      </c>
      <c r="AN51" s="542">
        <f t="shared" si="102"/>
        <v>7519.6044439363995</v>
      </c>
      <c r="AO51" s="542">
        <f t="shared" si="103"/>
        <v>7637.3083202211574</v>
      </c>
      <c r="AP51" s="542">
        <f t="shared" si="103"/>
        <v>7907.9613361034808</v>
      </c>
      <c r="AQ51" s="542">
        <f t="shared" si="104"/>
        <v>7841.5803737736032</v>
      </c>
      <c r="AR51" s="542">
        <f t="shared" si="105"/>
        <v>7205.3080279962205</v>
      </c>
      <c r="AS51" s="532">
        <f>IF(ISERROR(AS95/AS42)=TRUE,0,ROUND(AS95/AS42*1000,0))</f>
        <v>6401</v>
      </c>
      <c r="AT51" s="542" t="s">
        <v>233</v>
      </c>
      <c r="AU51" s="542">
        <v>7502.8779911359088</v>
      </c>
      <c r="AV51" s="542">
        <v>6142.0875254022749</v>
      </c>
      <c r="AW51" s="542">
        <v>6842.7177800713889</v>
      </c>
      <c r="AX51" s="542">
        <v>7614.6010096995142</v>
      </c>
      <c r="AY51" s="542">
        <v>7410.1248441824819</v>
      </c>
      <c r="AZ51" s="542" t="s">
        <v>233</v>
      </c>
      <c r="BA51" s="542">
        <v>7328.6235988667886</v>
      </c>
      <c r="BB51" s="542">
        <v>8185.2120646770036</v>
      </c>
      <c r="BC51" s="542">
        <v>7566.8407834414948</v>
      </c>
      <c r="BD51" s="542">
        <v>7868.4784412116878</v>
      </c>
      <c r="BE51" s="542">
        <v>7188.412660333257</v>
      </c>
      <c r="BF51" s="562">
        <v>8188.5361488038152</v>
      </c>
      <c r="BG51" s="542" t="s">
        <v>233</v>
      </c>
      <c r="BH51" s="542" t="s">
        <v>233</v>
      </c>
      <c r="BI51" s="542">
        <v>7415.5199430860312</v>
      </c>
      <c r="BJ51" s="542">
        <v>2808.6429509677878</v>
      </c>
      <c r="BK51" s="542" t="s">
        <v>233</v>
      </c>
      <c r="BL51" s="542" t="s">
        <v>233</v>
      </c>
      <c r="BM51" s="542">
        <v>8010.2882056716289</v>
      </c>
      <c r="BN51" s="542">
        <v>8703.2696088453849</v>
      </c>
      <c r="BO51" s="542" t="s">
        <v>233</v>
      </c>
      <c r="BP51" s="542">
        <v>7335.5233821181246</v>
      </c>
      <c r="BQ51" s="542">
        <v>7170.1373064712197</v>
      </c>
      <c r="BR51" s="562">
        <v>7151.0228036241742</v>
      </c>
      <c r="BS51" s="542" t="s">
        <v>233</v>
      </c>
      <c r="BT51" s="542">
        <v>5791.8339443376226</v>
      </c>
      <c r="BU51" s="542" t="s">
        <v>233</v>
      </c>
      <c r="BV51" s="542">
        <v>5327.548230387908</v>
      </c>
      <c r="BW51" s="542">
        <v>6178.0807917305056</v>
      </c>
      <c r="BX51" s="542">
        <v>6685.0141976386376</v>
      </c>
      <c r="BY51" s="542">
        <v>7814.4713815460864</v>
      </c>
      <c r="BZ51" s="542">
        <v>7585.3937206242272</v>
      </c>
      <c r="CA51" s="542">
        <v>5316.4026577757968</v>
      </c>
      <c r="CB51" s="562">
        <v>7418.9909777112407</v>
      </c>
      <c r="CC51" s="542">
        <v>7637.3083202211574</v>
      </c>
      <c r="CD51" s="542">
        <v>7907.9613361034808</v>
      </c>
      <c r="CE51" s="542">
        <v>8093.3251839587037</v>
      </c>
      <c r="CF51" s="542">
        <v>9070.4599979158538</v>
      </c>
      <c r="CG51" s="542">
        <v>7505.5559724866171</v>
      </c>
      <c r="CH51" s="542">
        <v>7601.4492703355882</v>
      </c>
      <c r="CI51" s="542">
        <v>7205.3080279962205</v>
      </c>
      <c r="CJ51" s="542">
        <v>7519.6044439363995</v>
      </c>
      <c r="CK51" s="543">
        <v>7841.5803737736032</v>
      </c>
      <c r="CL51" s="553">
        <v>7510.6815771502115</v>
      </c>
    </row>
    <row r="52" spans="1:90">
      <c r="A52" s="80">
        <f>ROWS($A$3:A50)</f>
        <v>48</v>
      </c>
      <c r="B52" s="388" t="s">
        <v>357</v>
      </c>
      <c r="C52" s="586">
        <v>2020</v>
      </c>
      <c r="D52" s="259" t="s">
        <v>358</v>
      </c>
      <c r="E52" s="719">
        <v>44475</v>
      </c>
      <c r="F52" s="154">
        <v>710.928795443328</v>
      </c>
      <c r="G52" s="155">
        <v>166.12342225324284</v>
      </c>
      <c r="H52" s="155">
        <v>394.79154656827643</v>
      </c>
      <c r="I52" s="156">
        <v>1121.2287152725337</v>
      </c>
      <c r="J52" s="281"/>
      <c r="K52" s="536">
        <f t="shared" si="82"/>
        <v>193.65887991921022</v>
      </c>
      <c r="L52" s="537">
        <f t="shared" si="83"/>
        <v>49.714527579620267</v>
      </c>
      <c r="M52" s="537">
        <f t="shared" si="84"/>
        <v>48.454090240981571</v>
      </c>
      <c r="N52" s="537">
        <f t="shared" si="85"/>
        <v>73.388148191265643</v>
      </c>
      <c r="O52" s="537">
        <f t="shared" si="86"/>
        <v>46.868450545372838</v>
      </c>
      <c r="P52" s="537">
        <f>BA52</f>
        <v>24.866019870955014</v>
      </c>
      <c r="Q52" s="537">
        <f>'2009'!AU52</f>
        <v>18.2</v>
      </c>
      <c r="R52" s="537">
        <f>+AX52</f>
        <v>30.953353104428526</v>
      </c>
      <c r="S52" s="537">
        <f t="shared" si="87"/>
        <v>13.015083466327422</v>
      </c>
      <c r="T52" s="537">
        <f t="shared" si="88"/>
        <v>61.307238364430752</v>
      </c>
      <c r="U52" s="561">
        <f t="shared" si="88"/>
        <v>146.54700545291143</v>
      </c>
      <c r="V52" s="537">
        <f>BJ52</f>
        <v>0.53083351773291187</v>
      </c>
      <c r="W52" s="537">
        <f t="shared" si="89"/>
        <v>28.48967484963871</v>
      </c>
      <c r="X52" s="537">
        <f>BI52</f>
        <v>8.6390807336952253</v>
      </c>
      <c r="Y52" s="537">
        <f>BN52</f>
        <v>25.048009934257013</v>
      </c>
      <c r="Z52" s="537">
        <f t="shared" si="90"/>
        <v>54.950577090907366</v>
      </c>
      <c r="AA52" s="537">
        <f>BQ52</f>
        <v>19.524283885521132</v>
      </c>
      <c r="AB52" s="561">
        <f t="shared" si="91"/>
        <v>28.755251657903049</v>
      </c>
      <c r="AC52" s="537">
        <f t="shared" si="92"/>
        <v>80.97557697599683</v>
      </c>
      <c r="AD52" s="537" t="str">
        <f t="shared" si="93"/>
        <v>*</v>
      </c>
      <c r="AE52" s="537">
        <f>BT52</f>
        <v>52.282885015535719</v>
      </c>
      <c r="AF52" s="537">
        <f t="shared" si="94"/>
        <v>15.369720083629828</v>
      </c>
      <c r="AG52" s="537">
        <f t="shared" si="95"/>
        <v>33.302503988154811</v>
      </c>
      <c r="AH52" s="537">
        <f t="shared" si="96"/>
        <v>63.284939811167924</v>
      </c>
      <c r="AI52" s="537">
        <f t="shared" si="97"/>
        <v>26.380404980689256</v>
      </c>
      <c r="AJ52" s="537">
        <f t="shared" si="98"/>
        <v>46.386702120857571</v>
      </c>
      <c r="AK52" s="561">
        <f t="shared" si="99"/>
        <v>76.808813592244476</v>
      </c>
      <c r="AL52" s="537">
        <f t="shared" si="100"/>
        <v>27.072172740341866</v>
      </c>
      <c r="AM52" s="537">
        <f t="shared" si="101"/>
        <v>238.03178245128859</v>
      </c>
      <c r="AN52" s="537">
        <f t="shared" si="102"/>
        <v>490.40604302020023</v>
      </c>
      <c r="AO52" s="537">
        <f t="shared" si="103"/>
        <v>57.065967768692481</v>
      </c>
      <c r="AP52" s="537">
        <f t="shared" si="103"/>
        <v>11.434912092005632</v>
      </c>
      <c r="AQ52" s="537">
        <f t="shared" si="104"/>
        <v>101.65040638522723</v>
      </c>
      <c r="AR52" s="537">
        <f t="shared" si="105"/>
        <v>57.649669531997766</v>
      </c>
      <c r="AS52" s="538">
        <f>CG52</f>
        <v>128.50262380494337</v>
      </c>
      <c r="AT52" s="537" t="s">
        <v>233</v>
      </c>
      <c r="AU52" s="537">
        <v>22.155998707824338</v>
      </c>
      <c r="AV52" s="537">
        <v>13.015083466327422</v>
      </c>
      <c r="AW52" s="537">
        <v>73.388148191265643</v>
      </c>
      <c r="AX52" s="537">
        <v>30.953353104428526</v>
      </c>
      <c r="AY52" s="537">
        <v>49.714527579620267</v>
      </c>
      <c r="AZ52" s="537" t="s">
        <v>233</v>
      </c>
      <c r="BA52" s="537">
        <v>24.866019870955014</v>
      </c>
      <c r="BB52" s="537">
        <v>61.307238364430752</v>
      </c>
      <c r="BC52" s="537">
        <v>146.54700545291143</v>
      </c>
      <c r="BD52" s="537">
        <v>48.454090240981571</v>
      </c>
      <c r="BE52" s="537">
        <v>46.868450545372838</v>
      </c>
      <c r="BF52" s="563">
        <v>193.65887991921022</v>
      </c>
      <c r="BG52" s="537" t="s">
        <v>233</v>
      </c>
      <c r="BH52" s="537" t="s">
        <v>233</v>
      </c>
      <c r="BI52" s="537">
        <v>8.6390807336952253</v>
      </c>
      <c r="BJ52" s="537">
        <v>0.53083351773291187</v>
      </c>
      <c r="BK52" s="537">
        <v>0.18571058358741718</v>
      </c>
      <c r="BL52" s="537" t="s">
        <v>233</v>
      </c>
      <c r="BM52" s="537">
        <v>54.950577090907366</v>
      </c>
      <c r="BN52" s="537">
        <v>25.048009934257013</v>
      </c>
      <c r="BO52" s="537" t="s">
        <v>233</v>
      </c>
      <c r="BP52" s="537">
        <v>28.755251657903049</v>
      </c>
      <c r="BQ52" s="537">
        <v>19.524283885521132</v>
      </c>
      <c r="BR52" s="563">
        <v>28.48967484963871</v>
      </c>
      <c r="BS52" s="537" t="s">
        <v>233</v>
      </c>
      <c r="BT52" s="537">
        <v>52.282885015535719</v>
      </c>
      <c r="BU52" s="537" t="s">
        <v>233</v>
      </c>
      <c r="BV52" s="537">
        <v>33.302503988154811</v>
      </c>
      <c r="BW52" s="537">
        <v>26.380404980689256</v>
      </c>
      <c r="BX52" s="537">
        <v>80.97557697599683</v>
      </c>
      <c r="BY52" s="537">
        <v>46.386702120857571</v>
      </c>
      <c r="BZ52" s="537">
        <v>63.284939811167924</v>
      </c>
      <c r="CA52" s="537">
        <v>15.369720083629828</v>
      </c>
      <c r="CB52" s="563">
        <v>76.808813592244476</v>
      </c>
      <c r="CC52" s="537">
        <v>57.065967768692481</v>
      </c>
      <c r="CD52" s="537">
        <v>11.434912092005632</v>
      </c>
      <c r="CE52" s="537">
        <v>27.072172740341866</v>
      </c>
      <c r="CF52" s="537">
        <v>9.4151374778366552</v>
      </c>
      <c r="CG52" s="537">
        <v>128.50262380494337</v>
      </c>
      <c r="CH52" s="537">
        <v>238.03178245128859</v>
      </c>
      <c r="CI52" s="537">
        <v>57.649669531997766</v>
      </c>
      <c r="CJ52" s="537">
        <v>490.40604302020023</v>
      </c>
      <c r="CK52" s="538">
        <v>101.65040638522723</v>
      </c>
      <c r="CL52" s="564">
        <v>2410.0234759999998</v>
      </c>
    </row>
    <row r="53" spans="1:90">
      <c r="A53" s="80">
        <f>ROWS($A$3:A51)</f>
        <v>49</v>
      </c>
      <c r="B53" s="498" t="str">
        <f>"Änderung der Milcherzeugung "&amp;C51&amp;"/"&amp;"2010"</f>
        <v>Änderung der Milcherzeugung 2020/2010</v>
      </c>
      <c r="C53" s="587">
        <v>2020</v>
      </c>
      <c r="D53" s="259" t="s">
        <v>3</v>
      </c>
      <c r="E53" s="719">
        <v>44475</v>
      </c>
      <c r="F53" s="539">
        <f>F52/'2010'!F52%-100</f>
        <v>9.8468472563856579</v>
      </c>
      <c r="G53" s="521">
        <f>G52/'2010'!G52%-100</f>
        <v>10.970889948726011</v>
      </c>
      <c r="H53" s="521">
        <f>H52/'2010'!H52%-100</f>
        <v>1.6717863940964293</v>
      </c>
      <c r="I53" s="540">
        <f>I52/'2010'!I52%-100</f>
        <v>6.4693490905454212</v>
      </c>
      <c r="J53" s="382"/>
      <c r="K53" s="536">
        <f>K52/'2010'!K52%-100</f>
        <v>11.42628303752025</v>
      </c>
      <c r="L53" s="537">
        <f>L52/'2010'!L52%-100</f>
        <v>12.987562680955151</v>
      </c>
      <c r="M53" s="537">
        <f>M52/'2010'!M52%-100</f>
        <v>10.373781870117469</v>
      </c>
      <c r="N53" s="537">
        <f>N52/'2010'!N52%-100</f>
        <v>21.705055043558289</v>
      </c>
      <c r="O53" s="537">
        <f>O52/'2010'!O52%-100</f>
        <v>1.6669209227176509</v>
      </c>
      <c r="P53" s="521">
        <f>P52/'2010'!P52%-100</f>
        <v>-13.358815780644548</v>
      </c>
      <c r="Q53" s="537">
        <f>Q52/'2010'!Q52%-100</f>
        <v>0</v>
      </c>
      <c r="R53" s="521">
        <f>R52/'2010'!R52%-100</f>
        <v>-4.4649595542329479</v>
      </c>
      <c r="S53" s="537">
        <f>S52/'2010'!S52%-100</f>
        <v>0.89211989401101732</v>
      </c>
      <c r="T53" s="537">
        <f>T52/'2010'!T52%-100</f>
        <v>35.336067029648461</v>
      </c>
      <c r="U53" s="561">
        <f>U52/'2010'!U52%-100</f>
        <v>3.4206107642282717</v>
      </c>
      <c r="V53" s="521">
        <f>V52/'2010'!V52%-100</f>
        <v>-73.458324113354408</v>
      </c>
      <c r="W53" s="537">
        <f>W52/'2010'!W52%-100</f>
        <v>18.214418463231155</v>
      </c>
      <c r="X53" s="521">
        <f>X52/'2010'!X52%-100</f>
        <v>28.941503487988427</v>
      </c>
      <c r="Y53" s="521">
        <f>Y52/'2010'!Y52%-100</f>
        <v>0.19203973702805399</v>
      </c>
      <c r="Z53" s="537">
        <f>Z52/'2010'!Z52%-100</f>
        <v>9.2456801012074834</v>
      </c>
      <c r="AA53" s="521">
        <f>AA52/'2010'!AA52%-100</f>
        <v>-49.937733626868891</v>
      </c>
      <c r="AB53" s="561">
        <f>AB52/'2010'!AB52%-100</f>
        <v>30.114260895488911</v>
      </c>
      <c r="AC53" s="537">
        <f>AC52/'2010'!AC52%-100</f>
        <v>18.906867806162751</v>
      </c>
      <c r="AD53" s="537" t="e">
        <f>AD52/'2010'!AD52%-100</f>
        <v>#VALUE!</v>
      </c>
      <c r="AE53" s="521">
        <f>AE52/'2010'!AE52%-100</f>
        <v>-11.384940651634366</v>
      </c>
      <c r="AF53" s="537">
        <f>AF52/'2010'!AF52%-100</f>
        <v>-18.246169767926446</v>
      </c>
      <c r="AG53" s="537">
        <f>AG52/'2010'!AG52%-100</f>
        <v>-18.175665876769514</v>
      </c>
      <c r="AH53" s="537">
        <f>AH52/'2010'!AH52%-100</f>
        <v>6.9002361675133699</v>
      </c>
      <c r="AI53" s="537">
        <f>AI52/'2010'!AI52%-100</f>
        <v>-6.4524646074848988</v>
      </c>
      <c r="AJ53" s="537">
        <f>AJ52/'2010'!AJ52%-100</f>
        <v>34.454209045963978</v>
      </c>
      <c r="AK53" s="561">
        <f>AK52/'2010'!AK52%-100</f>
        <v>26.33028551356</v>
      </c>
      <c r="AL53" s="537">
        <f>AL52/'2010'!AL52%-100</f>
        <v>21.94672405559399</v>
      </c>
      <c r="AM53" s="537">
        <f>AM52/'2010'!AM52%-100</f>
        <v>4.5833842053113472</v>
      </c>
      <c r="AN53" s="537">
        <f>AN52/'2010'!AN52%-100</f>
        <v>5.3956679604986419</v>
      </c>
      <c r="AO53" s="537">
        <f>AO52/'2010'!AO52%-100</f>
        <v>9.3217773346599273</v>
      </c>
      <c r="AP53" s="537">
        <f>AP52/'2010'!AP52%-100</f>
        <v>19.113667625058667</v>
      </c>
      <c r="AQ53" s="537">
        <f>AQ52/'2010'!AQ52%-100</f>
        <v>24.267000470937944</v>
      </c>
      <c r="AR53" s="537">
        <f>AR52/'2010'!AR52%-100</f>
        <v>-11.171541553162157</v>
      </c>
      <c r="AS53" s="540">
        <f>AS52/'2010'!AS52%-100</f>
        <v>-0.77017466799739509</v>
      </c>
      <c r="AT53" s="521" t="s">
        <v>233</v>
      </c>
      <c r="AU53" s="521">
        <f>AU52/'2010'!AU52%-100</f>
        <v>23.088881710135212</v>
      </c>
      <c r="AV53" s="521">
        <f>AV52/'2010'!AV52%-100</f>
        <v>0.89211989401101732</v>
      </c>
      <c r="AW53" s="521">
        <f>AW52/'2010'!AW52%-100</f>
        <v>21.705055043558289</v>
      </c>
      <c r="AX53" s="521">
        <f>AX52/'2010'!AX52%-100</f>
        <v>2.4945467034057174</v>
      </c>
      <c r="AY53" s="521">
        <f>AY52/'2010'!AY52%-100</f>
        <v>12.987562680955151</v>
      </c>
      <c r="AZ53" s="521" t="s">
        <v>233</v>
      </c>
      <c r="BA53" s="521">
        <f>BA52/'2010'!BA52%-100</f>
        <v>-13.358815780644548</v>
      </c>
      <c r="BB53" s="521">
        <f>BB52/'2010'!BB52%-100</f>
        <v>35.336067029648461</v>
      </c>
      <c r="BC53" s="521">
        <f>BC52/'2010'!BC52%-100</f>
        <v>3.4206107642282717</v>
      </c>
      <c r="BD53" s="521">
        <f>BD52/'2010'!BD52%-100</f>
        <v>10.373781870117469</v>
      </c>
      <c r="BE53" s="521">
        <f>BE52/'2010'!BE52%-100</f>
        <v>1.6669209227176509</v>
      </c>
      <c r="BF53" s="559">
        <f>BF52/'2010'!BF52%-100</f>
        <v>11.42628303752025</v>
      </c>
      <c r="BG53" s="521" t="s">
        <v>233</v>
      </c>
      <c r="BH53" s="521" t="s">
        <v>233</v>
      </c>
      <c r="BI53" s="521">
        <f>BI52/'2010'!BI52%-100</f>
        <v>28.941503487988427</v>
      </c>
      <c r="BJ53" s="521">
        <f>BJ52/'2010'!BJ52%-100</f>
        <v>-73.458324113354408</v>
      </c>
      <c r="BK53" s="521" t="s">
        <v>233</v>
      </c>
      <c r="BL53" s="521" t="s">
        <v>233</v>
      </c>
      <c r="BM53" s="521">
        <f>BM52/'2010'!BM52%-100</f>
        <v>9.2456801012074834</v>
      </c>
      <c r="BN53" s="521">
        <f>BN52/'2010'!BN52%-100</f>
        <v>0.19203973702805399</v>
      </c>
      <c r="BO53" s="521" t="s">
        <v>233</v>
      </c>
      <c r="BP53" s="521">
        <f>BP52/'2010'!BP52%-100</f>
        <v>30.114260895488911</v>
      </c>
      <c r="BQ53" s="521">
        <f>BQ52/'2010'!BQ52%-100</f>
        <v>0.12453274626221855</v>
      </c>
      <c r="BR53" s="559">
        <f>BR52/'2010'!BR52%-100</f>
        <v>18.214418463231155</v>
      </c>
      <c r="BS53" s="521" t="s">
        <v>233</v>
      </c>
      <c r="BT53" s="521">
        <f>BT52/'2010'!BT52%-100</f>
        <v>-11.384940651634366</v>
      </c>
      <c r="BU53" s="521" t="e">
        <f>BU52/'2010'!BU52%-100</f>
        <v>#VALUE!</v>
      </c>
      <c r="BV53" s="521">
        <f>BV52/'2010'!BV52%-100</f>
        <v>-18.175665876769514</v>
      </c>
      <c r="BW53" s="521">
        <f>BW52/'2010'!BW52%-100</f>
        <v>-6.4524646074848988</v>
      </c>
      <c r="BX53" s="521">
        <f>BX52/'2010'!BX52%-100</f>
        <v>18.906867806162751</v>
      </c>
      <c r="BY53" s="521">
        <f>BY52/'2010'!BY52%-100</f>
        <v>34.454209045963978</v>
      </c>
      <c r="BZ53" s="521">
        <f>BZ52/'2010'!BZ52%-100</f>
        <v>6.9002361675133699</v>
      </c>
      <c r="CA53" s="521">
        <f>CA52/'2010'!CA52%-100</f>
        <v>-18.246169767926446</v>
      </c>
      <c r="CB53" s="559">
        <f>CB52/'2010'!CB52%-100</f>
        <v>26.33028551356</v>
      </c>
      <c r="CC53" s="521">
        <f>CC52/'2010'!CC52%-100</f>
        <v>9.3217773346599273</v>
      </c>
      <c r="CD53" s="521">
        <f>CD52/'2010'!CD52%-100</f>
        <v>19.113667625058667</v>
      </c>
      <c r="CE53" s="521">
        <f>CE52/'2010'!CE52%-100</f>
        <v>21.94672405559399</v>
      </c>
      <c r="CF53" s="521" t="s">
        <v>233</v>
      </c>
      <c r="CG53" s="521">
        <f>CG52/'2010'!CG52%-100</f>
        <v>-0.77017466799739509</v>
      </c>
      <c r="CH53" s="521">
        <f>CH52/'2010'!CH52%-100</f>
        <v>4.5833842053113472</v>
      </c>
      <c r="CI53" s="521">
        <f>CI52/'2010'!CI52%-100</f>
        <v>-11.171541553162157</v>
      </c>
      <c r="CJ53" s="521">
        <f>CJ52/'2010'!CJ52%-100</f>
        <v>5.3956679604986419</v>
      </c>
      <c r="CK53" s="540">
        <f>CK52/'2010'!CK52%-100</f>
        <v>24.267000470937944</v>
      </c>
      <c r="CL53" s="560">
        <f>CL52/'2010'!CL52%-100</f>
        <v>8.0001557696616459</v>
      </c>
    </row>
    <row r="54" spans="1:90">
      <c r="A54" s="80">
        <f>ROWS($A$3:A52)</f>
        <v>50</v>
      </c>
      <c r="B54" s="499" t="str">
        <f>"Änderung der Milchkühe "&amp;C51&amp;"/"&amp;C97</f>
        <v>Änderung der Milchkühe 2020/2001</v>
      </c>
      <c r="C54" s="588">
        <v>2020</v>
      </c>
      <c r="D54" s="262" t="s">
        <v>3</v>
      </c>
      <c r="E54" s="719">
        <v>44475</v>
      </c>
      <c r="F54" s="544">
        <f>IF(ISERROR(F42/F97)=FALSE,ROUND((F42-F97)/F97%,3)," -")</f>
        <v>-14.569000000000001</v>
      </c>
      <c r="G54" s="545">
        <f>IF(ISERROR(G42/G97)=FALSE,ROUND((G42-G97)/G97%,3)," -")</f>
        <v>-8.35</v>
      </c>
      <c r="H54" s="545">
        <f>IF(ISERROR(H42/H97)=FALSE,ROUND((H42-H97)/H97%,3)," -")</f>
        <v>-2.8079999999999998</v>
      </c>
      <c r="I54" s="546">
        <f>IF(ISERROR(I42/I97)=FALSE,ROUND((I42-I97)/I97%,3)," -")</f>
        <v>-15.590999999999999</v>
      </c>
      <c r="J54" s="597"/>
      <c r="K54" s="565">
        <f t="shared" si="82"/>
        <v>-7.734</v>
      </c>
      <c r="L54" s="566">
        <f t="shared" si="83"/>
        <v>-7.1849999999999996</v>
      </c>
      <c r="M54" s="566">
        <f t="shared" si="84"/>
        <v>-30.547999999999998</v>
      </c>
      <c r="N54" s="566">
        <f t="shared" si="85"/>
        <v>-2.419</v>
      </c>
      <c r="O54" s="566">
        <f t="shared" si="86"/>
        <v>-21.210999999999999</v>
      </c>
      <c r="P54" s="545">
        <f>IF(ISERROR(P42/P97)=FALSE,ROUND((P42-P97)/P97%,3)," -")</f>
        <v>-43.140999999999998</v>
      </c>
      <c r="Q54" s="566">
        <f>'2010'!AU54</f>
        <v>2.2530000000000001</v>
      </c>
      <c r="R54" s="545">
        <f>IF(ISERROR(R42/R97)=FALSE,ROUND((R42-R97)/R97%,3)," -")</f>
        <v>-32.363999999999997</v>
      </c>
      <c r="S54" s="566">
        <f t="shared" si="87"/>
        <v>-21.268000000000001</v>
      </c>
      <c r="T54" s="566">
        <f t="shared" si="88"/>
        <v>-7.2060000000000004</v>
      </c>
      <c r="U54" s="567">
        <f t="shared" si="88"/>
        <v>-15.842000000000001</v>
      </c>
      <c r="V54" s="545">
        <f>IF(ISERROR(V42/V97)=FALSE,ROUND((V42-V97)/V97%,3)," -")</f>
        <v>-1.774</v>
      </c>
      <c r="W54" s="566">
        <f t="shared" si="89"/>
        <v>-7.0620000000000003</v>
      </c>
      <c r="X54" s="545">
        <f>IF(ISERROR(X42/X97)=FALSE,ROUND((X42-X97)/X97%,3)," -")</f>
        <v>-8.3249999999999993</v>
      </c>
      <c r="Y54" s="545">
        <f>IF(ISERROR(Y42/Y97)=FALSE,ROUND((Y42-Y97)/Y97%,3)," -")</f>
        <v>-23.884</v>
      </c>
      <c r="Z54" s="566">
        <f t="shared" si="90"/>
        <v>-21.475999999999999</v>
      </c>
      <c r="AA54" s="545">
        <f>IF(ISERROR(AA42/AA97)=FALSE,ROUND((AA42-AA97)/AA97%,3)," -")</f>
        <v>5.9359999999999999</v>
      </c>
      <c r="AB54" s="567">
        <f t="shared" si="91"/>
        <v>17.45</v>
      </c>
      <c r="AC54" s="566">
        <f t="shared" si="92"/>
        <v>-0.10199999999999999</v>
      </c>
      <c r="AD54" s="566">
        <f t="shared" si="93"/>
        <v>-6.5759999999999996</v>
      </c>
      <c r="AE54" s="545">
        <f>IF(ISERROR(AE42/AE97)=FALSE,ROUND((AE42-AE97)/AE97%,3)," -")</f>
        <v>-2.8149999999999999</v>
      </c>
      <c r="AF54" s="566">
        <f t="shared" si="94"/>
        <v>5.218</v>
      </c>
      <c r="AG54" s="566">
        <f t="shared" si="95"/>
        <v>-15.382999999999999</v>
      </c>
      <c r="AH54" s="566">
        <f t="shared" si="96"/>
        <v>-11.314</v>
      </c>
      <c r="AI54" s="566">
        <f t="shared" si="97"/>
        <v>-20.800999999999998</v>
      </c>
      <c r="AJ54" s="566">
        <f t="shared" si="98"/>
        <v>17.393000000000001</v>
      </c>
      <c r="AK54" s="567">
        <f t="shared" si="99"/>
        <v>12.451000000000001</v>
      </c>
      <c r="AL54" s="566">
        <f t="shared" si="100"/>
        <v>51.140999999999998</v>
      </c>
      <c r="AM54" s="566">
        <f t="shared" si="101"/>
        <v>-18.507999999999999</v>
      </c>
      <c r="AN54" s="566">
        <f t="shared" si="102"/>
        <v>-15.063000000000001</v>
      </c>
      <c r="AO54" s="566">
        <f t="shared" si="103"/>
        <v>-17.414000000000001</v>
      </c>
      <c r="AP54" s="566">
        <f t="shared" si="103"/>
        <v>-6.718</v>
      </c>
      <c r="AQ54" s="566">
        <f t="shared" si="104"/>
        <v>-10.336</v>
      </c>
      <c r="AR54" s="566">
        <f t="shared" si="105"/>
        <v>-32.156999999999996</v>
      </c>
      <c r="AS54" s="546">
        <f t="shared" ref="AS54:CL54" si="109">IF(ISERROR(AS42/AS97)=FALSE,ROUND((AS42-AS97)/AS97%,3)," -")</f>
        <v>-17.114000000000001</v>
      </c>
      <c r="AT54" s="545" t="str">
        <f t="shared" si="109"/>
        <v xml:space="preserve"> -</v>
      </c>
      <c r="AU54" s="545">
        <f t="shared" si="109"/>
        <v>-5.6000000000000001E-2</v>
      </c>
      <c r="AV54" s="545">
        <f t="shared" si="109"/>
        <v>-21.268000000000001</v>
      </c>
      <c r="AW54" s="545">
        <f t="shared" si="109"/>
        <v>-2.419</v>
      </c>
      <c r="AX54" s="545">
        <f t="shared" si="109"/>
        <v>-26.742000000000001</v>
      </c>
      <c r="AY54" s="545">
        <f t="shared" si="109"/>
        <v>-7.1849999999999996</v>
      </c>
      <c r="AZ54" s="545" t="str">
        <f t="shared" si="109"/>
        <v xml:space="preserve"> -</v>
      </c>
      <c r="BA54" s="545">
        <f t="shared" si="109"/>
        <v>-40.808</v>
      </c>
      <c r="BB54" s="545">
        <f t="shared" si="109"/>
        <v>-7.2060000000000004</v>
      </c>
      <c r="BC54" s="545">
        <f t="shared" si="109"/>
        <v>-15.842000000000001</v>
      </c>
      <c r="BD54" s="545">
        <f t="shared" si="109"/>
        <v>-30.547999999999998</v>
      </c>
      <c r="BE54" s="545">
        <f t="shared" si="109"/>
        <v>-21.210999999999999</v>
      </c>
      <c r="BF54" s="568">
        <f t="shared" si="109"/>
        <v>-7.734</v>
      </c>
      <c r="BG54" s="545" t="str">
        <f t="shared" si="109"/>
        <v xml:space="preserve"> -</v>
      </c>
      <c r="BH54" s="545" t="str">
        <f t="shared" si="109"/>
        <v xml:space="preserve"> -</v>
      </c>
      <c r="BI54" s="545">
        <f t="shared" si="109"/>
        <v>-3.117</v>
      </c>
      <c r="BJ54" s="545">
        <f t="shared" si="109"/>
        <v>-1.774</v>
      </c>
      <c r="BK54" s="545" t="str">
        <f t="shared" si="109"/>
        <v xml:space="preserve"> -</v>
      </c>
      <c r="BL54" s="545">
        <f t="shared" si="109"/>
        <v>-69.230999999999995</v>
      </c>
      <c r="BM54" s="545">
        <f t="shared" si="109"/>
        <v>-21.475999999999999</v>
      </c>
      <c r="BN54" s="545">
        <f t="shared" si="109"/>
        <v>-19.283000000000001</v>
      </c>
      <c r="BO54" s="545" t="str">
        <f t="shared" si="109"/>
        <v xml:space="preserve"> -</v>
      </c>
      <c r="BP54" s="545">
        <f t="shared" si="109"/>
        <v>17.45</v>
      </c>
      <c r="BQ54" s="545">
        <f t="shared" si="109"/>
        <v>9.69</v>
      </c>
      <c r="BR54" s="568">
        <f t="shared" si="109"/>
        <v>-7.0620000000000003</v>
      </c>
      <c r="BS54" s="545" t="str">
        <f t="shared" si="109"/>
        <v xml:space="preserve"> -</v>
      </c>
      <c r="BT54" s="545">
        <f t="shared" si="109"/>
        <v>-4.3259999999999996</v>
      </c>
      <c r="BU54" s="545">
        <f t="shared" si="109"/>
        <v>-6.5759999999999996</v>
      </c>
      <c r="BV54" s="545">
        <f t="shared" si="109"/>
        <v>-15.382999999999999</v>
      </c>
      <c r="BW54" s="545">
        <f t="shared" si="109"/>
        <v>-20.800999999999998</v>
      </c>
      <c r="BX54" s="545">
        <f t="shared" si="109"/>
        <v>-0.10199999999999999</v>
      </c>
      <c r="BY54" s="545">
        <f t="shared" si="109"/>
        <v>17.393000000000001</v>
      </c>
      <c r="BZ54" s="545">
        <f t="shared" si="109"/>
        <v>-11.314</v>
      </c>
      <c r="CA54" s="545">
        <f t="shared" si="109"/>
        <v>5.218</v>
      </c>
      <c r="CB54" s="568">
        <f t="shared" si="109"/>
        <v>12.451000000000001</v>
      </c>
      <c r="CC54" s="545">
        <f t="shared" si="109"/>
        <v>-17.414000000000001</v>
      </c>
      <c r="CD54" s="545">
        <f t="shared" si="109"/>
        <v>-6.718</v>
      </c>
      <c r="CE54" s="545">
        <f t="shared" si="109"/>
        <v>51.140999999999998</v>
      </c>
      <c r="CF54" s="545">
        <f t="shared" si="109"/>
        <v>9.6809999999999992</v>
      </c>
      <c r="CG54" s="545">
        <f t="shared" si="109"/>
        <v>-18.318000000000001</v>
      </c>
      <c r="CH54" s="545">
        <f t="shared" si="109"/>
        <v>-18.507999999999999</v>
      </c>
      <c r="CI54" s="545">
        <f t="shared" si="109"/>
        <v>-32.156999999999996</v>
      </c>
      <c r="CJ54" s="545">
        <f t="shared" si="109"/>
        <v>-15.063000000000001</v>
      </c>
      <c r="CK54" s="546">
        <f t="shared" si="109"/>
        <v>-10.336</v>
      </c>
      <c r="CL54" s="569">
        <f t="shared" si="109"/>
        <v>-12.288</v>
      </c>
    </row>
    <row r="55" spans="1:90" ht="14.25">
      <c r="A55" s="80">
        <f>ROWS($A$3:A53)</f>
        <v>51</v>
      </c>
      <c r="B55" s="59" t="s">
        <v>208</v>
      </c>
      <c r="C55" s="203">
        <v>0</v>
      </c>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c r="A56" s="80">
        <f>ROWS($A$3:A54)</f>
        <v>52</v>
      </c>
      <c r="B56" s="92" t="s">
        <v>54</v>
      </c>
      <c r="C56" s="584">
        <v>2021</v>
      </c>
      <c r="D56" s="259" t="s">
        <v>13</v>
      </c>
      <c r="E56" s="706">
        <v>44427</v>
      </c>
      <c r="F56" s="154">
        <v>15641.38</v>
      </c>
      <c r="G56" s="155">
        <v>18956.47</v>
      </c>
      <c r="H56" s="155">
        <v>32209.38</v>
      </c>
      <c r="I56" s="156">
        <v>19982.77</v>
      </c>
      <c r="J56" s="281"/>
      <c r="K56" s="154">
        <f t="shared" ref="K56:K63" si="110">BF56</f>
        <v>42</v>
      </c>
      <c r="L56" s="155">
        <f t="shared" ref="L56:L63" si="111">AY56</f>
        <v>26</v>
      </c>
      <c r="M56" s="155">
        <f t="shared" ref="M56:M63" si="112">BD56</f>
        <v>36</v>
      </c>
      <c r="N56" s="155">
        <f t="shared" ref="N56:N63" si="113">AW56</f>
        <v>20</v>
      </c>
      <c r="O56" s="155">
        <f t="shared" ref="O56:O63" si="114">BE56</f>
        <v>15</v>
      </c>
      <c r="P56" s="155">
        <f>AZ56+BA56</f>
        <v>25</v>
      </c>
      <c r="Q56" s="155">
        <f>AU56</f>
        <v>20</v>
      </c>
      <c r="R56" s="155">
        <f t="shared" ref="R56:R63" si="115">AT56+AX56</f>
        <v>27</v>
      </c>
      <c r="S56" s="155">
        <f t="shared" ref="S56:S63" si="116">AV56</f>
        <v>29</v>
      </c>
      <c r="T56" s="155">
        <f t="shared" ref="T56:U63" si="117">BB56</f>
        <v>21</v>
      </c>
      <c r="U56" s="552">
        <f t="shared" si="117"/>
        <v>18</v>
      </c>
      <c r="V56" s="155">
        <f t="shared" ref="V56:V63" si="118">BG56+BJ56</f>
        <v>36</v>
      </c>
      <c r="W56" s="155">
        <f t="shared" ref="W56:W63" si="119">BR56</f>
        <v>18</v>
      </c>
      <c r="X56" s="155">
        <f t="shared" ref="X56:X63" si="120">BH56+BI56</f>
        <v>51</v>
      </c>
      <c r="Y56" s="155">
        <f t="shared" ref="Y56:Y63" si="121">BK56+BL56+BN56</f>
        <v>65</v>
      </c>
      <c r="Z56" s="155">
        <f t="shared" ref="Z56:Z63" si="122">BM56</f>
        <v>27</v>
      </c>
      <c r="AA56" s="155">
        <f t="shared" ref="AA56:AA63" si="123">BO56+BQ56</f>
        <v>34</v>
      </c>
      <c r="AB56" s="552">
        <f t="shared" ref="AB56:AB63" si="124">BP56</f>
        <v>26</v>
      </c>
      <c r="AC56" s="155">
        <f t="shared" ref="AC56:AC63" si="125">BX56</f>
        <v>26</v>
      </c>
      <c r="AD56" s="155">
        <f t="shared" ref="AD56:AD63" si="126">BU56</f>
        <v>19</v>
      </c>
      <c r="AE56" s="155">
        <f t="shared" ref="AE56:AE63" si="127">BS56+BT56</f>
        <v>56</v>
      </c>
      <c r="AF56" s="155">
        <f t="shared" ref="AF56:AF63" si="128">CA56</f>
        <v>26</v>
      </c>
      <c r="AG56" s="155">
        <f t="shared" ref="AG56:AG63" si="129">BV56</f>
        <v>23</v>
      </c>
      <c r="AH56" s="155">
        <f t="shared" ref="AH56:AH63" si="130">BZ56</f>
        <v>66</v>
      </c>
      <c r="AI56" s="155">
        <f t="shared" ref="AI56:AI63" si="131">BW56</f>
        <v>10</v>
      </c>
      <c r="AJ56" s="155">
        <f t="shared" ref="AJ56:AJ63" si="132">BY56</f>
        <v>26</v>
      </c>
      <c r="AK56" s="552">
        <f t="shared" ref="AK56:AK63" si="133">CB56</f>
        <v>37</v>
      </c>
      <c r="AL56" s="155">
        <f t="shared" ref="AL56:AL63" si="134">CE56</f>
        <v>53</v>
      </c>
      <c r="AM56" s="155">
        <f t="shared" ref="AM56:AM63" si="135">CH56</f>
        <v>31</v>
      </c>
      <c r="AN56" s="155">
        <f t="shared" ref="AN56:AN63" si="136">CJ56</f>
        <v>75</v>
      </c>
      <c r="AO56" s="155">
        <f t="shared" ref="AO56:AP63" si="137">CC56</f>
        <v>42</v>
      </c>
      <c r="AP56" s="155">
        <f t="shared" si="137"/>
        <v>22</v>
      </c>
      <c r="AQ56" s="155">
        <f t="shared" ref="AQ56:AQ63" si="138">CK56</f>
        <v>24</v>
      </c>
      <c r="AR56" s="155">
        <f t="shared" ref="AR56:AR63" si="139">CI56</f>
        <v>33</v>
      </c>
      <c r="AS56" s="156">
        <f t="shared" ref="AS56:AS63" si="140">CF56+CG56</f>
        <v>35</v>
      </c>
      <c r="AT56" s="155">
        <v>7</v>
      </c>
      <c r="AU56" s="155">
        <v>20</v>
      </c>
      <c r="AV56" s="155">
        <v>29</v>
      </c>
      <c r="AW56" s="155">
        <v>20</v>
      </c>
      <c r="AX56" s="155">
        <v>20</v>
      </c>
      <c r="AY56" s="155">
        <v>26</v>
      </c>
      <c r="AZ56" s="155">
        <v>5</v>
      </c>
      <c r="BA56" s="155">
        <v>20</v>
      </c>
      <c r="BB56" s="155">
        <v>21</v>
      </c>
      <c r="BC56" s="155">
        <v>18</v>
      </c>
      <c r="BD56" s="155">
        <v>36</v>
      </c>
      <c r="BE56" s="155">
        <v>15</v>
      </c>
      <c r="BF56" s="552">
        <v>42</v>
      </c>
      <c r="BG56" s="155">
        <v>7</v>
      </c>
      <c r="BH56" s="155">
        <v>9</v>
      </c>
      <c r="BI56" s="155">
        <v>42</v>
      </c>
      <c r="BJ56" s="155">
        <v>29</v>
      </c>
      <c r="BK56" s="155">
        <v>5</v>
      </c>
      <c r="BL56" s="155">
        <v>9</v>
      </c>
      <c r="BM56" s="155">
        <v>27</v>
      </c>
      <c r="BN56" s="155">
        <v>51</v>
      </c>
      <c r="BO56" s="155">
        <v>3</v>
      </c>
      <c r="BP56" s="155">
        <v>26</v>
      </c>
      <c r="BQ56" s="155">
        <v>31</v>
      </c>
      <c r="BR56" s="552">
        <v>18</v>
      </c>
      <c r="BS56" s="155">
        <v>7</v>
      </c>
      <c r="BT56" s="155">
        <v>49</v>
      </c>
      <c r="BU56" s="155">
        <v>19</v>
      </c>
      <c r="BV56" s="155">
        <v>23</v>
      </c>
      <c r="BW56" s="155">
        <v>10</v>
      </c>
      <c r="BX56" s="155">
        <v>26</v>
      </c>
      <c r="BY56" s="155">
        <v>26</v>
      </c>
      <c r="BZ56" s="155">
        <v>66</v>
      </c>
      <c r="CA56" s="155">
        <v>26</v>
      </c>
      <c r="CB56" s="552">
        <v>37</v>
      </c>
      <c r="CC56" s="155">
        <v>42</v>
      </c>
      <c r="CD56" s="155">
        <v>22</v>
      </c>
      <c r="CE56" s="155">
        <v>53</v>
      </c>
      <c r="CF56" s="155">
        <v>2</v>
      </c>
      <c r="CG56" s="155">
        <v>33</v>
      </c>
      <c r="CH56" s="155">
        <v>31</v>
      </c>
      <c r="CI56" s="155">
        <v>33</v>
      </c>
      <c r="CJ56" s="155">
        <v>75</v>
      </c>
      <c r="CK56" s="156">
        <v>24</v>
      </c>
      <c r="CL56" s="320">
        <v>1140</v>
      </c>
    </row>
    <row r="57" spans="1:90">
      <c r="A57" s="80">
        <f>ROWS($A$3:A55)</f>
        <v>53</v>
      </c>
      <c r="B57" s="92"/>
      <c r="C57" s="203"/>
      <c r="D57" s="259" t="s">
        <v>1</v>
      </c>
      <c r="E57" s="706">
        <v>44427</v>
      </c>
      <c r="F57" s="154">
        <v>259</v>
      </c>
      <c r="G57" s="155">
        <v>230</v>
      </c>
      <c r="H57" s="155">
        <v>269</v>
      </c>
      <c r="I57" s="156">
        <v>300</v>
      </c>
      <c r="J57" s="281"/>
      <c r="K57" s="154">
        <f t="shared" si="110"/>
        <v>2049.35</v>
      </c>
      <c r="L57" s="155">
        <f t="shared" si="111"/>
        <v>833.36</v>
      </c>
      <c r="M57" s="155">
        <f t="shared" si="112"/>
        <v>1093.8499999999999</v>
      </c>
      <c r="N57" s="155">
        <f t="shared" si="113"/>
        <v>2887.55</v>
      </c>
      <c r="O57" s="155">
        <f t="shared" si="114"/>
        <v>1364.82</v>
      </c>
      <c r="P57" s="155">
        <f>AZ57+BA57</f>
        <v>489.16999999999996</v>
      </c>
      <c r="Q57" s="155">
        <f t="shared" ref="Q57:Q63" si="141">AU57</f>
        <v>733.65</v>
      </c>
      <c r="R57" s="155">
        <f t="shared" si="115"/>
        <v>1999.5900000000001</v>
      </c>
      <c r="S57" s="155">
        <f t="shared" si="116"/>
        <v>2320.5700000000002</v>
      </c>
      <c r="T57" s="155">
        <f t="shared" si="117"/>
        <v>486.16</v>
      </c>
      <c r="U57" s="552">
        <f t="shared" si="117"/>
        <v>1383.29</v>
      </c>
      <c r="V57" s="155">
        <f t="shared" si="118"/>
        <v>4719.07</v>
      </c>
      <c r="W57" s="155">
        <f t="shared" si="119"/>
        <v>1205.5999999999999</v>
      </c>
      <c r="X57" s="155">
        <f t="shared" si="120"/>
        <v>3946.0600000000004</v>
      </c>
      <c r="Y57" s="155">
        <f>BK57+BL57+BN57</f>
        <v>3851</v>
      </c>
      <c r="Z57" s="155">
        <f t="shared" si="122"/>
        <v>1069.8900000000001</v>
      </c>
      <c r="AA57" s="155">
        <f t="shared" si="123"/>
        <v>1932.94</v>
      </c>
      <c r="AB57" s="552">
        <f t="shared" si="124"/>
        <v>2231.92</v>
      </c>
      <c r="AC57" s="155">
        <f t="shared" si="125"/>
        <v>2085.39</v>
      </c>
      <c r="AD57" s="155">
        <f t="shared" si="126"/>
        <v>3872.7</v>
      </c>
      <c r="AE57" s="155">
        <f t="shared" si="127"/>
        <v>6678.9699999999993</v>
      </c>
      <c r="AF57" s="155">
        <f t="shared" si="128"/>
        <v>6162.82</v>
      </c>
      <c r="AG57" s="155">
        <f t="shared" si="129"/>
        <v>3109.84</v>
      </c>
      <c r="AH57" s="155">
        <f t="shared" si="130"/>
        <v>3685.29</v>
      </c>
      <c r="AI57" s="155">
        <f t="shared" si="131"/>
        <v>437.31</v>
      </c>
      <c r="AJ57" s="155">
        <f t="shared" si="132"/>
        <v>2527.09</v>
      </c>
      <c r="AK57" s="552">
        <f t="shared" si="133"/>
        <v>3649.96</v>
      </c>
      <c r="AL57" s="155">
        <f t="shared" si="134"/>
        <v>1561.57</v>
      </c>
      <c r="AM57" s="155">
        <f t="shared" si="135"/>
        <v>3592.83</v>
      </c>
      <c r="AN57" s="155">
        <f t="shared" si="136"/>
        <v>6340.95</v>
      </c>
      <c r="AO57" s="155">
        <f t="shared" si="137"/>
        <v>1973.33</v>
      </c>
      <c r="AP57" s="155">
        <f t="shared" si="137"/>
        <v>1193.76</v>
      </c>
      <c r="AQ57" s="155">
        <f t="shared" si="138"/>
        <v>2215.06</v>
      </c>
      <c r="AR57" s="155">
        <f t="shared" si="139"/>
        <v>1204.5</v>
      </c>
      <c r="AS57" s="156">
        <f t="shared" si="140"/>
        <v>1900.77</v>
      </c>
      <c r="AT57" s="155">
        <v>1353.19</v>
      </c>
      <c r="AU57" s="155">
        <v>733.65</v>
      </c>
      <c r="AV57" s="155">
        <v>2320.5700000000002</v>
      </c>
      <c r="AW57" s="155">
        <v>2887.55</v>
      </c>
      <c r="AX57" s="155">
        <v>646.4</v>
      </c>
      <c r="AY57" s="155">
        <v>833.36</v>
      </c>
      <c r="AZ57" s="155">
        <v>97.85</v>
      </c>
      <c r="BA57" s="155">
        <v>391.32</v>
      </c>
      <c r="BB57" s="155">
        <v>486.16</v>
      </c>
      <c r="BC57" s="155">
        <v>1383.29</v>
      </c>
      <c r="BD57" s="155">
        <v>1093.8499999999999</v>
      </c>
      <c r="BE57" s="155">
        <v>1364.82</v>
      </c>
      <c r="BF57" s="552">
        <v>2049.35</v>
      </c>
      <c r="BG57" s="155">
        <v>692.79</v>
      </c>
      <c r="BH57" s="155">
        <v>728.74</v>
      </c>
      <c r="BI57" s="155">
        <v>3217.32</v>
      </c>
      <c r="BJ57" s="155">
        <v>4026.28</v>
      </c>
      <c r="BK57" s="155">
        <v>85.43</v>
      </c>
      <c r="BL57" s="155">
        <v>699.57</v>
      </c>
      <c r="BM57" s="155">
        <v>1069.8900000000001</v>
      </c>
      <c r="BN57" s="155">
        <v>3066</v>
      </c>
      <c r="BO57" s="155">
        <v>196.8</v>
      </c>
      <c r="BP57" s="155">
        <v>2231.92</v>
      </c>
      <c r="BQ57" s="155">
        <v>1736.14</v>
      </c>
      <c r="BR57" s="552">
        <v>1205.5999999999999</v>
      </c>
      <c r="BS57" s="155">
        <v>683.11</v>
      </c>
      <c r="BT57" s="155">
        <v>5995.86</v>
      </c>
      <c r="BU57" s="155">
        <v>3872.7</v>
      </c>
      <c r="BV57" s="155">
        <v>3109.84</v>
      </c>
      <c r="BW57" s="155">
        <v>437.31</v>
      </c>
      <c r="BX57" s="155">
        <v>2085.39</v>
      </c>
      <c r="BY57" s="155">
        <v>2527.09</v>
      </c>
      <c r="BZ57" s="155">
        <v>3685.29</v>
      </c>
      <c r="CA57" s="155">
        <v>6162.82</v>
      </c>
      <c r="CB57" s="552">
        <v>3649.96</v>
      </c>
      <c r="CC57" s="155">
        <v>1973.33</v>
      </c>
      <c r="CD57" s="155">
        <v>1193.76</v>
      </c>
      <c r="CE57" s="155">
        <v>1561.57</v>
      </c>
      <c r="CF57" s="155">
        <v>137.05000000000001</v>
      </c>
      <c r="CG57" s="155">
        <v>1763.72</v>
      </c>
      <c r="CH57" s="155">
        <v>3592.83</v>
      </c>
      <c r="CI57" s="155">
        <v>1204.5</v>
      </c>
      <c r="CJ57" s="155">
        <v>6340.95</v>
      </c>
      <c r="CK57" s="156">
        <v>2215.06</v>
      </c>
      <c r="CL57" s="320">
        <v>86789.979999999981</v>
      </c>
    </row>
    <row r="58" spans="1:90">
      <c r="A58" s="80">
        <f>ROWS($A$3:A56)</f>
        <v>54</v>
      </c>
      <c r="B58" s="92" t="s">
        <v>231</v>
      </c>
      <c r="C58" s="584">
        <v>2021</v>
      </c>
      <c r="D58" s="259" t="s">
        <v>13</v>
      </c>
      <c r="E58" s="706">
        <v>44427</v>
      </c>
      <c r="F58" s="154">
        <v>93048.61</v>
      </c>
      <c r="G58" s="155">
        <v>97804.2</v>
      </c>
      <c r="H58" s="155">
        <v>132519.88</v>
      </c>
      <c r="I58" s="156">
        <v>94581.15</v>
      </c>
      <c r="J58" s="281"/>
      <c r="K58" s="154">
        <f t="shared" si="110"/>
        <v>14</v>
      </c>
      <c r="L58" s="155">
        <f t="shared" si="111"/>
        <v>5</v>
      </c>
      <c r="M58" s="155">
        <f t="shared" si="112"/>
        <v>10</v>
      </c>
      <c r="N58" s="155">
        <f t="shared" si="113"/>
        <v>8</v>
      </c>
      <c r="O58" s="155">
        <f t="shared" si="114"/>
        <v>6</v>
      </c>
      <c r="P58" s="155">
        <f>AZ58+BA58</f>
        <v>12</v>
      </c>
      <c r="Q58" s="155">
        <f t="shared" si="141"/>
        <v>5</v>
      </c>
      <c r="R58" s="155">
        <f t="shared" si="115"/>
        <v>9</v>
      </c>
      <c r="S58" s="155">
        <f t="shared" si="116"/>
        <v>7</v>
      </c>
      <c r="T58" s="155">
        <f t="shared" si="117"/>
        <v>6</v>
      </c>
      <c r="U58" s="552">
        <f t="shared" si="117"/>
        <v>13</v>
      </c>
      <c r="V58" s="155">
        <f t="shared" si="118"/>
        <v>18</v>
      </c>
      <c r="W58" s="155">
        <f t="shared" si="119"/>
        <v>7</v>
      </c>
      <c r="X58" s="155">
        <f t="shared" si="120"/>
        <v>25</v>
      </c>
      <c r="Y58" s="155">
        <f t="shared" si="121"/>
        <v>18</v>
      </c>
      <c r="Z58" s="155">
        <f t="shared" si="122"/>
        <v>8</v>
      </c>
      <c r="AA58" s="155">
        <f t="shared" si="123"/>
        <v>12</v>
      </c>
      <c r="AB58" s="552">
        <f t="shared" si="124"/>
        <v>8</v>
      </c>
      <c r="AC58" s="155">
        <f t="shared" si="125"/>
        <v>8</v>
      </c>
      <c r="AD58" s="155">
        <f t="shared" si="126"/>
        <v>8</v>
      </c>
      <c r="AE58" s="155">
        <f t="shared" si="127"/>
        <v>21</v>
      </c>
      <c r="AF58" s="155">
        <f t="shared" si="128"/>
        <v>9</v>
      </c>
      <c r="AG58" s="155">
        <f t="shared" si="129"/>
        <v>14</v>
      </c>
      <c r="AH58" s="155">
        <f t="shared" si="130"/>
        <v>9</v>
      </c>
      <c r="AI58" s="155">
        <f t="shared" si="131"/>
        <v>8</v>
      </c>
      <c r="AJ58" s="155">
        <f t="shared" si="132"/>
        <v>8</v>
      </c>
      <c r="AK58" s="552">
        <f t="shared" si="133"/>
        <v>13</v>
      </c>
      <c r="AL58" s="155">
        <f t="shared" si="134"/>
        <v>17</v>
      </c>
      <c r="AM58" s="155">
        <f t="shared" si="135"/>
        <v>9</v>
      </c>
      <c r="AN58" s="155">
        <f t="shared" si="136"/>
        <v>16</v>
      </c>
      <c r="AO58" s="155">
        <f t="shared" si="137"/>
        <v>14</v>
      </c>
      <c r="AP58" s="155">
        <f t="shared" si="137"/>
        <v>6</v>
      </c>
      <c r="AQ58" s="155">
        <f t="shared" si="138"/>
        <v>12</v>
      </c>
      <c r="AR58" s="155">
        <f t="shared" si="139"/>
        <v>9</v>
      </c>
      <c r="AS58" s="156">
        <f t="shared" si="140"/>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384</v>
      </c>
    </row>
    <row r="59" spans="1:90">
      <c r="A59" s="80">
        <f>ROWS($A$3:A57)</f>
        <v>55</v>
      </c>
      <c r="B59" s="92"/>
      <c r="C59" s="203"/>
      <c r="D59" s="259" t="s">
        <v>1</v>
      </c>
      <c r="E59" s="706">
        <v>44427</v>
      </c>
      <c r="F59" s="154">
        <v>56</v>
      </c>
      <c r="G59" s="155">
        <v>53</v>
      </c>
      <c r="H59" s="155">
        <v>67</v>
      </c>
      <c r="I59" s="156">
        <v>62</v>
      </c>
      <c r="J59" s="281"/>
      <c r="K59" s="154">
        <f t="shared" si="110"/>
        <v>10672.53</v>
      </c>
      <c r="L59" s="155">
        <f t="shared" si="111"/>
        <v>3129.65</v>
      </c>
      <c r="M59" s="155">
        <f t="shared" si="112"/>
        <v>8345.65</v>
      </c>
      <c r="N59" s="155">
        <f t="shared" si="113"/>
        <v>9512.31</v>
      </c>
      <c r="O59" s="155">
        <f t="shared" si="114"/>
        <v>7320.3</v>
      </c>
      <c r="P59" s="155">
        <f>AZ59+BA59</f>
        <v>11693.300000000001</v>
      </c>
      <c r="Q59" s="155">
        <f t="shared" si="141"/>
        <v>6968.23</v>
      </c>
      <c r="R59" s="155">
        <f t="shared" si="115"/>
        <v>10380.52</v>
      </c>
      <c r="S59" s="155">
        <f t="shared" si="116"/>
        <v>9004.48</v>
      </c>
      <c r="T59" s="155">
        <f t="shared" si="117"/>
        <v>8654.1299999999992</v>
      </c>
      <c r="U59" s="552">
        <f t="shared" si="117"/>
        <v>7367.52</v>
      </c>
      <c r="V59" s="155">
        <f t="shared" si="118"/>
        <v>14852.68</v>
      </c>
      <c r="W59" s="155">
        <f t="shared" si="119"/>
        <v>5795.21</v>
      </c>
      <c r="X59" s="155">
        <f t="shared" si="120"/>
        <v>30194.800000000003</v>
      </c>
      <c r="Y59" s="155">
        <f t="shared" si="121"/>
        <v>19870.919999999998</v>
      </c>
      <c r="Z59" s="155">
        <f t="shared" si="122"/>
        <v>9713.0400000000009</v>
      </c>
      <c r="AA59" s="155">
        <f t="shared" si="123"/>
        <v>11902.8</v>
      </c>
      <c r="AB59" s="552">
        <f t="shared" si="124"/>
        <v>5474.77</v>
      </c>
      <c r="AC59" s="155">
        <f t="shared" si="125"/>
        <v>8463.31</v>
      </c>
      <c r="AD59" s="155">
        <f t="shared" si="126"/>
        <v>10471.969999999999</v>
      </c>
      <c r="AE59" s="155">
        <f t="shared" si="127"/>
        <v>23006.15</v>
      </c>
      <c r="AF59" s="155">
        <f t="shared" si="128"/>
        <v>16168.5</v>
      </c>
      <c r="AG59" s="155">
        <f t="shared" si="129"/>
        <v>18712.52</v>
      </c>
      <c r="AH59" s="155">
        <f t="shared" si="130"/>
        <v>14590.58</v>
      </c>
      <c r="AI59" s="155">
        <f t="shared" si="131"/>
        <v>6020.15</v>
      </c>
      <c r="AJ59" s="155">
        <f t="shared" si="132"/>
        <v>12388.04</v>
      </c>
      <c r="AK59" s="552">
        <f t="shared" si="133"/>
        <v>22698.65</v>
      </c>
      <c r="AL59" s="155">
        <f t="shared" si="134"/>
        <v>12361.67</v>
      </c>
      <c r="AM59" s="155">
        <f t="shared" si="135"/>
        <v>8293.2900000000009</v>
      </c>
      <c r="AN59" s="155">
        <f t="shared" si="136"/>
        <v>12823.6</v>
      </c>
      <c r="AO59" s="155">
        <f t="shared" si="137"/>
        <v>22552.34</v>
      </c>
      <c r="AP59" s="155">
        <f t="shared" si="137"/>
        <v>12979.59</v>
      </c>
      <c r="AQ59" s="155">
        <f t="shared" si="138"/>
        <v>9901.57</v>
      </c>
      <c r="AR59" s="155">
        <f t="shared" si="139"/>
        <v>4021.54</v>
      </c>
      <c r="AS59" s="156">
        <f t="shared" si="140"/>
        <v>11647.560000000001</v>
      </c>
      <c r="AT59" s="155">
        <v>2327.62</v>
      </c>
      <c r="AU59" s="155">
        <v>6968.23</v>
      </c>
      <c r="AV59" s="155">
        <v>9004.48</v>
      </c>
      <c r="AW59" s="155">
        <v>9512.31</v>
      </c>
      <c r="AX59" s="155">
        <v>8052.9</v>
      </c>
      <c r="AY59" s="155">
        <v>3129.65</v>
      </c>
      <c r="AZ59" s="155">
        <v>1059.26</v>
      </c>
      <c r="BA59" s="155">
        <v>10634.04</v>
      </c>
      <c r="BB59" s="155">
        <v>8654.1299999999992</v>
      </c>
      <c r="BC59" s="155">
        <v>7367.52</v>
      </c>
      <c r="BD59" s="155">
        <v>8345.65</v>
      </c>
      <c r="BE59" s="155">
        <v>7320.3</v>
      </c>
      <c r="BF59" s="552">
        <v>10672.53</v>
      </c>
      <c r="BG59" s="155">
        <v>1507</v>
      </c>
      <c r="BH59" s="155">
        <v>4343.0600000000004</v>
      </c>
      <c r="BI59" s="155">
        <v>25851.74</v>
      </c>
      <c r="BJ59" s="155">
        <v>13345.68</v>
      </c>
      <c r="BK59" s="155">
        <v>2366.7600000000002</v>
      </c>
      <c r="BL59" s="155">
        <v>1719.25</v>
      </c>
      <c r="BM59" s="155">
        <v>9713.0400000000009</v>
      </c>
      <c r="BN59" s="155">
        <v>15784.91</v>
      </c>
      <c r="BO59" s="155">
        <v>1452.84</v>
      </c>
      <c r="BP59" s="155">
        <v>5474.77</v>
      </c>
      <c r="BQ59" s="155">
        <v>10449.959999999999</v>
      </c>
      <c r="BR59" s="552">
        <v>5795.21</v>
      </c>
      <c r="BS59" s="155">
        <v>3366.29</v>
      </c>
      <c r="BT59" s="155">
        <v>19639.86</v>
      </c>
      <c r="BU59" s="155">
        <v>10471.969999999999</v>
      </c>
      <c r="BV59" s="155">
        <v>18712.52</v>
      </c>
      <c r="BW59" s="155">
        <v>6020.15</v>
      </c>
      <c r="BX59" s="155">
        <v>8463.31</v>
      </c>
      <c r="BY59" s="155">
        <v>12388.04</v>
      </c>
      <c r="BZ59" s="155">
        <v>14590.58</v>
      </c>
      <c r="CA59" s="155">
        <v>16168.5</v>
      </c>
      <c r="CB59" s="552">
        <v>22698.65</v>
      </c>
      <c r="CC59" s="155">
        <v>22552.34</v>
      </c>
      <c r="CD59" s="155">
        <v>12979.59</v>
      </c>
      <c r="CE59" s="155">
        <v>12361.67</v>
      </c>
      <c r="CF59" s="155">
        <v>539.45000000000005</v>
      </c>
      <c r="CG59" s="155">
        <v>11108.11</v>
      </c>
      <c r="CH59" s="155">
        <v>8293.2900000000009</v>
      </c>
      <c r="CI59" s="155">
        <v>4021.54</v>
      </c>
      <c r="CJ59" s="155">
        <v>12823.6</v>
      </c>
      <c r="CK59" s="156">
        <v>9901.57</v>
      </c>
      <c r="CL59" s="320">
        <v>417953.87</v>
      </c>
    </row>
    <row r="60" spans="1:90">
      <c r="A60" s="80">
        <f>ROWS($A$3:A58)</f>
        <v>56</v>
      </c>
      <c r="B60" s="92" t="s">
        <v>232</v>
      </c>
      <c r="C60" s="584">
        <v>2021</v>
      </c>
      <c r="D60" s="259" t="s">
        <v>13</v>
      </c>
      <c r="E60" s="706">
        <v>44427</v>
      </c>
      <c r="F60" s="154">
        <v>68891.14</v>
      </c>
      <c r="G60" s="281">
        <v>56091.88</v>
      </c>
      <c r="H60" s="281">
        <v>182455.92</v>
      </c>
      <c r="I60" s="156">
        <v>84327.33</v>
      </c>
      <c r="J60" s="281"/>
      <c r="K60" s="154">
        <f t="shared" si="110"/>
        <v>6</v>
      </c>
      <c r="L60" s="155">
        <f t="shared" si="111"/>
        <v>2</v>
      </c>
      <c r="M60" s="155">
        <f t="shared" si="112"/>
        <v>2</v>
      </c>
      <c r="N60" s="155">
        <f t="shared" si="113"/>
        <v>3</v>
      </c>
      <c r="O60" s="155">
        <f t="shared" si="114"/>
        <v>3</v>
      </c>
      <c r="P60" s="155">
        <f>BA60</f>
        <v>3</v>
      </c>
      <c r="Q60" s="155">
        <f t="shared" si="141"/>
        <v>1</v>
      </c>
      <c r="R60" s="155">
        <f t="shared" si="115"/>
        <v>5</v>
      </c>
      <c r="S60" s="155">
        <f t="shared" si="116"/>
        <v>4</v>
      </c>
      <c r="T60" s="155">
        <f t="shared" si="117"/>
        <v>2</v>
      </c>
      <c r="U60" s="552">
        <f t="shared" si="117"/>
        <v>3</v>
      </c>
      <c r="V60" s="155">
        <f t="shared" si="118"/>
        <v>6</v>
      </c>
      <c r="W60" s="155">
        <f t="shared" si="119"/>
        <v>1</v>
      </c>
      <c r="X60" s="155">
        <f t="shared" si="120"/>
        <v>9</v>
      </c>
      <c r="Y60" s="155">
        <f t="shared" si="121"/>
        <v>9</v>
      </c>
      <c r="Z60" s="155">
        <f t="shared" si="122"/>
        <v>3</v>
      </c>
      <c r="AA60" s="155">
        <f>BQ60</f>
        <v>3</v>
      </c>
      <c r="AB60" s="552">
        <f t="shared" si="124"/>
        <v>2</v>
      </c>
      <c r="AC60" s="155">
        <f t="shared" si="125"/>
        <v>3</v>
      </c>
      <c r="AD60" s="155">
        <f t="shared" si="126"/>
        <v>7</v>
      </c>
      <c r="AE60" s="155">
        <f t="shared" si="127"/>
        <v>14</v>
      </c>
      <c r="AF60" s="155">
        <f t="shared" si="128"/>
        <v>3</v>
      </c>
      <c r="AG60" s="155">
        <f t="shared" si="129"/>
        <v>12</v>
      </c>
      <c r="AH60" s="155">
        <f t="shared" si="130"/>
        <v>6</v>
      </c>
      <c r="AI60" s="155">
        <f t="shared" si="131"/>
        <v>5</v>
      </c>
      <c r="AJ60" s="155">
        <f t="shared" si="132"/>
        <v>3</v>
      </c>
      <c r="AK60" s="552">
        <f t="shared" si="133"/>
        <v>2</v>
      </c>
      <c r="AL60" s="155">
        <f t="shared" si="134"/>
        <v>3</v>
      </c>
      <c r="AM60" s="155">
        <f t="shared" si="135"/>
        <v>2</v>
      </c>
      <c r="AN60" s="155">
        <f t="shared" si="136"/>
        <v>7</v>
      </c>
      <c r="AO60" s="155">
        <f t="shared" si="137"/>
        <v>3</v>
      </c>
      <c r="AP60" s="155">
        <f t="shared" si="137"/>
        <v>5</v>
      </c>
      <c r="AQ60" s="155">
        <f t="shared" si="138"/>
        <v>3</v>
      </c>
      <c r="AR60" s="155">
        <f t="shared" si="139"/>
        <v>3</v>
      </c>
      <c r="AS60" s="156">
        <f t="shared" si="140"/>
        <v>5</v>
      </c>
      <c r="AT60" s="155">
        <v>1</v>
      </c>
      <c r="AU60" s="281">
        <v>1</v>
      </c>
      <c r="AV60" s="281">
        <v>4</v>
      </c>
      <c r="AW60" s="281">
        <v>3</v>
      </c>
      <c r="AX60" s="281">
        <v>4</v>
      </c>
      <c r="AY60" s="281">
        <v>2</v>
      </c>
      <c r="AZ60" s="281" t="s">
        <v>233</v>
      </c>
      <c r="BA60" s="281">
        <v>3</v>
      </c>
      <c r="BB60" s="281">
        <v>2</v>
      </c>
      <c r="BC60" s="281">
        <v>3</v>
      </c>
      <c r="BD60" s="281">
        <v>2</v>
      </c>
      <c r="BE60" s="281">
        <v>3</v>
      </c>
      <c r="BF60" s="552">
        <v>6</v>
      </c>
      <c r="BG60" s="281">
        <v>1</v>
      </c>
      <c r="BH60" s="281">
        <v>3</v>
      </c>
      <c r="BI60" s="281">
        <v>6</v>
      </c>
      <c r="BJ60" s="281">
        <v>5</v>
      </c>
      <c r="BK60" s="281">
        <v>1</v>
      </c>
      <c r="BL60" s="281">
        <v>1</v>
      </c>
      <c r="BM60" s="281">
        <v>3</v>
      </c>
      <c r="BN60" s="281">
        <v>7</v>
      </c>
      <c r="BO60" s="281" t="s">
        <v>233</v>
      </c>
      <c r="BP60" s="281">
        <v>2</v>
      </c>
      <c r="BQ60" s="281">
        <v>3</v>
      </c>
      <c r="BR60" s="552">
        <v>1</v>
      </c>
      <c r="BS60" s="281">
        <v>3</v>
      </c>
      <c r="BT60" s="281">
        <v>11</v>
      </c>
      <c r="BU60" s="281">
        <v>7</v>
      </c>
      <c r="BV60" s="281">
        <v>12</v>
      </c>
      <c r="BW60" s="281">
        <v>5</v>
      </c>
      <c r="BX60" s="281">
        <v>3</v>
      </c>
      <c r="BY60" s="281">
        <v>3</v>
      </c>
      <c r="BZ60" s="281">
        <v>6</v>
      </c>
      <c r="CA60" s="281">
        <v>3</v>
      </c>
      <c r="CB60" s="552">
        <v>2</v>
      </c>
      <c r="CC60" s="281">
        <v>3</v>
      </c>
      <c r="CD60" s="281">
        <v>5</v>
      </c>
      <c r="CE60" s="281">
        <v>3</v>
      </c>
      <c r="CF60" s="281">
        <v>1</v>
      </c>
      <c r="CG60" s="281">
        <v>4</v>
      </c>
      <c r="CH60" s="281">
        <v>2</v>
      </c>
      <c r="CI60" s="281">
        <v>3</v>
      </c>
      <c r="CJ60" s="281">
        <v>7</v>
      </c>
      <c r="CK60" s="156">
        <v>3</v>
      </c>
      <c r="CL60" s="320">
        <v>153</v>
      </c>
    </row>
    <row r="61" spans="1:90">
      <c r="A61" s="80">
        <f>ROWS($A$3:A59)</f>
        <v>57</v>
      </c>
      <c r="B61" s="52"/>
      <c r="C61" s="203"/>
      <c r="D61" s="259" t="s">
        <v>1</v>
      </c>
      <c r="E61" s="706">
        <v>44427</v>
      </c>
      <c r="F61" s="154">
        <v>21</v>
      </c>
      <c r="G61" s="155">
        <v>23</v>
      </c>
      <c r="H61" s="155">
        <v>34</v>
      </c>
      <c r="I61" s="156">
        <v>23</v>
      </c>
      <c r="J61" s="281"/>
      <c r="K61" s="154">
        <f t="shared" si="110"/>
        <v>3634.42</v>
      </c>
      <c r="L61" s="155">
        <f t="shared" si="111"/>
        <v>2443.54</v>
      </c>
      <c r="M61" s="155">
        <f t="shared" si="112"/>
        <v>2641.61</v>
      </c>
      <c r="N61" s="155">
        <f t="shared" si="113"/>
        <v>19363.93</v>
      </c>
      <c r="O61" s="155">
        <f t="shared" si="114"/>
        <v>7564.35</v>
      </c>
      <c r="P61" s="155">
        <f>BA61</f>
        <v>2388.2199999999998</v>
      </c>
      <c r="Q61" s="155">
        <f t="shared" si="141"/>
        <v>5376.71</v>
      </c>
      <c r="R61" s="155">
        <f t="shared" si="115"/>
        <v>6533.71</v>
      </c>
      <c r="S61" s="155">
        <f t="shared" si="116"/>
        <v>17053.38</v>
      </c>
      <c r="T61" s="155">
        <f t="shared" si="117"/>
        <v>688.8</v>
      </c>
      <c r="U61" s="552">
        <f t="shared" si="117"/>
        <v>1202.48</v>
      </c>
      <c r="V61" s="155">
        <f t="shared" si="118"/>
        <v>14584.45</v>
      </c>
      <c r="W61" s="155">
        <f t="shared" si="119"/>
        <v>17301.650000000001</v>
      </c>
      <c r="X61" s="155">
        <f t="shared" si="120"/>
        <v>12587.51</v>
      </c>
      <c r="Y61" s="155">
        <f t="shared" si="121"/>
        <v>6428.2</v>
      </c>
      <c r="Z61" s="155">
        <f t="shared" si="122"/>
        <v>213.7</v>
      </c>
      <c r="AA61" s="155">
        <f>BQ61</f>
        <v>2397.67</v>
      </c>
      <c r="AB61" s="552">
        <f t="shared" si="124"/>
        <v>2578.6999999999998</v>
      </c>
      <c r="AC61" s="155">
        <f t="shared" si="125"/>
        <v>49856.34</v>
      </c>
      <c r="AD61" s="155">
        <f t="shared" si="126"/>
        <v>12424.61</v>
      </c>
      <c r="AE61" s="155">
        <f t="shared" si="127"/>
        <v>30539.51</v>
      </c>
      <c r="AF61" s="155">
        <f t="shared" si="128"/>
        <v>10872.16</v>
      </c>
      <c r="AG61" s="155">
        <f t="shared" si="129"/>
        <v>27067.919999999998</v>
      </c>
      <c r="AH61" s="155">
        <f t="shared" si="130"/>
        <v>9510.5499999999993</v>
      </c>
      <c r="AI61" s="155">
        <f t="shared" si="131"/>
        <v>3033.91</v>
      </c>
      <c r="AJ61" s="155">
        <f t="shared" si="132"/>
        <v>21433.61</v>
      </c>
      <c r="AK61" s="552">
        <f t="shared" si="133"/>
        <v>17717.32</v>
      </c>
      <c r="AL61" s="155">
        <f t="shared" si="134"/>
        <v>20299.060000000001</v>
      </c>
      <c r="AM61" s="155">
        <f t="shared" si="135"/>
        <v>2946.88</v>
      </c>
      <c r="AN61" s="155">
        <f t="shared" si="136"/>
        <v>8770.92</v>
      </c>
      <c r="AO61" s="155">
        <f t="shared" si="137"/>
        <v>22418.87</v>
      </c>
      <c r="AP61" s="155">
        <f t="shared" si="137"/>
        <v>13819.81</v>
      </c>
      <c r="AQ61" s="155">
        <f t="shared" si="138"/>
        <v>8215.6299999999992</v>
      </c>
      <c r="AR61" s="155">
        <f t="shared" si="139"/>
        <v>877</v>
      </c>
      <c r="AS61" s="156">
        <f t="shared" si="140"/>
        <v>6979.1500000000005</v>
      </c>
      <c r="AT61" s="155">
        <v>3.01</v>
      </c>
      <c r="AU61" s="155">
        <v>5376.71</v>
      </c>
      <c r="AV61" s="155">
        <v>17053.38</v>
      </c>
      <c r="AW61" s="155">
        <v>19363.93</v>
      </c>
      <c r="AX61" s="155">
        <v>6530.7</v>
      </c>
      <c r="AY61" s="155">
        <v>2443.54</v>
      </c>
      <c r="AZ61" s="155" t="s">
        <v>233</v>
      </c>
      <c r="BA61" s="155">
        <v>2388.2199999999998</v>
      </c>
      <c r="BB61" s="155">
        <v>688.8</v>
      </c>
      <c r="BC61" s="155">
        <v>1202.48</v>
      </c>
      <c r="BD61" s="155">
        <v>2641.61</v>
      </c>
      <c r="BE61" s="155">
        <v>7564.35</v>
      </c>
      <c r="BF61" s="552">
        <v>3634.42</v>
      </c>
      <c r="BG61" s="155">
        <v>360.45</v>
      </c>
      <c r="BH61" s="155">
        <v>2915.73</v>
      </c>
      <c r="BI61" s="155">
        <v>9671.7800000000007</v>
      </c>
      <c r="BJ61" s="155">
        <v>14224</v>
      </c>
      <c r="BK61" s="155">
        <v>3.96</v>
      </c>
      <c r="BL61" s="155">
        <v>400.67</v>
      </c>
      <c r="BM61" s="155">
        <v>213.7</v>
      </c>
      <c r="BN61" s="155">
        <v>6023.57</v>
      </c>
      <c r="BO61" s="155" t="s">
        <v>233</v>
      </c>
      <c r="BP61" s="155">
        <v>2578.6999999999998</v>
      </c>
      <c r="BQ61" s="155">
        <v>2397.67</v>
      </c>
      <c r="BR61" s="552">
        <v>17301.650000000001</v>
      </c>
      <c r="BS61" s="155">
        <v>3003.57</v>
      </c>
      <c r="BT61" s="155">
        <v>27535.94</v>
      </c>
      <c r="BU61" s="155">
        <v>12424.61</v>
      </c>
      <c r="BV61" s="155">
        <v>27067.919999999998</v>
      </c>
      <c r="BW61" s="155">
        <v>3033.91</v>
      </c>
      <c r="BX61" s="155">
        <v>49856.34</v>
      </c>
      <c r="BY61" s="155">
        <v>21433.61</v>
      </c>
      <c r="BZ61" s="155">
        <v>9510.5499999999993</v>
      </c>
      <c r="CA61" s="155">
        <v>10872.16</v>
      </c>
      <c r="CB61" s="552">
        <v>17717.32</v>
      </c>
      <c r="CC61" s="155">
        <v>22418.87</v>
      </c>
      <c r="CD61" s="155">
        <v>13819.81</v>
      </c>
      <c r="CE61" s="155">
        <v>20299.060000000001</v>
      </c>
      <c r="CF61" s="155">
        <v>113.85</v>
      </c>
      <c r="CG61" s="155">
        <v>6865.3</v>
      </c>
      <c r="CH61" s="155">
        <v>2946.88</v>
      </c>
      <c r="CI61" s="155">
        <v>877</v>
      </c>
      <c r="CJ61" s="155">
        <v>8770.92</v>
      </c>
      <c r="CK61" s="156">
        <v>8215.6299999999992</v>
      </c>
      <c r="CL61" s="320">
        <v>391766.28000000009</v>
      </c>
    </row>
    <row r="62" spans="1:90">
      <c r="A62" s="80">
        <f>ROWS($A$3:A60)</f>
        <v>58</v>
      </c>
      <c r="B62" s="92" t="s">
        <v>56</v>
      </c>
      <c r="C62" s="584">
        <v>2021</v>
      </c>
      <c r="D62" s="259" t="s">
        <v>13</v>
      </c>
      <c r="E62" s="873">
        <v>45125</v>
      </c>
      <c r="F62" s="872">
        <v>769</v>
      </c>
      <c r="G62" s="864">
        <v>404</v>
      </c>
      <c r="H62" s="865">
        <v>969</v>
      </c>
      <c r="I62" s="868">
        <v>372</v>
      </c>
      <c r="J62" s="281"/>
      <c r="K62" s="154">
        <f t="shared" si="110"/>
        <v>81</v>
      </c>
      <c r="L62" s="155">
        <f t="shared" si="111"/>
        <v>180</v>
      </c>
      <c r="M62" s="155">
        <f t="shared" si="112"/>
        <v>48</v>
      </c>
      <c r="N62" s="155">
        <f t="shared" si="113"/>
        <v>42</v>
      </c>
      <c r="O62" s="155">
        <f t="shared" si="114"/>
        <v>18</v>
      </c>
      <c r="P62" s="155">
        <f>AZ62+BA62</f>
        <v>118</v>
      </c>
      <c r="Q62" s="155">
        <f t="shared" si="141"/>
        <v>32</v>
      </c>
      <c r="R62" s="155">
        <f t="shared" si="115"/>
        <v>49</v>
      </c>
      <c r="S62" s="155">
        <f t="shared" si="116"/>
        <v>42</v>
      </c>
      <c r="T62" s="155">
        <f t="shared" si="117"/>
        <v>68</v>
      </c>
      <c r="U62" s="552">
        <f t="shared" si="117"/>
        <v>91</v>
      </c>
      <c r="V62" s="155">
        <f t="shared" si="118"/>
        <v>81</v>
      </c>
      <c r="W62" s="155">
        <f t="shared" si="119"/>
        <v>47</v>
      </c>
      <c r="X62" s="155">
        <f t="shared" si="120"/>
        <v>56</v>
      </c>
      <c r="Y62" s="155">
        <f t="shared" si="121"/>
        <v>68</v>
      </c>
      <c r="Z62" s="155">
        <f t="shared" si="122"/>
        <v>41</v>
      </c>
      <c r="AA62" s="155">
        <f t="shared" si="123"/>
        <v>48</v>
      </c>
      <c r="AB62" s="552">
        <f t="shared" si="124"/>
        <v>63</v>
      </c>
      <c r="AC62" s="155">
        <f t="shared" si="125"/>
        <v>125</v>
      </c>
      <c r="AD62" s="155">
        <f t="shared" si="126"/>
        <v>71</v>
      </c>
      <c r="AE62" s="155">
        <f t="shared" si="127"/>
        <v>134</v>
      </c>
      <c r="AF62" s="155">
        <f t="shared" si="128"/>
        <v>134</v>
      </c>
      <c r="AG62" s="155">
        <f t="shared" si="129"/>
        <v>138</v>
      </c>
      <c r="AH62" s="155">
        <f t="shared" si="130"/>
        <v>100</v>
      </c>
      <c r="AI62" s="155">
        <f t="shared" si="131"/>
        <v>42</v>
      </c>
      <c r="AJ62" s="155">
        <f t="shared" si="132"/>
        <v>46</v>
      </c>
      <c r="AK62" s="552">
        <f t="shared" si="133"/>
        <v>179</v>
      </c>
      <c r="AL62" s="155">
        <f t="shared" si="134"/>
        <v>41</v>
      </c>
      <c r="AM62" s="155">
        <f t="shared" si="135"/>
        <v>48</v>
      </c>
      <c r="AN62" s="155">
        <f t="shared" si="136"/>
        <v>78</v>
      </c>
      <c r="AO62" s="155">
        <f t="shared" si="137"/>
        <v>44</v>
      </c>
      <c r="AP62" s="155">
        <f t="shared" si="137"/>
        <v>16</v>
      </c>
      <c r="AQ62" s="155">
        <f t="shared" si="138"/>
        <v>62</v>
      </c>
      <c r="AR62" s="155">
        <f t="shared" si="139"/>
        <v>42</v>
      </c>
      <c r="AS62" s="156">
        <f t="shared" si="140"/>
        <v>41</v>
      </c>
      <c r="AT62" s="865">
        <v>3</v>
      </c>
      <c r="AU62" s="865">
        <v>32</v>
      </c>
      <c r="AV62" s="865">
        <v>42</v>
      </c>
      <c r="AW62" s="865">
        <v>42</v>
      </c>
      <c r="AX62" s="865">
        <v>46</v>
      </c>
      <c r="AY62" s="865">
        <v>180</v>
      </c>
      <c r="AZ62" s="865">
        <v>10</v>
      </c>
      <c r="BA62" s="865">
        <v>108</v>
      </c>
      <c r="BB62" s="865">
        <v>68</v>
      </c>
      <c r="BC62" s="865">
        <v>91</v>
      </c>
      <c r="BD62" s="865">
        <v>48</v>
      </c>
      <c r="BE62" s="865">
        <v>18</v>
      </c>
      <c r="BF62" s="866">
        <v>81</v>
      </c>
      <c r="BG62" s="865">
        <v>10</v>
      </c>
      <c r="BH62" s="865">
        <v>5</v>
      </c>
      <c r="BI62" s="874">
        <v>51</v>
      </c>
      <c r="BJ62" s="865">
        <v>71</v>
      </c>
      <c r="BK62" s="865">
        <v>9</v>
      </c>
      <c r="BL62" s="865">
        <v>3</v>
      </c>
      <c r="BM62" s="865">
        <v>41</v>
      </c>
      <c r="BN62" s="865">
        <v>56</v>
      </c>
      <c r="BO62" s="865">
        <v>7</v>
      </c>
      <c r="BP62" s="865">
        <v>63</v>
      </c>
      <c r="BQ62" s="865">
        <v>41</v>
      </c>
      <c r="BR62" s="866">
        <v>47</v>
      </c>
      <c r="BS62" s="865">
        <v>10</v>
      </c>
      <c r="BT62" s="865">
        <v>124</v>
      </c>
      <c r="BU62" s="864">
        <v>71</v>
      </c>
      <c r="BV62" s="865">
        <v>138</v>
      </c>
      <c r="BW62" s="865">
        <v>42</v>
      </c>
      <c r="BX62" s="865">
        <v>125</v>
      </c>
      <c r="BY62" s="865">
        <v>46</v>
      </c>
      <c r="BZ62" s="865">
        <v>100</v>
      </c>
      <c r="CA62" s="865">
        <v>134</v>
      </c>
      <c r="CB62" s="867">
        <v>179</v>
      </c>
      <c r="CC62" s="865">
        <v>44</v>
      </c>
      <c r="CD62" s="865">
        <v>16</v>
      </c>
      <c r="CE62" s="865">
        <v>41</v>
      </c>
      <c r="CF62" s="865">
        <v>3</v>
      </c>
      <c r="CG62" s="865">
        <v>38</v>
      </c>
      <c r="CH62" s="865">
        <v>48</v>
      </c>
      <c r="CI62" s="865">
        <v>42</v>
      </c>
      <c r="CJ62" s="865">
        <v>78</v>
      </c>
      <c r="CK62" s="868">
        <v>62</v>
      </c>
      <c r="CL62" s="870">
        <v>2514</v>
      </c>
    </row>
    <row r="63" spans="1:90">
      <c r="A63" s="80">
        <f>ROWS($A$3:A61)</f>
        <v>59</v>
      </c>
      <c r="B63" s="92"/>
      <c r="C63" s="203"/>
      <c r="D63" s="259" t="s">
        <v>1</v>
      </c>
      <c r="E63" s="873">
        <v>45125</v>
      </c>
      <c r="F63" s="872">
        <v>281079</v>
      </c>
      <c r="G63" s="864">
        <v>204648</v>
      </c>
      <c r="H63" s="864">
        <v>161582</v>
      </c>
      <c r="I63" s="868">
        <v>310235</v>
      </c>
      <c r="J63" s="281"/>
      <c r="K63" s="154">
        <f t="shared" si="110"/>
        <v>42080</v>
      </c>
      <c r="L63" s="155">
        <f t="shared" si="111"/>
        <v>10001</v>
      </c>
      <c r="M63" s="155">
        <f t="shared" si="112"/>
        <v>50159</v>
      </c>
      <c r="N63" s="155">
        <f t="shared" si="113"/>
        <v>21150</v>
      </c>
      <c r="O63" s="155">
        <f t="shared" si="114"/>
        <v>57769</v>
      </c>
      <c r="P63" s="155">
        <f>AZ63+BA63</f>
        <v>27494</v>
      </c>
      <c r="Q63" s="155">
        <f t="shared" si="141"/>
        <v>26994</v>
      </c>
      <c r="R63" s="155">
        <f t="shared" si="115"/>
        <v>16283</v>
      </c>
      <c r="S63" s="155">
        <f t="shared" si="116"/>
        <v>9237</v>
      </c>
      <c r="T63" s="155">
        <f t="shared" si="117"/>
        <v>12964</v>
      </c>
      <c r="U63" s="552">
        <f t="shared" si="117"/>
        <v>6948</v>
      </c>
      <c r="V63" s="155">
        <f t="shared" si="118"/>
        <v>21119</v>
      </c>
      <c r="W63" s="155">
        <f t="shared" si="119"/>
        <v>15222</v>
      </c>
      <c r="X63" s="155">
        <f t="shared" si="120"/>
        <v>43413</v>
      </c>
      <c r="Y63" s="155">
        <f t="shared" si="121"/>
        <v>39912</v>
      </c>
      <c r="Z63" s="155">
        <f t="shared" si="122"/>
        <v>29126</v>
      </c>
      <c r="AA63" s="155">
        <f t="shared" si="123"/>
        <v>27163</v>
      </c>
      <c r="AB63" s="552">
        <f t="shared" si="124"/>
        <v>28694</v>
      </c>
      <c r="AC63" s="155">
        <f t="shared" si="125"/>
        <v>21036</v>
      </c>
      <c r="AD63" s="155">
        <f t="shared" si="126"/>
        <v>9101</v>
      </c>
      <c r="AE63" s="155">
        <f t="shared" si="127"/>
        <v>22521</v>
      </c>
      <c r="AF63" s="155">
        <f t="shared" si="128"/>
        <v>10107</v>
      </c>
      <c r="AG63" s="155">
        <f t="shared" si="129"/>
        <v>19348</v>
      </c>
      <c r="AH63" s="155">
        <f t="shared" si="130"/>
        <v>23278</v>
      </c>
      <c r="AI63" s="155">
        <f t="shared" si="131"/>
        <v>17848</v>
      </c>
      <c r="AJ63" s="155">
        <f t="shared" si="132"/>
        <v>17065</v>
      </c>
      <c r="AK63" s="552">
        <f t="shared" si="133"/>
        <v>21279</v>
      </c>
      <c r="AL63" s="155">
        <f t="shared" si="134"/>
        <v>30644</v>
      </c>
      <c r="AM63" s="155">
        <f t="shared" si="135"/>
        <v>30633</v>
      </c>
      <c r="AN63" s="155">
        <f t="shared" si="136"/>
        <v>23581</v>
      </c>
      <c r="AO63" s="155">
        <f t="shared" si="137"/>
        <v>65506</v>
      </c>
      <c r="AP63" s="155">
        <f t="shared" si="137"/>
        <v>12293</v>
      </c>
      <c r="AQ63" s="155">
        <f t="shared" si="138"/>
        <v>43665</v>
      </c>
      <c r="AR63" s="155">
        <f t="shared" si="139"/>
        <v>8775</v>
      </c>
      <c r="AS63" s="156">
        <f t="shared" si="140"/>
        <v>95138</v>
      </c>
      <c r="AT63" s="865">
        <v>1242</v>
      </c>
      <c r="AU63" s="865">
        <v>26994</v>
      </c>
      <c r="AV63" s="865">
        <v>9237</v>
      </c>
      <c r="AW63" s="865">
        <v>21150</v>
      </c>
      <c r="AX63" s="865">
        <v>15041</v>
      </c>
      <c r="AY63" s="864">
        <v>10001</v>
      </c>
      <c r="AZ63" s="865">
        <v>2865</v>
      </c>
      <c r="BA63" s="865">
        <v>24629</v>
      </c>
      <c r="BB63" s="865">
        <v>12964</v>
      </c>
      <c r="BC63" s="865">
        <v>6948</v>
      </c>
      <c r="BD63" s="865">
        <v>50159</v>
      </c>
      <c r="BE63" s="865">
        <v>57769</v>
      </c>
      <c r="BF63" s="866">
        <v>42080</v>
      </c>
      <c r="BG63" s="865">
        <v>3657</v>
      </c>
      <c r="BH63" s="865">
        <v>6736</v>
      </c>
      <c r="BI63" s="874">
        <v>36677</v>
      </c>
      <c r="BJ63" s="865">
        <v>17462</v>
      </c>
      <c r="BK63" s="865">
        <v>3735</v>
      </c>
      <c r="BL63" s="865">
        <v>1624</v>
      </c>
      <c r="BM63" s="865">
        <v>29126</v>
      </c>
      <c r="BN63" s="865">
        <v>34553</v>
      </c>
      <c r="BO63" s="865">
        <v>3966</v>
      </c>
      <c r="BP63" s="865">
        <v>28694</v>
      </c>
      <c r="BQ63" s="865">
        <v>23197</v>
      </c>
      <c r="BR63" s="866">
        <v>15222</v>
      </c>
      <c r="BS63" s="865">
        <v>1941</v>
      </c>
      <c r="BT63" s="865">
        <v>20580</v>
      </c>
      <c r="BU63" s="864">
        <v>9101</v>
      </c>
      <c r="BV63" s="865">
        <v>19348</v>
      </c>
      <c r="BW63" s="865">
        <v>17848</v>
      </c>
      <c r="BX63" s="865">
        <v>21036</v>
      </c>
      <c r="BY63" s="865">
        <v>17065</v>
      </c>
      <c r="BZ63" s="865">
        <v>23278</v>
      </c>
      <c r="CA63" s="865">
        <v>10107</v>
      </c>
      <c r="CB63" s="867">
        <v>21279</v>
      </c>
      <c r="CC63" s="865">
        <v>65506</v>
      </c>
      <c r="CD63" s="865">
        <v>12293</v>
      </c>
      <c r="CE63" s="865">
        <v>30644</v>
      </c>
      <c r="CF63" s="865">
        <v>834</v>
      </c>
      <c r="CG63" s="865">
        <v>94304</v>
      </c>
      <c r="CH63" s="865">
        <v>30633</v>
      </c>
      <c r="CI63" s="865">
        <v>8775</v>
      </c>
      <c r="CJ63" s="865">
        <v>23581</v>
      </c>
      <c r="CK63" s="868">
        <v>43665</v>
      </c>
      <c r="CL63" s="870">
        <v>957544</v>
      </c>
    </row>
    <row r="64" spans="1:90">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c r="A65" s="80">
        <f>ROWS($A$3:A63)</f>
        <v>61</v>
      </c>
      <c r="B65" s="53" t="str">
        <f>'Stand der Daten'!B66</f>
        <v>Gebietskulisse</v>
      </c>
      <c r="C65" s="202">
        <v>2019</v>
      </c>
      <c r="D65" s="259" t="s">
        <v>59</v>
      </c>
      <c r="E65" s="706">
        <v>44427</v>
      </c>
      <c r="F65" s="530">
        <f>SUM(AT65:BF65)</f>
        <v>192827</v>
      </c>
      <c r="G65" s="531">
        <f>SUM(BG65:BR65)</f>
        <v>101270</v>
      </c>
      <c r="H65" s="531">
        <f>SUM(BS65:CB65)</f>
        <v>234357</v>
      </c>
      <c r="I65" s="532">
        <f>SUM(CC65:CK65)</f>
        <v>265433</v>
      </c>
      <c r="J65" s="281"/>
      <c r="K65" s="541">
        <f>BF65</f>
        <v>34070</v>
      </c>
      <c r="L65" s="542">
        <f>AY65</f>
        <v>17769</v>
      </c>
      <c r="M65" s="542">
        <f>BD65</f>
        <v>38212</v>
      </c>
      <c r="N65" s="542">
        <f>AW65</f>
        <v>24689</v>
      </c>
      <c r="O65" s="542">
        <f>BE65</f>
        <v>12206</v>
      </c>
      <c r="P65" s="542">
        <f>'2021'!AZ65+'2021'!BA65</f>
        <v>3840</v>
      </c>
      <c r="Q65" s="542">
        <f>'2021'!AU65</f>
        <v>12496</v>
      </c>
      <c r="R65" s="542">
        <f>AT65+AX65</f>
        <v>6896</v>
      </c>
      <c r="S65" s="542">
        <f>AV65</f>
        <v>16400</v>
      </c>
      <c r="T65" s="542">
        <f t="shared" ref="T65:U66" si="142">BB65</f>
        <v>9524</v>
      </c>
      <c r="U65" s="554">
        <f t="shared" si="142"/>
        <v>16725</v>
      </c>
      <c r="V65" s="542">
        <f>BG65+BJ65</f>
        <v>5956</v>
      </c>
      <c r="W65" s="542">
        <f>BR65</f>
        <v>20777</v>
      </c>
      <c r="X65" s="542">
        <f>BH65+BI65</f>
        <v>5768</v>
      </c>
      <c r="Y65" s="542">
        <f>BK65+BL65+BN65</f>
        <v>11527</v>
      </c>
      <c r="Z65" s="542">
        <f>BM65</f>
        <v>24225</v>
      </c>
      <c r="AA65" s="542">
        <f>BO65+BQ65</f>
        <v>13196</v>
      </c>
      <c r="AB65" s="554">
        <f>BP65</f>
        <v>19821</v>
      </c>
      <c r="AC65" s="542">
        <f>BX65</f>
        <v>41771</v>
      </c>
      <c r="AD65" s="542">
        <f>BU65</f>
        <v>11620</v>
      </c>
      <c r="AE65" s="542">
        <f>BS65+BT65</f>
        <v>29964</v>
      </c>
      <c r="AF65" s="542">
        <f>CA65</f>
        <v>16899</v>
      </c>
      <c r="AG65" s="542">
        <f>BV65</f>
        <v>22356</v>
      </c>
      <c r="AH65" s="542">
        <f>BZ65</f>
        <v>15982</v>
      </c>
      <c r="AI65" s="542">
        <f>BW65</f>
        <v>31624</v>
      </c>
      <c r="AJ65" s="542">
        <f>BY65</f>
        <v>27338</v>
      </c>
      <c r="AK65" s="554">
        <f>CB65</f>
        <v>36803</v>
      </c>
      <c r="AL65" s="542">
        <f>CE65</f>
        <v>33847</v>
      </c>
      <c r="AM65" s="542">
        <f>CH65</f>
        <v>22959</v>
      </c>
      <c r="AN65" s="542">
        <f>CJ65</f>
        <v>63471</v>
      </c>
      <c r="AO65" s="542">
        <f t="shared" ref="AO65:AP66" si="143">CC65</f>
        <v>48198</v>
      </c>
      <c r="AP65" s="542">
        <f t="shared" si="143"/>
        <v>7545</v>
      </c>
      <c r="AQ65" s="542">
        <f>CK65</f>
        <v>45777</v>
      </c>
      <c r="AR65" s="542">
        <f>CI65</f>
        <v>7894</v>
      </c>
      <c r="AS65" s="543">
        <f>CF65+CG65</f>
        <v>35742</v>
      </c>
      <c r="AT65" s="155">
        <v>354</v>
      </c>
      <c r="AU65" s="155">
        <v>12496</v>
      </c>
      <c r="AV65" s="155">
        <v>16400</v>
      </c>
      <c r="AW65" s="155">
        <v>24689</v>
      </c>
      <c r="AX65" s="155">
        <v>6542</v>
      </c>
      <c r="AY65" s="155">
        <v>17769</v>
      </c>
      <c r="AZ65" s="155"/>
      <c r="BA65" s="155">
        <v>3840</v>
      </c>
      <c r="BB65" s="155">
        <v>9524</v>
      </c>
      <c r="BC65" s="155">
        <v>16725</v>
      </c>
      <c r="BD65" s="155">
        <v>38212</v>
      </c>
      <c r="BE65" s="155">
        <v>12206</v>
      </c>
      <c r="BF65" s="552">
        <v>34070</v>
      </c>
      <c r="BG65" s="155">
        <v>1312</v>
      </c>
      <c r="BH65" s="155"/>
      <c r="BI65" s="155">
        <v>5768</v>
      </c>
      <c r="BJ65" s="155">
        <v>4644</v>
      </c>
      <c r="BK65" s="155"/>
      <c r="BL65" s="155"/>
      <c r="BM65" s="155">
        <v>24225</v>
      </c>
      <c r="BN65" s="155">
        <v>11527</v>
      </c>
      <c r="BO65" s="155">
        <v>1295</v>
      </c>
      <c r="BP65" s="155">
        <v>19821</v>
      </c>
      <c r="BQ65" s="155">
        <v>11901</v>
      </c>
      <c r="BR65" s="552">
        <v>20777</v>
      </c>
      <c r="BS65" s="155">
        <v>226</v>
      </c>
      <c r="BT65" s="155">
        <v>29738</v>
      </c>
      <c r="BU65" s="155">
        <v>11620</v>
      </c>
      <c r="BV65" s="155">
        <v>22356</v>
      </c>
      <c r="BW65" s="155">
        <v>31624</v>
      </c>
      <c r="BX65" s="155">
        <v>41771</v>
      </c>
      <c r="BY65" s="155">
        <v>27338</v>
      </c>
      <c r="BZ65" s="155">
        <v>15982</v>
      </c>
      <c r="CA65" s="155">
        <v>16899</v>
      </c>
      <c r="CB65" s="552">
        <v>36803</v>
      </c>
      <c r="CC65" s="155">
        <v>48198</v>
      </c>
      <c r="CD65" s="155">
        <v>7545</v>
      </c>
      <c r="CE65" s="155">
        <v>33847</v>
      </c>
      <c r="CF65" s="155"/>
      <c r="CG65" s="155">
        <v>35742</v>
      </c>
      <c r="CH65" s="155">
        <v>22959</v>
      </c>
      <c r="CI65" s="155">
        <v>7894</v>
      </c>
      <c r="CJ65" s="155">
        <v>63471</v>
      </c>
      <c r="CK65" s="156">
        <v>45777</v>
      </c>
      <c r="CL65" s="301">
        <v>793887</v>
      </c>
    </row>
    <row r="66" spans="1:90">
      <c r="A66" s="80">
        <f>ROWS($A$3:A64)</f>
        <v>62</v>
      </c>
      <c r="B66" s="92" t="s">
        <v>364</v>
      </c>
      <c r="C66" s="203">
        <v>2019</v>
      </c>
      <c r="D66" s="259" t="s">
        <v>59</v>
      </c>
      <c r="E66" s="706">
        <v>44427</v>
      </c>
      <c r="F66" s="530">
        <f>SUM(AT66:BF66)</f>
        <v>7437</v>
      </c>
      <c r="G66" s="531">
        <f>SUM(BG66:BR66)</f>
        <v>3766</v>
      </c>
      <c r="H66" s="531">
        <f>SUM(BS66:CB66)</f>
        <v>77865</v>
      </c>
      <c r="I66" s="532">
        <f>SUM(CC66:CK66)</f>
        <v>22790</v>
      </c>
      <c r="J66" s="281"/>
      <c r="K66" s="154">
        <f>BF66</f>
        <v>416</v>
      </c>
      <c r="L66" s="155">
        <f>AY66</f>
        <v>0</v>
      </c>
      <c r="M66" s="155">
        <f>BD66</f>
        <v>0</v>
      </c>
      <c r="N66" s="155">
        <f>AW66</f>
        <v>5858</v>
      </c>
      <c r="O66" s="155">
        <f>BE66</f>
        <v>0</v>
      </c>
      <c r="P66" s="155">
        <f>'2021'!AZ66+'2021'!BA66</f>
        <v>0</v>
      </c>
      <c r="Q66" s="155">
        <f>'2021'!AU66</f>
        <v>0</v>
      </c>
      <c r="R66" s="155">
        <f>AT66+AX66</f>
        <v>0</v>
      </c>
      <c r="S66" s="155">
        <f>AV66</f>
        <v>1163</v>
      </c>
      <c r="T66" s="155">
        <f t="shared" si="142"/>
        <v>0</v>
      </c>
      <c r="U66" s="552">
        <f t="shared" si="142"/>
        <v>0</v>
      </c>
      <c r="V66" s="155">
        <f>BG66+BJ66</f>
        <v>669</v>
      </c>
      <c r="W66" s="155">
        <f>BR66</f>
        <v>2289</v>
      </c>
      <c r="X66" s="155">
        <f>BH66+BI66</f>
        <v>0</v>
      </c>
      <c r="Y66" s="155">
        <f>BK66+BL66+BN66</f>
        <v>0</v>
      </c>
      <c r="Z66" s="155">
        <f>BM66</f>
        <v>0</v>
      </c>
      <c r="AA66" s="155">
        <f>BO66+BQ66</f>
        <v>0</v>
      </c>
      <c r="AB66" s="552">
        <f>BP66</f>
        <v>808</v>
      </c>
      <c r="AC66" s="155">
        <f>BX66</f>
        <v>14517</v>
      </c>
      <c r="AD66" s="155">
        <f>BU66</f>
        <v>2623</v>
      </c>
      <c r="AE66" s="155">
        <f>BS66+BT66</f>
        <v>20377</v>
      </c>
      <c r="AF66" s="155">
        <f>CA66</f>
        <v>9391</v>
      </c>
      <c r="AG66" s="155">
        <f>BV66</f>
        <v>2964</v>
      </c>
      <c r="AH66" s="155">
        <f>BZ66</f>
        <v>0</v>
      </c>
      <c r="AI66" s="155">
        <f>BW66</f>
        <v>2426</v>
      </c>
      <c r="AJ66" s="155">
        <f>BY66</f>
        <v>10802</v>
      </c>
      <c r="AK66" s="552">
        <f>CB66</f>
        <v>14765</v>
      </c>
      <c r="AL66" s="155">
        <f>CE66</f>
        <v>15108</v>
      </c>
      <c r="AM66" s="155">
        <f>CH66</f>
        <v>0</v>
      </c>
      <c r="AN66" s="155">
        <f>CJ66</f>
        <v>1466</v>
      </c>
      <c r="AO66" s="155">
        <f t="shared" si="143"/>
        <v>1458</v>
      </c>
      <c r="AP66" s="155">
        <f t="shared" si="143"/>
        <v>0</v>
      </c>
      <c r="AQ66" s="155">
        <f>CK66</f>
        <v>2935</v>
      </c>
      <c r="AR66" s="155">
        <f>CI66</f>
        <v>401</v>
      </c>
      <c r="AS66" s="156">
        <f>CF66+CG66</f>
        <v>1422</v>
      </c>
      <c r="AT66" s="155"/>
      <c r="AU66" s="155"/>
      <c r="AV66" s="155">
        <v>1163</v>
      </c>
      <c r="AW66" s="155">
        <v>5858</v>
      </c>
      <c r="AX66" s="155"/>
      <c r="AY66" s="155"/>
      <c r="AZ66" s="155"/>
      <c r="BA66" s="155"/>
      <c r="BB66" s="155"/>
      <c r="BC66" s="155"/>
      <c r="BD66" s="155"/>
      <c r="BE66" s="155"/>
      <c r="BF66" s="552">
        <v>416</v>
      </c>
      <c r="BG66" s="155"/>
      <c r="BH66" s="155"/>
      <c r="BI66" s="155"/>
      <c r="BJ66" s="155">
        <v>669</v>
      </c>
      <c r="BK66" s="155"/>
      <c r="BL66" s="155"/>
      <c r="BM66" s="155"/>
      <c r="BN66" s="155"/>
      <c r="BO66" s="155"/>
      <c r="BP66" s="155">
        <v>808</v>
      </c>
      <c r="BQ66" s="155"/>
      <c r="BR66" s="552">
        <v>2289</v>
      </c>
      <c r="BS66" s="155"/>
      <c r="BT66" s="155">
        <v>20377</v>
      </c>
      <c r="BU66" s="155">
        <v>2623</v>
      </c>
      <c r="BV66" s="155">
        <v>2964</v>
      </c>
      <c r="BW66" s="155">
        <v>2426</v>
      </c>
      <c r="BX66" s="155">
        <v>14517</v>
      </c>
      <c r="BY66" s="155">
        <v>10802</v>
      </c>
      <c r="BZ66" s="155"/>
      <c r="CA66" s="155">
        <v>9391</v>
      </c>
      <c r="CB66" s="552">
        <v>14765</v>
      </c>
      <c r="CC66" s="155">
        <v>1458</v>
      </c>
      <c r="CD66" s="155"/>
      <c r="CE66" s="155">
        <v>15108</v>
      </c>
      <c r="CF66" s="155"/>
      <c r="CG66" s="155">
        <v>1422</v>
      </c>
      <c r="CH66" s="155"/>
      <c r="CI66" s="155">
        <v>401</v>
      </c>
      <c r="CJ66" s="155">
        <v>1466</v>
      </c>
      <c r="CK66" s="156">
        <v>2935</v>
      </c>
      <c r="CL66" s="320">
        <v>111858</v>
      </c>
    </row>
    <row r="67" spans="1:90">
      <c r="A67" s="80">
        <f>ROWS($A$3:A65)</f>
        <v>63</v>
      </c>
      <c r="B67" s="92" t="s">
        <v>363</v>
      </c>
      <c r="C67" s="202">
        <v>2019</v>
      </c>
      <c r="D67" s="259" t="s">
        <v>3</v>
      </c>
      <c r="E67" s="706">
        <v>44427</v>
      </c>
      <c r="F67" s="154">
        <f>IF(F65/F35%&gt;100,100,F65/F35%)</f>
        <v>41.63722814351604</v>
      </c>
      <c r="G67" s="155">
        <f>IF(G65/G35%&gt;100,100,G65/G35%)</f>
        <v>49.94895115587407</v>
      </c>
      <c r="H67" s="155">
        <f>IF(H65/H35%&gt;100,100,H65/H35%)</f>
        <v>74.118807935709754</v>
      </c>
      <c r="I67" s="156">
        <f>IF(I65/I35%&gt;100,100,I65/I35%)</f>
        <v>62.306168341885474</v>
      </c>
      <c r="J67" s="281"/>
      <c r="K67" s="154">
        <f t="shared" ref="K67:BV67" si="144">IF(K65/K35%&gt;100,100,K65/K35%)</f>
        <v>53.733932655153382</v>
      </c>
      <c r="L67" s="155">
        <f t="shared" si="144"/>
        <v>70.136175251628188</v>
      </c>
      <c r="M67" s="155">
        <f t="shared" si="144"/>
        <v>56.593601895734594</v>
      </c>
      <c r="N67" s="155">
        <f t="shared" si="144"/>
        <v>88.313778795249675</v>
      </c>
      <c r="O67" s="155">
        <f t="shared" si="144"/>
        <v>46.659021406727824</v>
      </c>
      <c r="P67" s="155">
        <f t="shared" si="144"/>
        <v>6.6444033014378912</v>
      </c>
      <c r="Q67" s="155">
        <f t="shared" si="144"/>
        <v>55.579771382822571</v>
      </c>
      <c r="R67" s="155">
        <f t="shared" si="144"/>
        <v>19.808123168840122</v>
      </c>
      <c r="S67" s="155">
        <f t="shared" si="144"/>
        <v>81.539302938398052</v>
      </c>
      <c r="T67" s="155">
        <f t="shared" si="144"/>
        <v>22.766171057034949</v>
      </c>
      <c r="U67" s="552">
        <f t="shared" si="144"/>
        <v>22.094375016512984</v>
      </c>
      <c r="V67" s="155">
        <f t="shared" si="144"/>
        <v>37.097477421364061</v>
      </c>
      <c r="W67" s="155">
        <f t="shared" si="144"/>
        <v>100</v>
      </c>
      <c r="X67" s="155">
        <f t="shared" si="144"/>
        <v>14.190120055107261</v>
      </c>
      <c r="Y67" s="155">
        <f t="shared" si="144"/>
        <v>26.550119771512804</v>
      </c>
      <c r="Z67" s="155">
        <f t="shared" si="144"/>
        <v>53.211351755041079</v>
      </c>
      <c r="AA67" s="155">
        <f t="shared" si="144"/>
        <v>64.189123455589055</v>
      </c>
      <c r="AB67" s="552">
        <f t="shared" si="144"/>
        <v>100</v>
      </c>
      <c r="AC67" s="155">
        <f t="shared" si="144"/>
        <v>100</v>
      </c>
      <c r="AD67" s="155">
        <f t="shared" si="144"/>
        <v>52.271704903283847</v>
      </c>
      <c r="AE67" s="155">
        <f t="shared" si="144"/>
        <v>57.457334611697028</v>
      </c>
      <c r="AF67" s="155">
        <f t="shared" si="144"/>
        <v>74.28131868131868</v>
      </c>
      <c r="AG67" s="155">
        <f t="shared" si="144"/>
        <v>39.982830775834316</v>
      </c>
      <c r="AH67" s="155">
        <f t="shared" si="144"/>
        <v>48.425900675696155</v>
      </c>
      <c r="AI67" s="155">
        <f t="shared" si="144"/>
        <v>100</v>
      </c>
      <c r="AJ67" s="155">
        <f t="shared" si="144"/>
        <v>100</v>
      </c>
      <c r="AK67" s="552">
        <f t="shared" si="144"/>
        <v>96.694779433015412</v>
      </c>
      <c r="AL67" s="155">
        <f t="shared" si="144"/>
        <v>98.223976319684269</v>
      </c>
      <c r="AM67" s="155">
        <f t="shared" si="144"/>
        <v>30.528555282228577</v>
      </c>
      <c r="AN67" s="155">
        <f t="shared" si="144"/>
        <v>73.841267625296666</v>
      </c>
      <c r="AO67" s="155">
        <f t="shared" si="144"/>
        <v>100</v>
      </c>
      <c r="AP67" s="155">
        <f t="shared" si="144"/>
        <v>37.666616744046728</v>
      </c>
      <c r="AQ67" s="155">
        <f t="shared" si="144"/>
        <v>83.811494168695873</v>
      </c>
      <c r="AR67" s="155">
        <f t="shared" si="144"/>
        <v>23.877797943133693</v>
      </c>
      <c r="AS67" s="156">
        <f t="shared" si="144"/>
        <v>45.552680881434561</v>
      </c>
      <c r="AT67" s="155">
        <f t="shared" si="144"/>
        <v>14.303030303030303</v>
      </c>
      <c r="AU67" s="155">
        <f t="shared" si="144"/>
        <v>55.579771382822571</v>
      </c>
      <c r="AV67" s="155">
        <f t="shared" si="144"/>
        <v>81.539302938398052</v>
      </c>
      <c r="AW67" s="155">
        <f t="shared" si="144"/>
        <v>88.313778795249675</v>
      </c>
      <c r="AX67" s="155">
        <f t="shared" si="144"/>
        <v>20.229444324190606</v>
      </c>
      <c r="AY67" s="155">
        <f t="shared" si="144"/>
        <v>70.136175251628188</v>
      </c>
      <c r="AZ67" s="155">
        <f t="shared" si="144"/>
        <v>0</v>
      </c>
      <c r="BA67" s="155">
        <f t="shared" si="144"/>
        <v>7.143122884035864</v>
      </c>
      <c r="BB67" s="155">
        <f t="shared" si="144"/>
        <v>22.766171057034949</v>
      </c>
      <c r="BC67" s="155">
        <f t="shared" si="144"/>
        <v>22.094375016512984</v>
      </c>
      <c r="BD67" s="155">
        <f t="shared" si="144"/>
        <v>56.593601895734594</v>
      </c>
      <c r="BE67" s="155">
        <f t="shared" si="144"/>
        <v>46.659021406727824</v>
      </c>
      <c r="BF67" s="552">
        <f t="shared" si="144"/>
        <v>53.733932655153382</v>
      </c>
      <c r="BG67" s="155">
        <f t="shared" si="144"/>
        <v>90.607734806629836</v>
      </c>
      <c r="BH67" s="155">
        <f t="shared" si="144"/>
        <v>0</v>
      </c>
      <c r="BI67" s="155">
        <f t="shared" si="144"/>
        <v>15.152231591667324</v>
      </c>
      <c r="BJ67" s="155">
        <f t="shared" si="144"/>
        <v>31.79297597042514</v>
      </c>
      <c r="BK67" s="155">
        <f t="shared" si="144"/>
        <v>0</v>
      </c>
      <c r="BL67" s="155">
        <f t="shared" si="144"/>
        <v>0</v>
      </c>
      <c r="BM67" s="155">
        <f t="shared" si="144"/>
        <v>53.211351755041079</v>
      </c>
      <c r="BN67" s="155">
        <f t="shared" si="144"/>
        <v>29.800930713547054</v>
      </c>
      <c r="BO67" s="155">
        <f t="shared" si="144"/>
        <v>100</v>
      </c>
      <c r="BP67" s="155">
        <f t="shared" si="144"/>
        <v>100</v>
      </c>
      <c r="BQ67" s="155">
        <f t="shared" si="144"/>
        <v>60.831118380699245</v>
      </c>
      <c r="BR67" s="552">
        <f t="shared" si="144"/>
        <v>100</v>
      </c>
      <c r="BS67" s="155">
        <f t="shared" si="144"/>
        <v>6.5355696934644305</v>
      </c>
      <c r="BT67" s="155">
        <f t="shared" si="144"/>
        <v>61.073687669432346</v>
      </c>
      <c r="BU67" s="155">
        <f t="shared" si="144"/>
        <v>52.271704903283847</v>
      </c>
      <c r="BV67" s="155">
        <f t="shared" si="144"/>
        <v>39.982830775834316</v>
      </c>
      <c r="BW67" s="155">
        <f t="shared" ref="BW67:CL67" si="145">IF(BW65/BW35%&gt;100,100,BW65/BW35%)</f>
        <v>100</v>
      </c>
      <c r="BX67" s="155">
        <f t="shared" si="145"/>
        <v>100</v>
      </c>
      <c r="BY67" s="155">
        <f t="shared" si="145"/>
        <v>100</v>
      </c>
      <c r="BZ67" s="155">
        <f t="shared" si="145"/>
        <v>48.425900675696155</v>
      </c>
      <c r="CA67" s="155">
        <f t="shared" si="145"/>
        <v>74.28131868131868</v>
      </c>
      <c r="CB67" s="552">
        <f t="shared" si="145"/>
        <v>96.694779433015412</v>
      </c>
      <c r="CC67" s="155">
        <f t="shared" si="145"/>
        <v>100</v>
      </c>
      <c r="CD67" s="155">
        <f t="shared" si="145"/>
        <v>37.666616744046728</v>
      </c>
      <c r="CE67" s="155">
        <f t="shared" si="145"/>
        <v>98.223976319684269</v>
      </c>
      <c r="CF67" s="155">
        <f t="shared" si="145"/>
        <v>0</v>
      </c>
      <c r="CG67" s="155">
        <f t="shared" si="145"/>
        <v>48.434832100170745</v>
      </c>
      <c r="CH67" s="155">
        <f t="shared" si="145"/>
        <v>30.528555282228577</v>
      </c>
      <c r="CI67" s="155">
        <f t="shared" si="145"/>
        <v>23.877797943133693</v>
      </c>
      <c r="CJ67" s="155">
        <f t="shared" si="145"/>
        <v>73.841267625296666</v>
      </c>
      <c r="CK67" s="156">
        <f t="shared" si="145"/>
        <v>83.811494168695873</v>
      </c>
      <c r="CL67" s="320">
        <f t="shared" si="145"/>
        <v>56.381497134716277</v>
      </c>
    </row>
    <row r="68" spans="1:90">
      <c r="A68" s="80">
        <f>ROWS($A$3:A66)</f>
        <v>64</v>
      </c>
      <c r="B68" s="59" t="s">
        <v>81</v>
      </c>
      <c r="C68" s="252"/>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c r="A69" s="80">
        <f>ROWS($A$3:A67)</f>
        <v>65</v>
      </c>
      <c r="B69" s="92" t="s">
        <v>265</v>
      </c>
      <c r="C69" s="252">
        <v>2021</v>
      </c>
      <c r="D69" s="259" t="s">
        <v>13</v>
      </c>
      <c r="E69" s="706">
        <v>44631</v>
      </c>
      <c r="F69" s="530">
        <f>SUM(AT69:BF69)</f>
        <v>1022</v>
      </c>
      <c r="G69" s="531">
        <f>SUM(BG69:BR69)</f>
        <v>355</v>
      </c>
      <c r="H69" s="531">
        <f>SUM(BS69:CB69)</f>
        <v>1291</v>
      </c>
      <c r="I69" s="532">
        <f>SUM(CC69:CK69)</f>
        <v>1245</v>
      </c>
      <c r="J69" s="382"/>
      <c r="K69" s="154">
        <f>BF69</f>
        <v>148</v>
      </c>
      <c r="L69" s="155">
        <f>AY69</f>
        <v>102</v>
      </c>
      <c r="M69" s="155">
        <f>BD69</f>
        <v>178</v>
      </c>
      <c r="N69" s="155">
        <f>AW69</f>
        <v>61</v>
      </c>
      <c r="O69" s="155">
        <f>BE69</f>
        <v>62</v>
      </c>
      <c r="P69" s="155">
        <f>SUM(AZ69,BA69)</f>
        <v>85</v>
      </c>
      <c r="Q69" s="155">
        <f>'2010'!AU69</f>
        <v>29</v>
      </c>
      <c r="R69" s="155">
        <f>SUM(AT69+AX69)</f>
        <v>52</v>
      </c>
      <c r="S69" s="155">
        <f>AV69</f>
        <v>47</v>
      </c>
      <c r="T69" s="155">
        <f>BB69</f>
        <v>75</v>
      </c>
      <c r="U69" s="552">
        <f>BC69</f>
        <v>168</v>
      </c>
      <c r="V69" s="155">
        <f>SUM(BG69,BJ69)</f>
        <v>22</v>
      </c>
      <c r="W69" s="155">
        <f>BR69</f>
        <v>51</v>
      </c>
      <c r="X69" s="155">
        <f>SUM(BH69,BI69)</f>
        <v>64</v>
      </c>
      <c r="Y69" s="155">
        <f>SUM(BK69,BL69,BN69)</f>
        <v>51</v>
      </c>
      <c r="Z69" s="155">
        <f>BM69</f>
        <v>62</v>
      </c>
      <c r="AA69" s="155">
        <f>SUM(BO69,BQ69)</f>
        <v>59</v>
      </c>
      <c r="AB69" s="552">
        <f>BP69</f>
        <v>46</v>
      </c>
      <c r="AC69" s="155">
        <f>BX69</f>
        <v>177</v>
      </c>
      <c r="AD69" s="155">
        <f>BU69</f>
        <v>77</v>
      </c>
      <c r="AE69" s="155">
        <f>SUM(BS69+BT69)</f>
        <v>314</v>
      </c>
      <c r="AF69" s="155">
        <f>CA69</f>
        <v>103</v>
      </c>
      <c r="AG69" s="155">
        <f>BV69</f>
        <v>158</v>
      </c>
      <c r="AH69" s="155">
        <f>BZ69</f>
        <v>109</v>
      </c>
      <c r="AI69" s="155">
        <f>BW69</f>
        <v>94</v>
      </c>
      <c r="AJ69" s="155">
        <f>BY69</f>
        <v>57</v>
      </c>
      <c r="AK69" s="552">
        <f>CB69</f>
        <v>202</v>
      </c>
      <c r="AL69" s="155">
        <f>CE69</f>
        <v>109</v>
      </c>
      <c r="AM69" s="155">
        <f>CH69</f>
        <v>115</v>
      </c>
      <c r="AN69" s="155">
        <f>CJ69</f>
        <v>394</v>
      </c>
      <c r="AO69" s="155">
        <f>CC69</f>
        <v>151</v>
      </c>
      <c r="AP69" s="155">
        <f>CD69</f>
        <v>67</v>
      </c>
      <c r="AQ69" s="155">
        <f>CK69</f>
        <v>125</v>
      </c>
      <c r="AR69" s="155">
        <f>CI69</f>
        <v>145</v>
      </c>
      <c r="AS69" s="156">
        <f>SUM(CF69:CG69)</f>
        <v>139</v>
      </c>
      <c r="AT69">
        <v>8</v>
      </c>
      <c r="AU69">
        <v>44</v>
      </c>
      <c r="AV69">
        <v>47</v>
      </c>
      <c r="AW69">
        <v>61</v>
      </c>
      <c r="AX69">
        <v>44</v>
      </c>
      <c r="AY69">
        <v>102</v>
      </c>
      <c r="AZ69">
        <v>6</v>
      </c>
      <c r="BA69">
        <v>79</v>
      </c>
      <c r="BB69">
        <v>75</v>
      </c>
      <c r="BC69">
        <v>168</v>
      </c>
      <c r="BD69">
        <v>178</v>
      </c>
      <c r="BE69">
        <v>62</v>
      </c>
      <c r="BF69">
        <v>148</v>
      </c>
      <c r="BG69">
        <v>6</v>
      </c>
      <c r="BH69">
        <v>7</v>
      </c>
      <c r="BI69">
        <v>57</v>
      </c>
      <c r="BJ69">
        <v>16</v>
      </c>
      <c r="BK69">
        <v>4</v>
      </c>
      <c r="BL69"/>
      <c r="BM69">
        <v>62</v>
      </c>
      <c r="BN69">
        <v>47</v>
      </c>
      <c r="BO69">
        <v>1</v>
      </c>
      <c r="BP69">
        <v>46</v>
      </c>
      <c r="BQ69">
        <v>58</v>
      </c>
      <c r="BR69">
        <v>51</v>
      </c>
      <c r="BS69">
        <v>13</v>
      </c>
      <c r="BT69">
        <v>301</v>
      </c>
      <c r="BU69">
        <v>77</v>
      </c>
      <c r="BV69">
        <v>158</v>
      </c>
      <c r="BW69">
        <v>94</v>
      </c>
      <c r="BX69">
        <v>177</v>
      </c>
      <c r="BY69">
        <v>57</v>
      </c>
      <c r="BZ69">
        <v>109</v>
      </c>
      <c r="CA69">
        <v>103</v>
      </c>
      <c r="CB69">
        <v>202</v>
      </c>
      <c r="CC69">
        <v>151</v>
      </c>
      <c r="CD69">
        <v>67</v>
      </c>
      <c r="CE69">
        <v>109</v>
      </c>
      <c r="CF69">
        <v>3</v>
      </c>
      <c r="CG69">
        <v>136</v>
      </c>
      <c r="CH69">
        <v>115</v>
      </c>
      <c r="CI69">
        <v>145</v>
      </c>
      <c r="CJ69">
        <v>394</v>
      </c>
      <c r="CK69">
        <v>125</v>
      </c>
      <c r="CL69">
        <v>3913</v>
      </c>
    </row>
    <row r="70" spans="1:90">
      <c r="A70" s="80">
        <f>ROWS($A$3:A68)</f>
        <v>66</v>
      </c>
      <c r="B70" s="92" t="s">
        <v>70</v>
      </c>
      <c r="C70" s="203">
        <v>2021</v>
      </c>
      <c r="D70" s="259" t="s">
        <v>1</v>
      </c>
      <c r="E70" s="706">
        <v>44631</v>
      </c>
      <c r="F70" s="530">
        <f>SUM(AT70:BF70)</f>
        <v>48690.515199999994</v>
      </c>
      <c r="G70" s="531">
        <f>SUM(BG70:BR70)</f>
        <v>19827.1103</v>
      </c>
      <c r="H70" s="531">
        <f>SUM(BS70:CB70)</f>
        <v>50867.579499999993</v>
      </c>
      <c r="I70" s="532">
        <f>SUM(CC70:CK70)</f>
        <v>59808.106700000004</v>
      </c>
      <c r="J70" s="281"/>
      <c r="K70" s="154">
        <f>BF70</f>
        <v>6531.6319999999996</v>
      </c>
      <c r="L70" s="155">
        <f>AY70</f>
        <v>3531.1535000000003</v>
      </c>
      <c r="M70" s="155">
        <f>BD70</f>
        <v>10793.595099999999</v>
      </c>
      <c r="N70" s="155">
        <f>AW70</f>
        <v>3091.9726999999993</v>
      </c>
      <c r="O70" s="155">
        <f>BE70</f>
        <v>3499.3068999999991</v>
      </c>
      <c r="P70" s="155">
        <f>SUM(AZ70,BA70)</f>
        <v>3757.1473000000005</v>
      </c>
      <c r="Q70" s="155">
        <f>'2010'!AU70</f>
        <v>1115</v>
      </c>
      <c r="R70" s="155">
        <f>SUM(AT70+AX70)</f>
        <v>2257.1014999999998</v>
      </c>
      <c r="S70" s="155">
        <f>AV70</f>
        <v>1842.0166999999997</v>
      </c>
      <c r="T70" s="155">
        <f>BB70</f>
        <v>4201.8301999999994</v>
      </c>
      <c r="U70" s="552">
        <f>BC70</f>
        <v>7160.2976999999992</v>
      </c>
      <c r="V70" s="155">
        <f>SUM(BG70,BJ70)</f>
        <v>1062.2959999999998</v>
      </c>
      <c r="W70" s="155">
        <f>BR70</f>
        <v>2388.5046999999986</v>
      </c>
      <c r="X70" s="155">
        <f>SUM(BH70,BI70)</f>
        <v>3876.6369</v>
      </c>
      <c r="Y70" s="155">
        <f>SUM(BK70,BL70,BN70)</f>
        <v>2866.3697000000002</v>
      </c>
      <c r="Z70" s="155">
        <f>BM70</f>
        <v>3696.4517000000014</v>
      </c>
      <c r="AA70" s="155">
        <f>SUM(BO70,BQ70)</f>
        <v>3935.5736999999999</v>
      </c>
      <c r="AB70" s="552">
        <f>BP70</f>
        <v>2001.2776000000003</v>
      </c>
      <c r="AC70" s="155">
        <f>BX70</f>
        <v>7084.4478999999992</v>
      </c>
      <c r="AD70" s="155">
        <f>BU70</f>
        <v>2365.0246000000002</v>
      </c>
      <c r="AE70" s="155">
        <f>SUM(BS70+BT70)</f>
        <v>9925.7174000000014</v>
      </c>
      <c r="AF70" s="155">
        <f>CA70</f>
        <v>3535.9655999999995</v>
      </c>
      <c r="AG70" s="155">
        <f>BV70</f>
        <v>5401.5998000000027</v>
      </c>
      <c r="AH70" s="155">
        <f>BZ70</f>
        <v>5427.9601999999968</v>
      </c>
      <c r="AI70" s="155">
        <f>BW70</f>
        <v>4251.2545000000009</v>
      </c>
      <c r="AJ70" s="155">
        <f>BY70</f>
        <v>3561.6882999999998</v>
      </c>
      <c r="AK70" s="552">
        <f>CB70</f>
        <v>9313.9211999999934</v>
      </c>
      <c r="AL70" s="155">
        <f>CE70</f>
        <v>7124.1191000000017</v>
      </c>
      <c r="AM70" s="155">
        <f>CH70</f>
        <v>6309.0708999999997</v>
      </c>
      <c r="AN70" s="155">
        <f>CJ70</f>
        <v>16555.6787</v>
      </c>
      <c r="AO70" s="155">
        <f>CC70</f>
        <v>6786.6948000000011</v>
      </c>
      <c r="AP70" s="155">
        <f>CD70</f>
        <v>4653.2746000000006</v>
      </c>
      <c r="AQ70" s="155">
        <f>CK70</f>
        <v>6506.8118999999997</v>
      </c>
      <c r="AR70" s="155">
        <f>CI70</f>
        <v>5335.5539000000017</v>
      </c>
      <c r="AS70" s="156">
        <f>SUM(CF70:CG70)</f>
        <v>6536.902799999998</v>
      </c>
      <c r="AT70" s="604">
        <v>214.55190000000002</v>
      </c>
      <c r="AU70" s="604">
        <v>2024.4616000000005</v>
      </c>
      <c r="AV70" s="604">
        <v>1842.0166999999997</v>
      </c>
      <c r="AW70" s="604">
        <v>3091.9726999999993</v>
      </c>
      <c r="AX70" s="604">
        <v>2042.5495999999998</v>
      </c>
      <c r="AY70" s="604">
        <v>3531.1535000000003</v>
      </c>
      <c r="AZ70" s="604">
        <v>187.16849999999999</v>
      </c>
      <c r="BA70" s="604">
        <v>3569.9788000000008</v>
      </c>
      <c r="BB70" s="604">
        <v>4201.8301999999994</v>
      </c>
      <c r="BC70" s="604">
        <v>7160.2976999999992</v>
      </c>
      <c r="BD70" s="604">
        <v>10793.595099999999</v>
      </c>
      <c r="BE70" s="604">
        <v>3499.3068999999991</v>
      </c>
      <c r="BF70" s="604">
        <v>6531.6319999999996</v>
      </c>
      <c r="BG70" s="604">
        <v>272.65480000000002</v>
      </c>
      <c r="BH70" s="604">
        <v>205.27719999999999</v>
      </c>
      <c r="BI70" s="604">
        <v>3671.3597</v>
      </c>
      <c r="BJ70" s="604">
        <v>789.64119999999991</v>
      </c>
      <c r="BK70" s="604">
        <v>92.803100000000001</v>
      </c>
      <c r="BL70" s="604"/>
      <c r="BM70" s="604">
        <v>3696.4517000000014</v>
      </c>
      <c r="BN70" s="604">
        <v>2773.5666000000001</v>
      </c>
      <c r="BO70" s="604">
        <v>90.1768</v>
      </c>
      <c r="BP70" s="604">
        <v>2001.2776000000003</v>
      </c>
      <c r="BQ70" s="604">
        <v>3845.3968999999997</v>
      </c>
      <c r="BR70" s="604">
        <v>2388.5046999999986</v>
      </c>
      <c r="BS70" s="604">
        <v>505.29639999999995</v>
      </c>
      <c r="BT70" s="604">
        <v>9420.4210000000021</v>
      </c>
      <c r="BU70" s="604">
        <v>2365.0246000000002</v>
      </c>
      <c r="BV70" s="604">
        <v>5401.5998000000027</v>
      </c>
      <c r="BW70" s="604">
        <v>4251.2545000000009</v>
      </c>
      <c r="BX70" s="604">
        <v>7084.4478999999992</v>
      </c>
      <c r="BY70" s="604">
        <v>3561.6882999999998</v>
      </c>
      <c r="BZ70" s="604">
        <v>5427.9601999999968</v>
      </c>
      <c r="CA70" s="604">
        <v>3535.9655999999995</v>
      </c>
      <c r="CB70" s="604">
        <v>9313.9211999999934</v>
      </c>
      <c r="CC70" s="604">
        <v>6786.6948000000011</v>
      </c>
      <c r="CD70" s="604">
        <v>4653.2746000000006</v>
      </c>
      <c r="CE70" s="604">
        <v>7124.1191000000017</v>
      </c>
      <c r="CF70" s="604">
        <v>163.33109999999999</v>
      </c>
      <c r="CG70" s="604">
        <v>6373.5716999999977</v>
      </c>
      <c r="CH70" s="604">
        <v>6309.0708999999997</v>
      </c>
      <c r="CI70" s="604">
        <v>5335.5539000000017</v>
      </c>
      <c r="CJ70" s="604">
        <v>16555.6787</v>
      </c>
      <c r="CK70" s="604">
        <v>6506.8118999999997</v>
      </c>
      <c r="CL70" s="604">
        <v>179193.31169999947</v>
      </c>
    </row>
    <row r="71" spans="1:90">
      <c r="A71" s="80">
        <f>ROWS($A$3:A69)</f>
        <v>67</v>
      </c>
      <c r="B71" s="54" t="s">
        <v>266</v>
      </c>
      <c r="C71" s="202"/>
      <c r="D71" s="259" t="s">
        <v>1</v>
      </c>
      <c r="E71" s="706">
        <v>44631</v>
      </c>
      <c r="F71" s="539">
        <f>IF(ISERROR(F70/F69)=FALSE,F70/F69," -")</f>
        <v>47.642382778864963</v>
      </c>
      <c r="G71" s="521">
        <f>IF(ISERROR(G70/G69)=FALSE,G70/G69," -")</f>
        <v>55.851014929577467</v>
      </c>
      <c r="H71" s="521">
        <f>IF(ISERROR(H70/H69)=FALSE,H70/H69," -")</f>
        <v>39.40168822618125</v>
      </c>
      <c r="I71" s="540">
        <f>IF(ISERROR(I70/I69)=FALSE,I70/I69," -")</f>
        <v>48.038639919678715</v>
      </c>
      <c r="J71" s="281"/>
      <c r="K71" s="154">
        <f t="shared" ref="K71:BV71" si="146">IF(ISERROR(K70/K69)=FALSE,K70/K69," -")</f>
        <v>44.132648648648647</v>
      </c>
      <c r="L71" s="155">
        <f t="shared" si="146"/>
        <v>34.619151960784315</v>
      </c>
      <c r="M71" s="155">
        <f t="shared" si="146"/>
        <v>60.638174719101116</v>
      </c>
      <c r="N71" s="155">
        <f t="shared" si="146"/>
        <v>50.688077049180315</v>
      </c>
      <c r="O71" s="155">
        <f t="shared" si="146"/>
        <v>56.44043387096773</v>
      </c>
      <c r="P71" s="155">
        <f t="shared" si="146"/>
        <v>44.201732941176473</v>
      </c>
      <c r="Q71" s="155">
        <f t="shared" si="146"/>
        <v>38.448275862068968</v>
      </c>
      <c r="R71" s="155">
        <f t="shared" si="146"/>
        <v>43.40579807692307</v>
      </c>
      <c r="S71" s="155">
        <f t="shared" si="146"/>
        <v>39.191844680851055</v>
      </c>
      <c r="T71" s="155">
        <f t="shared" si="146"/>
        <v>56.02440266666666</v>
      </c>
      <c r="U71" s="552">
        <f t="shared" si="146"/>
        <v>42.620819642857136</v>
      </c>
      <c r="V71" s="155">
        <f t="shared" si="146"/>
        <v>48.286181818181809</v>
      </c>
      <c r="W71" s="155">
        <f t="shared" si="146"/>
        <v>46.833425490196049</v>
      </c>
      <c r="X71" s="155">
        <f t="shared" si="146"/>
        <v>60.5724515625</v>
      </c>
      <c r="Y71" s="155">
        <f t="shared" si="146"/>
        <v>56.203327450980396</v>
      </c>
      <c r="Z71" s="155">
        <f t="shared" si="146"/>
        <v>59.620188709677443</v>
      </c>
      <c r="AA71" s="155">
        <f t="shared" si="146"/>
        <v>66.704638983050842</v>
      </c>
      <c r="AB71" s="552">
        <f t="shared" si="146"/>
        <v>43.506034782608701</v>
      </c>
      <c r="AC71" s="155">
        <f t="shared" si="146"/>
        <v>40.025129378531069</v>
      </c>
      <c r="AD71" s="155">
        <f t="shared" si="146"/>
        <v>30.714605194805198</v>
      </c>
      <c r="AE71" s="155">
        <f t="shared" si="146"/>
        <v>31.610564968152872</v>
      </c>
      <c r="AF71" s="155">
        <f t="shared" si="146"/>
        <v>34.329763106796115</v>
      </c>
      <c r="AG71" s="155">
        <f t="shared" si="146"/>
        <v>34.187340506329129</v>
      </c>
      <c r="AH71" s="155">
        <f t="shared" si="146"/>
        <v>49.797799999999974</v>
      </c>
      <c r="AI71" s="155">
        <f t="shared" si="146"/>
        <v>45.226111702127668</v>
      </c>
      <c r="AJ71" s="155">
        <f t="shared" si="146"/>
        <v>62.485759649122805</v>
      </c>
      <c r="AK71" s="552">
        <f t="shared" si="146"/>
        <v>46.108520792079176</v>
      </c>
      <c r="AL71" s="155">
        <f t="shared" si="146"/>
        <v>65.358890825688093</v>
      </c>
      <c r="AM71" s="155">
        <f t="shared" si="146"/>
        <v>54.861486086956518</v>
      </c>
      <c r="AN71" s="155">
        <f t="shared" si="146"/>
        <v>42.019489086294421</v>
      </c>
      <c r="AO71" s="155">
        <f t="shared" si="146"/>
        <v>44.944998675496699</v>
      </c>
      <c r="AP71" s="155">
        <f t="shared" si="146"/>
        <v>69.451859701492552</v>
      </c>
      <c r="AQ71" s="155">
        <f t="shared" si="146"/>
        <v>52.054495199999998</v>
      </c>
      <c r="AR71" s="155">
        <f t="shared" si="146"/>
        <v>36.796923448275876</v>
      </c>
      <c r="AS71" s="156">
        <f t="shared" si="146"/>
        <v>47.028077697841709</v>
      </c>
      <c r="AT71" s="155">
        <f t="shared" si="146"/>
        <v>26.818987500000002</v>
      </c>
      <c r="AU71" s="155">
        <f t="shared" si="146"/>
        <v>46.010490909090919</v>
      </c>
      <c r="AV71" s="155">
        <f t="shared" si="146"/>
        <v>39.191844680851055</v>
      </c>
      <c r="AW71" s="155">
        <f t="shared" si="146"/>
        <v>50.688077049180315</v>
      </c>
      <c r="AX71" s="155">
        <f t="shared" si="146"/>
        <v>46.421581818181814</v>
      </c>
      <c r="AY71" s="155">
        <f t="shared" si="146"/>
        <v>34.619151960784315</v>
      </c>
      <c r="AZ71" s="155">
        <f t="shared" si="146"/>
        <v>31.194749999999999</v>
      </c>
      <c r="BA71" s="155">
        <f t="shared" si="146"/>
        <v>45.189605063291147</v>
      </c>
      <c r="BB71" s="155">
        <f t="shared" si="146"/>
        <v>56.02440266666666</v>
      </c>
      <c r="BC71" s="155">
        <f t="shared" si="146"/>
        <v>42.620819642857136</v>
      </c>
      <c r="BD71" s="155">
        <f t="shared" si="146"/>
        <v>60.638174719101116</v>
      </c>
      <c r="BE71" s="155">
        <f t="shared" si="146"/>
        <v>56.44043387096773</v>
      </c>
      <c r="BF71" s="552">
        <f t="shared" si="146"/>
        <v>44.132648648648647</v>
      </c>
      <c r="BG71" s="155">
        <f t="shared" si="146"/>
        <v>45.442466666666668</v>
      </c>
      <c r="BH71" s="155">
        <f t="shared" si="146"/>
        <v>29.325314285714285</v>
      </c>
      <c r="BI71" s="155">
        <f t="shared" si="146"/>
        <v>64.409819298245608</v>
      </c>
      <c r="BJ71" s="155">
        <f t="shared" si="146"/>
        <v>49.352574999999995</v>
      </c>
      <c r="BK71" s="155">
        <f t="shared" si="146"/>
        <v>23.200775</v>
      </c>
      <c r="BL71" s="155" t="str">
        <f t="shared" si="146"/>
        <v xml:space="preserve"> -</v>
      </c>
      <c r="BM71" s="155">
        <f t="shared" si="146"/>
        <v>59.620188709677443</v>
      </c>
      <c r="BN71" s="155">
        <f t="shared" si="146"/>
        <v>59.012055319148935</v>
      </c>
      <c r="BO71" s="155">
        <f t="shared" si="146"/>
        <v>90.1768</v>
      </c>
      <c r="BP71" s="155">
        <f t="shared" si="146"/>
        <v>43.506034782608701</v>
      </c>
      <c r="BQ71" s="155">
        <f t="shared" si="146"/>
        <v>66.299946551724133</v>
      </c>
      <c r="BR71" s="552">
        <f t="shared" si="146"/>
        <v>46.833425490196049</v>
      </c>
      <c r="BS71" s="155">
        <f t="shared" si="146"/>
        <v>38.868953846153843</v>
      </c>
      <c r="BT71" s="155">
        <f t="shared" si="146"/>
        <v>31.297079734219277</v>
      </c>
      <c r="BU71" s="155">
        <f t="shared" si="146"/>
        <v>30.714605194805198</v>
      </c>
      <c r="BV71" s="155">
        <f t="shared" si="146"/>
        <v>34.187340506329129</v>
      </c>
      <c r="BW71" s="155">
        <f t="shared" ref="BW71:CK71" si="147">IF(ISERROR(BW70/BW69)=FALSE,BW70/BW69," -")</f>
        <v>45.226111702127668</v>
      </c>
      <c r="BX71" s="155">
        <f t="shared" si="147"/>
        <v>40.025129378531069</v>
      </c>
      <c r="BY71" s="155">
        <f t="shared" si="147"/>
        <v>62.485759649122805</v>
      </c>
      <c r="BZ71" s="155">
        <f t="shared" si="147"/>
        <v>49.797799999999974</v>
      </c>
      <c r="CA71" s="155">
        <f t="shared" si="147"/>
        <v>34.329763106796115</v>
      </c>
      <c r="CB71" s="552">
        <f t="shared" si="147"/>
        <v>46.108520792079176</v>
      </c>
      <c r="CC71" s="155">
        <f t="shared" si="147"/>
        <v>44.944998675496699</v>
      </c>
      <c r="CD71" s="155">
        <f t="shared" si="147"/>
        <v>69.451859701492552</v>
      </c>
      <c r="CE71" s="155">
        <f t="shared" si="147"/>
        <v>65.358890825688093</v>
      </c>
      <c r="CF71" s="155">
        <f t="shared" si="147"/>
        <v>54.4437</v>
      </c>
      <c r="CG71" s="155">
        <f t="shared" si="147"/>
        <v>46.864497794117632</v>
      </c>
      <c r="CH71" s="155">
        <f t="shared" si="147"/>
        <v>54.861486086956518</v>
      </c>
      <c r="CI71" s="155">
        <f t="shared" si="147"/>
        <v>36.796923448275876</v>
      </c>
      <c r="CJ71" s="155">
        <f t="shared" si="147"/>
        <v>42.019489086294421</v>
      </c>
      <c r="CK71" s="156">
        <f t="shared" si="147"/>
        <v>52.054495199999998</v>
      </c>
      <c r="CL71" s="320">
        <f>IF(OR(CL69&lt;0.1,CL70&lt;0.1),0,CL70/CL69)</f>
        <v>45.794355149501527</v>
      </c>
    </row>
    <row r="72" spans="1:90">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c r="A73" s="80">
        <f>ROWS($A$3:A71)</f>
        <v>69</v>
      </c>
      <c r="B73" s="92" t="s">
        <v>84</v>
      </c>
      <c r="C73" s="203">
        <v>2020</v>
      </c>
      <c r="D73" s="259" t="s">
        <v>13</v>
      </c>
      <c r="E73" s="706">
        <v>44483</v>
      </c>
      <c r="F73" s="154">
        <v>3479</v>
      </c>
      <c r="G73" s="155">
        <v>1699</v>
      </c>
      <c r="H73" s="155">
        <v>2427</v>
      </c>
      <c r="I73" s="156">
        <v>3167</v>
      </c>
      <c r="J73" s="281"/>
      <c r="K73" s="154">
        <f t="shared" ref="K73:K78" si="148">BF73</f>
        <v>397</v>
      </c>
      <c r="L73" s="155">
        <f t="shared" ref="L73:L78" si="149">AY73</f>
        <v>153</v>
      </c>
      <c r="M73" s="155">
        <f t="shared" ref="M73:M78" si="150">BD73</f>
        <v>663</v>
      </c>
      <c r="N73" s="155">
        <f t="shared" ref="N73:N78" si="151">AW73</f>
        <v>144</v>
      </c>
      <c r="O73" s="155">
        <f t="shared" ref="O73:O78" si="152">BE73</f>
        <v>186</v>
      </c>
      <c r="P73" s="155">
        <f t="shared" ref="P73:P78" si="153">SUM(AZ73,BA73)</f>
        <v>477</v>
      </c>
      <c r="Q73" s="155">
        <f>'2010'!AU73</f>
        <v>256</v>
      </c>
      <c r="R73" s="155">
        <f t="shared" ref="R73:R78" si="154">SUM(AT73,AX73)</f>
        <v>321</v>
      </c>
      <c r="S73" s="155">
        <f t="shared" ref="S73:S78" si="155">AV73</f>
        <v>174</v>
      </c>
      <c r="T73" s="155">
        <f t="shared" ref="T73:U78" si="156">BB73</f>
        <v>248</v>
      </c>
      <c r="U73" s="552">
        <f t="shared" si="156"/>
        <v>444</v>
      </c>
      <c r="V73" s="155">
        <f t="shared" ref="V73:V78" si="157">SUM(BG73,BJ73)</f>
        <v>134</v>
      </c>
      <c r="W73" s="155">
        <f t="shared" ref="W73:W78" si="158">BR73</f>
        <v>177</v>
      </c>
      <c r="X73" s="155">
        <f t="shared" ref="X73:X78" si="159">SUM(BH73,BI73)</f>
        <v>344</v>
      </c>
      <c r="Y73" s="155">
        <f t="shared" ref="Y73:Y78" si="160">SUM(BK73,BL73,BN73)</f>
        <v>434</v>
      </c>
      <c r="Z73" s="155">
        <f t="shared" ref="Z73:Z78" si="161">BM73</f>
        <v>369</v>
      </c>
      <c r="AA73" s="155">
        <f t="shared" ref="AA73:AA78" si="162">SUM(BO73,BQ73)</f>
        <v>132</v>
      </c>
      <c r="AB73" s="552">
        <f t="shared" ref="AB73:AB78" si="163">BP73</f>
        <v>109</v>
      </c>
      <c r="AC73" s="155">
        <f t="shared" ref="AC73:AC78" si="164">BX73</f>
        <v>269</v>
      </c>
      <c r="AD73" s="155">
        <f t="shared" ref="AD73:AD78" si="165">BU73</f>
        <v>170</v>
      </c>
      <c r="AE73" s="155">
        <f t="shared" ref="AE73:AE78" si="166">SUM(BS73,BT73)</f>
        <v>374</v>
      </c>
      <c r="AF73" s="155">
        <f t="shared" ref="AF73:AF78" si="167">CA73</f>
        <v>149</v>
      </c>
      <c r="AG73" s="155">
        <f t="shared" ref="AG73:AG78" si="168">BV73</f>
        <v>504</v>
      </c>
      <c r="AH73" s="155">
        <f t="shared" ref="AH73:AH78" si="169">BZ73</f>
        <v>226</v>
      </c>
      <c r="AI73" s="155">
        <f t="shared" ref="AI73:AI78" si="170">BW73</f>
        <v>267</v>
      </c>
      <c r="AJ73" s="155">
        <f t="shared" ref="AJ73:AJ78" si="171">BY73</f>
        <v>170</v>
      </c>
      <c r="AK73" s="552">
        <f t="shared" ref="AK73:AK78" si="172">CB73</f>
        <v>298</v>
      </c>
      <c r="AL73" s="155">
        <f t="shared" ref="AL73:AL78" si="173">CE73</f>
        <v>324</v>
      </c>
      <c r="AM73" s="155">
        <f t="shared" ref="AM73:AM78" si="174">CH73</f>
        <v>499</v>
      </c>
      <c r="AN73" s="155">
        <f t="shared" ref="AN73:AN78" si="175">CJ73</f>
        <v>356</v>
      </c>
      <c r="AO73" s="155">
        <f t="shared" ref="AO73:AP78" si="176">CC73</f>
        <v>403</v>
      </c>
      <c r="AP73" s="155">
        <f t="shared" si="176"/>
        <v>187</v>
      </c>
      <c r="AQ73" s="155">
        <f t="shared" ref="AQ73:AQ78" si="177">CK73</f>
        <v>459</v>
      </c>
      <c r="AR73" s="155">
        <f t="shared" ref="AR73:AR78" si="178">CI73</f>
        <v>230</v>
      </c>
      <c r="AS73" s="156">
        <f t="shared" ref="AS73:AS78" si="179">SUM(CF73,CG73)</f>
        <v>709</v>
      </c>
      <c r="AT73" s="155">
        <v>29</v>
      </c>
      <c r="AU73" s="155">
        <v>272</v>
      </c>
      <c r="AV73" s="281">
        <v>174</v>
      </c>
      <c r="AW73" s="281">
        <v>144</v>
      </c>
      <c r="AX73" s="281">
        <v>292</v>
      </c>
      <c r="AY73" s="281">
        <v>153</v>
      </c>
      <c r="AZ73" s="281">
        <v>50</v>
      </c>
      <c r="BA73" s="281">
        <v>427</v>
      </c>
      <c r="BB73" s="281">
        <v>248</v>
      </c>
      <c r="BC73" s="281">
        <v>444</v>
      </c>
      <c r="BD73" s="281">
        <v>663</v>
      </c>
      <c r="BE73" s="281">
        <v>186</v>
      </c>
      <c r="BF73" s="552">
        <v>397</v>
      </c>
      <c r="BG73" s="281">
        <v>5</v>
      </c>
      <c r="BH73" s="281">
        <v>31</v>
      </c>
      <c r="BI73" s="281">
        <v>313</v>
      </c>
      <c r="BJ73" s="281">
        <v>129</v>
      </c>
      <c r="BK73" s="281">
        <v>27</v>
      </c>
      <c r="BL73" s="281">
        <v>32</v>
      </c>
      <c r="BM73" s="281">
        <v>369</v>
      </c>
      <c r="BN73" s="281">
        <v>375</v>
      </c>
      <c r="BO73" s="281">
        <v>6</v>
      </c>
      <c r="BP73" s="281">
        <v>109</v>
      </c>
      <c r="BQ73" s="281">
        <v>126</v>
      </c>
      <c r="BR73" s="552">
        <v>177</v>
      </c>
      <c r="BS73" s="281">
        <v>20</v>
      </c>
      <c r="BT73" s="281">
        <v>354</v>
      </c>
      <c r="BU73" s="281">
        <v>170</v>
      </c>
      <c r="BV73" s="281">
        <v>504</v>
      </c>
      <c r="BW73" s="281">
        <v>267</v>
      </c>
      <c r="BX73" s="281">
        <v>269</v>
      </c>
      <c r="BY73" s="281">
        <v>170</v>
      </c>
      <c r="BZ73" s="281">
        <v>226</v>
      </c>
      <c r="CA73" s="281">
        <v>149</v>
      </c>
      <c r="CB73" s="552">
        <v>298</v>
      </c>
      <c r="CC73" s="281">
        <v>403</v>
      </c>
      <c r="CD73" s="281">
        <v>187</v>
      </c>
      <c r="CE73" s="281">
        <v>324</v>
      </c>
      <c r="CF73" s="281">
        <v>54</v>
      </c>
      <c r="CG73" s="281">
        <v>655</v>
      </c>
      <c r="CH73" s="281">
        <v>499</v>
      </c>
      <c r="CI73" s="281">
        <v>230</v>
      </c>
      <c r="CJ73" s="281">
        <v>356</v>
      </c>
      <c r="CK73" s="156">
        <v>459</v>
      </c>
      <c r="CL73" s="320">
        <v>10772</v>
      </c>
    </row>
    <row r="74" spans="1:90">
      <c r="A74" s="80">
        <f>ROWS($A$3:A72)</f>
        <v>70</v>
      </c>
      <c r="B74" s="92" t="s">
        <v>85</v>
      </c>
      <c r="C74" s="203"/>
      <c r="D74" s="259" t="s">
        <v>13</v>
      </c>
      <c r="E74" s="451"/>
      <c r="F74" s="154">
        <v>346</v>
      </c>
      <c r="G74" s="155">
        <v>151</v>
      </c>
      <c r="H74" s="155">
        <v>228</v>
      </c>
      <c r="I74" s="156">
        <v>139</v>
      </c>
      <c r="J74" s="281"/>
      <c r="K74" s="154">
        <f t="shared" si="148"/>
        <v>29</v>
      </c>
      <c r="L74" s="155">
        <f t="shared" si="149"/>
        <v>58</v>
      </c>
      <c r="M74" s="155">
        <f t="shared" si="150"/>
        <v>9</v>
      </c>
      <c r="N74" s="155">
        <f t="shared" si="151"/>
        <v>20</v>
      </c>
      <c r="O74" s="155">
        <f t="shared" si="152"/>
        <v>7</v>
      </c>
      <c r="P74" s="155">
        <f t="shared" si="153"/>
        <v>43</v>
      </c>
      <c r="Q74" s="155">
        <f>'2010'!AU74</f>
        <v>20</v>
      </c>
      <c r="R74" s="155">
        <f t="shared" si="154"/>
        <v>98</v>
      </c>
      <c r="S74" s="155">
        <f t="shared" si="155"/>
        <v>44</v>
      </c>
      <c r="T74" s="155">
        <f t="shared" si="156"/>
        <v>10</v>
      </c>
      <c r="U74" s="552">
        <f t="shared" si="156"/>
        <v>13</v>
      </c>
      <c r="V74" s="155">
        <f t="shared" si="157"/>
        <v>14</v>
      </c>
      <c r="W74" s="155">
        <f t="shared" si="158"/>
        <v>7</v>
      </c>
      <c r="X74" s="155">
        <f t="shared" si="159"/>
        <v>36</v>
      </c>
      <c r="Y74" s="155">
        <f t="shared" si="160"/>
        <v>53</v>
      </c>
      <c r="Z74" s="155">
        <f t="shared" si="161"/>
        <v>7</v>
      </c>
      <c r="AA74" s="155">
        <f t="shared" si="162"/>
        <v>20</v>
      </c>
      <c r="AB74" s="552">
        <f t="shared" si="163"/>
        <v>14</v>
      </c>
      <c r="AC74" s="155">
        <f t="shared" si="164"/>
        <v>7</v>
      </c>
      <c r="AD74" s="155">
        <f t="shared" si="165"/>
        <v>21</v>
      </c>
      <c r="AE74" s="155">
        <f t="shared" si="166"/>
        <v>36</v>
      </c>
      <c r="AF74" s="155">
        <f t="shared" si="167"/>
        <v>16</v>
      </c>
      <c r="AG74" s="155">
        <f t="shared" si="168"/>
        <v>59</v>
      </c>
      <c r="AH74" s="155">
        <f t="shared" si="169"/>
        <v>69</v>
      </c>
      <c r="AI74" s="155">
        <f t="shared" si="170"/>
        <v>7</v>
      </c>
      <c r="AJ74" s="155">
        <f t="shared" si="171"/>
        <v>4</v>
      </c>
      <c r="AK74" s="552">
        <f t="shared" si="172"/>
        <v>9</v>
      </c>
      <c r="AL74" s="155">
        <f t="shared" si="173"/>
        <v>8</v>
      </c>
      <c r="AM74" s="155">
        <f t="shared" si="174"/>
        <v>20</v>
      </c>
      <c r="AN74" s="155">
        <f t="shared" si="175"/>
        <v>26</v>
      </c>
      <c r="AO74" s="155">
        <f t="shared" si="176"/>
        <v>19</v>
      </c>
      <c r="AP74" s="155">
        <f t="shared" si="176"/>
        <v>15</v>
      </c>
      <c r="AQ74" s="155">
        <f t="shared" si="177"/>
        <v>9</v>
      </c>
      <c r="AR74" s="155">
        <f t="shared" si="178"/>
        <v>18</v>
      </c>
      <c r="AS74" s="156">
        <f t="shared" si="179"/>
        <v>24</v>
      </c>
      <c r="AT74" s="155">
        <v>28</v>
      </c>
      <c r="AU74" s="155">
        <v>15</v>
      </c>
      <c r="AV74" s="155">
        <v>44</v>
      </c>
      <c r="AW74" s="155">
        <v>20</v>
      </c>
      <c r="AX74" s="155">
        <v>70</v>
      </c>
      <c r="AY74" s="155">
        <v>58</v>
      </c>
      <c r="AZ74" s="155">
        <v>10</v>
      </c>
      <c r="BA74" s="155">
        <v>33</v>
      </c>
      <c r="BB74" s="155">
        <v>10</v>
      </c>
      <c r="BC74" s="155">
        <v>13</v>
      </c>
      <c r="BD74" s="155">
        <v>9</v>
      </c>
      <c r="BE74" s="155">
        <v>7</v>
      </c>
      <c r="BF74" s="552">
        <v>29</v>
      </c>
      <c r="BG74" s="155">
        <v>3</v>
      </c>
      <c r="BH74" s="155">
        <v>9</v>
      </c>
      <c r="BI74" s="155">
        <v>27</v>
      </c>
      <c r="BJ74" s="155">
        <v>11</v>
      </c>
      <c r="BK74" s="155">
        <v>15</v>
      </c>
      <c r="BL74" s="155">
        <v>9</v>
      </c>
      <c r="BM74" s="155">
        <v>7</v>
      </c>
      <c r="BN74" s="155">
        <v>29</v>
      </c>
      <c r="BO74" s="155">
        <v>7</v>
      </c>
      <c r="BP74" s="155">
        <v>14</v>
      </c>
      <c r="BQ74" s="155">
        <v>13</v>
      </c>
      <c r="BR74" s="552">
        <v>7</v>
      </c>
      <c r="BS74" s="155">
        <v>5</v>
      </c>
      <c r="BT74" s="155">
        <v>31</v>
      </c>
      <c r="BU74" s="155">
        <v>21</v>
      </c>
      <c r="BV74" s="155">
        <v>59</v>
      </c>
      <c r="BW74" s="155">
        <v>7</v>
      </c>
      <c r="BX74" s="155">
        <v>7</v>
      </c>
      <c r="BY74" s="155">
        <v>4</v>
      </c>
      <c r="BZ74" s="155">
        <v>69</v>
      </c>
      <c r="CA74" s="155">
        <v>16</v>
      </c>
      <c r="CB74" s="552">
        <v>9</v>
      </c>
      <c r="CC74" s="155">
        <v>19</v>
      </c>
      <c r="CD74" s="155">
        <v>15</v>
      </c>
      <c r="CE74" s="155">
        <v>8</v>
      </c>
      <c r="CF74" s="155">
        <v>9</v>
      </c>
      <c r="CG74" s="155">
        <v>15</v>
      </c>
      <c r="CH74" s="155">
        <v>20</v>
      </c>
      <c r="CI74" s="155">
        <v>18</v>
      </c>
      <c r="CJ74" s="155">
        <v>26</v>
      </c>
      <c r="CK74" s="156">
        <v>9</v>
      </c>
      <c r="CL74" s="320">
        <v>864</v>
      </c>
    </row>
    <row r="75" spans="1:90">
      <c r="A75" s="80">
        <f>ROWS($A$3:A73)</f>
        <v>71</v>
      </c>
      <c r="B75" s="92" t="s">
        <v>86</v>
      </c>
      <c r="C75" s="203"/>
      <c r="D75" s="259" t="s">
        <v>13</v>
      </c>
      <c r="E75" s="451"/>
      <c r="F75" s="154">
        <v>2424</v>
      </c>
      <c r="G75" s="281">
        <v>635</v>
      </c>
      <c r="H75" s="281">
        <v>3565</v>
      </c>
      <c r="I75" s="156">
        <v>899</v>
      </c>
      <c r="J75" s="281"/>
      <c r="K75" s="154">
        <f t="shared" si="148"/>
        <v>13</v>
      </c>
      <c r="L75" s="155">
        <f t="shared" si="149"/>
        <v>338</v>
      </c>
      <c r="M75" s="155">
        <f t="shared" si="150"/>
        <v>159</v>
      </c>
      <c r="N75" s="155">
        <f t="shared" si="151"/>
        <v>23</v>
      </c>
      <c r="O75" s="155">
        <f t="shared" si="152"/>
        <v>3</v>
      </c>
      <c r="P75" s="155">
        <f t="shared" si="153"/>
        <v>1032</v>
      </c>
      <c r="Q75" s="155">
        <f>'2010'!AU75</f>
        <v>31</v>
      </c>
      <c r="R75" s="155">
        <f t="shared" si="154"/>
        <v>506</v>
      </c>
      <c r="S75" s="155">
        <f t="shared" si="155"/>
        <v>68</v>
      </c>
      <c r="T75" s="155">
        <f t="shared" si="156"/>
        <v>256</v>
      </c>
      <c r="U75" s="552">
        <f t="shared" si="156"/>
        <v>8</v>
      </c>
      <c r="V75" s="155">
        <f t="shared" si="157"/>
        <v>224</v>
      </c>
      <c r="W75" s="155">
        <f t="shared" si="158"/>
        <v>3</v>
      </c>
      <c r="X75" s="155">
        <f t="shared" si="159"/>
        <v>131</v>
      </c>
      <c r="Y75" s="155">
        <f t="shared" si="160"/>
        <v>163</v>
      </c>
      <c r="Z75" s="155">
        <f t="shared" si="161"/>
        <v>57</v>
      </c>
      <c r="AA75" s="155">
        <f t="shared" si="162"/>
        <v>54</v>
      </c>
      <c r="AB75" s="552">
        <f t="shared" si="163"/>
        <v>3</v>
      </c>
      <c r="AC75" s="155">
        <f t="shared" si="164"/>
        <v>2</v>
      </c>
      <c r="AD75" s="155">
        <f t="shared" si="165"/>
        <v>448</v>
      </c>
      <c r="AE75" s="155">
        <f t="shared" si="166"/>
        <v>1305</v>
      </c>
      <c r="AF75" s="155">
        <f t="shared" si="167"/>
        <v>191</v>
      </c>
      <c r="AG75" s="155">
        <f t="shared" si="168"/>
        <v>1492</v>
      </c>
      <c r="AH75" s="155">
        <f t="shared" si="169"/>
        <v>93</v>
      </c>
      <c r="AI75" s="155">
        <f t="shared" si="170"/>
        <v>4</v>
      </c>
      <c r="AJ75" s="155" t="str">
        <f t="shared" si="171"/>
        <v>–</v>
      </c>
      <c r="AK75" s="552">
        <f t="shared" si="172"/>
        <v>30</v>
      </c>
      <c r="AL75" s="155">
        <f t="shared" si="173"/>
        <v>6</v>
      </c>
      <c r="AM75" s="155">
        <f t="shared" si="174"/>
        <v>8</v>
      </c>
      <c r="AN75" s="155">
        <f t="shared" si="175"/>
        <v>117</v>
      </c>
      <c r="AO75" s="155">
        <f t="shared" si="176"/>
        <v>24</v>
      </c>
      <c r="AP75" s="155">
        <f t="shared" si="176"/>
        <v>14</v>
      </c>
      <c r="AQ75" s="155">
        <f t="shared" si="177"/>
        <v>11</v>
      </c>
      <c r="AR75" s="155">
        <f t="shared" si="178"/>
        <v>708</v>
      </c>
      <c r="AS75" s="156">
        <f t="shared" si="179"/>
        <v>11</v>
      </c>
      <c r="AT75" s="155">
        <v>100</v>
      </c>
      <c r="AU75" s="281">
        <v>18</v>
      </c>
      <c r="AV75" s="281">
        <v>68</v>
      </c>
      <c r="AW75" s="281">
        <v>23</v>
      </c>
      <c r="AX75" s="281">
        <v>406</v>
      </c>
      <c r="AY75" s="281">
        <v>338</v>
      </c>
      <c r="AZ75" s="281">
        <v>84</v>
      </c>
      <c r="BA75" s="281">
        <v>948</v>
      </c>
      <c r="BB75" s="281">
        <v>256</v>
      </c>
      <c r="BC75" s="281">
        <v>8</v>
      </c>
      <c r="BD75" s="281">
        <v>159</v>
      </c>
      <c r="BE75" s="281">
        <v>3</v>
      </c>
      <c r="BF75" s="552">
        <v>13</v>
      </c>
      <c r="BG75" s="281">
        <v>60</v>
      </c>
      <c r="BH75" s="281">
        <v>5</v>
      </c>
      <c r="BI75" s="281">
        <v>126</v>
      </c>
      <c r="BJ75" s="281">
        <v>164</v>
      </c>
      <c r="BK75" s="281">
        <v>9</v>
      </c>
      <c r="BL75" s="281" t="s">
        <v>41</v>
      </c>
      <c r="BM75" s="281">
        <v>57</v>
      </c>
      <c r="BN75" s="281">
        <v>154</v>
      </c>
      <c r="BO75" s="281" t="s">
        <v>41</v>
      </c>
      <c r="BP75" s="281">
        <v>3</v>
      </c>
      <c r="BQ75" s="281">
        <v>54</v>
      </c>
      <c r="BR75" s="552">
        <v>3</v>
      </c>
      <c r="BS75" s="281">
        <v>118</v>
      </c>
      <c r="BT75" s="281">
        <v>1187</v>
      </c>
      <c r="BU75" s="281">
        <v>448</v>
      </c>
      <c r="BV75" s="281">
        <v>1492</v>
      </c>
      <c r="BW75" s="281">
        <v>4</v>
      </c>
      <c r="BX75" s="281">
        <v>2</v>
      </c>
      <c r="BY75" s="281" t="s">
        <v>41</v>
      </c>
      <c r="BZ75" s="281">
        <v>93</v>
      </c>
      <c r="CA75" s="281">
        <v>191</v>
      </c>
      <c r="CB75" s="552">
        <v>30</v>
      </c>
      <c r="CC75" s="281">
        <v>24</v>
      </c>
      <c r="CD75" s="281">
        <v>14</v>
      </c>
      <c r="CE75" s="281">
        <v>6</v>
      </c>
      <c r="CF75" s="281">
        <v>1</v>
      </c>
      <c r="CG75" s="281">
        <v>10</v>
      </c>
      <c r="CH75" s="281">
        <v>8</v>
      </c>
      <c r="CI75" s="281">
        <v>708</v>
      </c>
      <c r="CJ75" s="281">
        <v>117</v>
      </c>
      <c r="CK75" s="156">
        <v>11</v>
      </c>
      <c r="CL75" s="320">
        <v>7523</v>
      </c>
    </row>
    <row r="76" spans="1:90">
      <c r="A76" s="80">
        <f>ROWS($A$3:A74)</f>
        <v>72</v>
      </c>
      <c r="B76" s="92" t="s">
        <v>87</v>
      </c>
      <c r="C76" s="203"/>
      <c r="D76" s="259" t="s">
        <v>13</v>
      </c>
      <c r="E76" s="451"/>
      <c r="F76" s="154">
        <v>3638</v>
      </c>
      <c r="G76" s="155">
        <v>1200</v>
      </c>
      <c r="H76" s="155">
        <v>4530</v>
      </c>
      <c r="I76" s="156">
        <v>4371</v>
      </c>
      <c r="J76" s="281"/>
      <c r="K76" s="154">
        <f t="shared" si="148"/>
        <v>918</v>
      </c>
      <c r="L76" s="155">
        <f t="shared" si="149"/>
        <v>375</v>
      </c>
      <c r="M76" s="155">
        <f t="shared" si="150"/>
        <v>171</v>
      </c>
      <c r="N76" s="155">
        <f t="shared" si="151"/>
        <v>423</v>
      </c>
      <c r="O76" s="155">
        <f t="shared" si="152"/>
        <v>193</v>
      </c>
      <c r="P76" s="155">
        <f t="shared" si="153"/>
        <v>127</v>
      </c>
      <c r="Q76" s="155">
        <f>'2010'!AU76</f>
        <v>122</v>
      </c>
      <c r="R76" s="155">
        <f t="shared" si="154"/>
        <v>120</v>
      </c>
      <c r="S76" s="155">
        <f t="shared" si="155"/>
        <v>214</v>
      </c>
      <c r="T76" s="155">
        <f t="shared" si="156"/>
        <v>225</v>
      </c>
      <c r="U76" s="552">
        <f t="shared" si="156"/>
        <v>744</v>
      </c>
      <c r="V76" s="155">
        <f t="shared" si="157"/>
        <v>106</v>
      </c>
      <c r="W76" s="155">
        <f t="shared" si="158"/>
        <v>221</v>
      </c>
      <c r="X76" s="155">
        <f t="shared" si="159"/>
        <v>141</v>
      </c>
      <c r="Y76" s="155">
        <f t="shared" si="160"/>
        <v>164</v>
      </c>
      <c r="Z76" s="155">
        <f t="shared" si="161"/>
        <v>213</v>
      </c>
      <c r="AA76" s="155">
        <f t="shared" si="162"/>
        <v>121</v>
      </c>
      <c r="AB76" s="552">
        <f t="shared" si="163"/>
        <v>234</v>
      </c>
      <c r="AC76" s="155">
        <f t="shared" si="164"/>
        <v>577</v>
      </c>
      <c r="AD76" s="155">
        <f t="shared" si="165"/>
        <v>447</v>
      </c>
      <c r="AE76" s="155">
        <f t="shared" si="166"/>
        <v>806</v>
      </c>
      <c r="AF76" s="155">
        <f t="shared" si="167"/>
        <v>482</v>
      </c>
      <c r="AG76" s="155">
        <f t="shared" si="168"/>
        <v>758</v>
      </c>
      <c r="AH76" s="155">
        <f t="shared" si="169"/>
        <v>294</v>
      </c>
      <c r="AI76" s="155">
        <f t="shared" si="170"/>
        <v>324</v>
      </c>
      <c r="AJ76" s="155">
        <f t="shared" si="171"/>
        <v>192</v>
      </c>
      <c r="AK76" s="552">
        <f t="shared" si="172"/>
        <v>650</v>
      </c>
      <c r="AL76" s="155">
        <f t="shared" si="173"/>
        <v>308</v>
      </c>
      <c r="AM76" s="155">
        <f t="shared" si="174"/>
        <v>793</v>
      </c>
      <c r="AN76" s="155">
        <f t="shared" si="175"/>
        <v>1592</v>
      </c>
      <c r="AO76" s="155">
        <f t="shared" si="176"/>
        <v>387</v>
      </c>
      <c r="AP76" s="155">
        <f t="shared" si="176"/>
        <v>91</v>
      </c>
      <c r="AQ76" s="155">
        <f t="shared" si="177"/>
        <v>408</v>
      </c>
      <c r="AR76" s="155">
        <f t="shared" si="178"/>
        <v>266</v>
      </c>
      <c r="AS76" s="156">
        <f t="shared" si="179"/>
        <v>526</v>
      </c>
      <c r="AT76" s="155">
        <v>9</v>
      </c>
      <c r="AU76" s="155">
        <v>128</v>
      </c>
      <c r="AV76" s="155">
        <v>214</v>
      </c>
      <c r="AW76" s="155">
        <v>423</v>
      </c>
      <c r="AX76" s="155">
        <v>111</v>
      </c>
      <c r="AY76" s="155">
        <v>375</v>
      </c>
      <c r="AZ76" s="155">
        <v>1</v>
      </c>
      <c r="BA76" s="155">
        <v>126</v>
      </c>
      <c r="BB76" s="155">
        <v>225</v>
      </c>
      <c r="BC76" s="155">
        <v>744</v>
      </c>
      <c r="BD76" s="155">
        <v>171</v>
      </c>
      <c r="BE76" s="155">
        <v>193</v>
      </c>
      <c r="BF76" s="552">
        <v>918</v>
      </c>
      <c r="BG76" s="155">
        <v>13</v>
      </c>
      <c r="BH76" s="155">
        <v>9</v>
      </c>
      <c r="BI76" s="155">
        <v>132</v>
      </c>
      <c r="BJ76" s="155">
        <v>93</v>
      </c>
      <c r="BK76" s="155">
        <v>3</v>
      </c>
      <c r="BL76" s="155">
        <v>7</v>
      </c>
      <c r="BM76" s="155">
        <v>213</v>
      </c>
      <c r="BN76" s="155">
        <v>154</v>
      </c>
      <c r="BO76" s="155">
        <v>6</v>
      </c>
      <c r="BP76" s="155">
        <v>234</v>
      </c>
      <c r="BQ76" s="155">
        <v>115</v>
      </c>
      <c r="BR76" s="552">
        <v>221</v>
      </c>
      <c r="BS76" s="155">
        <v>16</v>
      </c>
      <c r="BT76" s="155">
        <v>790</v>
      </c>
      <c r="BU76" s="155">
        <v>447</v>
      </c>
      <c r="BV76" s="155">
        <v>758</v>
      </c>
      <c r="BW76" s="155">
        <v>324</v>
      </c>
      <c r="BX76" s="155">
        <v>577</v>
      </c>
      <c r="BY76" s="155">
        <v>192</v>
      </c>
      <c r="BZ76" s="155">
        <v>294</v>
      </c>
      <c r="CA76" s="155">
        <v>482</v>
      </c>
      <c r="CB76" s="552">
        <v>650</v>
      </c>
      <c r="CC76" s="155">
        <v>387</v>
      </c>
      <c r="CD76" s="155">
        <v>91</v>
      </c>
      <c r="CE76" s="155">
        <v>308</v>
      </c>
      <c r="CF76" s="155">
        <v>22</v>
      </c>
      <c r="CG76" s="155">
        <v>504</v>
      </c>
      <c r="CH76" s="155">
        <v>793</v>
      </c>
      <c r="CI76" s="155">
        <v>266</v>
      </c>
      <c r="CJ76" s="155">
        <v>1592</v>
      </c>
      <c r="CK76" s="156">
        <v>408</v>
      </c>
      <c r="CL76" s="320">
        <v>13739</v>
      </c>
    </row>
    <row r="77" spans="1:90">
      <c r="A77" s="80">
        <f>ROWS($A$3:A75)</f>
        <v>73</v>
      </c>
      <c r="B77" s="92" t="s">
        <v>88</v>
      </c>
      <c r="C77" s="614"/>
      <c r="D77" s="259" t="s">
        <v>13</v>
      </c>
      <c r="E77" s="451"/>
      <c r="F77" s="154">
        <v>806</v>
      </c>
      <c r="G77" s="155">
        <v>59</v>
      </c>
      <c r="H77" s="155">
        <v>117</v>
      </c>
      <c r="I77" s="156">
        <v>464</v>
      </c>
      <c r="J77" s="281"/>
      <c r="K77" s="154">
        <f t="shared" si="148"/>
        <v>104</v>
      </c>
      <c r="L77" s="155">
        <f t="shared" si="149"/>
        <v>11</v>
      </c>
      <c r="M77" s="155">
        <f t="shared" si="150"/>
        <v>85</v>
      </c>
      <c r="N77" s="155">
        <f t="shared" si="151"/>
        <v>20</v>
      </c>
      <c r="O77" s="155">
        <f t="shared" si="152"/>
        <v>31</v>
      </c>
      <c r="P77" s="155">
        <f t="shared" si="153"/>
        <v>21</v>
      </c>
      <c r="Q77" s="155">
        <f>'2010'!AU77</f>
        <v>14</v>
      </c>
      <c r="R77" s="155">
        <f t="shared" si="154"/>
        <v>28</v>
      </c>
      <c r="S77" s="155">
        <f t="shared" si="155"/>
        <v>8</v>
      </c>
      <c r="T77" s="155">
        <f t="shared" si="156"/>
        <v>114</v>
      </c>
      <c r="U77" s="552">
        <f t="shared" si="156"/>
        <v>374</v>
      </c>
      <c r="V77" s="155">
        <f t="shared" si="157"/>
        <v>5</v>
      </c>
      <c r="W77" s="155">
        <f t="shared" si="158"/>
        <v>7</v>
      </c>
      <c r="X77" s="155">
        <f t="shared" si="159"/>
        <v>2</v>
      </c>
      <c r="Y77" s="155">
        <f t="shared" si="160"/>
        <v>15</v>
      </c>
      <c r="Z77" s="155">
        <f t="shared" si="161"/>
        <v>23</v>
      </c>
      <c r="AA77" s="155">
        <f t="shared" si="162"/>
        <v>4</v>
      </c>
      <c r="AB77" s="552">
        <f t="shared" si="163"/>
        <v>3</v>
      </c>
      <c r="AC77" s="155">
        <f t="shared" si="164"/>
        <v>14</v>
      </c>
      <c r="AD77" s="155">
        <f t="shared" si="165"/>
        <v>6</v>
      </c>
      <c r="AE77" s="155">
        <f t="shared" si="166"/>
        <v>10</v>
      </c>
      <c r="AF77" s="155">
        <f t="shared" si="167"/>
        <v>2</v>
      </c>
      <c r="AG77" s="155">
        <f t="shared" si="168"/>
        <v>26</v>
      </c>
      <c r="AH77" s="155">
        <f t="shared" si="169"/>
        <v>12</v>
      </c>
      <c r="AI77" s="155">
        <f t="shared" si="170"/>
        <v>25</v>
      </c>
      <c r="AJ77" s="155">
        <f t="shared" si="171"/>
        <v>9</v>
      </c>
      <c r="AK77" s="552">
        <f t="shared" si="172"/>
        <v>13</v>
      </c>
      <c r="AL77" s="155">
        <f t="shared" si="173"/>
        <v>8</v>
      </c>
      <c r="AM77" s="155">
        <f t="shared" si="174"/>
        <v>102</v>
      </c>
      <c r="AN77" s="155">
        <f t="shared" si="175"/>
        <v>41</v>
      </c>
      <c r="AO77" s="155">
        <f t="shared" si="176"/>
        <v>20</v>
      </c>
      <c r="AP77" s="155">
        <f t="shared" si="176"/>
        <v>6</v>
      </c>
      <c r="AQ77" s="155">
        <f t="shared" si="177"/>
        <v>76</v>
      </c>
      <c r="AR77" s="155">
        <f t="shared" si="178"/>
        <v>12</v>
      </c>
      <c r="AS77" s="156">
        <f t="shared" si="179"/>
        <v>199</v>
      </c>
      <c r="AT77" s="155">
        <v>1</v>
      </c>
      <c r="AU77" s="155">
        <v>10</v>
      </c>
      <c r="AV77" s="155">
        <v>8</v>
      </c>
      <c r="AW77" s="155">
        <v>20</v>
      </c>
      <c r="AX77" s="155">
        <v>27</v>
      </c>
      <c r="AY77" s="155">
        <v>11</v>
      </c>
      <c r="AZ77" s="155" t="s">
        <v>41</v>
      </c>
      <c r="BA77" s="155">
        <v>21</v>
      </c>
      <c r="BB77" s="155">
        <v>114</v>
      </c>
      <c r="BC77" s="155">
        <v>374</v>
      </c>
      <c r="BD77" s="155">
        <v>85</v>
      </c>
      <c r="BE77" s="155">
        <v>31</v>
      </c>
      <c r="BF77" s="552">
        <v>104</v>
      </c>
      <c r="BG77" s="155" t="s">
        <v>41</v>
      </c>
      <c r="BH77" s="155" t="s">
        <v>41</v>
      </c>
      <c r="BI77" s="155">
        <v>2</v>
      </c>
      <c r="BJ77" s="155">
        <v>5</v>
      </c>
      <c r="BK77" s="155">
        <v>1</v>
      </c>
      <c r="BL77" s="155" t="s">
        <v>41</v>
      </c>
      <c r="BM77" s="155">
        <v>23</v>
      </c>
      <c r="BN77" s="155">
        <v>14</v>
      </c>
      <c r="BO77" s="155" t="s">
        <v>41</v>
      </c>
      <c r="BP77" s="155">
        <v>3</v>
      </c>
      <c r="BQ77" s="155">
        <v>4</v>
      </c>
      <c r="BR77" s="552">
        <v>7</v>
      </c>
      <c r="BS77" s="155">
        <v>1</v>
      </c>
      <c r="BT77" s="155">
        <v>9</v>
      </c>
      <c r="BU77" s="155">
        <v>6</v>
      </c>
      <c r="BV77" s="155">
        <v>26</v>
      </c>
      <c r="BW77" s="155">
        <v>25</v>
      </c>
      <c r="BX77" s="155">
        <v>14</v>
      </c>
      <c r="BY77" s="155">
        <v>9</v>
      </c>
      <c r="BZ77" s="155">
        <v>12</v>
      </c>
      <c r="CA77" s="155">
        <v>2</v>
      </c>
      <c r="CB77" s="552">
        <v>13</v>
      </c>
      <c r="CC77" s="281">
        <v>20</v>
      </c>
      <c r="CD77" s="281">
        <v>6</v>
      </c>
      <c r="CE77" s="281">
        <v>8</v>
      </c>
      <c r="CF77" s="281">
        <v>7</v>
      </c>
      <c r="CG77" s="281">
        <v>192</v>
      </c>
      <c r="CH77" s="281">
        <v>102</v>
      </c>
      <c r="CI77" s="281">
        <v>12</v>
      </c>
      <c r="CJ77" s="281">
        <v>41</v>
      </c>
      <c r="CK77" s="156">
        <v>76</v>
      </c>
      <c r="CL77" s="320">
        <v>1446</v>
      </c>
    </row>
    <row r="78" spans="1:90">
      <c r="A78" s="80">
        <f>ROWS($A$3:A76)</f>
        <v>74</v>
      </c>
      <c r="B78" s="92" t="s">
        <v>89</v>
      </c>
      <c r="C78" s="591"/>
      <c r="D78" s="259" t="s">
        <v>13</v>
      </c>
      <c r="E78" s="451"/>
      <c r="F78" s="154">
        <v>1736</v>
      </c>
      <c r="G78" s="155">
        <v>662</v>
      </c>
      <c r="H78" s="155">
        <v>1121</v>
      </c>
      <c r="I78" s="156">
        <v>1222</v>
      </c>
      <c r="J78" s="281"/>
      <c r="K78" s="154">
        <f t="shared" si="148"/>
        <v>167</v>
      </c>
      <c r="L78" s="155">
        <f t="shared" si="149"/>
        <v>123</v>
      </c>
      <c r="M78" s="155">
        <f t="shared" si="150"/>
        <v>181</v>
      </c>
      <c r="N78" s="155">
        <f t="shared" si="151"/>
        <v>76</v>
      </c>
      <c r="O78" s="155">
        <f t="shared" si="152"/>
        <v>95</v>
      </c>
      <c r="P78" s="155">
        <f t="shared" si="153"/>
        <v>222</v>
      </c>
      <c r="Q78" s="155">
        <f>'2010'!AU78</f>
        <v>161</v>
      </c>
      <c r="R78" s="155">
        <f t="shared" si="154"/>
        <v>230</v>
      </c>
      <c r="S78" s="155">
        <f t="shared" si="155"/>
        <v>121</v>
      </c>
      <c r="T78" s="155">
        <f t="shared" si="156"/>
        <v>189</v>
      </c>
      <c r="U78" s="552">
        <f t="shared" si="156"/>
        <v>220</v>
      </c>
      <c r="V78" s="155">
        <f t="shared" si="157"/>
        <v>56</v>
      </c>
      <c r="W78" s="155">
        <f t="shared" si="158"/>
        <v>55</v>
      </c>
      <c r="X78" s="155">
        <f t="shared" si="159"/>
        <v>114</v>
      </c>
      <c r="Y78" s="155">
        <f t="shared" si="160"/>
        <v>134</v>
      </c>
      <c r="Z78" s="155">
        <f t="shared" si="161"/>
        <v>133</v>
      </c>
      <c r="AA78" s="155">
        <f t="shared" si="162"/>
        <v>102</v>
      </c>
      <c r="AB78" s="552">
        <f t="shared" si="163"/>
        <v>68</v>
      </c>
      <c r="AC78" s="155">
        <f t="shared" si="164"/>
        <v>85</v>
      </c>
      <c r="AD78" s="155">
        <f t="shared" si="165"/>
        <v>94</v>
      </c>
      <c r="AE78" s="155">
        <f t="shared" si="166"/>
        <v>175</v>
      </c>
      <c r="AF78" s="155">
        <f t="shared" si="167"/>
        <v>106</v>
      </c>
      <c r="AG78" s="155">
        <f t="shared" si="168"/>
        <v>322</v>
      </c>
      <c r="AH78" s="155">
        <f t="shared" si="169"/>
        <v>97</v>
      </c>
      <c r="AI78" s="155">
        <f t="shared" si="170"/>
        <v>107</v>
      </c>
      <c r="AJ78" s="155">
        <f t="shared" si="171"/>
        <v>41</v>
      </c>
      <c r="AK78" s="552">
        <f t="shared" si="172"/>
        <v>94</v>
      </c>
      <c r="AL78" s="155">
        <f t="shared" si="173"/>
        <v>46</v>
      </c>
      <c r="AM78" s="155">
        <f t="shared" si="174"/>
        <v>211</v>
      </c>
      <c r="AN78" s="155">
        <f t="shared" si="175"/>
        <v>118</v>
      </c>
      <c r="AO78" s="155">
        <f t="shared" si="176"/>
        <v>144</v>
      </c>
      <c r="AP78" s="155">
        <f t="shared" si="176"/>
        <v>64</v>
      </c>
      <c r="AQ78" s="155">
        <f t="shared" si="177"/>
        <v>172</v>
      </c>
      <c r="AR78" s="155">
        <f t="shared" si="178"/>
        <v>178</v>
      </c>
      <c r="AS78" s="156">
        <f t="shared" si="179"/>
        <v>289</v>
      </c>
      <c r="AT78" s="281">
        <v>15</v>
      </c>
      <c r="AU78" s="281">
        <v>112</v>
      </c>
      <c r="AV78" s="281">
        <v>121</v>
      </c>
      <c r="AW78" s="281">
        <v>76</v>
      </c>
      <c r="AX78" s="281">
        <v>215</v>
      </c>
      <c r="AY78" s="281">
        <v>123</v>
      </c>
      <c r="AZ78" s="281">
        <v>13</v>
      </c>
      <c r="BA78" s="281">
        <v>209</v>
      </c>
      <c r="BB78" s="281">
        <v>189</v>
      </c>
      <c r="BC78" s="281">
        <v>220</v>
      </c>
      <c r="BD78" s="281">
        <v>181</v>
      </c>
      <c r="BE78" s="281">
        <v>95</v>
      </c>
      <c r="BF78" s="299">
        <v>167</v>
      </c>
      <c r="BG78" s="281">
        <v>3</v>
      </c>
      <c r="BH78" s="281">
        <v>12</v>
      </c>
      <c r="BI78" s="281">
        <v>102</v>
      </c>
      <c r="BJ78" s="281">
        <v>53</v>
      </c>
      <c r="BK78" s="281">
        <v>11</v>
      </c>
      <c r="BL78" s="281">
        <v>7</v>
      </c>
      <c r="BM78" s="281">
        <v>133</v>
      </c>
      <c r="BN78" s="281">
        <v>116</v>
      </c>
      <c r="BO78" s="281">
        <v>4</v>
      </c>
      <c r="BP78" s="281">
        <v>68</v>
      </c>
      <c r="BQ78" s="281">
        <v>98</v>
      </c>
      <c r="BR78" s="299">
        <v>55</v>
      </c>
      <c r="BS78" s="281">
        <v>18</v>
      </c>
      <c r="BT78" s="281">
        <v>157</v>
      </c>
      <c r="BU78" s="281">
        <v>94</v>
      </c>
      <c r="BV78" s="281">
        <v>322</v>
      </c>
      <c r="BW78" s="281">
        <v>107</v>
      </c>
      <c r="BX78" s="281">
        <v>85</v>
      </c>
      <c r="BY78" s="281">
        <v>41</v>
      </c>
      <c r="BZ78" s="281">
        <v>97</v>
      </c>
      <c r="CA78" s="281">
        <v>106</v>
      </c>
      <c r="CB78" s="299">
        <v>94</v>
      </c>
      <c r="CC78" s="281">
        <v>144</v>
      </c>
      <c r="CD78" s="281">
        <v>64</v>
      </c>
      <c r="CE78" s="281">
        <v>46</v>
      </c>
      <c r="CF78" s="155">
        <v>14</v>
      </c>
      <c r="CG78" s="281">
        <v>275</v>
      </c>
      <c r="CH78" s="281">
        <v>211</v>
      </c>
      <c r="CI78" s="281">
        <v>178</v>
      </c>
      <c r="CJ78" s="281">
        <v>118</v>
      </c>
      <c r="CK78" s="300">
        <v>172</v>
      </c>
      <c r="CL78" s="553">
        <v>4741</v>
      </c>
    </row>
    <row r="79" spans="1:90">
      <c r="A79" s="80">
        <f>ROWS($A$3:A77)</f>
        <v>75</v>
      </c>
      <c r="B79" s="59" t="s">
        <v>79</v>
      </c>
      <c r="C79" s="591"/>
      <c r="D79" s="254"/>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553" t="s">
        <v>57</v>
      </c>
    </row>
    <row r="80" spans="1:90">
      <c r="A80" s="80">
        <f>ROWS($A$3:A78)</f>
        <v>76</v>
      </c>
      <c r="B80" s="800" t="s">
        <v>90</v>
      </c>
      <c r="C80" s="813">
        <v>2021</v>
      </c>
      <c r="D80" s="254" t="s">
        <v>13</v>
      </c>
      <c r="E80" s="706">
        <v>44631</v>
      </c>
      <c r="F80" s="530">
        <f>SUM(AT80:BF80)</f>
        <v>14420</v>
      </c>
      <c r="G80" s="531">
        <f>SUM(BG80:BR80)</f>
        <v>4842</v>
      </c>
      <c r="H80" s="531">
        <f>SUM(BS80:CB80)</f>
        <v>12297</v>
      </c>
      <c r="I80" s="532">
        <f>SUM(CC80:CK80)</f>
        <v>11961</v>
      </c>
      <c r="J80" s="281"/>
      <c r="K80" s="530">
        <f>BF80</f>
        <v>2162</v>
      </c>
      <c r="L80" s="531">
        <f>AY80</f>
        <v>989</v>
      </c>
      <c r="M80" s="531">
        <f>BD80</f>
        <v>1674</v>
      </c>
      <c r="N80" s="531">
        <f>AW80</f>
        <v>795</v>
      </c>
      <c r="O80" s="531">
        <f>BE80</f>
        <v>627</v>
      </c>
      <c r="P80" s="531">
        <f>AZ80+BA80</f>
        <v>1825</v>
      </c>
      <c r="Q80" s="531">
        <f>AU80</f>
        <v>627</v>
      </c>
      <c r="R80" s="531">
        <f>AT80+AX80</f>
        <v>1438</v>
      </c>
      <c r="S80" s="531">
        <f>AV80</f>
        <v>606</v>
      </c>
      <c r="T80" s="531">
        <f t="shared" ref="T80:U83" si="180">BB80</f>
        <v>1360</v>
      </c>
      <c r="U80" s="555">
        <f t="shared" si="180"/>
        <v>2317</v>
      </c>
      <c r="V80" s="531">
        <f>BG80+BJ80</f>
        <v>534</v>
      </c>
      <c r="W80" s="531">
        <f>BR80</f>
        <v>630</v>
      </c>
      <c r="X80" s="531">
        <f>BH80+BI80</f>
        <v>792</v>
      </c>
      <c r="Y80" s="531">
        <f>BK80+BL80+BN80</f>
        <v>922</v>
      </c>
      <c r="Z80" s="531">
        <f>BM80</f>
        <v>977</v>
      </c>
      <c r="AA80" s="531">
        <f>BO80+BQ80</f>
        <v>467</v>
      </c>
      <c r="AB80" s="555">
        <f>BP80</f>
        <v>520</v>
      </c>
      <c r="AC80" s="531">
        <f>BX80</f>
        <v>1173</v>
      </c>
      <c r="AD80" s="531">
        <f>BU80</f>
        <v>1085</v>
      </c>
      <c r="AE80" s="531">
        <f>BS80+BT80</f>
        <v>2283</v>
      </c>
      <c r="AF80" s="531">
        <f>CA80</f>
        <v>985</v>
      </c>
      <c r="AG80" s="531">
        <f>BV80</f>
        <v>3127</v>
      </c>
      <c r="AH80" s="531">
        <f>BZ80</f>
        <v>921</v>
      </c>
      <c r="AI80" s="531">
        <f>BW80</f>
        <v>924</v>
      </c>
      <c r="AJ80" s="531">
        <f>BY80</f>
        <v>473</v>
      </c>
      <c r="AK80" s="555">
        <f>CB80</f>
        <v>1326</v>
      </c>
      <c r="AL80" s="531">
        <f>CE80</f>
        <v>828</v>
      </c>
      <c r="AM80" s="531">
        <f>CH80</f>
        <v>1878</v>
      </c>
      <c r="AN80" s="531">
        <f>CJ80</f>
        <v>2824</v>
      </c>
      <c r="AO80" s="531">
        <f t="shared" ref="AO80:AP83" si="181">CC80</f>
        <v>1135</v>
      </c>
      <c r="AP80" s="531">
        <f t="shared" si="181"/>
        <v>417</v>
      </c>
      <c r="AQ80" s="531">
        <f>CK80</f>
        <v>1380</v>
      </c>
      <c r="AR80" s="531">
        <f>CI80</f>
        <v>1442</v>
      </c>
      <c r="AS80" s="532">
        <f>CF80+CG80</f>
        <v>2057</v>
      </c>
      <c r="AT80" s="604">
        <v>176</v>
      </c>
      <c r="AU80" s="604">
        <v>627</v>
      </c>
      <c r="AV80" s="604">
        <v>606</v>
      </c>
      <c r="AW80" s="604">
        <v>795</v>
      </c>
      <c r="AX80" s="604">
        <v>1262</v>
      </c>
      <c r="AY80" s="604">
        <v>989</v>
      </c>
      <c r="AZ80" s="604">
        <v>153</v>
      </c>
      <c r="BA80" s="604">
        <v>1672</v>
      </c>
      <c r="BB80" s="604">
        <v>1360</v>
      </c>
      <c r="BC80" s="604">
        <v>2317</v>
      </c>
      <c r="BD80" s="604">
        <v>1674</v>
      </c>
      <c r="BE80" s="604">
        <v>627</v>
      </c>
      <c r="BF80" s="604">
        <v>2162</v>
      </c>
      <c r="BG80" s="604">
        <v>70</v>
      </c>
      <c r="BH80" s="604">
        <v>50</v>
      </c>
      <c r="BI80" s="604">
        <v>742</v>
      </c>
      <c r="BJ80" s="604">
        <v>464</v>
      </c>
      <c r="BK80" s="604">
        <v>59</v>
      </c>
      <c r="BL80" s="604">
        <v>52</v>
      </c>
      <c r="BM80" s="604">
        <v>977</v>
      </c>
      <c r="BN80" s="604">
        <v>811</v>
      </c>
      <c r="BO80" s="604">
        <v>16</v>
      </c>
      <c r="BP80" s="604">
        <v>520</v>
      </c>
      <c r="BQ80" s="604">
        <v>451</v>
      </c>
      <c r="BR80" s="604">
        <v>630</v>
      </c>
      <c r="BS80" s="604">
        <v>139</v>
      </c>
      <c r="BT80" s="604">
        <v>2144</v>
      </c>
      <c r="BU80" s="604">
        <v>1085</v>
      </c>
      <c r="BV80" s="604">
        <v>3127</v>
      </c>
      <c r="BW80" s="604">
        <v>924</v>
      </c>
      <c r="BX80" s="604">
        <v>1173</v>
      </c>
      <c r="BY80" s="604">
        <v>473</v>
      </c>
      <c r="BZ80" s="604">
        <v>921</v>
      </c>
      <c r="CA80" s="604">
        <v>985</v>
      </c>
      <c r="CB80" s="604">
        <v>1326</v>
      </c>
      <c r="CC80" s="604">
        <v>1135</v>
      </c>
      <c r="CD80" s="604">
        <v>417</v>
      </c>
      <c r="CE80" s="604">
        <v>828</v>
      </c>
      <c r="CF80" s="604">
        <v>115</v>
      </c>
      <c r="CG80" s="604">
        <v>1942</v>
      </c>
      <c r="CH80" s="604">
        <v>1878</v>
      </c>
      <c r="CI80" s="604">
        <v>1442</v>
      </c>
      <c r="CJ80" s="604">
        <v>2824</v>
      </c>
      <c r="CK80" s="604">
        <v>1380</v>
      </c>
      <c r="CL80" s="604">
        <v>43520</v>
      </c>
    </row>
    <row r="81" spans="1:94">
      <c r="A81" s="80">
        <f>ROWS($A$3:A79)</f>
        <v>77</v>
      </c>
      <c r="B81" s="602" t="s">
        <v>365</v>
      </c>
      <c r="C81" s="591">
        <v>2018</v>
      </c>
      <c r="D81" s="254" t="s">
        <v>13</v>
      </c>
      <c r="E81" s="447">
        <v>43556</v>
      </c>
      <c r="F81" s="154">
        <f>SUM(AT81:BF81)</f>
        <v>1051934</v>
      </c>
      <c r="G81" s="155">
        <f>SUM(BG81:BR81)</f>
        <v>683020</v>
      </c>
      <c r="H81" s="155">
        <f>SUM(BS81:CB81)</f>
        <v>686923</v>
      </c>
      <c r="I81" s="156">
        <f>SUM(CC81:CK81)</f>
        <v>605541</v>
      </c>
      <c r="J81" s="598"/>
      <c r="K81" s="154">
        <f>BF81</f>
        <v>80307</v>
      </c>
      <c r="L81" s="155">
        <f>AY81</f>
        <v>126309</v>
      </c>
      <c r="M81" s="155">
        <f>BD81</f>
        <v>102788</v>
      </c>
      <c r="N81" s="155">
        <f>AW81</f>
        <v>54520</v>
      </c>
      <c r="O81" s="155">
        <f>BE81</f>
        <v>30671</v>
      </c>
      <c r="P81" s="155">
        <f>AZ81+BA81</f>
        <v>156058</v>
      </c>
      <c r="Q81" s="155">
        <f>AU81</f>
        <v>103910</v>
      </c>
      <c r="R81" s="155">
        <f>AT81+AX81</f>
        <v>149663</v>
      </c>
      <c r="S81" s="155">
        <f>AV81</f>
        <v>109933</v>
      </c>
      <c r="T81" s="155">
        <f t="shared" si="180"/>
        <v>52348</v>
      </c>
      <c r="U81" s="552">
        <f t="shared" si="180"/>
        <v>85427</v>
      </c>
      <c r="V81" s="155">
        <f>BG81+BJ81</f>
        <v>94413</v>
      </c>
      <c r="W81" s="155">
        <f>BR81</f>
        <v>51818</v>
      </c>
      <c r="X81" s="155">
        <f>BH81+BI81</f>
        <v>177344</v>
      </c>
      <c r="Y81" s="155">
        <f>BK81+BL81+BN81</f>
        <v>103639</v>
      </c>
      <c r="Z81" s="155">
        <f>BM81</f>
        <v>80827</v>
      </c>
      <c r="AA81" s="155">
        <f>BO81+BQ81</f>
        <v>115545</v>
      </c>
      <c r="AB81" s="552">
        <f>BP81</f>
        <v>59434</v>
      </c>
      <c r="AC81" s="155">
        <f>BX81</f>
        <v>38990</v>
      </c>
      <c r="AD81" s="155">
        <f>BU81</f>
        <v>57907</v>
      </c>
      <c r="AE81" s="155">
        <f>BS81+BT81</f>
        <v>106778</v>
      </c>
      <c r="AF81" s="155">
        <f>CA81</f>
        <v>74549</v>
      </c>
      <c r="AG81" s="155">
        <f>BV81</f>
        <v>143880</v>
      </c>
      <c r="AH81" s="155">
        <f>BZ81</f>
        <v>61673</v>
      </c>
      <c r="AI81" s="155">
        <f>BW81</f>
        <v>62398</v>
      </c>
      <c r="AJ81" s="155">
        <f>BY81</f>
        <v>75614</v>
      </c>
      <c r="AK81" s="552">
        <f>CB81</f>
        <v>65134</v>
      </c>
      <c r="AL81" s="155">
        <f>CE81</f>
        <v>105903</v>
      </c>
      <c r="AM81" s="155">
        <f>CH81</f>
        <v>75723</v>
      </c>
      <c r="AN81" s="155">
        <f>CJ81</f>
        <v>63231</v>
      </c>
      <c r="AO81" s="155">
        <f t="shared" si="181"/>
        <v>82105</v>
      </c>
      <c r="AP81" s="155">
        <f t="shared" si="181"/>
        <v>95467</v>
      </c>
      <c r="AQ81" s="155">
        <f>CK81</f>
        <v>71902</v>
      </c>
      <c r="AR81" s="155">
        <f>CI81</f>
        <v>34652</v>
      </c>
      <c r="AS81" s="156">
        <f>CF81+CG81</f>
        <v>76558</v>
      </c>
      <c r="AT81" s="155">
        <v>12790</v>
      </c>
      <c r="AU81" s="155">
        <v>103910</v>
      </c>
      <c r="AV81" s="155">
        <v>109933</v>
      </c>
      <c r="AW81" s="155">
        <v>54520</v>
      </c>
      <c r="AX81" s="155">
        <v>136873</v>
      </c>
      <c r="AY81" s="155">
        <v>126309</v>
      </c>
      <c r="AZ81" s="155">
        <v>15863</v>
      </c>
      <c r="BA81" s="155">
        <v>140195</v>
      </c>
      <c r="BB81" s="155">
        <v>52348</v>
      </c>
      <c r="BC81" s="155">
        <v>85427</v>
      </c>
      <c r="BD81" s="155">
        <v>102788</v>
      </c>
      <c r="BE81" s="155">
        <v>30671</v>
      </c>
      <c r="BF81" s="552">
        <v>80307</v>
      </c>
      <c r="BG81" s="155">
        <v>12179</v>
      </c>
      <c r="BH81" s="155">
        <v>10620</v>
      </c>
      <c r="BI81" s="155">
        <v>166724</v>
      </c>
      <c r="BJ81" s="155">
        <v>82234</v>
      </c>
      <c r="BK81" s="155">
        <v>3770</v>
      </c>
      <c r="BL81" s="155">
        <v>5418</v>
      </c>
      <c r="BM81" s="155">
        <v>80827</v>
      </c>
      <c r="BN81" s="155">
        <v>94451</v>
      </c>
      <c r="BO81" s="155">
        <v>4816</v>
      </c>
      <c r="BP81" s="155">
        <v>59434</v>
      </c>
      <c r="BQ81" s="155">
        <v>110729</v>
      </c>
      <c r="BR81" s="552">
        <v>51818</v>
      </c>
      <c r="BS81" s="155">
        <v>9346</v>
      </c>
      <c r="BT81" s="155">
        <v>97432</v>
      </c>
      <c r="BU81" s="155">
        <v>57907</v>
      </c>
      <c r="BV81" s="155">
        <v>143880</v>
      </c>
      <c r="BW81" s="155">
        <v>62398</v>
      </c>
      <c r="BX81" s="155">
        <v>38990</v>
      </c>
      <c r="BY81" s="155">
        <v>75614</v>
      </c>
      <c r="BZ81" s="155">
        <v>61673</v>
      </c>
      <c r="CA81" s="155">
        <v>74549</v>
      </c>
      <c r="CB81" s="552">
        <v>65134</v>
      </c>
      <c r="CC81" s="155">
        <v>82105</v>
      </c>
      <c r="CD81" s="155">
        <v>95467</v>
      </c>
      <c r="CE81" s="155">
        <v>105903</v>
      </c>
      <c r="CF81" s="155">
        <v>5866</v>
      </c>
      <c r="CG81" s="155">
        <v>70692</v>
      </c>
      <c r="CH81" s="155">
        <v>75723</v>
      </c>
      <c r="CI81" s="155">
        <v>34652</v>
      </c>
      <c r="CJ81" s="155">
        <v>63231</v>
      </c>
      <c r="CK81" s="156">
        <v>71902</v>
      </c>
      <c r="CL81" s="320">
        <f>SUM(AT81:CK81)</f>
        <v>3027418</v>
      </c>
    </row>
    <row r="82" spans="1:94">
      <c r="A82" s="80">
        <f>ROWS($A$3:A80)</f>
        <v>78</v>
      </c>
      <c r="B82" s="610" t="s">
        <v>367</v>
      </c>
      <c r="C82" s="591">
        <v>2018</v>
      </c>
      <c r="D82" s="254" t="s">
        <v>13</v>
      </c>
      <c r="E82" s="447">
        <v>43556</v>
      </c>
      <c r="F82" s="530">
        <f t="shared" ref="F82:AQ82" si="182">F81/F80</f>
        <v>72.949653259361995</v>
      </c>
      <c r="G82" s="531">
        <f t="shared" si="182"/>
        <v>141.06154481619166</v>
      </c>
      <c r="H82" s="531">
        <f t="shared" si="182"/>
        <v>55.861023013743193</v>
      </c>
      <c r="I82" s="532">
        <f t="shared" si="182"/>
        <v>50.626285427639829</v>
      </c>
      <c r="J82" s="598"/>
      <c r="K82" s="530">
        <f t="shared" si="182"/>
        <v>37.144773358001849</v>
      </c>
      <c r="L82" s="531">
        <f t="shared" si="182"/>
        <v>127.71385237613751</v>
      </c>
      <c r="M82" s="531">
        <f t="shared" si="182"/>
        <v>61.402628434886502</v>
      </c>
      <c r="N82" s="531">
        <f t="shared" si="182"/>
        <v>68.578616352201252</v>
      </c>
      <c r="O82" s="531">
        <f t="shared" si="182"/>
        <v>48.917065390749599</v>
      </c>
      <c r="P82" s="531">
        <f>P81/P80</f>
        <v>85.511232876712327</v>
      </c>
      <c r="Q82" s="531">
        <f t="shared" si="182"/>
        <v>165.72567783094098</v>
      </c>
      <c r="R82" s="531">
        <f t="shared" si="182"/>
        <v>104.07719054242003</v>
      </c>
      <c r="S82" s="531">
        <f t="shared" si="182"/>
        <v>181.4075907590759</v>
      </c>
      <c r="T82" s="531">
        <f t="shared" si="182"/>
        <v>38.491176470588236</v>
      </c>
      <c r="U82" s="555">
        <f t="shared" si="182"/>
        <v>36.86965904186448</v>
      </c>
      <c r="V82" s="531">
        <f t="shared" si="182"/>
        <v>176.80337078651687</v>
      </c>
      <c r="W82" s="531">
        <f t="shared" si="182"/>
        <v>82.250793650793653</v>
      </c>
      <c r="X82" s="531">
        <f t="shared" si="182"/>
        <v>223.91919191919192</v>
      </c>
      <c r="Y82" s="531">
        <f t="shared" si="182"/>
        <v>112.40672451193059</v>
      </c>
      <c r="Z82" s="531">
        <f t="shared" si="182"/>
        <v>82.729785056294773</v>
      </c>
      <c r="AA82" s="531">
        <f t="shared" si="182"/>
        <v>247.41970021413277</v>
      </c>
      <c r="AB82" s="555">
        <f t="shared" si="182"/>
        <v>114.29615384615384</v>
      </c>
      <c r="AC82" s="531">
        <f t="shared" si="182"/>
        <v>33.239556692242111</v>
      </c>
      <c r="AD82" s="531">
        <f t="shared" si="182"/>
        <v>53.370506912442394</v>
      </c>
      <c r="AE82" s="531">
        <f t="shared" si="182"/>
        <v>46.770915462111255</v>
      </c>
      <c r="AF82" s="531">
        <f t="shared" si="182"/>
        <v>75.684263959390861</v>
      </c>
      <c r="AG82" s="531">
        <f t="shared" si="182"/>
        <v>46.012152222577548</v>
      </c>
      <c r="AH82" s="531">
        <f t="shared" si="182"/>
        <v>66.96308360477741</v>
      </c>
      <c r="AI82" s="531">
        <f t="shared" si="182"/>
        <v>67.530303030303031</v>
      </c>
      <c r="AJ82" s="531">
        <f t="shared" si="182"/>
        <v>159.86046511627907</v>
      </c>
      <c r="AK82" s="555">
        <f t="shared" si="182"/>
        <v>49.120663650075414</v>
      </c>
      <c r="AL82" s="531">
        <f t="shared" si="182"/>
        <v>127.90217391304348</v>
      </c>
      <c r="AM82" s="531">
        <f t="shared" si="182"/>
        <v>40.321086261980831</v>
      </c>
      <c r="AN82" s="531">
        <f t="shared" si="182"/>
        <v>22.39058073654391</v>
      </c>
      <c r="AO82" s="531">
        <f t="shared" si="182"/>
        <v>72.33920704845815</v>
      </c>
      <c r="AP82" s="531">
        <f t="shared" si="182"/>
        <v>228.93764988009593</v>
      </c>
      <c r="AQ82" s="531">
        <f t="shared" si="182"/>
        <v>52.102898550724639</v>
      </c>
      <c r="AR82" s="531">
        <f>AR81/AR80</f>
        <v>24.030513176144243</v>
      </c>
      <c r="AS82" s="532">
        <f>AS81/AS80</f>
        <v>37.218279047156052</v>
      </c>
      <c r="AT82" s="531">
        <f>IF(OR(AT80&lt;0.1,AT81&lt;0.1),0,AT81/AT80)</f>
        <v>72.670454545454547</v>
      </c>
      <c r="AU82" s="531">
        <f>IF(OR(AU80&lt;0.1,AU81&lt;0.1),0,AU81/AU80)</f>
        <v>165.72567783094098</v>
      </c>
      <c r="AV82" s="531">
        <f t="shared" ref="AV82:CK82" si="183">IF(OR(AV80&lt;0.1,AV81&lt;0.1),0,AV81/AV80)</f>
        <v>181.4075907590759</v>
      </c>
      <c r="AW82" s="531">
        <f t="shared" si="183"/>
        <v>68.578616352201252</v>
      </c>
      <c r="AX82" s="531">
        <f>IF(OR(AX80&lt;0.1,AX81&lt;0.1),0,AX81/AX80)</f>
        <v>108.45721077654517</v>
      </c>
      <c r="AY82" s="531">
        <f t="shared" si="183"/>
        <v>127.71385237613751</v>
      </c>
      <c r="AZ82" s="531">
        <f t="shared" si="183"/>
        <v>103.6797385620915</v>
      </c>
      <c r="BA82" s="531">
        <f t="shared" si="183"/>
        <v>83.848684210526315</v>
      </c>
      <c r="BB82" s="531">
        <f t="shared" si="183"/>
        <v>38.491176470588236</v>
      </c>
      <c r="BC82" s="531">
        <f t="shared" si="183"/>
        <v>36.86965904186448</v>
      </c>
      <c r="BD82" s="531">
        <f t="shared" si="183"/>
        <v>61.402628434886502</v>
      </c>
      <c r="BE82" s="531">
        <f t="shared" si="183"/>
        <v>48.917065390749599</v>
      </c>
      <c r="BF82" s="555">
        <f t="shared" si="183"/>
        <v>37.144773358001849</v>
      </c>
      <c r="BG82" s="531">
        <f t="shared" si="183"/>
        <v>173.98571428571429</v>
      </c>
      <c r="BH82" s="531">
        <f>IF(OR(BH80&lt;0.1,BH81&lt;0.1),0,BH81/BH80)</f>
        <v>212.4</v>
      </c>
      <c r="BI82" s="531">
        <f>IF(OR(BI80&lt;0.1,BI81&lt;0.1),0,BI81/BI80)</f>
        <v>224.69541778975741</v>
      </c>
      <c r="BJ82" s="531">
        <f>IF(OR(BJ80&lt;0.1,BJ81&lt;0.1),0,BJ81/BJ80)</f>
        <v>177.22844827586206</v>
      </c>
      <c r="BK82" s="531">
        <f t="shared" si="183"/>
        <v>63.898305084745765</v>
      </c>
      <c r="BL82" s="531">
        <f t="shared" si="183"/>
        <v>104.19230769230769</v>
      </c>
      <c r="BM82" s="531">
        <f>IF(OR(BM80&lt;0.1,BM81&lt;0.1),0,BM81/BM80)</f>
        <v>82.729785056294773</v>
      </c>
      <c r="BN82" s="531">
        <f t="shared" si="183"/>
        <v>116.46239210850801</v>
      </c>
      <c r="BO82" s="531">
        <f t="shared" si="183"/>
        <v>301</v>
      </c>
      <c r="BP82" s="531">
        <f t="shared" si="183"/>
        <v>114.29615384615384</v>
      </c>
      <c r="BQ82" s="531">
        <f>IF(OR(BQ80&lt;0.1,BQ81&lt;0.1),0,BQ81/BQ80)</f>
        <v>245.5188470066519</v>
      </c>
      <c r="BR82" s="555">
        <f t="shared" si="183"/>
        <v>82.250793650793653</v>
      </c>
      <c r="BS82" s="531">
        <f t="shared" si="183"/>
        <v>67.237410071942449</v>
      </c>
      <c r="BT82" s="531">
        <f t="shared" si="183"/>
        <v>45.444029850746269</v>
      </c>
      <c r="BU82" s="531">
        <f t="shared" si="183"/>
        <v>53.370506912442394</v>
      </c>
      <c r="BV82" s="531">
        <f t="shared" si="183"/>
        <v>46.012152222577548</v>
      </c>
      <c r="BW82" s="531">
        <f t="shared" si="183"/>
        <v>67.530303030303031</v>
      </c>
      <c r="BX82" s="531">
        <f t="shared" si="183"/>
        <v>33.239556692242111</v>
      </c>
      <c r="BY82" s="531">
        <f t="shared" si="183"/>
        <v>159.86046511627907</v>
      </c>
      <c r="BZ82" s="531">
        <f t="shared" si="183"/>
        <v>66.96308360477741</v>
      </c>
      <c r="CA82" s="531">
        <f t="shared" si="183"/>
        <v>75.684263959390861</v>
      </c>
      <c r="CB82" s="555">
        <f t="shared" si="183"/>
        <v>49.120663650075414</v>
      </c>
      <c r="CC82" s="531">
        <f t="shared" si="183"/>
        <v>72.33920704845815</v>
      </c>
      <c r="CD82" s="531">
        <f t="shared" si="183"/>
        <v>228.93764988009593</v>
      </c>
      <c r="CE82" s="531">
        <f t="shared" si="183"/>
        <v>127.90217391304348</v>
      </c>
      <c r="CF82" s="531">
        <f t="shared" si="183"/>
        <v>51.008695652173913</v>
      </c>
      <c r="CG82" s="531">
        <f t="shared" si="183"/>
        <v>36.401647785787844</v>
      </c>
      <c r="CH82" s="531">
        <f t="shared" si="183"/>
        <v>40.321086261980831</v>
      </c>
      <c r="CI82" s="531">
        <f t="shared" si="183"/>
        <v>24.030513176144243</v>
      </c>
      <c r="CJ82" s="531">
        <f t="shared" si="183"/>
        <v>22.39058073654391</v>
      </c>
      <c r="CK82" s="532">
        <f t="shared" si="183"/>
        <v>52.102898550724639</v>
      </c>
      <c r="CL82" s="556">
        <f>IF(OR(CL80&lt;0.1,CL81&lt;0.1),0,CL81/CL80)</f>
        <v>69.563832720588238</v>
      </c>
    </row>
    <row r="83" spans="1:94">
      <c r="A83" s="80">
        <f>ROWS($A$3:A81)</f>
        <v>79</v>
      </c>
      <c r="B83" s="92" t="s">
        <v>366</v>
      </c>
      <c r="C83" s="203">
        <v>2020</v>
      </c>
      <c r="D83" s="259" t="s">
        <v>13</v>
      </c>
      <c r="E83" s="706">
        <v>44497</v>
      </c>
      <c r="F83" s="154">
        <f>SUM(AT83:BF83)</f>
        <v>1316201</v>
      </c>
      <c r="G83" s="155">
        <f>SUM(BG83:BR83)</f>
        <v>813039</v>
      </c>
      <c r="H83" s="155">
        <f>SUM(BS83:CB83)</f>
        <v>903625</v>
      </c>
      <c r="I83" s="156">
        <f>SUM(CC83:CK83)</f>
        <v>800082</v>
      </c>
      <c r="J83" s="598"/>
      <c r="K83" s="547">
        <f>BF83</f>
        <v>114258</v>
      </c>
      <c r="L83" s="548">
        <f>AY83</f>
        <v>145813</v>
      </c>
      <c r="M83" s="548">
        <f>BD83</f>
        <v>136869</v>
      </c>
      <c r="N83" s="548">
        <f>AW83</f>
        <v>71800</v>
      </c>
      <c r="O83" s="548">
        <f>BE83</f>
        <v>43592</v>
      </c>
      <c r="P83" s="548">
        <f>AZ83+BA83</f>
        <v>187248</v>
      </c>
      <c r="Q83" s="548">
        <f>AU83</f>
        <v>118294</v>
      </c>
      <c r="R83" s="548">
        <f>AT83+AX83</f>
        <v>177816</v>
      </c>
      <c r="S83" s="548">
        <f>AV83</f>
        <v>125944</v>
      </c>
      <c r="T83" s="548">
        <f t="shared" si="180"/>
        <v>69817</v>
      </c>
      <c r="U83" s="570">
        <f t="shared" si="180"/>
        <v>124750</v>
      </c>
      <c r="V83" s="548">
        <f>BG83+BJ83</f>
        <v>109612</v>
      </c>
      <c r="W83" s="548">
        <f>BR83</f>
        <v>63680</v>
      </c>
      <c r="X83" s="548">
        <f>BH83+BI83</f>
        <v>203814</v>
      </c>
      <c r="Y83" s="548">
        <f>BK83+BL83+BN83</f>
        <v>129496</v>
      </c>
      <c r="Z83" s="548">
        <f>BM83</f>
        <v>106288</v>
      </c>
      <c r="AA83" s="548">
        <f>BO83+BQ83</f>
        <v>131207</v>
      </c>
      <c r="AB83" s="570">
        <f>BP83</f>
        <v>68942</v>
      </c>
      <c r="AC83" s="548">
        <f>BX83</f>
        <v>64715</v>
      </c>
      <c r="AD83" s="548">
        <f>BU83</f>
        <v>70223</v>
      </c>
      <c r="AE83" s="548">
        <f>BS83+BT83</f>
        <v>135370</v>
      </c>
      <c r="AF83" s="548">
        <f>CA83</f>
        <v>91854</v>
      </c>
      <c r="AG83" s="548">
        <f>BV83</f>
        <v>200064</v>
      </c>
      <c r="AH83" s="548">
        <f>BZ83</f>
        <v>85425</v>
      </c>
      <c r="AI83" s="548">
        <f>BW83</f>
        <v>82258</v>
      </c>
      <c r="AJ83" s="548">
        <f>BY83</f>
        <v>87802</v>
      </c>
      <c r="AK83" s="570">
        <f>CB83</f>
        <v>85914</v>
      </c>
      <c r="AL83" s="548">
        <f>CE83</f>
        <v>122655</v>
      </c>
      <c r="AM83" s="548">
        <f>CH83</f>
        <v>99296</v>
      </c>
      <c r="AN83" s="548">
        <f>CJ83</f>
        <v>108063</v>
      </c>
      <c r="AO83" s="548">
        <f t="shared" si="181"/>
        <v>100825</v>
      </c>
      <c r="AP83" s="548">
        <f t="shared" si="181"/>
        <v>108641</v>
      </c>
      <c r="AQ83" s="548">
        <f>CK83</f>
        <v>97112</v>
      </c>
      <c r="AR83" s="548">
        <f>CI83</f>
        <v>55223</v>
      </c>
      <c r="AS83" s="549">
        <f>CF83+CG83</f>
        <v>108267</v>
      </c>
      <c r="AT83" s="155">
        <v>14628</v>
      </c>
      <c r="AU83" s="155">
        <v>118294</v>
      </c>
      <c r="AV83" s="155">
        <v>125944</v>
      </c>
      <c r="AW83" s="155">
        <v>71800</v>
      </c>
      <c r="AX83" s="155">
        <v>163188</v>
      </c>
      <c r="AY83" s="155">
        <v>145813</v>
      </c>
      <c r="AZ83" s="155">
        <v>21400</v>
      </c>
      <c r="BA83" s="155">
        <v>165848</v>
      </c>
      <c r="BB83" s="155">
        <v>69817</v>
      </c>
      <c r="BC83" s="155">
        <v>124750</v>
      </c>
      <c r="BD83" s="155">
        <v>136869</v>
      </c>
      <c r="BE83" s="155">
        <v>43592</v>
      </c>
      <c r="BF83" s="552">
        <v>114258</v>
      </c>
      <c r="BG83" s="155">
        <v>12156</v>
      </c>
      <c r="BH83" s="155">
        <v>13106</v>
      </c>
      <c r="BI83" s="155">
        <v>190708</v>
      </c>
      <c r="BJ83" s="155">
        <v>97456</v>
      </c>
      <c r="BK83" s="155">
        <v>4787</v>
      </c>
      <c r="BL83" s="155">
        <v>8776</v>
      </c>
      <c r="BM83" s="155">
        <v>106288</v>
      </c>
      <c r="BN83" s="155">
        <v>115933</v>
      </c>
      <c r="BO83" s="155">
        <v>5096</v>
      </c>
      <c r="BP83" s="155">
        <v>68942</v>
      </c>
      <c r="BQ83" s="155">
        <v>126111</v>
      </c>
      <c r="BR83" s="552">
        <v>63680</v>
      </c>
      <c r="BS83" s="155">
        <v>11383</v>
      </c>
      <c r="BT83" s="155">
        <v>123987</v>
      </c>
      <c r="BU83" s="155">
        <v>70223</v>
      </c>
      <c r="BV83" s="155">
        <v>200064</v>
      </c>
      <c r="BW83" s="155">
        <v>82258</v>
      </c>
      <c r="BX83" s="155">
        <v>64715</v>
      </c>
      <c r="BY83" s="155">
        <v>87802</v>
      </c>
      <c r="BZ83" s="155">
        <v>85425</v>
      </c>
      <c r="CA83" s="155">
        <v>91854</v>
      </c>
      <c r="CB83" s="552">
        <v>85914</v>
      </c>
      <c r="CC83" s="155">
        <v>100825</v>
      </c>
      <c r="CD83" s="155">
        <v>108641</v>
      </c>
      <c r="CE83" s="155">
        <v>122655</v>
      </c>
      <c r="CF83" s="155">
        <v>7528</v>
      </c>
      <c r="CG83" s="155">
        <v>100739</v>
      </c>
      <c r="CH83" s="155">
        <v>99296</v>
      </c>
      <c r="CI83" s="155">
        <v>55223</v>
      </c>
      <c r="CJ83" s="155">
        <v>108063</v>
      </c>
      <c r="CK83" s="156">
        <v>97112</v>
      </c>
      <c r="CL83" s="320">
        <v>3832947</v>
      </c>
    </row>
    <row r="84" spans="1:94">
      <c r="A84" s="80">
        <f>ROWS($A$3:A82)</f>
        <v>80</v>
      </c>
      <c r="B84" s="92" t="s">
        <v>368</v>
      </c>
      <c r="C84" s="202">
        <v>2020</v>
      </c>
      <c r="D84" s="259" t="s">
        <v>13</v>
      </c>
      <c r="E84" s="706">
        <v>44497</v>
      </c>
      <c r="F84" s="154">
        <f>F83/F80</f>
        <v>91.276074895977814</v>
      </c>
      <c r="G84" s="155">
        <f>G83/G80</f>
        <v>167.91387856257745</v>
      </c>
      <c r="H84" s="155">
        <f>H83/H80</f>
        <v>73.483369927624622</v>
      </c>
      <c r="I84" s="156">
        <f>I83/I80</f>
        <v>66.890895410082763</v>
      </c>
      <c r="J84" s="281"/>
      <c r="K84" s="154">
        <f t="shared" ref="K84:BV84" si="184">K83/K80</f>
        <v>52.848288621646624</v>
      </c>
      <c r="L84" s="155">
        <f t="shared" si="184"/>
        <v>147.43478260869566</v>
      </c>
      <c r="M84" s="155">
        <f t="shared" si="184"/>
        <v>81.761648745519707</v>
      </c>
      <c r="N84" s="155">
        <f t="shared" si="184"/>
        <v>90.314465408805034</v>
      </c>
      <c r="O84" s="155">
        <f t="shared" si="184"/>
        <v>69.524720893141946</v>
      </c>
      <c r="P84" s="155">
        <f t="shared" si="184"/>
        <v>102.60164383561644</v>
      </c>
      <c r="Q84" s="155">
        <f t="shared" si="184"/>
        <v>188.66666666666666</v>
      </c>
      <c r="R84" s="155">
        <f t="shared" si="184"/>
        <v>123.65507649513212</v>
      </c>
      <c r="S84" s="155">
        <f t="shared" si="184"/>
        <v>207.82838283828383</v>
      </c>
      <c r="T84" s="155">
        <f t="shared" si="184"/>
        <v>51.336029411764706</v>
      </c>
      <c r="U84" s="552">
        <f t="shared" si="184"/>
        <v>53.84117393180837</v>
      </c>
      <c r="V84" s="155">
        <f t="shared" si="184"/>
        <v>205.26591760299627</v>
      </c>
      <c r="W84" s="155">
        <f t="shared" si="184"/>
        <v>101.07936507936508</v>
      </c>
      <c r="X84" s="155">
        <f t="shared" si="184"/>
        <v>257.34090909090907</v>
      </c>
      <c r="Y84" s="155">
        <f t="shared" si="184"/>
        <v>140.45119305856832</v>
      </c>
      <c r="Z84" s="155">
        <f t="shared" si="184"/>
        <v>108.79017400204708</v>
      </c>
      <c r="AA84" s="155">
        <f t="shared" si="184"/>
        <v>280.95717344753746</v>
      </c>
      <c r="AB84" s="552">
        <f t="shared" si="184"/>
        <v>132.58076923076922</v>
      </c>
      <c r="AC84" s="155">
        <f t="shared" si="184"/>
        <v>55.170502983802216</v>
      </c>
      <c r="AD84" s="155">
        <f t="shared" si="184"/>
        <v>64.721658986175115</v>
      </c>
      <c r="AE84" s="155">
        <f t="shared" si="184"/>
        <v>59.294787560227768</v>
      </c>
      <c r="AF84" s="155">
        <f t="shared" si="184"/>
        <v>93.252791878172587</v>
      </c>
      <c r="AG84" s="155">
        <f t="shared" si="184"/>
        <v>63.979533098816759</v>
      </c>
      <c r="AH84" s="155">
        <f t="shared" si="184"/>
        <v>92.752442996742673</v>
      </c>
      <c r="AI84" s="155">
        <f t="shared" si="184"/>
        <v>89.023809523809518</v>
      </c>
      <c r="AJ84" s="155">
        <f t="shared" si="184"/>
        <v>185.62790697674419</v>
      </c>
      <c r="AK84" s="552">
        <f t="shared" si="184"/>
        <v>64.791855203619903</v>
      </c>
      <c r="AL84" s="155">
        <f t="shared" si="184"/>
        <v>148.1340579710145</v>
      </c>
      <c r="AM84" s="155">
        <f t="shared" si="184"/>
        <v>52.873269435569753</v>
      </c>
      <c r="AN84" s="155">
        <f t="shared" si="184"/>
        <v>38.265934844192635</v>
      </c>
      <c r="AO84" s="155">
        <f t="shared" si="184"/>
        <v>88.832599118942724</v>
      </c>
      <c r="AP84" s="155">
        <f t="shared" si="184"/>
        <v>260.52997601918463</v>
      </c>
      <c r="AQ84" s="155">
        <f t="shared" si="184"/>
        <v>70.371014492753616</v>
      </c>
      <c r="AR84" s="155">
        <f t="shared" si="184"/>
        <v>38.296116504854368</v>
      </c>
      <c r="AS84" s="156">
        <f t="shared" si="184"/>
        <v>52.633446767136604</v>
      </c>
      <c r="AT84" s="801">
        <f t="shared" si="184"/>
        <v>83.11363636363636</v>
      </c>
      <c r="AU84" s="801">
        <f t="shared" si="184"/>
        <v>188.66666666666666</v>
      </c>
      <c r="AV84" s="801">
        <f t="shared" si="184"/>
        <v>207.82838283828383</v>
      </c>
      <c r="AW84" s="801">
        <f t="shared" si="184"/>
        <v>90.314465408805034</v>
      </c>
      <c r="AX84" s="801">
        <f t="shared" si="184"/>
        <v>129.30903328050712</v>
      </c>
      <c r="AY84" s="801">
        <f t="shared" si="184"/>
        <v>147.43478260869566</v>
      </c>
      <c r="AZ84" s="801">
        <f t="shared" si="184"/>
        <v>139.86928104575162</v>
      </c>
      <c r="BA84" s="801">
        <f t="shared" si="184"/>
        <v>99.191387559808618</v>
      </c>
      <c r="BB84" s="801">
        <f t="shared" si="184"/>
        <v>51.336029411764706</v>
      </c>
      <c r="BC84" s="801">
        <f t="shared" si="184"/>
        <v>53.84117393180837</v>
      </c>
      <c r="BD84" s="801">
        <f t="shared" si="184"/>
        <v>81.761648745519707</v>
      </c>
      <c r="BE84" s="801">
        <f t="shared" si="184"/>
        <v>69.524720893141946</v>
      </c>
      <c r="BF84" s="802">
        <f t="shared" si="184"/>
        <v>52.848288621646624</v>
      </c>
      <c r="BG84" s="801">
        <f t="shared" si="184"/>
        <v>173.65714285714284</v>
      </c>
      <c r="BH84" s="801">
        <f t="shared" si="184"/>
        <v>262.12</v>
      </c>
      <c r="BI84" s="801">
        <f t="shared" si="184"/>
        <v>257.01886792452831</v>
      </c>
      <c r="BJ84" s="801">
        <f t="shared" si="184"/>
        <v>210.0344827586207</v>
      </c>
      <c r="BK84" s="801">
        <f t="shared" si="184"/>
        <v>81.13559322033899</v>
      </c>
      <c r="BL84" s="801">
        <f t="shared" si="184"/>
        <v>168.76923076923077</v>
      </c>
      <c r="BM84" s="801">
        <f t="shared" si="184"/>
        <v>108.79017400204708</v>
      </c>
      <c r="BN84" s="801">
        <f t="shared" si="184"/>
        <v>142.95067817509249</v>
      </c>
      <c r="BO84" s="801">
        <f t="shared" si="184"/>
        <v>318.5</v>
      </c>
      <c r="BP84" s="801">
        <f t="shared" si="184"/>
        <v>132.58076923076922</v>
      </c>
      <c r="BQ84" s="801">
        <f t="shared" si="184"/>
        <v>279.62527716186253</v>
      </c>
      <c r="BR84" s="802">
        <f t="shared" si="184"/>
        <v>101.07936507936508</v>
      </c>
      <c r="BS84" s="801">
        <f t="shared" si="184"/>
        <v>81.892086330935257</v>
      </c>
      <c r="BT84" s="801">
        <f t="shared" si="184"/>
        <v>57.829757462686565</v>
      </c>
      <c r="BU84" s="801">
        <f t="shared" si="184"/>
        <v>64.721658986175115</v>
      </c>
      <c r="BV84" s="801">
        <f t="shared" si="184"/>
        <v>63.979533098816759</v>
      </c>
      <c r="BW84" s="801">
        <f t="shared" ref="BW84:CL84" si="185">BW83/BW80</f>
        <v>89.023809523809518</v>
      </c>
      <c r="BX84" s="801">
        <f t="shared" si="185"/>
        <v>55.170502983802216</v>
      </c>
      <c r="BY84" s="801">
        <f t="shared" si="185"/>
        <v>185.62790697674419</v>
      </c>
      <c r="BZ84" s="801">
        <f t="shared" si="185"/>
        <v>92.752442996742673</v>
      </c>
      <c r="CA84" s="801">
        <f t="shared" si="185"/>
        <v>93.252791878172587</v>
      </c>
      <c r="CB84" s="802">
        <f t="shared" si="185"/>
        <v>64.791855203619903</v>
      </c>
      <c r="CC84" s="801">
        <f t="shared" si="185"/>
        <v>88.832599118942724</v>
      </c>
      <c r="CD84" s="801">
        <f t="shared" si="185"/>
        <v>260.52997601918463</v>
      </c>
      <c r="CE84" s="801">
        <f t="shared" si="185"/>
        <v>148.1340579710145</v>
      </c>
      <c r="CF84" s="801">
        <f t="shared" si="185"/>
        <v>65.460869565217394</v>
      </c>
      <c r="CG84" s="801">
        <f t="shared" si="185"/>
        <v>51.87384140061792</v>
      </c>
      <c r="CH84" s="801">
        <f t="shared" si="185"/>
        <v>52.873269435569753</v>
      </c>
      <c r="CI84" s="801">
        <f t="shared" si="185"/>
        <v>38.296116504854368</v>
      </c>
      <c r="CJ84" s="801">
        <f t="shared" si="185"/>
        <v>38.265934844192635</v>
      </c>
      <c r="CK84" s="803">
        <f t="shared" si="185"/>
        <v>70.371014492753616</v>
      </c>
      <c r="CL84" s="615">
        <f t="shared" si="185"/>
        <v>88.073230698529414</v>
      </c>
    </row>
    <row r="85" spans="1:94">
      <c r="A85" s="80">
        <f>ROWS($A$3:A83)</f>
        <v>81</v>
      </c>
      <c r="B85" s="54"/>
      <c r="C85" s="266"/>
      <c r="D85" s="259"/>
      <c r="E85" s="451"/>
      <c r="F85" s="550"/>
      <c r="G85" s="550"/>
      <c r="H85" s="550"/>
      <c r="I85" s="551"/>
      <c r="J85" s="599"/>
      <c r="K85" s="154"/>
      <c r="L85" s="155"/>
      <c r="M85" s="155"/>
      <c r="N85" s="155"/>
      <c r="O85" s="155"/>
      <c r="P85" s="531"/>
      <c r="Q85" s="155"/>
      <c r="R85" s="531"/>
      <c r="S85" s="155"/>
      <c r="T85" s="155"/>
      <c r="U85" s="552"/>
      <c r="V85" s="531"/>
      <c r="W85" s="155"/>
      <c r="X85" s="531"/>
      <c r="Y85" s="531"/>
      <c r="Z85" s="155"/>
      <c r="AA85" s="531"/>
      <c r="AB85" s="552"/>
      <c r="AC85" s="155"/>
      <c r="AD85" s="155"/>
      <c r="AE85" s="531"/>
      <c r="AF85" s="155"/>
      <c r="AG85" s="155"/>
      <c r="AH85" s="155"/>
      <c r="AI85" s="155"/>
      <c r="AJ85" s="155"/>
      <c r="AK85" s="552"/>
      <c r="AL85" s="155"/>
      <c r="AM85" s="155"/>
      <c r="AN85" s="155"/>
      <c r="AO85" s="155"/>
      <c r="AP85" s="155"/>
      <c r="AQ85" s="155"/>
      <c r="AR85" s="155"/>
      <c r="AS85" s="532"/>
      <c r="AT85" s="155"/>
      <c r="AU85" s="550"/>
      <c r="AV85" s="550"/>
      <c r="AW85" s="550"/>
      <c r="AX85" s="550"/>
      <c r="AY85" s="550"/>
      <c r="AZ85" s="550"/>
      <c r="BA85" s="550"/>
      <c r="BB85" s="550"/>
      <c r="BC85" s="550"/>
      <c r="BD85" s="550"/>
      <c r="BE85" s="550"/>
      <c r="BF85" s="572"/>
      <c r="BG85" s="550"/>
      <c r="BH85" s="550"/>
      <c r="BI85" s="550"/>
      <c r="BJ85" s="550"/>
      <c r="BK85" s="550"/>
      <c r="BL85" s="550"/>
      <c r="BM85" s="550"/>
      <c r="BN85" s="550"/>
      <c r="BO85" s="550"/>
      <c r="BP85" s="550"/>
      <c r="BQ85" s="550"/>
      <c r="BR85" s="572"/>
      <c r="BS85" s="550"/>
      <c r="BT85" s="550"/>
      <c r="BU85" s="550"/>
      <c r="BV85" s="550"/>
      <c r="BW85" s="550"/>
      <c r="BX85" s="550"/>
      <c r="BY85" s="550"/>
      <c r="BZ85" s="550"/>
      <c r="CA85" s="550"/>
      <c r="CB85" s="572"/>
      <c r="CC85" s="550"/>
      <c r="CD85" s="550"/>
      <c r="CE85" s="550"/>
      <c r="CF85" s="550"/>
      <c r="CG85" s="550"/>
      <c r="CH85" s="550"/>
      <c r="CI85" s="550"/>
      <c r="CJ85" s="550"/>
      <c r="CK85" s="550"/>
      <c r="CL85" s="320"/>
    </row>
    <row r="86" spans="1:94">
      <c r="A86" s="80">
        <f>ROWS($A$3:A84)</f>
        <v>82</v>
      </c>
      <c r="B86" s="59" t="s">
        <v>189</v>
      </c>
      <c r="C86" s="586">
        <v>2019</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4" ht="12.75" customHeight="1">
      <c r="A87" s="80">
        <f>ROWS($A$3:A85)</f>
        <v>83</v>
      </c>
      <c r="B87" s="388" t="s">
        <v>292</v>
      </c>
      <c r="C87" s="205"/>
      <c r="D87" s="259" t="s">
        <v>188</v>
      </c>
      <c r="E87" s="706">
        <v>44427</v>
      </c>
      <c r="F87" s="154">
        <v>29491</v>
      </c>
      <c r="G87" s="281">
        <v>20208</v>
      </c>
      <c r="H87" s="281">
        <v>17936</v>
      </c>
      <c r="I87" s="156">
        <v>32722</v>
      </c>
      <c r="J87" s="382"/>
      <c r="K87" s="381">
        <f>BF87</f>
        <v>35569</v>
      </c>
      <c r="L87" s="384">
        <f>AY87</f>
        <v>25929</v>
      </c>
      <c r="M87" s="384">
        <f>BD87</f>
        <v>18312</v>
      </c>
      <c r="N87" s="384">
        <f>AW87</f>
        <v>25335</v>
      </c>
      <c r="O87" s="384">
        <f>BE87</f>
        <v>38709</v>
      </c>
      <c r="P87" s="384">
        <f>BA87</f>
        <v>28139</v>
      </c>
      <c r="Q87" s="384">
        <f>'2008'!AU87</f>
        <v>31866</v>
      </c>
      <c r="R87" s="384">
        <f>AX87</f>
        <v>43506</v>
      </c>
      <c r="S87" s="384">
        <f>AV87</f>
        <v>46793</v>
      </c>
      <c r="T87" s="384">
        <f>BB87</f>
        <v>32447</v>
      </c>
      <c r="U87" s="385">
        <f>BC87</f>
        <v>35579</v>
      </c>
      <c r="V87" s="384">
        <f>BJ87</f>
        <v>16214</v>
      </c>
      <c r="W87" s="384">
        <f>BR87</f>
        <v>16180</v>
      </c>
      <c r="X87" s="384">
        <f>BI87</f>
        <v>23770</v>
      </c>
      <c r="Y87" s="384">
        <f>BN87</f>
        <v>32668</v>
      </c>
      <c r="Z87" s="384">
        <f>BM87</f>
        <v>14122</v>
      </c>
      <c r="AA87" s="384">
        <f>BQ87</f>
        <v>25129</v>
      </c>
      <c r="AB87" s="385">
        <f>BP87</f>
        <v>18094</v>
      </c>
      <c r="AC87" s="384">
        <f>BX87</f>
        <v>20360</v>
      </c>
      <c r="AD87" s="384">
        <f>BU87</f>
        <v>32095</v>
      </c>
      <c r="AE87" s="384">
        <f>BT87</f>
        <v>25189</v>
      </c>
      <c r="AF87" s="384">
        <f>CA87</f>
        <v>22452</v>
      </c>
      <c r="AG87" s="384">
        <f>BV87</f>
        <v>25300</v>
      </c>
      <c r="AH87" s="384">
        <f>BZ87</f>
        <v>23246</v>
      </c>
      <c r="AI87" s="384">
        <f>BW87</f>
        <v>15691</v>
      </c>
      <c r="AJ87" s="384">
        <f>BY87</f>
        <v>17637</v>
      </c>
      <c r="AK87" s="385">
        <f>CB87</f>
        <v>21064</v>
      </c>
      <c r="AL87" s="384">
        <f>CE87</f>
        <v>16141</v>
      </c>
      <c r="AM87" s="384">
        <f>CH87</f>
        <v>39487</v>
      </c>
      <c r="AN87" s="384">
        <f>CJ87</f>
        <v>33934</v>
      </c>
      <c r="AO87" s="384">
        <f>CC87</f>
        <v>23491</v>
      </c>
      <c r="AP87" s="384">
        <f>CD87</f>
        <v>23129</v>
      </c>
      <c r="AQ87" s="384">
        <f>CK87</f>
        <v>23665</v>
      </c>
      <c r="AR87" s="384">
        <f>CI87</f>
        <v>37451</v>
      </c>
      <c r="AS87" s="383">
        <f>(CG100*CG87)/(CG100)</f>
        <v>39618</v>
      </c>
      <c r="AT87" s="384" t="s">
        <v>304</v>
      </c>
      <c r="AU87" s="382">
        <v>34524</v>
      </c>
      <c r="AV87" s="382">
        <v>46793</v>
      </c>
      <c r="AW87" s="382">
        <v>25335</v>
      </c>
      <c r="AX87" s="382">
        <v>43506</v>
      </c>
      <c r="AY87" s="382">
        <v>25929</v>
      </c>
      <c r="AZ87" s="384" t="s">
        <v>304</v>
      </c>
      <c r="BA87" s="382">
        <v>28139</v>
      </c>
      <c r="BB87" s="382">
        <v>32447</v>
      </c>
      <c r="BC87" s="382">
        <v>35579</v>
      </c>
      <c r="BD87" s="382">
        <v>18312</v>
      </c>
      <c r="BE87" s="382">
        <v>38709</v>
      </c>
      <c r="BF87" s="385">
        <v>35569</v>
      </c>
      <c r="BG87" s="384" t="s">
        <v>304</v>
      </c>
      <c r="BH87" s="384" t="s">
        <v>304</v>
      </c>
      <c r="BI87" s="382">
        <v>23770</v>
      </c>
      <c r="BJ87" s="382">
        <v>16214</v>
      </c>
      <c r="BK87" s="384" t="s">
        <v>304</v>
      </c>
      <c r="BL87" s="382" t="s">
        <v>304</v>
      </c>
      <c r="BM87" s="382">
        <v>14122</v>
      </c>
      <c r="BN87" s="382">
        <v>32668</v>
      </c>
      <c r="BO87" s="384" t="s">
        <v>304</v>
      </c>
      <c r="BP87" s="382">
        <v>18094</v>
      </c>
      <c r="BQ87" s="382">
        <v>25129</v>
      </c>
      <c r="BR87" s="385">
        <v>16180</v>
      </c>
      <c r="BS87" s="384" t="s">
        <v>304</v>
      </c>
      <c r="BT87" s="382">
        <v>25189</v>
      </c>
      <c r="BU87" s="382">
        <v>32095</v>
      </c>
      <c r="BV87" s="382">
        <v>25300</v>
      </c>
      <c r="BW87" s="382">
        <v>15691</v>
      </c>
      <c r="BX87" s="382">
        <v>20360</v>
      </c>
      <c r="BY87" s="382">
        <v>17637</v>
      </c>
      <c r="BZ87" s="382">
        <v>23246</v>
      </c>
      <c r="CA87" s="382">
        <v>22452</v>
      </c>
      <c r="CB87" s="385">
        <v>21064</v>
      </c>
      <c r="CC87" s="382">
        <v>23491</v>
      </c>
      <c r="CD87" s="382">
        <v>23129</v>
      </c>
      <c r="CE87" s="382">
        <v>16141</v>
      </c>
      <c r="CF87" s="384" t="s">
        <v>304</v>
      </c>
      <c r="CG87" s="382">
        <v>39618</v>
      </c>
      <c r="CH87" s="382">
        <v>39487</v>
      </c>
      <c r="CI87" s="384">
        <v>37451</v>
      </c>
      <c r="CJ87" s="382">
        <v>33934</v>
      </c>
      <c r="CK87" s="383">
        <v>23665</v>
      </c>
      <c r="CL87" s="319">
        <v>28259</v>
      </c>
    </row>
    <row r="88" spans="1:94">
      <c r="A88" s="80">
        <f>ROWS($A$3:A86)</f>
        <v>84</v>
      </c>
      <c r="B88" s="59" t="s">
        <v>190</v>
      </c>
      <c r="C88" s="814">
        <v>2021</v>
      </c>
      <c r="D88" s="259"/>
      <c r="E88" s="451"/>
      <c r="F88" s="381"/>
      <c r="G88" s="382"/>
      <c r="H88" s="384"/>
      <c r="I88" s="383"/>
      <c r="J88" s="382"/>
      <c r="K88" s="381"/>
      <c r="L88" s="384"/>
      <c r="M88" s="384"/>
      <c r="N88" s="384"/>
      <c r="O88" s="384"/>
      <c r="P88" s="384"/>
      <c r="Q88" s="384"/>
      <c r="R88" s="384"/>
      <c r="S88" s="384"/>
      <c r="T88" s="384"/>
      <c r="U88" s="385"/>
      <c r="V88" s="384"/>
      <c r="W88" s="384"/>
      <c r="X88" s="384"/>
      <c r="Y88" s="384"/>
      <c r="Z88" s="384"/>
      <c r="AA88" s="384"/>
      <c r="AB88" s="385"/>
      <c r="AC88" s="384"/>
      <c r="AD88" s="384"/>
      <c r="AE88" s="384"/>
      <c r="AF88" s="384"/>
      <c r="AG88" s="384"/>
      <c r="AH88" s="384"/>
      <c r="AI88" s="384"/>
      <c r="AJ88" s="384"/>
      <c r="AK88" s="385"/>
      <c r="AL88" s="384"/>
      <c r="AM88" s="384"/>
      <c r="AN88" s="384"/>
      <c r="AO88" s="384"/>
      <c r="AP88" s="384"/>
      <c r="AQ88" s="384"/>
      <c r="AR88" s="384"/>
      <c r="AS88" s="383"/>
      <c r="AT88" s="384"/>
      <c r="AU88" s="683"/>
      <c r="AV88" s="384"/>
      <c r="AW88" s="382"/>
      <c r="AX88" s="382"/>
      <c r="AY88" s="384"/>
      <c r="AZ88" s="384"/>
      <c r="BA88" s="382"/>
      <c r="BB88" s="382"/>
      <c r="BC88" s="382"/>
      <c r="BD88" s="382"/>
      <c r="BE88" s="384"/>
      <c r="BF88" s="385"/>
      <c r="BG88" s="384"/>
      <c r="BH88" s="384"/>
      <c r="BI88" s="382"/>
      <c r="BJ88" s="382"/>
      <c r="BK88" s="382"/>
      <c r="BL88" s="382"/>
      <c r="BM88" s="382"/>
      <c r="BN88" s="382"/>
      <c r="BO88" s="384"/>
      <c r="BP88" s="384"/>
      <c r="BQ88" s="384"/>
      <c r="BR88" s="385"/>
      <c r="BS88" s="384"/>
      <c r="BT88" s="382"/>
      <c r="BU88" s="382"/>
      <c r="BV88" s="382"/>
      <c r="BW88" s="382"/>
      <c r="BX88" s="382"/>
      <c r="BY88" s="382"/>
      <c r="BZ88" s="382"/>
      <c r="CA88" s="382"/>
      <c r="CB88" s="385"/>
      <c r="CC88" s="382"/>
      <c r="CD88" s="382"/>
      <c r="CE88" s="382"/>
      <c r="CF88" s="384"/>
      <c r="CG88" s="384"/>
      <c r="CH88" s="384"/>
      <c r="CI88" s="384"/>
      <c r="CJ88" s="382"/>
      <c r="CK88" s="383"/>
      <c r="CL88" s="386"/>
    </row>
    <row r="89" spans="1:94">
      <c r="A89" s="80">
        <f>ROWS($A$3:A87)</f>
        <v>85</v>
      </c>
      <c r="B89" s="92" t="s">
        <v>284</v>
      </c>
      <c r="C89" s="203"/>
      <c r="D89" s="259" t="s">
        <v>192</v>
      </c>
      <c r="E89" s="706">
        <v>44631</v>
      </c>
      <c r="F89" s="712">
        <v>66.8</v>
      </c>
      <c r="G89" s="712">
        <v>65.599999999999994</v>
      </c>
      <c r="H89" s="712">
        <v>67.099999999999994</v>
      </c>
      <c r="I89" s="712">
        <v>67.400000000000006</v>
      </c>
      <c r="J89" s="382"/>
      <c r="K89" s="381">
        <f>BF89</f>
        <v>68.400000000000006</v>
      </c>
      <c r="L89" s="384">
        <f>AY89</f>
        <v>64.099999999999994</v>
      </c>
      <c r="M89" s="384">
        <f>BD89</f>
        <v>62.5</v>
      </c>
      <c r="N89" s="384">
        <f>AW89</f>
        <v>69.5</v>
      </c>
      <c r="O89" s="384">
        <f>BE89</f>
        <v>59.5</v>
      </c>
      <c r="P89" s="384">
        <f>'2021'!BA89</f>
        <v>70.099999999999994</v>
      </c>
      <c r="Q89" s="384">
        <f>'2021'!AU89</f>
        <v>69.7</v>
      </c>
      <c r="R89" s="384">
        <f>AX89</f>
        <v>69.7</v>
      </c>
      <c r="S89" s="384">
        <f>AV89</f>
        <v>60.7</v>
      </c>
      <c r="T89" s="384">
        <f t="shared" ref="T89:U93" si="186">BB89</f>
        <v>65.7</v>
      </c>
      <c r="U89" s="385">
        <f t="shared" si="186"/>
        <v>70</v>
      </c>
      <c r="V89" s="384">
        <f>BJ89</f>
        <v>59.2</v>
      </c>
      <c r="W89" s="384">
        <f>BR89</f>
        <v>70.7</v>
      </c>
      <c r="X89" s="384">
        <f>BI89</f>
        <v>59.9</v>
      </c>
      <c r="Y89" s="384">
        <f>BN89</f>
        <v>69.099999999999994</v>
      </c>
      <c r="Z89" s="384">
        <f>BM89</f>
        <v>64.400000000000006</v>
      </c>
      <c r="AA89" s="384">
        <f>BQ89</f>
        <v>68.5</v>
      </c>
      <c r="AB89" s="385" t="str">
        <f>BP89</f>
        <v>/</v>
      </c>
      <c r="AC89" s="384" t="str">
        <f>BX89</f>
        <v>/</v>
      </c>
      <c r="AD89" s="384">
        <f>BU89</f>
        <v>75.400000000000006</v>
      </c>
      <c r="AE89" s="384">
        <f>BT89</f>
        <v>80.5</v>
      </c>
      <c r="AF89" s="384" t="str">
        <f>CA89</f>
        <v>/</v>
      </c>
      <c r="AG89" s="384">
        <f>BV89</f>
        <v>70.5</v>
      </c>
      <c r="AH89" s="384">
        <f>BZ89</f>
        <v>51.6</v>
      </c>
      <c r="AI89" s="384">
        <f>BW89</f>
        <v>67.5</v>
      </c>
      <c r="AJ89" s="384">
        <f>BY89</f>
        <v>66.3</v>
      </c>
      <c r="AK89" s="385">
        <f>CB89</f>
        <v>47.6</v>
      </c>
      <c r="AL89" s="384">
        <f>CE89</f>
        <v>52.1</v>
      </c>
      <c r="AM89" s="384">
        <f>CH89</f>
        <v>70.400000000000006</v>
      </c>
      <c r="AN89" s="384">
        <f>CJ89</f>
        <v>75.8</v>
      </c>
      <c r="AO89" s="384">
        <f t="shared" ref="AO89:AP93" si="187">CC89</f>
        <v>53.9</v>
      </c>
      <c r="AP89" s="384">
        <f t="shared" si="187"/>
        <v>57.6</v>
      </c>
      <c r="AQ89" s="384">
        <f>CK89</f>
        <v>70.099999999999994</v>
      </c>
      <c r="AR89" s="384">
        <f>CI89</f>
        <v>80.099999999999994</v>
      </c>
      <c r="AS89" s="383">
        <f>CG89</f>
        <v>68.7</v>
      </c>
      <c r="AT89" s="712" t="s">
        <v>388</v>
      </c>
      <c r="AU89" s="712">
        <v>69.7</v>
      </c>
      <c r="AV89" s="712">
        <v>60.7</v>
      </c>
      <c r="AW89" s="712">
        <v>69.5</v>
      </c>
      <c r="AX89" s="712">
        <v>69.7</v>
      </c>
      <c r="AY89" s="712">
        <v>64.099999999999994</v>
      </c>
      <c r="AZ89" s="712" t="s">
        <v>388</v>
      </c>
      <c r="BA89" s="712">
        <v>70.099999999999994</v>
      </c>
      <c r="BB89" s="712">
        <v>65.7</v>
      </c>
      <c r="BC89" s="712">
        <v>70</v>
      </c>
      <c r="BD89" s="712">
        <v>62.5</v>
      </c>
      <c r="BE89" s="712">
        <v>59.5</v>
      </c>
      <c r="BF89" s="712">
        <v>68.400000000000006</v>
      </c>
      <c r="BG89" s="712" t="s">
        <v>388</v>
      </c>
      <c r="BH89" s="712" t="s">
        <v>388</v>
      </c>
      <c r="BI89" s="712">
        <v>59.9</v>
      </c>
      <c r="BJ89" s="712">
        <v>59.2</v>
      </c>
      <c r="BK89" s="712" t="s">
        <v>388</v>
      </c>
      <c r="BL89" s="712" t="s">
        <v>388</v>
      </c>
      <c r="BM89" s="712">
        <v>64.400000000000006</v>
      </c>
      <c r="BN89" s="712">
        <v>69.099999999999994</v>
      </c>
      <c r="BO89" s="712" t="s">
        <v>388</v>
      </c>
      <c r="BP89" s="712" t="s">
        <v>388</v>
      </c>
      <c r="BQ89" s="712">
        <v>68.5</v>
      </c>
      <c r="BR89" s="712">
        <v>70.7</v>
      </c>
      <c r="BS89" s="712" t="s">
        <v>388</v>
      </c>
      <c r="BT89" s="712">
        <v>80.5</v>
      </c>
      <c r="BU89" s="712">
        <v>75.400000000000006</v>
      </c>
      <c r="BV89" s="712">
        <v>70.5</v>
      </c>
      <c r="BW89" s="712">
        <v>67.5</v>
      </c>
      <c r="BX89" s="712" t="s">
        <v>388</v>
      </c>
      <c r="BY89" s="712">
        <v>66.3</v>
      </c>
      <c r="BZ89" s="712">
        <v>51.6</v>
      </c>
      <c r="CA89" s="712" t="s">
        <v>388</v>
      </c>
      <c r="CB89" s="712">
        <v>47.6</v>
      </c>
      <c r="CC89" s="712">
        <v>53.9</v>
      </c>
      <c r="CD89" s="712">
        <v>57.6</v>
      </c>
      <c r="CE89" s="712">
        <v>52.1</v>
      </c>
      <c r="CF89" s="712" t="s">
        <v>388</v>
      </c>
      <c r="CG89" s="712">
        <v>68.7</v>
      </c>
      <c r="CH89" s="712">
        <v>70.400000000000006</v>
      </c>
      <c r="CI89" s="712">
        <v>80.099999999999994</v>
      </c>
      <c r="CJ89" s="712">
        <v>75.8</v>
      </c>
      <c r="CK89" s="712">
        <v>70.099999999999994</v>
      </c>
      <c r="CL89" s="712">
        <v>66.8</v>
      </c>
    </row>
    <row r="90" spans="1:94">
      <c r="A90" s="80">
        <f>ROWS($A$3:A88)</f>
        <v>86</v>
      </c>
      <c r="B90" s="92" t="s">
        <v>193</v>
      </c>
      <c r="C90" s="203"/>
      <c r="D90" s="259" t="s">
        <v>192</v>
      </c>
      <c r="E90" s="706">
        <v>44631</v>
      </c>
      <c r="F90" s="712">
        <v>843.7</v>
      </c>
      <c r="G90" s="712">
        <v>843.8</v>
      </c>
      <c r="H90" s="712" t="s">
        <v>388</v>
      </c>
      <c r="I90" s="712">
        <v>791.9</v>
      </c>
      <c r="J90" s="382"/>
      <c r="K90" s="381" t="str">
        <f>BF90</f>
        <v>/</v>
      </c>
      <c r="L90" s="384" t="str">
        <f>AY90</f>
        <v>/</v>
      </c>
      <c r="M90" s="384">
        <f>BD90</f>
        <v>893.8</v>
      </c>
      <c r="N90" s="384">
        <f>AW90</f>
        <v>0</v>
      </c>
      <c r="O90" s="384" t="str">
        <f>BE90</f>
        <v>/</v>
      </c>
      <c r="P90" s="384">
        <f>'2021'!BA90</f>
        <v>851</v>
      </c>
      <c r="Q90" s="384" t="str">
        <f>'2021'!AU90</f>
        <v>/</v>
      </c>
      <c r="R90" s="384">
        <f>AX90</f>
        <v>818.8</v>
      </c>
      <c r="S90" s="384" t="str">
        <f>AV90</f>
        <v>/</v>
      </c>
      <c r="T90" s="384">
        <f t="shared" si="186"/>
        <v>860</v>
      </c>
      <c r="U90" s="385" t="str">
        <f t="shared" si="186"/>
        <v>/</v>
      </c>
      <c r="V90" s="384">
        <f>BJ90</f>
        <v>0</v>
      </c>
      <c r="W90" s="384">
        <f>BR90</f>
        <v>0</v>
      </c>
      <c r="X90" s="384">
        <f>BI90</f>
        <v>864</v>
      </c>
      <c r="Y90" s="384">
        <f>BN90</f>
        <v>893.4</v>
      </c>
      <c r="Z90" s="384">
        <f>BM90</f>
        <v>739.5</v>
      </c>
      <c r="AA90" s="384" t="str">
        <f>BQ90</f>
        <v>/</v>
      </c>
      <c r="AB90" s="385" t="str">
        <f>BP90</f>
        <v>/</v>
      </c>
      <c r="AC90" s="384" t="str">
        <f>BX90</f>
        <v>/</v>
      </c>
      <c r="AD90" s="384">
        <f>BU90</f>
        <v>0</v>
      </c>
      <c r="AE90" s="384" t="str">
        <f>BT90</f>
        <v>/</v>
      </c>
      <c r="AF90" s="384" t="str">
        <f>CA90</f>
        <v>/</v>
      </c>
      <c r="AG90" s="384" t="str">
        <f>BV90</f>
        <v>/</v>
      </c>
      <c r="AH90" s="384" t="str">
        <f>BZ90</f>
        <v>/</v>
      </c>
      <c r="AI90" s="384" t="str">
        <f>BW90</f>
        <v>/</v>
      </c>
      <c r="AJ90" s="384" t="str">
        <f>BY90</f>
        <v>/</v>
      </c>
      <c r="AK90" s="385" t="str">
        <f>CB90</f>
        <v>/</v>
      </c>
      <c r="AL90" s="384">
        <f>CE90</f>
        <v>0</v>
      </c>
      <c r="AM90" s="384" t="str">
        <f>CH90</f>
        <v>/</v>
      </c>
      <c r="AN90" s="384" t="str">
        <f>CJ90</f>
        <v>/</v>
      </c>
      <c r="AO90" s="384" t="str">
        <f t="shared" si="187"/>
        <v>/</v>
      </c>
      <c r="AP90" s="384" t="str">
        <f t="shared" si="187"/>
        <v>/</v>
      </c>
      <c r="AQ90" s="384" t="str">
        <f>CK90</f>
        <v>/</v>
      </c>
      <c r="AR90" s="384" t="str">
        <f>CI90</f>
        <v>/</v>
      </c>
      <c r="AS90" s="383">
        <f>CG90</f>
        <v>763.9</v>
      </c>
      <c r="AT90" s="712">
        <v>830.5</v>
      </c>
      <c r="AU90" s="712" t="s">
        <v>388</v>
      </c>
      <c r="AV90" s="712" t="s">
        <v>388</v>
      </c>
      <c r="AW90" s="712">
        <v>0</v>
      </c>
      <c r="AX90" s="712">
        <v>818.8</v>
      </c>
      <c r="AY90" s="712" t="s">
        <v>388</v>
      </c>
      <c r="AZ90" s="712" t="s">
        <v>388</v>
      </c>
      <c r="BA90" s="712">
        <v>851</v>
      </c>
      <c r="BB90" s="712">
        <v>860</v>
      </c>
      <c r="BC90" s="712" t="s">
        <v>388</v>
      </c>
      <c r="BD90" s="712">
        <v>893.8</v>
      </c>
      <c r="BE90" s="712" t="s">
        <v>388</v>
      </c>
      <c r="BF90" s="712" t="s">
        <v>388</v>
      </c>
      <c r="BG90" s="712">
        <v>0</v>
      </c>
      <c r="BH90" s="712">
        <v>0</v>
      </c>
      <c r="BI90" s="712">
        <v>864</v>
      </c>
      <c r="BJ90" s="712">
        <v>0</v>
      </c>
      <c r="BK90" s="712" t="s">
        <v>388</v>
      </c>
      <c r="BL90" s="712" t="s">
        <v>388</v>
      </c>
      <c r="BM90" s="712">
        <v>739.5</v>
      </c>
      <c r="BN90" s="712">
        <v>893.4</v>
      </c>
      <c r="BO90" s="712">
        <v>0</v>
      </c>
      <c r="BP90" s="712" t="s">
        <v>388</v>
      </c>
      <c r="BQ90" s="712" t="s">
        <v>388</v>
      </c>
      <c r="BR90" s="712">
        <v>0</v>
      </c>
      <c r="BS90" s="712">
        <v>0</v>
      </c>
      <c r="BT90" s="712" t="s">
        <v>388</v>
      </c>
      <c r="BU90" s="712">
        <v>0</v>
      </c>
      <c r="BV90" s="712" t="s">
        <v>388</v>
      </c>
      <c r="BW90" s="712" t="s">
        <v>388</v>
      </c>
      <c r="BX90" s="712" t="s">
        <v>388</v>
      </c>
      <c r="BY90" s="712" t="s">
        <v>388</v>
      </c>
      <c r="BZ90" s="712" t="s">
        <v>388</v>
      </c>
      <c r="CA90" s="712" t="s">
        <v>388</v>
      </c>
      <c r="CB90" s="712" t="s">
        <v>388</v>
      </c>
      <c r="CC90" s="712" t="s">
        <v>388</v>
      </c>
      <c r="CD90" s="712" t="s">
        <v>388</v>
      </c>
      <c r="CE90" s="712">
        <v>0</v>
      </c>
      <c r="CF90" s="712">
        <v>0</v>
      </c>
      <c r="CG90" s="712">
        <v>763.9</v>
      </c>
      <c r="CH90" s="712" t="s">
        <v>388</v>
      </c>
      <c r="CI90" s="712" t="s">
        <v>388</v>
      </c>
      <c r="CJ90" s="712" t="s">
        <v>388</v>
      </c>
      <c r="CK90" s="712" t="s">
        <v>388</v>
      </c>
      <c r="CL90" s="712">
        <v>840.5</v>
      </c>
    </row>
    <row r="91" spans="1:94">
      <c r="A91" s="80">
        <f>ROWS($A$3:A89)</f>
        <v>87</v>
      </c>
      <c r="B91" s="54" t="s">
        <v>194</v>
      </c>
      <c r="C91" s="252"/>
      <c r="D91" s="259" t="s">
        <v>192</v>
      </c>
      <c r="E91" s="706">
        <v>44631</v>
      </c>
      <c r="F91" s="712">
        <v>36</v>
      </c>
      <c r="G91" s="712">
        <v>37.299999999999997</v>
      </c>
      <c r="H91" s="712">
        <v>35.1</v>
      </c>
      <c r="I91" s="712">
        <v>34.9</v>
      </c>
      <c r="J91" s="598"/>
      <c r="K91" s="547">
        <f>BF91</f>
        <v>32.1</v>
      </c>
      <c r="L91" s="548" t="str">
        <f>AY91</f>
        <v>/</v>
      </c>
      <c r="M91" s="548">
        <f>BD91</f>
        <v>34.6</v>
      </c>
      <c r="N91" s="548" t="str">
        <f>AW91</f>
        <v>/</v>
      </c>
      <c r="O91" s="548" t="str">
        <f>BE91</f>
        <v>/</v>
      </c>
      <c r="P91" s="573">
        <f>'2021'!BA91</f>
        <v>37.700000000000003</v>
      </c>
      <c r="Q91" s="548">
        <f>'2021'!AU91</f>
        <v>37.200000000000003</v>
      </c>
      <c r="R91" s="573" t="str">
        <f>AX91</f>
        <v>/</v>
      </c>
      <c r="S91" s="548" t="str">
        <f>AV91</f>
        <v>/</v>
      </c>
      <c r="T91" s="548">
        <f t="shared" si="186"/>
        <v>38.6</v>
      </c>
      <c r="U91" s="570">
        <f t="shared" si="186"/>
        <v>39.4</v>
      </c>
      <c r="V91" s="573">
        <f>BJ91</f>
        <v>0</v>
      </c>
      <c r="W91" s="548">
        <f>BR91</f>
        <v>40.200000000000003</v>
      </c>
      <c r="X91" s="573">
        <f>BI91</f>
        <v>36.6</v>
      </c>
      <c r="Y91" s="573">
        <f>BN91</f>
        <v>35.799999999999997</v>
      </c>
      <c r="Z91" s="548">
        <f>BM91</f>
        <v>35</v>
      </c>
      <c r="AA91" s="573">
        <f>BQ91</f>
        <v>38.700000000000003</v>
      </c>
      <c r="AB91" s="570" t="str">
        <f>BP91</f>
        <v>/</v>
      </c>
      <c r="AC91" s="548" t="str">
        <f>BX91</f>
        <v>/</v>
      </c>
      <c r="AD91" s="548" t="str">
        <f>BU91</f>
        <v>/</v>
      </c>
      <c r="AE91" s="573" t="str">
        <f>BT91</f>
        <v>/</v>
      </c>
      <c r="AF91" s="548" t="str">
        <f>CA91</f>
        <v>/</v>
      </c>
      <c r="AG91" s="548" t="str">
        <f>BV91</f>
        <v>/</v>
      </c>
      <c r="AH91" s="548" t="str">
        <f>BZ91</f>
        <v>/</v>
      </c>
      <c r="AI91" s="548">
        <f>BW91</f>
        <v>28.1</v>
      </c>
      <c r="AJ91" s="548" t="str">
        <f>BY91</f>
        <v>/</v>
      </c>
      <c r="AK91" s="570" t="str">
        <f>CB91</f>
        <v>/</v>
      </c>
      <c r="AL91" s="548" t="str">
        <f>CE91</f>
        <v>/</v>
      </c>
      <c r="AM91" s="548">
        <f>CH91</f>
        <v>36.1</v>
      </c>
      <c r="AN91" s="548" t="str">
        <f>CJ91</f>
        <v>/</v>
      </c>
      <c r="AO91" s="548" t="str">
        <f t="shared" si="187"/>
        <v>/</v>
      </c>
      <c r="AP91" s="548">
        <f t="shared" si="187"/>
        <v>40.799999999999997</v>
      </c>
      <c r="AQ91" s="548">
        <f>CK91</f>
        <v>32.6</v>
      </c>
      <c r="AR91" s="548" t="str">
        <f>CI91</f>
        <v>/</v>
      </c>
      <c r="AS91" s="574">
        <f>CG91</f>
        <v>35.799999999999997</v>
      </c>
      <c r="AT91" s="712">
        <v>0</v>
      </c>
      <c r="AU91" s="712">
        <v>37.200000000000003</v>
      </c>
      <c r="AV91" s="712" t="s">
        <v>388</v>
      </c>
      <c r="AW91" s="712" t="s">
        <v>388</v>
      </c>
      <c r="AX91" s="712" t="s">
        <v>388</v>
      </c>
      <c r="AY91" s="712" t="s">
        <v>388</v>
      </c>
      <c r="AZ91" s="712" t="s">
        <v>388</v>
      </c>
      <c r="BA91" s="712">
        <v>37.700000000000003</v>
      </c>
      <c r="BB91" s="712">
        <v>38.6</v>
      </c>
      <c r="BC91" s="712">
        <v>39.4</v>
      </c>
      <c r="BD91" s="712">
        <v>34.6</v>
      </c>
      <c r="BE91" s="712" t="s">
        <v>388</v>
      </c>
      <c r="BF91" s="712">
        <v>32.1</v>
      </c>
      <c r="BG91" s="712">
        <v>0</v>
      </c>
      <c r="BH91" s="712">
        <v>0</v>
      </c>
      <c r="BI91" s="712">
        <v>36.6</v>
      </c>
      <c r="BJ91" s="712">
        <v>0</v>
      </c>
      <c r="BK91" s="712" t="s">
        <v>388</v>
      </c>
      <c r="BL91" s="712" t="s">
        <v>388</v>
      </c>
      <c r="BM91" s="712">
        <v>35</v>
      </c>
      <c r="BN91" s="712">
        <v>35.799999999999997</v>
      </c>
      <c r="BO91" s="712">
        <v>0</v>
      </c>
      <c r="BP91" s="712" t="s">
        <v>388</v>
      </c>
      <c r="BQ91" s="712">
        <v>38.700000000000003</v>
      </c>
      <c r="BR91" s="712">
        <v>40.200000000000003</v>
      </c>
      <c r="BS91" s="712">
        <v>0</v>
      </c>
      <c r="BT91" s="712" t="s">
        <v>388</v>
      </c>
      <c r="BU91" s="712" t="s">
        <v>388</v>
      </c>
      <c r="BV91" s="712" t="s">
        <v>388</v>
      </c>
      <c r="BW91" s="712">
        <v>28.1</v>
      </c>
      <c r="BX91" s="712" t="s">
        <v>388</v>
      </c>
      <c r="BY91" s="712" t="s">
        <v>388</v>
      </c>
      <c r="BZ91" s="712" t="s">
        <v>388</v>
      </c>
      <c r="CA91" s="712" t="s">
        <v>388</v>
      </c>
      <c r="CB91" s="712" t="s">
        <v>388</v>
      </c>
      <c r="CC91" s="712" t="s">
        <v>388</v>
      </c>
      <c r="CD91" s="712">
        <v>40.799999999999997</v>
      </c>
      <c r="CE91" s="712" t="s">
        <v>388</v>
      </c>
      <c r="CF91" s="712" t="s">
        <v>388</v>
      </c>
      <c r="CG91" s="712">
        <v>35.799999999999997</v>
      </c>
      <c r="CH91" s="712">
        <v>36.1</v>
      </c>
      <c r="CI91" s="712" t="s">
        <v>388</v>
      </c>
      <c r="CJ91" s="712" t="s">
        <v>388</v>
      </c>
      <c r="CK91" s="712">
        <v>32.6</v>
      </c>
      <c r="CL91" s="712">
        <v>35.9</v>
      </c>
    </row>
    <row r="92" spans="1:94">
      <c r="A92" s="80">
        <f>ROWS($A$3:A90)</f>
        <v>88</v>
      </c>
      <c r="B92" s="92" t="s">
        <v>195</v>
      </c>
      <c r="C92" s="203"/>
      <c r="D92" s="259" t="s">
        <v>192</v>
      </c>
      <c r="E92" s="706">
        <v>44631</v>
      </c>
      <c r="F92" s="712">
        <v>523.6</v>
      </c>
      <c r="G92" s="712">
        <v>481.5</v>
      </c>
      <c r="H92" s="712">
        <v>427.8</v>
      </c>
      <c r="I92" s="712">
        <v>451.9</v>
      </c>
      <c r="J92" s="281"/>
      <c r="K92" s="154">
        <f>BF92</f>
        <v>464.9</v>
      </c>
      <c r="L92" s="155">
        <f>AY92</f>
        <v>478.1</v>
      </c>
      <c r="M92" s="155">
        <f>BD92</f>
        <v>521.9</v>
      </c>
      <c r="N92" s="155">
        <f>AW92</f>
        <v>513.4</v>
      </c>
      <c r="O92" s="155" t="str">
        <f>BE92</f>
        <v>/</v>
      </c>
      <c r="P92" s="155">
        <f>'2021'!BA92</f>
        <v>529.6</v>
      </c>
      <c r="Q92" s="155" t="str">
        <f>'2021'!AU92</f>
        <v>/</v>
      </c>
      <c r="R92" s="155">
        <f>AX92</f>
        <v>561.20000000000005</v>
      </c>
      <c r="S92" s="155">
        <f>AV92</f>
        <v>506.5</v>
      </c>
      <c r="T92" s="155">
        <f t="shared" si="186"/>
        <v>584.5</v>
      </c>
      <c r="U92" s="552">
        <f t="shared" si="186"/>
        <v>523.20000000000005</v>
      </c>
      <c r="V92" s="155" t="str">
        <f>BJ92</f>
        <v>/</v>
      </c>
      <c r="W92" s="155">
        <f>BR92</f>
        <v>547.1</v>
      </c>
      <c r="X92" s="155" t="str">
        <f>BI92</f>
        <v>/</v>
      </c>
      <c r="Y92" s="155">
        <f>BN92</f>
        <v>392.9</v>
      </c>
      <c r="Z92" s="155">
        <f>BM92</f>
        <v>484.9</v>
      </c>
      <c r="AA92" s="155">
        <f>BQ92</f>
        <v>450.9</v>
      </c>
      <c r="AB92" s="552" t="str">
        <f>BP92</f>
        <v>/</v>
      </c>
      <c r="AC92" s="155" t="str">
        <f>BX92</f>
        <v>/</v>
      </c>
      <c r="AD92" s="155" t="str">
        <f>BU92</f>
        <v>/</v>
      </c>
      <c r="AE92" s="155">
        <f>BT92</f>
        <v>535.79999999999995</v>
      </c>
      <c r="AF92" s="155" t="str">
        <f>CA92</f>
        <v>/</v>
      </c>
      <c r="AG92" s="155" t="str">
        <f>BV92</f>
        <v>/</v>
      </c>
      <c r="AH92" s="155">
        <f>BZ92</f>
        <v>390.7</v>
      </c>
      <c r="AI92" s="155">
        <f>BW92</f>
        <v>479.5</v>
      </c>
      <c r="AJ92" s="155">
        <f>BY92</f>
        <v>451.3</v>
      </c>
      <c r="AK92" s="552">
        <f>CB92</f>
        <v>382.2</v>
      </c>
      <c r="AL92" s="155">
        <f>CE92</f>
        <v>456.9</v>
      </c>
      <c r="AM92" s="155">
        <f>CH92</f>
        <v>444</v>
      </c>
      <c r="AN92" s="155">
        <f>CJ92</f>
        <v>455.9</v>
      </c>
      <c r="AO92" s="155">
        <f t="shared" si="187"/>
        <v>410.2</v>
      </c>
      <c r="AP92" s="155" t="str">
        <f t="shared" si="187"/>
        <v>/</v>
      </c>
      <c r="AQ92" s="155">
        <f>CK92</f>
        <v>488.3</v>
      </c>
      <c r="AR92" s="155" t="str">
        <f>CI92</f>
        <v>/</v>
      </c>
      <c r="AS92" s="156">
        <f>CG92</f>
        <v>474.2</v>
      </c>
      <c r="AT92" s="712" t="s">
        <v>388</v>
      </c>
      <c r="AU92" s="712" t="s">
        <v>388</v>
      </c>
      <c r="AV92" s="712">
        <v>506.5</v>
      </c>
      <c r="AW92" s="712">
        <v>513.4</v>
      </c>
      <c r="AX92" s="712">
        <v>561.20000000000005</v>
      </c>
      <c r="AY92" s="712">
        <v>478.1</v>
      </c>
      <c r="AZ92" s="712" t="s">
        <v>388</v>
      </c>
      <c r="BA92" s="712">
        <v>529.6</v>
      </c>
      <c r="BB92" s="712">
        <v>584.5</v>
      </c>
      <c r="BC92" s="712">
        <v>523.20000000000005</v>
      </c>
      <c r="BD92" s="712">
        <v>521.9</v>
      </c>
      <c r="BE92" s="712" t="s">
        <v>388</v>
      </c>
      <c r="BF92" s="712">
        <v>464.9</v>
      </c>
      <c r="BG92" s="712" t="s">
        <v>388</v>
      </c>
      <c r="BH92" s="712" t="s">
        <v>388</v>
      </c>
      <c r="BI92" s="712" t="s">
        <v>388</v>
      </c>
      <c r="BJ92" s="712" t="s">
        <v>388</v>
      </c>
      <c r="BK92" s="712" t="s">
        <v>388</v>
      </c>
      <c r="BL92" s="712" t="s">
        <v>388</v>
      </c>
      <c r="BM92" s="712">
        <v>484.9</v>
      </c>
      <c r="BN92" s="712">
        <v>392.9</v>
      </c>
      <c r="BO92" s="712" t="s">
        <v>388</v>
      </c>
      <c r="BP92" s="712" t="s">
        <v>388</v>
      </c>
      <c r="BQ92" s="712">
        <v>450.9</v>
      </c>
      <c r="BR92" s="712">
        <v>547.1</v>
      </c>
      <c r="BS92" s="712" t="s">
        <v>388</v>
      </c>
      <c r="BT92" s="712">
        <v>535.79999999999995</v>
      </c>
      <c r="BU92" s="712" t="s">
        <v>388</v>
      </c>
      <c r="BV92" s="712" t="s">
        <v>388</v>
      </c>
      <c r="BW92" s="712">
        <v>479.5</v>
      </c>
      <c r="BX92" s="712" t="s">
        <v>388</v>
      </c>
      <c r="BY92" s="712">
        <v>451.3</v>
      </c>
      <c r="BZ92" s="712">
        <v>390.7</v>
      </c>
      <c r="CA92" s="712" t="s">
        <v>388</v>
      </c>
      <c r="CB92" s="712">
        <v>382.2</v>
      </c>
      <c r="CC92" s="712">
        <v>410.2</v>
      </c>
      <c r="CD92" s="712" t="s">
        <v>388</v>
      </c>
      <c r="CE92" s="712">
        <v>456.9</v>
      </c>
      <c r="CF92" s="712" t="s">
        <v>388</v>
      </c>
      <c r="CG92" s="712">
        <v>474.2</v>
      </c>
      <c r="CH92" s="712">
        <v>444</v>
      </c>
      <c r="CI92" s="712" t="s">
        <v>388</v>
      </c>
      <c r="CJ92" s="712">
        <v>455.9</v>
      </c>
      <c r="CK92" s="712">
        <v>488.3</v>
      </c>
      <c r="CL92" s="712">
        <v>475.7</v>
      </c>
    </row>
    <row r="93" spans="1:94" s="792" customFormat="1">
      <c r="A93" s="778">
        <f>ROWS($A$3:A91)</f>
        <v>89</v>
      </c>
      <c r="B93" s="779" t="s">
        <v>94</v>
      </c>
      <c r="C93" s="780"/>
      <c r="D93" s="781" t="s">
        <v>3</v>
      </c>
      <c r="E93" s="782"/>
      <c r="F93" s="783">
        <v>0.37</v>
      </c>
      <c r="G93" s="784">
        <v>0.37</v>
      </c>
      <c r="H93" s="784">
        <v>0.69</v>
      </c>
      <c r="I93" s="785">
        <v>0.54</v>
      </c>
      <c r="J93" s="786"/>
      <c r="K93" s="783">
        <f>BF93</f>
        <v>0.99</v>
      </c>
      <c r="L93" s="784">
        <f>AY93</f>
        <v>0.69</v>
      </c>
      <c r="M93" s="784">
        <f>BD93</f>
        <v>0.7</v>
      </c>
      <c r="N93" s="784">
        <f>AW93</f>
        <v>0.74</v>
      </c>
      <c r="O93" s="784">
        <f>BE93</f>
        <v>0.6</v>
      </c>
      <c r="P93" s="784">
        <f>(AZ35*AZ93+BA35*BA93)/P35</f>
        <v>0.12092364127143426</v>
      </c>
      <c r="Q93" s="784">
        <f>'2021'!AU93</f>
        <v>0.48</v>
      </c>
      <c r="R93" s="784">
        <f>(AT35*AT93+AX35*AX93)/R35</f>
        <v>1.7109208938932613E-2</v>
      </c>
      <c r="S93" s="784">
        <f>AV93</f>
        <v>0.56999999999999995</v>
      </c>
      <c r="T93" s="784">
        <f t="shared" si="186"/>
        <v>0.56999999999999995</v>
      </c>
      <c r="U93" s="787">
        <f t="shared" si="186"/>
        <v>0.97</v>
      </c>
      <c r="V93" s="784">
        <f>(BG35*BG93+BJ35*BJ93)/V35</f>
        <v>0.31764247897851139</v>
      </c>
      <c r="W93" s="784">
        <f>BR93</f>
        <v>0.82</v>
      </c>
      <c r="X93" s="784">
        <f>(BH35*BH93+BI35*BI93)/X35</f>
        <v>6.5555254871088375E-2</v>
      </c>
      <c r="Y93" s="784">
        <f>(BK35*BK93+BL35*BL93+BN35*BN93)/Y35</f>
        <v>0.10733116823290952</v>
      </c>
      <c r="Z93" s="784">
        <f>BM93</f>
        <v>0.7</v>
      </c>
      <c r="AA93" s="784">
        <f>(BO35*BO93+BQ35*BQ93)/AA35</f>
        <v>0.4608133086876155</v>
      </c>
      <c r="AB93" s="787">
        <f>BP93</f>
        <v>0.78</v>
      </c>
      <c r="AC93" s="784">
        <f>BX93</f>
        <v>0.65</v>
      </c>
      <c r="AD93" s="784">
        <f>BU93</f>
        <v>0.36</v>
      </c>
      <c r="AE93" s="784">
        <f>(BS35*BS93+BT35*BT93)/AE35</f>
        <v>0.11602147651006711</v>
      </c>
      <c r="AF93" s="784">
        <f>CA93</f>
        <v>0.28999999999999998</v>
      </c>
      <c r="AG93" s="784">
        <f>BV93</f>
        <v>0.34</v>
      </c>
      <c r="AH93" s="784">
        <f>BZ93</f>
        <v>0.65</v>
      </c>
      <c r="AI93" s="784">
        <f>BW93</f>
        <v>0.96</v>
      </c>
      <c r="AJ93" s="784">
        <f>BY93</f>
        <v>0.63</v>
      </c>
      <c r="AK93" s="787">
        <f>CB93</f>
        <v>0.71</v>
      </c>
      <c r="AL93" s="784">
        <f>CE93</f>
        <v>0.61</v>
      </c>
      <c r="AM93" s="784">
        <f>CH93</f>
        <v>0.2</v>
      </c>
      <c r="AN93" s="784">
        <f>CJ93</f>
        <v>0.57999999999999996</v>
      </c>
      <c r="AO93" s="784">
        <f t="shared" si="187"/>
        <v>1</v>
      </c>
      <c r="AP93" s="784">
        <f t="shared" si="187"/>
        <v>0.61</v>
      </c>
      <c r="AQ93" s="784">
        <f>CK93</f>
        <v>0.72</v>
      </c>
      <c r="AR93" s="784">
        <f>CI93</f>
        <v>0.24</v>
      </c>
      <c r="AS93" s="785">
        <f>(CF35*CF93+CG35*CG93)/AS35</f>
        <v>0.45047907931126768</v>
      </c>
      <c r="AT93" s="788">
        <v>0.11</v>
      </c>
      <c r="AU93" s="788">
        <v>0.48</v>
      </c>
      <c r="AV93" s="788">
        <v>0.56999999999999995</v>
      </c>
      <c r="AW93" s="788">
        <v>0.74</v>
      </c>
      <c r="AX93" s="788">
        <v>0.01</v>
      </c>
      <c r="AY93" s="788">
        <v>0.69</v>
      </c>
      <c r="AZ93" s="788">
        <v>0</v>
      </c>
      <c r="BA93" s="788">
        <v>0.13</v>
      </c>
      <c r="BB93" s="788">
        <v>0.56999999999999995</v>
      </c>
      <c r="BC93" s="788">
        <v>0.97</v>
      </c>
      <c r="BD93" s="788">
        <v>0.7</v>
      </c>
      <c r="BE93" s="788">
        <v>0.6</v>
      </c>
      <c r="BF93" s="789">
        <v>0.99</v>
      </c>
      <c r="BG93" s="788">
        <v>1</v>
      </c>
      <c r="BH93" s="788">
        <v>0</v>
      </c>
      <c r="BI93" s="788">
        <v>7.0000000000000007E-2</v>
      </c>
      <c r="BJ93" s="788">
        <v>0.25</v>
      </c>
      <c r="BK93" s="788">
        <v>0.01</v>
      </c>
      <c r="BL93" s="788">
        <v>0</v>
      </c>
      <c r="BM93" s="788">
        <v>0.7</v>
      </c>
      <c r="BN93" s="788">
        <v>0.12</v>
      </c>
      <c r="BO93" s="788">
        <v>0.28000000000000003</v>
      </c>
      <c r="BP93" s="788">
        <v>0.78</v>
      </c>
      <c r="BQ93" s="788">
        <v>0.47</v>
      </c>
      <c r="BR93" s="789">
        <v>0.82</v>
      </c>
      <c r="BS93" s="788">
        <v>0.06</v>
      </c>
      <c r="BT93" s="788">
        <v>0.12</v>
      </c>
      <c r="BU93" s="788">
        <v>0.36</v>
      </c>
      <c r="BV93" s="788">
        <v>0.34</v>
      </c>
      <c r="BW93" s="788">
        <v>0.96</v>
      </c>
      <c r="BX93" s="788">
        <v>0.65</v>
      </c>
      <c r="BY93" s="788">
        <v>0.63</v>
      </c>
      <c r="BZ93" s="788">
        <v>0.65</v>
      </c>
      <c r="CA93" s="788">
        <v>0.28999999999999998</v>
      </c>
      <c r="CB93" s="789">
        <v>0.71</v>
      </c>
      <c r="CC93" s="788">
        <v>1</v>
      </c>
      <c r="CD93" s="788">
        <v>0.61</v>
      </c>
      <c r="CE93" s="788">
        <v>0.61</v>
      </c>
      <c r="CF93" s="788">
        <v>0.3</v>
      </c>
      <c r="CG93" s="788">
        <v>0.46</v>
      </c>
      <c r="CH93" s="788">
        <v>0.2</v>
      </c>
      <c r="CI93" s="788">
        <v>0.24</v>
      </c>
      <c r="CJ93" s="788">
        <v>0.57999999999999996</v>
      </c>
      <c r="CK93" s="790">
        <v>0.72</v>
      </c>
      <c r="CL93" s="791">
        <v>0.54</v>
      </c>
      <c r="CM93"/>
      <c r="CN93"/>
      <c r="CO93"/>
      <c r="CP93"/>
    </row>
    <row r="94" spans="1:94">
      <c r="A94" s="80">
        <f>ROWS($A$3:A92)</f>
        <v>90</v>
      </c>
      <c r="B94" s="59" t="s">
        <v>247</v>
      </c>
      <c r="C94" s="396"/>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281"/>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4">
      <c r="A95" s="80">
        <f>ROWS($A$3:A93)</f>
        <v>91</v>
      </c>
      <c r="B95" s="236" t="s">
        <v>95</v>
      </c>
      <c r="C95" s="202">
        <v>2010</v>
      </c>
      <c r="D95" s="259" t="s">
        <v>10</v>
      </c>
      <c r="E95" s="447">
        <v>40441</v>
      </c>
      <c r="F95" s="154">
        <f>SUM(AT95:BF95)</f>
        <v>617300</v>
      </c>
      <c r="G95" s="155">
        <f>SUM(BG95:BR95)</f>
        <v>141500</v>
      </c>
      <c r="H95" s="155">
        <f>SUM(BS95:CB95)</f>
        <v>370400</v>
      </c>
      <c r="I95" s="156">
        <f>SUM(CC95:CK95)</f>
        <v>1004800</v>
      </c>
      <c r="J95" s="281"/>
      <c r="K95" s="157">
        <f>BF95</f>
        <v>165800</v>
      </c>
      <c r="L95" s="113">
        <f>AY95</f>
        <v>42000</v>
      </c>
      <c r="M95" s="113">
        <f>BD95</f>
        <v>41900</v>
      </c>
      <c r="N95" s="113">
        <f>AW95</f>
        <v>57600</v>
      </c>
      <c r="O95" s="113">
        <f>BE95</f>
        <v>44000</v>
      </c>
      <c r="P95" s="113">
        <f>'2021'!BA95</f>
        <v>27400</v>
      </c>
      <c r="Q95" s="113">
        <f>'2021'!AU95</f>
        <v>17100</v>
      </c>
      <c r="R95" s="113">
        <f>AX95</f>
        <v>28800</v>
      </c>
      <c r="S95" s="113">
        <f>AV95</f>
        <v>12300</v>
      </c>
      <c r="T95" s="113">
        <f t="shared" ref="T95:U98" si="188">BB95</f>
        <v>43200</v>
      </c>
      <c r="U95" s="112">
        <f t="shared" si="188"/>
        <v>135100</v>
      </c>
      <c r="V95" s="113">
        <f>BJ95</f>
        <v>1900</v>
      </c>
      <c r="W95" s="113">
        <f>BR95</f>
        <v>23000</v>
      </c>
      <c r="X95" s="113">
        <f>BI95</f>
        <v>6400</v>
      </c>
      <c r="Y95" s="113">
        <f>BN95</f>
        <v>22700</v>
      </c>
      <c r="Z95" s="113">
        <f>BM95</f>
        <v>47900</v>
      </c>
      <c r="AA95" s="113">
        <f>BQ95</f>
        <v>18600</v>
      </c>
      <c r="AB95" s="112">
        <f>BP95</f>
        <v>21000</v>
      </c>
      <c r="AC95" s="113">
        <f>BX95</f>
        <v>64900</v>
      </c>
      <c r="AD95" s="113">
        <f>BU95</f>
        <v>18300</v>
      </c>
      <c r="AE95" s="113">
        <f>BT95</f>
        <v>56300</v>
      </c>
      <c r="AF95" s="113">
        <f>CA95</f>
        <v>17900</v>
      </c>
      <c r="AG95" s="113">
        <f>BV95</f>
        <v>38800</v>
      </c>
      <c r="AH95" s="113">
        <f>BZ95</f>
        <v>56400</v>
      </c>
      <c r="AI95" s="113">
        <f>BW95</f>
        <v>26900</v>
      </c>
      <c r="AJ95" s="113">
        <f>BY95</f>
        <v>32900</v>
      </c>
      <c r="AK95" s="112">
        <f>CB95</f>
        <v>58000</v>
      </c>
      <c r="AL95" s="113">
        <f>CE95</f>
        <v>21200</v>
      </c>
      <c r="AM95" s="113">
        <f>CH95</f>
        <v>217100</v>
      </c>
      <c r="AN95" s="113">
        <f>CJ95</f>
        <v>443900</v>
      </c>
      <c r="AO95" s="113">
        <f t="shared" ref="AO95:AP98" si="189">CC95</f>
        <v>49800</v>
      </c>
      <c r="AP95" s="113">
        <f t="shared" si="189"/>
        <v>9200</v>
      </c>
      <c r="AQ95" s="113">
        <f>CK95</f>
        <v>78000</v>
      </c>
      <c r="AR95" s="113">
        <f>CI95</f>
        <v>62000</v>
      </c>
      <c r="AS95" s="158">
        <f>CG95</f>
        <v>123600</v>
      </c>
      <c r="AT95" s="113">
        <v>2100</v>
      </c>
      <c r="AU95" s="113">
        <v>17100</v>
      </c>
      <c r="AV95" s="113">
        <v>12300</v>
      </c>
      <c r="AW95" s="113">
        <v>57600</v>
      </c>
      <c r="AX95" s="113">
        <v>28800</v>
      </c>
      <c r="AY95" s="113">
        <v>42000</v>
      </c>
      <c r="AZ95" s="113">
        <v>0</v>
      </c>
      <c r="BA95" s="113">
        <v>27400</v>
      </c>
      <c r="BB95" s="113">
        <v>43200</v>
      </c>
      <c r="BC95" s="113">
        <v>135100</v>
      </c>
      <c r="BD95" s="113">
        <v>41900</v>
      </c>
      <c r="BE95" s="113">
        <v>44000</v>
      </c>
      <c r="BF95" s="112">
        <v>165800</v>
      </c>
      <c r="BG95" s="159">
        <v>0</v>
      </c>
      <c r="BH95" s="113">
        <v>0</v>
      </c>
      <c r="BI95" s="113">
        <v>6400</v>
      </c>
      <c r="BJ95" s="113">
        <v>1900</v>
      </c>
      <c r="BK95" s="113">
        <v>0</v>
      </c>
      <c r="BL95" s="113">
        <v>0</v>
      </c>
      <c r="BM95" s="113">
        <v>47900</v>
      </c>
      <c r="BN95" s="113">
        <v>22700</v>
      </c>
      <c r="BO95" s="159">
        <v>0</v>
      </c>
      <c r="BP95" s="113">
        <v>21000</v>
      </c>
      <c r="BQ95" s="113">
        <v>18600</v>
      </c>
      <c r="BR95" s="112">
        <v>23000</v>
      </c>
      <c r="BS95" s="159">
        <v>0</v>
      </c>
      <c r="BT95" s="113">
        <v>56300</v>
      </c>
      <c r="BU95" s="113">
        <v>18300</v>
      </c>
      <c r="BV95" s="113">
        <v>38800</v>
      </c>
      <c r="BW95" s="113">
        <v>26900</v>
      </c>
      <c r="BX95" s="113">
        <v>64900</v>
      </c>
      <c r="BY95" s="113">
        <v>32900</v>
      </c>
      <c r="BZ95" s="113">
        <v>56400</v>
      </c>
      <c r="CA95" s="113">
        <v>17900</v>
      </c>
      <c r="CB95" s="112">
        <v>58000</v>
      </c>
      <c r="CC95" s="113">
        <v>49800</v>
      </c>
      <c r="CD95" s="113">
        <v>9200</v>
      </c>
      <c r="CE95" s="113">
        <v>21200</v>
      </c>
      <c r="CF95" s="113">
        <v>0</v>
      </c>
      <c r="CG95" s="113">
        <v>123600</v>
      </c>
      <c r="CH95" s="113">
        <v>217100</v>
      </c>
      <c r="CI95" s="113">
        <v>62000</v>
      </c>
      <c r="CJ95" s="113">
        <v>443900</v>
      </c>
      <c r="CK95" s="158">
        <v>78000</v>
      </c>
      <c r="CL95" s="123">
        <v>2232162</v>
      </c>
      <c r="CM95" s="792"/>
    </row>
    <row r="96" spans="1:94">
      <c r="A96" s="80">
        <f>ROWS($A$3:A94)</f>
        <v>92</v>
      </c>
      <c r="B96" s="55" t="s">
        <v>96</v>
      </c>
      <c r="C96" s="205">
        <v>2010</v>
      </c>
      <c r="D96" s="259" t="s">
        <v>10</v>
      </c>
      <c r="E96" s="447">
        <v>40441</v>
      </c>
      <c r="F96" s="154">
        <f>SUM(AT96:BF96)</f>
        <v>617399</v>
      </c>
      <c r="G96" s="155">
        <f>SUM(BG96:BR96)</f>
        <v>142781</v>
      </c>
      <c r="H96" s="155">
        <f>SUM(BS96:CB96)</f>
        <v>370424</v>
      </c>
      <c r="I96" s="156">
        <f>SUM(CC96:CK96)</f>
        <v>1004630</v>
      </c>
      <c r="J96" s="281"/>
      <c r="K96" s="157">
        <f>BF96</f>
        <v>165837</v>
      </c>
      <c r="L96" s="113">
        <f>AY96</f>
        <v>41990</v>
      </c>
      <c r="M96" s="113">
        <f>BD96</f>
        <v>41892</v>
      </c>
      <c r="N96" s="113">
        <f>AW96</f>
        <v>57563</v>
      </c>
      <c r="O96" s="113">
        <f>BE96</f>
        <v>44020</v>
      </c>
      <c r="P96" s="113">
        <f>'2021'!BA96</f>
        <v>26046</v>
      </c>
      <c r="Q96" s="113">
        <f>'2021'!AU96</f>
        <v>17142</v>
      </c>
      <c r="R96" s="113">
        <f>AX96</f>
        <v>28784</v>
      </c>
      <c r="S96" s="113">
        <f>AV96</f>
        <v>12315</v>
      </c>
      <c r="T96" s="113">
        <f>BB96</f>
        <v>43221</v>
      </c>
      <c r="U96" s="112">
        <f>BC96</f>
        <v>135140</v>
      </c>
      <c r="V96" s="113">
        <f>BJ96</f>
        <v>1905</v>
      </c>
      <c r="W96" s="113">
        <f>BR96</f>
        <v>23030</v>
      </c>
      <c r="X96" s="113">
        <f>BI96</f>
        <v>6427</v>
      </c>
      <c r="Y96" s="113">
        <f>BN96</f>
        <v>22732</v>
      </c>
      <c r="Z96" s="113">
        <f>BM96</f>
        <v>47945</v>
      </c>
      <c r="AA96" s="113">
        <f>BQ96</f>
        <v>18389</v>
      </c>
      <c r="AB96" s="112">
        <f>BP96</f>
        <v>21039</v>
      </c>
      <c r="AC96" s="113">
        <f>BX96</f>
        <v>64945</v>
      </c>
      <c r="AD96" s="113">
        <f>BU96</f>
        <v>18303</v>
      </c>
      <c r="AE96" s="113">
        <f>BT96</f>
        <v>56256</v>
      </c>
      <c r="AF96" s="113">
        <f>CA96</f>
        <v>17921</v>
      </c>
      <c r="AG96" s="113">
        <f>BV96</f>
        <v>38783</v>
      </c>
      <c r="AH96" s="113">
        <f>BZ96</f>
        <v>56430</v>
      </c>
      <c r="AI96" s="113">
        <f>BW96</f>
        <v>26870</v>
      </c>
      <c r="AJ96" s="113">
        <f>BY96</f>
        <v>32882</v>
      </c>
      <c r="AK96" s="112">
        <f>CB96</f>
        <v>58034</v>
      </c>
      <c r="AL96" s="113">
        <f>CE96</f>
        <v>21184</v>
      </c>
      <c r="AM96" s="113">
        <f>CH96</f>
        <v>217098</v>
      </c>
      <c r="AN96" s="113">
        <f>CJ96</f>
        <v>443864</v>
      </c>
      <c r="AO96" s="113">
        <f>CC96</f>
        <v>49804</v>
      </c>
      <c r="AP96" s="113">
        <f>CD96</f>
        <v>9156</v>
      </c>
      <c r="AQ96" s="113">
        <f>CK96</f>
        <v>78000</v>
      </c>
      <c r="AR96" s="113">
        <f>CI96</f>
        <v>61951</v>
      </c>
      <c r="AS96" s="158">
        <f>CG96</f>
        <v>117483</v>
      </c>
      <c r="AT96" s="113">
        <v>2097</v>
      </c>
      <c r="AU96" s="113">
        <v>17142</v>
      </c>
      <c r="AV96" s="113">
        <v>12315</v>
      </c>
      <c r="AW96" s="113">
        <v>57563</v>
      </c>
      <c r="AX96" s="113">
        <v>28784</v>
      </c>
      <c r="AY96" s="113">
        <v>41990</v>
      </c>
      <c r="AZ96" s="113">
        <v>1352</v>
      </c>
      <c r="BA96" s="113">
        <v>26046</v>
      </c>
      <c r="BB96" s="113">
        <v>43221</v>
      </c>
      <c r="BC96" s="113">
        <v>135140</v>
      </c>
      <c r="BD96" s="113">
        <v>41892</v>
      </c>
      <c r="BE96" s="113">
        <v>44020</v>
      </c>
      <c r="BF96" s="112">
        <v>165837</v>
      </c>
      <c r="BG96" s="159">
        <v>0</v>
      </c>
      <c r="BH96" s="113">
        <v>0</v>
      </c>
      <c r="BI96" s="113">
        <v>6427</v>
      </c>
      <c r="BJ96" s="113">
        <v>1905</v>
      </c>
      <c r="BK96" s="113">
        <v>1079</v>
      </c>
      <c r="BL96" s="113">
        <v>54</v>
      </c>
      <c r="BM96" s="113">
        <v>47945</v>
      </c>
      <c r="BN96" s="113">
        <v>22732</v>
      </c>
      <c r="BO96" s="159">
        <v>181</v>
      </c>
      <c r="BP96" s="113">
        <v>21039</v>
      </c>
      <c r="BQ96" s="113">
        <v>18389</v>
      </c>
      <c r="BR96" s="112">
        <v>23030</v>
      </c>
      <c r="BS96" s="159">
        <v>0</v>
      </c>
      <c r="BT96" s="113">
        <v>56256</v>
      </c>
      <c r="BU96" s="113">
        <v>18303</v>
      </c>
      <c r="BV96" s="113">
        <v>38783</v>
      </c>
      <c r="BW96" s="113">
        <v>26870</v>
      </c>
      <c r="BX96" s="113">
        <v>64945</v>
      </c>
      <c r="BY96" s="113">
        <v>32882</v>
      </c>
      <c r="BZ96" s="113">
        <v>56430</v>
      </c>
      <c r="CA96" s="113">
        <v>17921</v>
      </c>
      <c r="CB96" s="112">
        <v>58034</v>
      </c>
      <c r="CC96" s="113">
        <v>49804</v>
      </c>
      <c r="CD96" s="113">
        <v>9156</v>
      </c>
      <c r="CE96" s="113">
        <v>21184</v>
      </c>
      <c r="CF96" s="113">
        <v>6090</v>
      </c>
      <c r="CG96" s="113">
        <v>117483</v>
      </c>
      <c r="CH96" s="113">
        <v>217098</v>
      </c>
      <c r="CI96" s="113">
        <v>61951</v>
      </c>
      <c r="CJ96" s="113">
        <v>443864</v>
      </c>
      <c r="CK96" s="158">
        <v>78000</v>
      </c>
      <c r="CL96" s="123">
        <v>2128830</v>
      </c>
      <c r="CN96" s="792"/>
      <c r="CO96" s="792"/>
      <c r="CP96" s="792"/>
    </row>
    <row r="97" spans="1:102">
      <c r="A97" s="80">
        <f>ROWS($A$3:A95)</f>
        <v>93</v>
      </c>
      <c r="B97" s="55" t="s">
        <v>77</v>
      </c>
      <c r="C97" s="203">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'2021'!AZ97+'2021'!BA97</f>
        <v>6750</v>
      </c>
      <c r="Q97" s="113">
        <f>'2021'!AU97</f>
        <v>3596</v>
      </c>
      <c r="R97" s="113">
        <f>AT97+AX97</f>
        <v>6359</v>
      </c>
      <c r="S97" s="113">
        <f>AV97</f>
        <v>3597</v>
      </c>
      <c r="T97" s="113">
        <f t="shared" si="188"/>
        <v>9048</v>
      </c>
      <c r="U97" s="112">
        <f t="shared" si="188"/>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89"/>
        <v>10463</v>
      </c>
      <c r="AP97" s="113">
        <f t="shared" si="189"/>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c r="A98" s="80">
        <f>ROWS($A$3:A96)</f>
        <v>94</v>
      </c>
      <c r="B98" s="55" t="s">
        <v>96</v>
      </c>
      <c r="C98" s="203">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'2021'!AZ98+'2021'!BA98</f>
        <v>34324</v>
      </c>
      <c r="Q98" s="113">
        <f>'2021'!AU98</f>
        <v>18437</v>
      </c>
      <c r="R98" s="113">
        <f>AT98+AX98</f>
        <v>31700</v>
      </c>
      <c r="S98" s="113">
        <f>AV98</f>
        <v>14642</v>
      </c>
      <c r="T98" s="113">
        <f t="shared" si="188"/>
        <v>45007</v>
      </c>
      <c r="U98" s="112">
        <f t="shared" si="188"/>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89"/>
        <v>51966</v>
      </c>
      <c r="AP98" s="113">
        <f t="shared" si="189"/>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c r="A99" s="80">
        <f>ROWS($A$3:A97)</f>
        <v>95</v>
      </c>
      <c r="B99" s="602"/>
      <c r="C99" s="203"/>
      <c r="D99" s="254"/>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c r="A100" s="80">
        <f>ROWS($A$3:A98)</f>
        <v>96</v>
      </c>
      <c r="B100" s="602" t="s">
        <v>255</v>
      </c>
      <c r="C100" s="203">
        <v>2019</v>
      </c>
      <c r="D100" s="254" t="s">
        <v>13</v>
      </c>
      <c r="E100" s="706">
        <v>44427</v>
      </c>
      <c r="F100" s="154">
        <f>SUM(AT100:BF100)</f>
        <v>1841</v>
      </c>
      <c r="G100" s="155">
        <f>SUM(BG100:BR100)</f>
        <v>787</v>
      </c>
      <c r="H100" s="155">
        <f>SUM(BS100:CB100)</f>
        <v>934</v>
      </c>
      <c r="I100" s="156">
        <f>SUM(CC100:CK100)</f>
        <v>584</v>
      </c>
      <c r="J100" s="281"/>
      <c r="K100" s="157">
        <f>BF100</f>
        <v>72</v>
      </c>
      <c r="L100" s="113">
        <f>AY100</f>
        <v>136</v>
      </c>
      <c r="M100" s="113">
        <f>BD100</f>
        <v>200</v>
      </c>
      <c r="N100" s="113">
        <f>AW100</f>
        <v>58</v>
      </c>
      <c r="O100" s="113">
        <f>BE100</f>
        <v>71</v>
      </c>
      <c r="P100" s="605">
        <f>AZ100+BA100</f>
        <v>352</v>
      </c>
      <c r="Q100" s="113">
        <f>AU100</f>
        <v>134</v>
      </c>
      <c r="R100" s="113">
        <f>AX100</f>
        <v>307</v>
      </c>
      <c r="S100" s="113">
        <f>AV100</f>
        <v>312</v>
      </c>
      <c r="T100" s="113">
        <f>BB100</f>
        <v>87</v>
      </c>
      <c r="U100" s="112">
        <f>BC100</f>
        <v>112</v>
      </c>
      <c r="V100" s="113">
        <f>BJ100</f>
        <v>33</v>
      </c>
      <c r="W100" s="113">
        <f>BR100</f>
        <v>22</v>
      </c>
      <c r="X100" s="113">
        <f>BI100</f>
        <v>276</v>
      </c>
      <c r="Y100" s="113">
        <f>BN100</f>
        <v>172</v>
      </c>
      <c r="Z100" s="113">
        <f>BM100</f>
        <v>127</v>
      </c>
      <c r="AA100" s="113">
        <f>BQ100</f>
        <v>149</v>
      </c>
      <c r="AB100" s="112">
        <f>BP100</f>
        <v>8</v>
      </c>
      <c r="AC100" s="113">
        <f>BX100</f>
        <v>28</v>
      </c>
      <c r="AD100" s="113">
        <f>BU100</f>
        <v>92</v>
      </c>
      <c r="AE100" s="113">
        <f>BT100</f>
        <v>172</v>
      </c>
      <c r="AF100" s="113">
        <f>CA100</f>
        <v>83</v>
      </c>
      <c r="AG100" s="113">
        <f>BV100</f>
        <v>242</v>
      </c>
      <c r="AH100" s="113">
        <f>BZ100</f>
        <v>105</v>
      </c>
      <c r="AI100" s="113">
        <f>BW100</f>
        <v>74</v>
      </c>
      <c r="AJ100" s="113">
        <f>BY100</f>
        <v>61</v>
      </c>
      <c r="AK100" s="112">
        <f>CB100</f>
        <v>77</v>
      </c>
      <c r="AL100" s="113">
        <f>CE100</f>
        <v>98</v>
      </c>
      <c r="AM100" s="113">
        <f>CH100</f>
        <v>108</v>
      </c>
      <c r="AN100" s="113">
        <f>CJ100</f>
        <v>37</v>
      </c>
      <c r="AO100" s="113">
        <f>CC100</f>
        <v>69</v>
      </c>
      <c r="AP100" s="113">
        <f>CD100</f>
        <v>46</v>
      </c>
      <c r="AQ100" s="113">
        <f>CK100</f>
        <v>90</v>
      </c>
      <c r="AR100" s="113">
        <f>CI100</f>
        <v>45</v>
      </c>
      <c r="AS100" s="158">
        <f>CG100</f>
        <v>91</v>
      </c>
      <c r="AT100" s="113" t="s">
        <v>389</v>
      </c>
      <c r="AU100" s="113">
        <v>134</v>
      </c>
      <c r="AV100" s="113">
        <v>312</v>
      </c>
      <c r="AW100" s="113">
        <v>58</v>
      </c>
      <c r="AX100" s="113">
        <v>307</v>
      </c>
      <c r="AY100" s="113">
        <v>136</v>
      </c>
      <c r="AZ100" s="113"/>
      <c r="BA100" s="113">
        <v>352</v>
      </c>
      <c r="BB100" s="113">
        <v>87</v>
      </c>
      <c r="BC100" s="113">
        <v>112</v>
      </c>
      <c r="BD100" s="113">
        <v>200</v>
      </c>
      <c r="BE100" s="113">
        <v>71</v>
      </c>
      <c r="BF100" s="112">
        <v>72</v>
      </c>
      <c r="BG100" s="159" t="s">
        <v>389</v>
      </c>
      <c r="BH100" s="113" t="s">
        <v>389</v>
      </c>
      <c r="BI100" s="113">
        <v>276</v>
      </c>
      <c r="BJ100" s="113">
        <v>33</v>
      </c>
      <c r="BK100" s="113" t="s">
        <v>389</v>
      </c>
      <c r="BL100" s="113" t="s">
        <v>389</v>
      </c>
      <c r="BM100" s="113">
        <v>127</v>
      </c>
      <c r="BN100" s="113">
        <v>172</v>
      </c>
      <c r="BO100" s="159" t="s">
        <v>389</v>
      </c>
      <c r="BP100" s="113">
        <v>8</v>
      </c>
      <c r="BQ100" s="113">
        <v>149</v>
      </c>
      <c r="BR100" s="112">
        <v>22</v>
      </c>
      <c r="BS100" s="159" t="s">
        <v>389</v>
      </c>
      <c r="BT100" s="113">
        <v>172</v>
      </c>
      <c r="BU100" s="113">
        <v>92</v>
      </c>
      <c r="BV100" s="113">
        <v>242</v>
      </c>
      <c r="BW100" s="113">
        <v>74</v>
      </c>
      <c r="BX100" s="113">
        <v>28</v>
      </c>
      <c r="BY100" s="113">
        <v>61</v>
      </c>
      <c r="BZ100" s="113">
        <v>105</v>
      </c>
      <c r="CA100" s="113">
        <v>83</v>
      </c>
      <c r="CB100" s="112">
        <v>77</v>
      </c>
      <c r="CC100" s="113">
        <v>69</v>
      </c>
      <c r="CD100" s="113">
        <v>46</v>
      </c>
      <c r="CE100" s="113">
        <v>98</v>
      </c>
      <c r="CF100" s="113" t="s">
        <v>389</v>
      </c>
      <c r="CG100" s="113">
        <v>91</v>
      </c>
      <c r="CH100" s="113">
        <v>108</v>
      </c>
      <c r="CI100" s="113">
        <v>45</v>
      </c>
      <c r="CJ100" s="113">
        <v>37</v>
      </c>
      <c r="CK100" s="158">
        <v>90</v>
      </c>
      <c r="CL100" s="123">
        <v>4146</v>
      </c>
    </row>
    <row r="101" spans="1:102">
      <c r="A101" s="80">
        <f>ROWS($A$3:A99)</f>
        <v>97</v>
      </c>
      <c r="B101" s="55"/>
      <c r="C101" s="203"/>
      <c r="D101" s="259"/>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c r="A102" s="80">
        <f>ROWS($A$3:A100)</f>
        <v>98</v>
      </c>
      <c r="B102" s="55"/>
      <c r="C102" s="203"/>
      <c r="D102" s="259"/>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'2021'!AZ103+'2021'!BA103</f>
        <v>0</v>
      </c>
      <c r="Q103" s="113">
        <f>'2021'!AU103</f>
        <v>0</v>
      </c>
      <c r="R103" s="113">
        <f>AT103+AX103</f>
        <v>0</v>
      </c>
      <c r="S103" s="113">
        <f>AV103</f>
        <v>0</v>
      </c>
      <c r="T103" s="113">
        <f t="shared" ref="T103:U106" si="190">BB103</f>
        <v>0</v>
      </c>
      <c r="U103" s="112">
        <f t="shared" si="190"/>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91">CC103</f>
        <v>0</v>
      </c>
      <c r="AP103" s="113">
        <f t="shared" si="191"/>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ht="13.5" thickBot="1">
      <c r="A104" s="80">
        <f>ROWS($A$3:A102)</f>
        <v>100</v>
      </c>
      <c r="B104" s="56"/>
      <c r="C104" s="206"/>
      <c r="D104" s="265"/>
      <c r="E104" s="451"/>
      <c r="F104" s="160"/>
      <c r="G104" s="161"/>
      <c r="H104" s="161"/>
      <c r="I104" s="162"/>
      <c r="J104" s="282"/>
      <c r="K104" s="163">
        <f>BF104</f>
        <v>0</v>
      </c>
      <c r="L104" s="164">
        <f>AY104</f>
        <v>0</v>
      </c>
      <c r="M104" s="164">
        <f>BD104</f>
        <v>0</v>
      </c>
      <c r="N104" s="164">
        <f>AW104</f>
        <v>0</v>
      </c>
      <c r="O104" s="164">
        <f>BE104</f>
        <v>0</v>
      </c>
      <c r="P104" s="164">
        <f>'2021'!AZ104+'2021'!BA104</f>
        <v>0</v>
      </c>
      <c r="Q104" s="164">
        <f>'2021'!AU104</f>
        <v>0</v>
      </c>
      <c r="R104" s="164">
        <f>AT104+AX104</f>
        <v>0</v>
      </c>
      <c r="S104" s="164">
        <f>AV104</f>
        <v>0</v>
      </c>
      <c r="T104" s="164">
        <f t="shared" si="190"/>
        <v>0</v>
      </c>
      <c r="U104" s="114">
        <f t="shared" si="190"/>
        <v>0</v>
      </c>
      <c r="V104" s="164">
        <f>BG104+BJ104</f>
        <v>0</v>
      </c>
      <c r="W104" s="164">
        <f>BR104</f>
        <v>0</v>
      </c>
      <c r="X104" s="164">
        <f>BH104+BI104</f>
        <v>0</v>
      </c>
      <c r="Y104" s="164">
        <f>BK104+BL104+BN104</f>
        <v>0</v>
      </c>
      <c r="Z104" s="164">
        <f>BM104</f>
        <v>0</v>
      </c>
      <c r="AA104" s="164">
        <f>BO104+BQ104</f>
        <v>0</v>
      </c>
      <c r="AB104" s="114">
        <f>BP104</f>
        <v>0</v>
      </c>
      <c r="AC104" s="164">
        <f>BX104</f>
        <v>0</v>
      </c>
      <c r="AD104" s="164">
        <f>BU104</f>
        <v>0</v>
      </c>
      <c r="AE104" s="164">
        <f>BS104+BT104</f>
        <v>0</v>
      </c>
      <c r="AF104" s="164">
        <f>CA104</f>
        <v>0</v>
      </c>
      <c r="AG104" s="164">
        <f>BV104</f>
        <v>0</v>
      </c>
      <c r="AH104" s="164">
        <f>BZ104</f>
        <v>0</v>
      </c>
      <c r="AI104" s="164">
        <f>BW104</f>
        <v>0</v>
      </c>
      <c r="AJ104" s="164">
        <f>BY104</f>
        <v>0</v>
      </c>
      <c r="AK104" s="114">
        <f>CB104</f>
        <v>0</v>
      </c>
      <c r="AL104" s="164">
        <f>CE104</f>
        <v>0</v>
      </c>
      <c r="AM104" s="164">
        <f>CH104</f>
        <v>0</v>
      </c>
      <c r="AN104" s="164">
        <f>CJ104</f>
        <v>0</v>
      </c>
      <c r="AO104" s="164">
        <f t="shared" si="191"/>
        <v>0</v>
      </c>
      <c r="AP104" s="164">
        <f t="shared" si="191"/>
        <v>0</v>
      </c>
      <c r="AQ104" s="164">
        <f>CK104</f>
        <v>0</v>
      </c>
      <c r="AR104" s="164">
        <f>CI104</f>
        <v>0</v>
      </c>
      <c r="AS104" s="165">
        <f>CF104+CG104</f>
        <v>0</v>
      </c>
      <c r="AT104" s="164"/>
      <c r="AU104" s="164"/>
      <c r="AV104" s="164"/>
      <c r="AW104" s="164"/>
      <c r="AX104" s="164"/>
      <c r="AY104" s="164"/>
      <c r="AZ104" s="164"/>
      <c r="BA104" s="164"/>
      <c r="BB104" s="164"/>
      <c r="BC104" s="164"/>
      <c r="BD104" s="164"/>
      <c r="BE104" s="164"/>
      <c r="BF104" s="114"/>
      <c r="BG104" s="166"/>
      <c r="BH104" s="164"/>
      <c r="BI104" s="164"/>
      <c r="BJ104" s="164"/>
      <c r="BK104" s="164"/>
      <c r="BL104" s="164"/>
      <c r="BM104" s="164"/>
      <c r="BN104" s="164"/>
      <c r="BO104" s="166"/>
      <c r="BP104" s="164"/>
      <c r="BQ104" s="164"/>
      <c r="BR104" s="114"/>
      <c r="BS104" s="166"/>
      <c r="BT104" s="164"/>
      <c r="BU104" s="164"/>
      <c r="BV104" s="164"/>
      <c r="BW104" s="164"/>
      <c r="BX104" s="164"/>
      <c r="BY104" s="164"/>
      <c r="BZ104" s="164"/>
      <c r="CA104" s="164"/>
      <c r="CB104" s="114"/>
      <c r="CC104" s="164"/>
      <c r="CD104" s="164"/>
      <c r="CE104" s="164"/>
      <c r="CF104" s="164"/>
      <c r="CG104" s="164"/>
      <c r="CH104" s="164"/>
      <c r="CI104" s="164"/>
      <c r="CJ104" s="164"/>
      <c r="CK104" s="165"/>
      <c r="CL104" s="124"/>
    </row>
    <row r="105" spans="1:1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'2021'!AZ105+'2021'!BA105</f>
        <v>0</v>
      </c>
      <c r="Q105" s="113">
        <f>'2021'!AU105</f>
        <v>0</v>
      </c>
      <c r="R105" s="113">
        <f>AT105+AX105</f>
        <v>0</v>
      </c>
      <c r="S105" s="113">
        <f>AV105</f>
        <v>0</v>
      </c>
      <c r="T105" s="113">
        <f t="shared" si="190"/>
        <v>0</v>
      </c>
      <c r="U105" s="112">
        <f t="shared" si="190"/>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91"/>
        <v>0</v>
      </c>
      <c r="AP105" s="113">
        <f t="shared" si="191"/>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'2021'!AZ106+'2021'!BA106</f>
        <v>0</v>
      </c>
      <c r="Q106" s="164">
        <f>'2021'!AU106</f>
        <v>0</v>
      </c>
      <c r="R106" s="164">
        <f>AT106+AX106</f>
        <v>0</v>
      </c>
      <c r="S106" s="164">
        <f>AV106</f>
        <v>0</v>
      </c>
      <c r="T106" s="164">
        <f t="shared" si="190"/>
        <v>0</v>
      </c>
      <c r="U106" s="114">
        <f t="shared" si="190"/>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91"/>
        <v>0</v>
      </c>
      <c r="AP106" s="164">
        <f t="shared" si="191"/>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c r="B107" s="57"/>
      <c r="C107" s="203"/>
      <c r="D107" s="48"/>
      <c r="E107" s="449"/>
      <c r="F107" s="155">
        <f t="shared" ref="F107:AK107" si="192">SUM(F7:F92)</f>
        <v>16446276.311781324</v>
      </c>
      <c r="G107" s="155">
        <f t="shared" si="192"/>
        <v>9780695.3201515414</v>
      </c>
      <c r="H107" s="155">
        <f t="shared" si="192"/>
        <v>10069205.794813829</v>
      </c>
      <c r="I107" s="155">
        <f t="shared" si="192"/>
        <v>10163768.096550226</v>
      </c>
      <c r="J107" s="155">
        <f t="shared" si="192"/>
        <v>0</v>
      </c>
      <c r="K107" s="155">
        <f t="shared" si="192"/>
        <v>1688186.6952610773</v>
      </c>
      <c r="L107" s="155">
        <f t="shared" si="192"/>
        <v>1431334.9502608122</v>
      </c>
      <c r="M107" s="155">
        <f t="shared" si="192"/>
        <v>1206188.7211042724</v>
      </c>
      <c r="N107" s="155">
        <f t="shared" si="192"/>
        <v>1001313.0440722072</v>
      </c>
      <c r="O107" s="155">
        <f t="shared" si="192"/>
        <v>730277.78380513517</v>
      </c>
      <c r="P107" s="155">
        <f t="shared" si="192"/>
        <v>1847587.6865906292</v>
      </c>
      <c r="Q107" s="155">
        <f t="shared" si="192"/>
        <v>1357598.1157917476</v>
      </c>
      <c r="R107" s="155">
        <f t="shared" si="192"/>
        <v>3446910.6280925497</v>
      </c>
      <c r="S107" s="155">
        <f t="shared" si="192"/>
        <v>1615899.4240562052</v>
      </c>
      <c r="T107" s="155">
        <f t="shared" si="192"/>
        <v>886569.98163581186</v>
      </c>
      <c r="U107" s="155">
        <f t="shared" si="192"/>
        <v>1706593.8541940011</v>
      </c>
      <c r="V107" s="155">
        <f t="shared" si="192"/>
        <v>1095307.0320183423</v>
      </c>
      <c r="W107" s="155">
        <f t="shared" si="192"/>
        <v>694967.6217725171</v>
      </c>
      <c r="X107" s="155">
        <f t="shared" si="192"/>
        <v>2456552.281406099</v>
      </c>
      <c r="Y107" s="155">
        <f t="shared" si="192"/>
        <v>2892068.0435246886</v>
      </c>
      <c r="Z107" s="155">
        <f t="shared" si="192"/>
        <v>932526.45572789642</v>
      </c>
      <c r="AA107" s="155">
        <f t="shared" si="192"/>
        <v>1116536.1443488293</v>
      </c>
      <c r="AB107" s="155">
        <f t="shared" si="192"/>
        <v>774127.82168301009</v>
      </c>
      <c r="AC107" s="155">
        <f t="shared" si="192"/>
        <v>1074932.8890371379</v>
      </c>
      <c r="AD107" s="155" t="e">
        <f t="shared" si="192"/>
        <v>#VALUE!</v>
      </c>
      <c r="AE107" s="155">
        <f t="shared" si="192"/>
        <v>1939832.6386295788</v>
      </c>
      <c r="AF107" s="155">
        <f t="shared" si="192"/>
        <v>932244.43126381736</v>
      </c>
      <c r="AG107" s="155">
        <f t="shared" si="192"/>
        <v>1934234.0858397414</v>
      </c>
      <c r="AH107" s="155">
        <f t="shared" si="192"/>
        <v>1095461.79469669</v>
      </c>
      <c r="AI107" s="155">
        <f t="shared" si="192"/>
        <v>792524.34657396458</v>
      </c>
      <c r="AJ107" s="155">
        <f t="shared" si="192"/>
        <v>829623.487238409</v>
      </c>
      <c r="AK107" s="155">
        <f t="shared" si="192"/>
        <v>996996.87883385748</v>
      </c>
      <c r="AL107" s="155">
        <f t="shared" ref="AL107:CL107" si="193">SUM(AL7:AL92)</f>
        <v>1044523.4206206031</v>
      </c>
      <c r="AM107" s="155">
        <f t="shared" si="193"/>
        <v>1477265.9290654757</v>
      </c>
      <c r="AN107" s="155">
        <f t="shared" si="193"/>
        <v>1770807.9964195916</v>
      </c>
      <c r="AO107" s="155">
        <f t="shared" si="193"/>
        <v>1356093.9130818362</v>
      </c>
      <c r="AP107" s="155">
        <f t="shared" si="193"/>
        <v>904465.05922871502</v>
      </c>
      <c r="AQ107" s="155">
        <f t="shared" si="193"/>
        <v>1105691.7789390921</v>
      </c>
      <c r="AR107" s="155">
        <f t="shared" si="193"/>
        <v>879795.78528871725</v>
      </c>
      <c r="AS107" s="155">
        <f t="shared" si="193"/>
        <v>1911855.9626491531</v>
      </c>
      <c r="AT107" s="155">
        <f t="shared" si="193"/>
        <v>1745506.8933109418</v>
      </c>
      <c r="AU107" s="155">
        <f t="shared" si="193"/>
        <v>1364028.753478348</v>
      </c>
      <c r="AV107" s="155">
        <f t="shared" si="193"/>
        <v>1615899.4240562052</v>
      </c>
      <c r="AW107" s="155">
        <f t="shared" si="193"/>
        <v>1001313.0440722072</v>
      </c>
      <c r="AX107" s="155">
        <f t="shared" si="193"/>
        <v>1706205.4409307456</v>
      </c>
      <c r="AY107" s="155">
        <f t="shared" si="193"/>
        <v>1431334.9502608122</v>
      </c>
      <c r="AZ107" s="155">
        <f t="shared" si="193"/>
        <v>377149.25253938173</v>
      </c>
      <c r="BA107" s="155">
        <f t="shared" si="193"/>
        <v>1472278.1936921028</v>
      </c>
      <c r="BB107" s="155">
        <f t="shared" si="193"/>
        <v>886569.98163581186</v>
      </c>
      <c r="BC107" s="155">
        <f t="shared" si="193"/>
        <v>1706593.8541940011</v>
      </c>
      <c r="BD107" s="155">
        <f t="shared" si="193"/>
        <v>1206188.7211042724</v>
      </c>
      <c r="BE107" s="155">
        <f t="shared" si="193"/>
        <v>730277.78380513517</v>
      </c>
      <c r="BF107" s="155">
        <f t="shared" si="193"/>
        <v>1687622.6952610773</v>
      </c>
      <c r="BG107" s="155">
        <f t="shared" si="193"/>
        <v>196882.82676143092</v>
      </c>
      <c r="BH107" s="155">
        <f t="shared" si="193"/>
        <v>832157.36550256202</v>
      </c>
      <c r="BI107" s="155">
        <f t="shared" si="193"/>
        <v>1630757.2891468115</v>
      </c>
      <c r="BJ107" s="155">
        <f t="shared" si="193"/>
        <v>899686.23601558292</v>
      </c>
      <c r="BK107" s="155">
        <f t="shared" si="193"/>
        <v>429462.68927091564</v>
      </c>
      <c r="BL107" s="155">
        <f t="shared" si="193"/>
        <v>818745.63252273435</v>
      </c>
      <c r="BM107" s="155">
        <f t="shared" si="193"/>
        <v>932526.45572789642</v>
      </c>
      <c r="BN107" s="155">
        <f t="shared" si="193"/>
        <v>1650901.9987585507</v>
      </c>
      <c r="BO107" s="155">
        <f t="shared" si="193"/>
        <v>308905.15263848135</v>
      </c>
      <c r="BP107" s="155">
        <f t="shared" si="193"/>
        <v>734187.82168301009</v>
      </c>
      <c r="BQ107" s="155">
        <f t="shared" si="193"/>
        <v>859889.92437490134</v>
      </c>
      <c r="BR107" s="155">
        <f t="shared" si="193"/>
        <v>694967.6217725171</v>
      </c>
      <c r="BS107" s="155">
        <f t="shared" si="193"/>
        <v>628278.99507517624</v>
      </c>
      <c r="BT107" s="155">
        <f t="shared" si="193"/>
        <v>1314990.6033784591</v>
      </c>
      <c r="BU107" s="155" t="e">
        <f t="shared" si="193"/>
        <v>#VALUE!</v>
      </c>
      <c r="BV107" s="155">
        <f t="shared" si="193"/>
        <v>1934234.0858397414</v>
      </c>
      <c r="BW107" s="155">
        <f t="shared" si="193"/>
        <v>792524.34657396458</v>
      </c>
      <c r="BX107" s="155">
        <f t="shared" si="193"/>
        <v>1074932.8890371379</v>
      </c>
      <c r="BY107" s="155">
        <f t="shared" si="193"/>
        <v>829623.487238409</v>
      </c>
      <c r="BZ107" s="155">
        <f t="shared" si="193"/>
        <v>1095461.79469669</v>
      </c>
      <c r="CA107" s="155">
        <f t="shared" si="193"/>
        <v>932244.43126381736</v>
      </c>
      <c r="CB107" s="155">
        <f t="shared" si="193"/>
        <v>996996.87883385748</v>
      </c>
      <c r="CC107" s="155">
        <f t="shared" si="193"/>
        <v>1356093.9130818362</v>
      </c>
      <c r="CD107" s="155">
        <f t="shared" si="193"/>
        <v>904465.05922871502</v>
      </c>
      <c r="CE107" s="155">
        <f t="shared" si="193"/>
        <v>1044523.4206206031</v>
      </c>
      <c r="CF107" s="155">
        <f t="shared" si="193"/>
        <v>438852.80340160307</v>
      </c>
      <c r="CG107" s="155">
        <f t="shared" si="193"/>
        <v>1485331.3017895373</v>
      </c>
      <c r="CH107" s="155">
        <f t="shared" si="193"/>
        <v>1477265.9290654757</v>
      </c>
      <c r="CI107" s="155">
        <f t="shared" si="193"/>
        <v>879795.78528871725</v>
      </c>
      <c r="CJ107" s="155">
        <f t="shared" si="193"/>
        <v>1770807.9964195916</v>
      </c>
      <c r="CK107" s="155">
        <f t="shared" si="193"/>
        <v>1105691.7789390921</v>
      </c>
      <c r="CL107" s="155">
        <f t="shared" si="193"/>
        <v>46489584.191298887</v>
      </c>
    </row>
    <row r="108" spans="1:102">
      <c r="B108" s="71" t="s">
        <v>477</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Q110" s="126"/>
      <c r="CR110" s="126"/>
      <c r="CS110" s="126"/>
      <c r="CT110" s="126"/>
      <c r="CU110" s="126"/>
      <c r="CV110" s="126"/>
      <c r="CW110" s="126"/>
      <c r="CX110" s="126"/>
    </row>
    <row r="111" spans="1:102" ht="1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Q111" s="126"/>
      <c r="CR111" s="126"/>
      <c r="CS111" s="126"/>
      <c r="CT111" s="126"/>
      <c r="CU111" s="126"/>
      <c r="CV111" s="126"/>
      <c r="CW111" s="126"/>
      <c r="CX111" s="126"/>
    </row>
    <row r="112" spans="1:102" ht="15">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07"/>
    </row>
    <row r="113" spans="1:94" ht="15">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c r="CM113" s="508"/>
      <c r="CN113" s="126"/>
      <c r="CO113" s="126"/>
      <c r="CP113" s="126"/>
    </row>
    <row r="114" spans="1:94">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N114" s="126"/>
      <c r="CO114" s="126"/>
      <c r="CP114" s="126"/>
    </row>
    <row r="115" spans="1:94">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4">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4" s="69" customFormat="1">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'2021'!AZ117+'2021'!BA117</f>
        <v>5400</v>
      </c>
      <c r="Q117" s="323">
        <f>'2021'!AU117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c r="CM117"/>
      <c r="CN117"/>
      <c r="CO117"/>
      <c r="CP117"/>
    </row>
    <row r="118" spans="1:94" s="69" customFormat="1">
      <c r="A118" s="327"/>
      <c r="B118" s="331" t="s">
        <v>271</v>
      </c>
      <c r="C118" s="593">
        <v>2019</v>
      </c>
      <c r="D118" s="329" t="s">
        <v>285</v>
      </c>
      <c r="E118" s="713">
        <v>44431</v>
      </c>
      <c r="F118" s="712">
        <v>737.005</v>
      </c>
      <c r="G118" s="712">
        <v>326.72500000000002</v>
      </c>
      <c r="H118" s="712">
        <v>608.73</v>
      </c>
      <c r="I118" s="712">
        <v>517.40599999999995</v>
      </c>
      <c r="J118" s="324"/>
      <c r="K118" s="323">
        <f>BF118</f>
        <v>88.156999999999996</v>
      </c>
      <c r="L118" s="324">
        <f>AY118</f>
        <v>51.874000000000002</v>
      </c>
      <c r="M118" s="324">
        <f>BD118</f>
        <v>65.540000000000006</v>
      </c>
      <c r="N118" s="324">
        <f>AW118</f>
        <v>33.926000000000002</v>
      </c>
      <c r="O118" s="324">
        <f>BE118</f>
        <v>34.380000000000003</v>
      </c>
      <c r="P118" s="423">
        <f>AZ118+BA118</f>
        <v>109.81399999999999</v>
      </c>
      <c r="Q118" s="323">
        <f>AU118</f>
        <v>24.437999999999999</v>
      </c>
      <c r="R118" s="423">
        <f>AT118+AX118</f>
        <v>88.592999999999989</v>
      </c>
      <c r="S118" s="324">
        <f>AV118</f>
        <v>33.914999999999999</v>
      </c>
      <c r="T118" s="324">
        <f>BB118</f>
        <v>75.048000000000002</v>
      </c>
      <c r="U118" s="323">
        <f>BC118</f>
        <v>131.32</v>
      </c>
      <c r="V118" s="423">
        <f>BG118+BJ118</f>
        <v>43.053999999999995</v>
      </c>
      <c r="W118" s="324">
        <f>BR118</f>
        <v>23.288</v>
      </c>
      <c r="X118" s="423">
        <f>BH118+BI118</f>
        <v>69.426999999999992</v>
      </c>
      <c r="Y118" s="423">
        <f>BK118+BL118+BN118</f>
        <v>80.879000000000005</v>
      </c>
      <c r="Z118" s="324">
        <f>BM118</f>
        <v>53.621000000000002</v>
      </c>
      <c r="AA118" s="423">
        <f>BO118+BQ118</f>
        <v>29.102</v>
      </c>
      <c r="AB118" s="323">
        <f>BP118</f>
        <v>27.353000000000002</v>
      </c>
      <c r="AC118" s="324">
        <f>BX118</f>
        <v>44.658999999999999</v>
      </c>
      <c r="AD118" s="324">
        <f>BU118</f>
        <v>52.820999999999998</v>
      </c>
      <c r="AE118" s="423">
        <f>BS118+BT118</f>
        <v>135.637</v>
      </c>
      <c r="AF118" s="324">
        <f>CA118</f>
        <v>41.064999999999998</v>
      </c>
      <c r="AG118" s="324">
        <f>BV118</f>
        <v>150.851</v>
      </c>
      <c r="AH118" s="324">
        <f>BZ118</f>
        <v>71.486999999999995</v>
      </c>
      <c r="AI118" s="324">
        <f>BW118</f>
        <v>41.893000000000001</v>
      </c>
      <c r="AJ118" s="324">
        <f>BY118</f>
        <v>24.968</v>
      </c>
      <c r="AK118" s="323">
        <f>CB118</f>
        <v>45.348999999999997</v>
      </c>
      <c r="AL118" s="324">
        <f>CE118</f>
        <v>30.809000000000001</v>
      </c>
      <c r="AM118" s="324">
        <f>CH118</f>
        <v>88.710999999999999</v>
      </c>
      <c r="AN118" s="324">
        <f>CJ118</f>
        <v>121.03700000000001</v>
      </c>
      <c r="AO118" s="324">
        <f>CC118</f>
        <v>40.095999999999997</v>
      </c>
      <c r="AP118" s="324">
        <f>CD118</f>
        <v>16.327999999999999</v>
      </c>
      <c r="AQ118" s="324">
        <f>CK118</f>
        <v>58.26</v>
      </c>
      <c r="AR118" s="324">
        <f>CI118</f>
        <v>71.968999999999994</v>
      </c>
      <c r="AS118" s="423">
        <f>CF118+CG118</f>
        <v>90.195999999999998</v>
      </c>
      <c r="AT118" s="712">
        <v>20.04</v>
      </c>
      <c r="AU118" s="712">
        <v>24.437999999999999</v>
      </c>
      <c r="AV118" s="712">
        <v>33.914999999999999</v>
      </c>
      <c r="AW118" s="712">
        <v>33.926000000000002</v>
      </c>
      <c r="AX118" s="712">
        <v>68.552999999999997</v>
      </c>
      <c r="AY118" s="712">
        <v>51.874000000000002</v>
      </c>
      <c r="AZ118" s="712">
        <v>13.96</v>
      </c>
      <c r="BA118" s="712">
        <v>95.853999999999999</v>
      </c>
      <c r="BB118" s="712">
        <v>75.048000000000002</v>
      </c>
      <c r="BC118" s="712">
        <v>131.32</v>
      </c>
      <c r="BD118" s="712">
        <v>65.540000000000006</v>
      </c>
      <c r="BE118" s="712">
        <v>34.380000000000003</v>
      </c>
      <c r="BF118" s="712">
        <v>88.156999999999996</v>
      </c>
      <c r="BG118" s="712">
        <v>9.1929999999999996</v>
      </c>
      <c r="BH118" s="712">
        <v>10.79</v>
      </c>
      <c r="BI118" s="712">
        <v>58.637</v>
      </c>
      <c r="BJ118" s="712">
        <v>33.860999999999997</v>
      </c>
      <c r="BK118" s="712">
        <v>10.629</v>
      </c>
      <c r="BL118" s="712">
        <v>4.4459999999999997</v>
      </c>
      <c r="BM118" s="712">
        <v>53.621000000000002</v>
      </c>
      <c r="BN118" s="712">
        <v>65.804000000000002</v>
      </c>
      <c r="BO118" s="712">
        <v>6.9089999999999998</v>
      </c>
      <c r="BP118" s="712">
        <v>27.353000000000002</v>
      </c>
      <c r="BQ118" s="712">
        <v>22.193000000000001</v>
      </c>
      <c r="BR118" s="712">
        <v>23.288</v>
      </c>
      <c r="BS118" s="712">
        <v>14.316000000000001</v>
      </c>
      <c r="BT118" s="712">
        <v>121.321</v>
      </c>
      <c r="BU118" s="712">
        <v>52.820999999999998</v>
      </c>
      <c r="BV118" s="712">
        <v>150.851</v>
      </c>
      <c r="BW118" s="712">
        <v>41.893000000000001</v>
      </c>
      <c r="BX118" s="712">
        <v>44.658999999999999</v>
      </c>
      <c r="BY118" s="712">
        <v>24.968</v>
      </c>
      <c r="BZ118" s="712">
        <v>71.486999999999995</v>
      </c>
      <c r="CA118" s="712">
        <v>41.064999999999998</v>
      </c>
      <c r="CB118" s="712">
        <v>45.348999999999997</v>
      </c>
      <c r="CC118" s="712">
        <v>40.095999999999997</v>
      </c>
      <c r="CD118" s="712">
        <v>16.327999999999999</v>
      </c>
      <c r="CE118" s="712">
        <v>30.809000000000001</v>
      </c>
      <c r="CF118" s="712">
        <v>8.7200000000000006</v>
      </c>
      <c r="CG118" s="712">
        <v>81.475999999999999</v>
      </c>
      <c r="CH118" s="712">
        <v>88.710999999999999</v>
      </c>
      <c r="CI118" s="712">
        <v>71.968999999999994</v>
      </c>
      <c r="CJ118" s="712">
        <v>121.03700000000001</v>
      </c>
      <c r="CK118" s="712">
        <v>58.26</v>
      </c>
      <c r="CL118" s="712">
        <v>2189.866</v>
      </c>
      <c r="CM118"/>
      <c r="CN118"/>
      <c r="CO118"/>
      <c r="CP118"/>
    </row>
    <row r="119" spans="1:94" s="69" customFormat="1">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c r="CN119"/>
      <c r="CO119"/>
      <c r="CP119"/>
    </row>
    <row r="120" spans="1:94"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4"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4"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4" s="69" customFormat="1">
      <c r="B123" s="328" t="s">
        <v>486</v>
      </c>
      <c r="C123" s="585">
        <v>2021</v>
      </c>
      <c r="D123" s="69" t="s">
        <v>13</v>
      </c>
      <c r="E123" s="486">
        <v>44641</v>
      </c>
      <c r="F123">
        <v>1591</v>
      </c>
      <c r="G123">
        <v>333</v>
      </c>
      <c r="H123">
        <v>1433</v>
      </c>
      <c r="I123">
        <v>2355</v>
      </c>
      <c r="J123" s="488"/>
      <c r="K123" s="488">
        <f>BF123</f>
        <v>390</v>
      </c>
      <c r="L123" s="488">
        <f>AY123</f>
        <v>137</v>
      </c>
      <c r="M123" s="488">
        <f>BD123</f>
        <v>108</v>
      </c>
      <c r="N123" s="488">
        <f>AW123</f>
        <v>172</v>
      </c>
      <c r="O123" s="488">
        <f>BE123</f>
        <v>107</v>
      </c>
      <c r="P123" s="488">
        <f>AZ123+BA123</f>
        <v>59</v>
      </c>
      <c r="Q123" s="488">
        <f>AU123</f>
        <v>46</v>
      </c>
      <c r="R123" s="488">
        <f t="shared" ref="R123" si="194">AT123+AX123</f>
        <v>81</v>
      </c>
      <c r="S123" s="488">
        <f>AV123</f>
        <v>49</v>
      </c>
      <c r="T123" s="488">
        <f t="shared" ref="T123" si="195">BB123</f>
        <v>119</v>
      </c>
      <c r="U123" s="488">
        <f t="shared" ref="U123" si="196">BC123</f>
        <v>323</v>
      </c>
      <c r="V123" s="488">
        <f>BG123+BJ123</f>
        <v>9</v>
      </c>
      <c r="W123" s="488">
        <f>BR123</f>
        <v>61</v>
      </c>
      <c r="X123" s="488">
        <f>BH123+BI123</f>
        <v>17</v>
      </c>
      <c r="Y123" s="488">
        <f>BK123+BL123+BN123</f>
        <v>42</v>
      </c>
      <c r="Z123" s="488">
        <f>BM123</f>
        <v>99</v>
      </c>
      <c r="AA123" s="488">
        <f>BO123+BQ123</f>
        <v>45</v>
      </c>
      <c r="AB123" s="488">
        <f>BP123</f>
        <v>60</v>
      </c>
      <c r="AC123" s="488">
        <f>BX123</f>
        <v>284</v>
      </c>
      <c r="AD123" s="488">
        <f>BU123</f>
        <v>89</v>
      </c>
      <c r="AE123" s="488">
        <f>BS123+BT123</f>
        <v>287</v>
      </c>
      <c r="AF123" s="488">
        <f>CA123</f>
        <v>75</v>
      </c>
      <c r="AG123" s="488">
        <f>BV123</f>
        <v>211</v>
      </c>
      <c r="AH123" s="488">
        <f>BZ123</f>
        <v>131</v>
      </c>
      <c r="AI123" s="488">
        <f>BW123</f>
        <v>106</v>
      </c>
      <c r="AJ123" s="488">
        <f>BY123</f>
        <v>71</v>
      </c>
      <c r="AK123" s="488">
        <f>CB123</f>
        <v>179</v>
      </c>
      <c r="AL123" s="488">
        <f>CE123</f>
        <v>46</v>
      </c>
      <c r="AM123" s="488">
        <f>CH123</f>
        <v>481</v>
      </c>
      <c r="AN123" s="488">
        <f>CJ123</f>
        <v>1041</v>
      </c>
      <c r="AO123" s="488">
        <f t="shared" ref="AO123" si="197">CC123</f>
        <v>116</v>
      </c>
      <c r="AP123" s="488">
        <f t="shared" ref="AP123" si="198">CD123</f>
        <v>18</v>
      </c>
      <c r="AQ123" s="488">
        <f>CK123</f>
        <v>192</v>
      </c>
      <c r="AR123" s="488">
        <f>CI123</f>
        <v>158</v>
      </c>
      <c r="AS123" s="488">
        <f>CF123+CG123</f>
        <v>303</v>
      </c>
      <c r="AT123">
        <v>11</v>
      </c>
      <c r="AU123">
        <v>46</v>
      </c>
      <c r="AV123">
        <v>49</v>
      </c>
      <c r="AW123">
        <v>172</v>
      </c>
      <c r="AX123">
        <v>70</v>
      </c>
      <c r="AY123">
        <v>137</v>
      </c>
      <c r="AZ123">
        <v>1</v>
      </c>
      <c r="BA123">
        <v>58</v>
      </c>
      <c r="BB123">
        <v>119</v>
      </c>
      <c r="BC123">
        <v>323</v>
      </c>
      <c r="BD123">
        <v>108</v>
      </c>
      <c r="BE123">
        <v>107</v>
      </c>
      <c r="BF123">
        <v>390</v>
      </c>
      <c r="BG123"/>
      <c r="BH123">
        <v>2</v>
      </c>
      <c r="BI123">
        <v>15</v>
      </c>
      <c r="BJ123">
        <v>9</v>
      </c>
      <c r="BK123">
        <v>2</v>
      </c>
      <c r="BL123"/>
      <c r="BM123">
        <v>99</v>
      </c>
      <c r="BN123">
        <v>40</v>
      </c>
      <c r="BO123">
        <v>1</v>
      </c>
      <c r="BP123">
        <v>60</v>
      </c>
      <c r="BQ123">
        <v>44</v>
      </c>
      <c r="BR123">
        <v>61</v>
      </c>
      <c r="BS123">
        <v>3</v>
      </c>
      <c r="BT123">
        <v>284</v>
      </c>
      <c r="BU123">
        <v>89</v>
      </c>
      <c r="BV123">
        <v>211</v>
      </c>
      <c r="BW123">
        <v>106</v>
      </c>
      <c r="BX123">
        <v>284</v>
      </c>
      <c r="BY123">
        <v>71</v>
      </c>
      <c r="BZ123">
        <v>131</v>
      </c>
      <c r="CA123">
        <v>75</v>
      </c>
      <c r="CB123">
        <v>179</v>
      </c>
      <c r="CC123">
        <v>116</v>
      </c>
      <c r="CD123">
        <v>18</v>
      </c>
      <c r="CE123">
        <v>46</v>
      </c>
      <c r="CF123">
        <v>12</v>
      </c>
      <c r="CG123">
        <v>291</v>
      </c>
      <c r="CH123">
        <v>481</v>
      </c>
      <c r="CI123">
        <v>158</v>
      </c>
      <c r="CJ123">
        <v>1041</v>
      </c>
      <c r="CK123">
        <v>192</v>
      </c>
      <c r="CL123">
        <v>5712</v>
      </c>
    </row>
    <row r="124" spans="1:94" s="69" customFormat="1" ht="11.25">
      <c r="B124" s="328" t="s">
        <v>236</v>
      </c>
      <c r="C124" s="322">
        <v>2020</v>
      </c>
      <c r="D124" s="69" t="s">
        <v>13</v>
      </c>
      <c r="E124" s="723">
        <v>44379</v>
      </c>
      <c r="F124" s="722" t="s">
        <v>470</v>
      </c>
      <c r="G124" s="722" t="s">
        <v>471</v>
      </c>
      <c r="H124" s="722" t="s">
        <v>472</v>
      </c>
      <c r="I124" s="722" t="s">
        <v>473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722" t="s">
        <v>41</v>
      </c>
      <c r="AU124" s="722" t="s">
        <v>436</v>
      </c>
      <c r="AV124" s="722" t="s">
        <v>437</v>
      </c>
      <c r="AW124" s="722" t="s">
        <v>438</v>
      </c>
      <c r="AX124" s="722" t="s">
        <v>438</v>
      </c>
      <c r="AY124" s="722" t="s">
        <v>439</v>
      </c>
      <c r="AZ124" s="722" t="s">
        <v>440</v>
      </c>
      <c r="BA124" s="722" t="s">
        <v>441</v>
      </c>
      <c r="BB124" s="722" t="s">
        <v>442</v>
      </c>
      <c r="BC124" s="722" t="s">
        <v>443</v>
      </c>
      <c r="BD124" s="722" t="s">
        <v>444</v>
      </c>
      <c r="BE124" s="722" t="s">
        <v>445</v>
      </c>
      <c r="BF124" s="722" t="s">
        <v>351</v>
      </c>
      <c r="BG124" s="722" t="s">
        <v>41</v>
      </c>
      <c r="BH124" s="722" t="s">
        <v>446</v>
      </c>
      <c r="BI124" s="722" t="s">
        <v>447</v>
      </c>
      <c r="BJ124" s="722" t="s">
        <v>448</v>
      </c>
      <c r="BK124" s="722" t="s">
        <v>446</v>
      </c>
      <c r="BL124" s="722" t="s">
        <v>440</v>
      </c>
      <c r="BM124" s="722" t="s">
        <v>449</v>
      </c>
      <c r="BN124" s="722" t="s">
        <v>436</v>
      </c>
      <c r="BO124" s="722" t="s">
        <v>450</v>
      </c>
      <c r="BP124" s="722" t="s">
        <v>451</v>
      </c>
      <c r="BQ124" s="722" t="s">
        <v>452</v>
      </c>
      <c r="BR124" s="722" t="s">
        <v>453</v>
      </c>
      <c r="BS124" s="722" t="s">
        <v>450</v>
      </c>
      <c r="BT124" s="722" t="s">
        <v>454</v>
      </c>
      <c r="BU124" s="722" t="s">
        <v>455</v>
      </c>
      <c r="BV124" s="722" t="s">
        <v>456</v>
      </c>
      <c r="BW124" s="722" t="s">
        <v>457</v>
      </c>
      <c r="BX124" s="722" t="s">
        <v>458</v>
      </c>
      <c r="BY124" s="722" t="s">
        <v>459</v>
      </c>
      <c r="BZ124" s="722" t="s">
        <v>460</v>
      </c>
      <c r="CA124" s="722" t="s">
        <v>461</v>
      </c>
      <c r="CB124" s="722" t="s">
        <v>445</v>
      </c>
      <c r="CC124" s="722" t="s">
        <v>462</v>
      </c>
      <c r="CD124" s="722" t="s">
        <v>463</v>
      </c>
      <c r="CE124" s="722" t="s">
        <v>452</v>
      </c>
      <c r="CF124" s="722" t="s">
        <v>464</v>
      </c>
      <c r="CG124" s="722" t="s">
        <v>465</v>
      </c>
      <c r="CH124" s="722" t="s">
        <v>466</v>
      </c>
      <c r="CI124" s="722" t="s">
        <v>461</v>
      </c>
      <c r="CJ124" s="722" t="s">
        <v>467</v>
      </c>
      <c r="CK124" s="722" t="s">
        <v>468</v>
      </c>
      <c r="CL124" s="722" t="s">
        <v>469</v>
      </c>
    </row>
    <row r="125" spans="1:94" s="329" customFormat="1" ht="11.25">
      <c r="B125" s="334" t="s">
        <v>237</v>
      </c>
      <c r="C125" s="721">
        <v>2020</v>
      </c>
      <c r="D125" s="329" t="s">
        <v>13</v>
      </c>
      <c r="E125" s="717">
        <v>44379</v>
      </c>
      <c r="F125" s="720" t="s">
        <v>432</v>
      </c>
      <c r="G125" s="720" t="s">
        <v>433</v>
      </c>
      <c r="H125" s="720" t="s">
        <v>434</v>
      </c>
      <c r="I125" s="720" t="s">
        <v>435</v>
      </c>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720" t="s">
        <v>41</v>
      </c>
      <c r="AU125" s="720" t="s">
        <v>397</v>
      </c>
      <c r="AV125" s="720" t="s">
        <v>304</v>
      </c>
      <c r="AW125" s="720" t="s">
        <v>398</v>
      </c>
      <c r="AX125" s="720" t="s">
        <v>399</v>
      </c>
      <c r="AY125" s="720" t="s">
        <v>400</v>
      </c>
      <c r="AZ125" s="720" t="s">
        <v>304</v>
      </c>
      <c r="BA125" s="720" t="s">
        <v>401</v>
      </c>
      <c r="BB125" s="720" t="s">
        <v>402</v>
      </c>
      <c r="BC125" s="720" t="s">
        <v>403</v>
      </c>
      <c r="BD125" s="720" t="s">
        <v>404</v>
      </c>
      <c r="BE125" s="720" t="s">
        <v>405</v>
      </c>
      <c r="BF125" s="720" t="s">
        <v>406</v>
      </c>
      <c r="BG125" s="720" t="s">
        <v>41</v>
      </c>
      <c r="BH125" s="720" t="s">
        <v>304</v>
      </c>
      <c r="BI125" s="720" t="s">
        <v>407</v>
      </c>
      <c r="BJ125" s="720" t="s">
        <v>408</v>
      </c>
      <c r="BK125" s="720" t="s">
        <v>304</v>
      </c>
      <c r="BL125" s="720" t="s">
        <v>304</v>
      </c>
      <c r="BM125" s="720" t="s">
        <v>409</v>
      </c>
      <c r="BN125" s="720" t="s">
        <v>410</v>
      </c>
      <c r="BO125" s="720" t="s">
        <v>304</v>
      </c>
      <c r="BP125" s="720" t="s">
        <v>411</v>
      </c>
      <c r="BQ125" s="720" t="s">
        <v>412</v>
      </c>
      <c r="BR125" s="720" t="s">
        <v>413</v>
      </c>
      <c r="BS125" s="720" t="s">
        <v>304</v>
      </c>
      <c r="BT125" s="720" t="s">
        <v>414</v>
      </c>
      <c r="BU125" s="720" t="s">
        <v>415</v>
      </c>
      <c r="BV125" s="720" t="s">
        <v>416</v>
      </c>
      <c r="BW125" s="720" t="s">
        <v>417</v>
      </c>
      <c r="BX125" s="720" t="s">
        <v>418</v>
      </c>
      <c r="BY125" s="720" t="s">
        <v>419</v>
      </c>
      <c r="BZ125" s="720" t="s">
        <v>420</v>
      </c>
      <c r="CA125" s="720" t="s">
        <v>304</v>
      </c>
      <c r="CB125" s="720" t="s">
        <v>421</v>
      </c>
      <c r="CC125" s="720" t="s">
        <v>422</v>
      </c>
      <c r="CD125" s="720" t="s">
        <v>423</v>
      </c>
      <c r="CE125" s="720" t="s">
        <v>424</v>
      </c>
      <c r="CF125" s="720" t="s">
        <v>425</v>
      </c>
      <c r="CG125" s="720" t="s">
        <v>426</v>
      </c>
      <c r="CH125" s="720" t="s">
        <v>427</v>
      </c>
      <c r="CI125" s="720" t="s">
        <v>428</v>
      </c>
      <c r="CJ125" s="720" t="s">
        <v>429</v>
      </c>
      <c r="CK125" s="720" t="s">
        <v>430</v>
      </c>
      <c r="CL125" s="720" t="s">
        <v>431</v>
      </c>
      <c r="CM125" s="69"/>
      <c r="CN125" s="69"/>
      <c r="CO125" s="69"/>
      <c r="CP125" s="69"/>
    </row>
    <row r="126" spans="1:94"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'2021'!AZ126+'2021'!BA126</f>
        <v>6973</v>
      </c>
      <c r="Q126" s="323">
        <f>'2021'!AU126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4" s="69" customFormat="1" ht="11.25">
      <c r="B127" s="328"/>
      <c r="C127" s="322"/>
      <c r="E127" s="460"/>
      <c r="F127" s="323">
        <f>F126/F35%</f>
        <v>63.13721086907703</v>
      </c>
      <c r="G127" s="323">
        <f>G126/G35%</f>
        <v>42.181635239978888</v>
      </c>
      <c r="H127" s="323">
        <f>H126/H35%</f>
        <v>49.959676271620637</v>
      </c>
      <c r="I127" s="323">
        <f>I126/I35%</f>
        <v>52.635828869473769</v>
      </c>
      <c r="J127" s="323"/>
      <c r="K127" s="323">
        <f t="shared" ref="K127:BV127" si="199">K126/K35%</f>
        <v>101.22387824304077</v>
      </c>
      <c r="L127" s="323">
        <f t="shared" si="199"/>
        <v>69.615156897572533</v>
      </c>
      <c r="M127" s="323">
        <f t="shared" si="199"/>
        <v>70.811611374407576</v>
      </c>
      <c r="N127" s="323">
        <f t="shared" si="199"/>
        <v>74.359708112748606</v>
      </c>
      <c r="O127" s="323">
        <f t="shared" si="199"/>
        <v>59.797400611620787</v>
      </c>
      <c r="P127" s="323">
        <f t="shared" si="199"/>
        <v>12.06547505753292</v>
      </c>
      <c r="Q127" s="323">
        <f t="shared" si="199"/>
        <v>47.426944802739847</v>
      </c>
      <c r="R127" s="323">
        <f t="shared" si="199"/>
        <v>1.4419486413511806</v>
      </c>
      <c r="S127" s="323">
        <f t="shared" si="199"/>
        <v>55.382091184805851</v>
      </c>
      <c r="T127" s="323">
        <f t="shared" si="199"/>
        <v>55.713056365635609</v>
      </c>
      <c r="U127" s="323">
        <f t="shared" si="199"/>
        <v>97.427937329916247</v>
      </c>
      <c r="V127" s="323">
        <f t="shared" si="199"/>
        <v>33.597010277172217</v>
      </c>
      <c r="W127" s="323">
        <f t="shared" si="199"/>
        <v>83.105802047781566</v>
      </c>
      <c r="X127" s="323">
        <f t="shared" si="199"/>
        <v>6.4677228891950405</v>
      </c>
      <c r="Y127" s="323">
        <f t="shared" si="199"/>
        <v>15.551870278238436</v>
      </c>
      <c r="Z127" s="323">
        <f t="shared" si="199"/>
        <v>71.405350788560384</v>
      </c>
      <c r="AA127" s="323">
        <f t="shared" si="199"/>
        <v>45.048156435450913</v>
      </c>
      <c r="AB127" s="323">
        <f t="shared" si="199"/>
        <v>75.281025179856115</v>
      </c>
      <c r="AC127" s="323">
        <f t="shared" si="199"/>
        <v>65.540858472316614</v>
      </c>
      <c r="AD127" s="323">
        <f t="shared" si="199"/>
        <v>35.811965811965813</v>
      </c>
      <c r="AE127" s="323">
        <f t="shared" si="199"/>
        <v>11.175455417066155</v>
      </c>
      <c r="AF127" s="323">
        <f t="shared" si="199"/>
        <v>29.494505494505493</v>
      </c>
      <c r="AG127" s="323">
        <f t="shared" si="199"/>
        <v>33.884179275315667</v>
      </c>
      <c r="AH127" s="323">
        <f t="shared" si="199"/>
        <v>66.736357300851438</v>
      </c>
      <c r="AI127" s="323">
        <f t="shared" si="199"/>
        <v>96.977203494794622</v>
      </c>
      <c r="AJ127" s="323">
        <f t="shared" si="199"/>
        <v>63.563885294485956</v>
      </c>
      <c r="AK127" s="323">
        <f t="shared" si="199"/>
        <v>71.537794592890364</v>
      </c>
      <c r="AL127" s="323">
        <f t="shared" si="199"/>
        <v>60.512493107751247</v>
      </c>
      <c r="AM127" s="323">
        <f t="shared" si="199"/>
        <v>19.958779336480287</v>
      </c>
      <c r="AN127" s="323">
        <f t="shared" si="199"/>
        <v>58.618362883335664</v>
      </c>
      <c r="AO127" s="323">
        <f t="shared" si="199"/>
        <v>97.571289658759412</v>
      </c>
      <c r="AP127" s="323">
        <f t="shared" si="199"/>
        <v>60.875642753731718</v>
      </c>
      <c r="AQ127" s="323">
        <f t="shared" si="199"/>
        <v>72.185503213167578</v>
      </c>
      <c r="AR127" s="323">
        <f t="shared" si="199"/>
        <v>23.729582577132486</v>
      </c>
      <c r="AS127" s="323">
        <f t="shared" si="199"/>
        <v>45.084944496131932</v>
      </c>
      <c r="AT127" s="323">
        <f t="shared" si="199"/>
        <v>11.272727272727273</v>
      </c>
      <c r="AU127" s="323">
        <f t="shared" si="199"/>
        <v>47.426944802739847</v>
      </c>
      <c r="AV127" s="323">
        <f t="shared" si="199"/>
        <v>55.382091184805851</v>
      </c>
      <c r="AW127" s="323">
        <f t="shared" si="199"/>
        <v>74.359708112748606</v>
      </c>
      <c r="AX127" s="323">
        <f t="shared" si="199"/>
        <v>0.68956986919818175</v>
      </c>
      <c r="AY127" s="323">
        <f t="shared" si="199"/>
        <v>69.615156897572533</v>
      </c>
      <c r="AZ127" s="323">
        <f t="shared" si="199"/>
        <v>0</v>
      </c>
      <c r="BA127" s="323">
        <f t="shared" si="199"/>
        <v>12.971092674578667</v>
      </c>
      <c r="BB127" s="323">
        <f t="shared" si="199"/>
        <v>55.713056365635609</v>
      </c>
      <c r="BC127" s="323">
        <f t="shared" si="199"/>
        <v>97.427937329916247</v>
      </c>
      <c r="BD127" s="323">
        <f t="shared" si="199"/>
        <v>70.811611374407576</v>
      </c>
      <c r="BE127" s="323">
        <f t="shared" si="199"/>
        <v>59.797400611620787</v>
      </c>
      <c r="BF127" s="323">
        <f t="shared" si="199"/>
        <v>101.22387824304077</v>
      </c>
      <c r="BG127" s="323">
        <f t="shared" si="199"/>
        <v>124.24033149171271</v>
      </c>
      <c r="BH127" s="323">
        <f t="shared" si="199"/>
        <v>0</v>
      </c>
      <c r="BI127" s="323">
        <f t="shared" si="199"/>
        <v>6.9062442535529458</v>
      </c>
      <c r="BJ127" s="323">
        <f t="shared" si="199"/>
        <v>24.611487642910934</v>
      </c>
      <c r="BK127" s="323">
        <f t="shared" si="199"/>
        <v>113.01257517769274</v>
      </c>
      <c r="BL127" s="323">
        <f t="shared" si="199"/>
        <v>0</v>
      </c>
      <c r="BM127" s="323">
        <f t="shared" si="199"/>
        <v>71.405350788560384</v>
      </c>
      <c r="BN127" s="323">
        <f t="shared" si="199"/>
        <v>12.112202688728024</v>
      </c>
      <c r="BO127" s="323">
        <f t="shared" si="199"/>
        <v>28.269617706237426</v>
      </c>
      <c r="BP127" s="323">
        <f t="shared" si="199"/>
        <v>75.281025179856115</v>
      </c>
      <c r="BQ127" s="323">
        <f t="shared" si="199"/>
        <v>45.900633817215294</v>
      </c>
      <c r="BR127" s="323">
        <f t="shared" si="199"/>
        <v>83.105802047781566</v>
      </c>
      <c r="BS127" s="323">
        <f t="shared" si="199"/>
        <v>6.0728744939271255</v>
      </c>
      <c r="BT127" s="323">
        <f t="shared" si="199"/>
        <v>11.537829622936005</v>
      </c>
      <c r="BU127" s="323">
        <f t="shared" si="199"/>
        <v>35.811965811965813</v>
      </c>
      <c r="BV127" s="323">
        <f t="shared" si="199"/>
        <v>33.884179275315667</v>
      </c>
      <c r="BW127" s="323">
        <f t="shared" ref="BW127:CL127" si="200">BW126/BW35%</f>
        <v>96.977203494794622</v>
      </c>
      <c r="BX127" s="323">
        <f t="shared" si="200"/>
        <v>65.540858472316614</v>
      </c>
      <c r="BY127" s="323">
        <f t="shared" si="200"/>
        <v>63.563885294485956</v>
      </c>
      <c r="BZ127" s="323">
        <f t="shared" si="200"/>
        <v>66.736357300851438</v>
      </c>
      <c r="CA127" s="323">
        <f t="shared" si="200"/>
        <v>29.494505494505493</v>
      </c>
      <c r="CB127" s="323">
        <f t="shared" si="200"/>
        <v>71.537794592890364</v>
      </c>
      <c r="CC127" s="323">
        <f t="shared" si="200"/>
        <v>97.571289658759412</v>
      </c>
      <c r="CD127" s="323">
        <f t="shared" si="200"/>
        <v>60.875642753731718</v>
      </c>
      <c r="CE127" s="323">
        <f t="shared" si="200"/>
        <v>60.512493107751247</v>
      </c>
      <c r="CF127" s="323">
        <f t="shared" si="200"/>
        <v>29.920753908759906</v>
      </c>
      <c r="CG127" s="323">
        <f t="shared" si="200"/>
        <v>46.044393853158788</v>
      </c>
      <c r="CH127" s="323">
        <f t="shared" si="200"/>
        <v>19.958779336480287</v>
      </c>
      <c r="CI127" s="323">
        <f t="shared" si="200"/>
        <v>23.729582577132486</v>
      </c>
      <c r="CJ127" s="323">
        <f t="shared" si="200"/>
        <v>58.618362883335664</v>
      </c>
      <c r="CK127" s="323">
        <f t="shared" si="200"/>
        <v>72.185503213167578</v>
      </c>
      <c r="CL127" s="323">
        <f t="shared" si="200"/>
        <v>53.983522044113087</v>
      </c>
      <c r="CM127" s="329"/>
    </row>
    <row r="128" spans="1:94"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N128" s="329"/>
      <c r="CO128" s="329"/>
      <c r="CP128" s="329"/>
    </row>
    <row r="129" spans="1:94">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c r="CM129" s="69"/>
      <c r="CN129" s="69"/>
      <c r="CO129" s="69"/>
      <c r="CP129" s="69"/>
    </row>
    <row r="130" spans="1:94">
      <c r="B130" s="58" t="s">
        <v>290</v>
      </c>
      <c r="C130" s="591">
        <v>2021</v>
      </c>
      <c r="D130" t="s">
        <v>7</v>
      </c>
      <c r="E130" s="486">
        <v>44641</v>
      </c>
      <c r="F130">
        <v>14281</v>
      </c>
      <c r="G130">
        <v>6771</v>
      </c>
      <c r="H130">
        <v>20664</v>
      </c>
      <c r="I130">
        <v>13002</v>
      </c>
      <c r="K130" s="579">
        <f>BF130</f>
        <v>3446</v>
      </c>
      <c r="L130" s="579">
        <f>AY130</f>
        <v>1371</v>
      </c>
      <c r="M130" s="579">
        <f>BD130</f>
        <v>974</v>
      </c>
      <c r="N130" s="579">
        <f>AW130</f>
        <v>1464</v>
      </c>
      <c r="O130" s="579">
        <f>BE130</f>
        <v>573</v>
      </c>
      <c r="P130" s="815">
        <f>IF(ISERROR(AZ130+BA130),BA130,(AZ130+BA130))</f>
        <v>750</v>
      </c>
      <c r="Q130" s="579">
        <f>AU130</f>
        <v>662</v>
      </c>
      <c r="R130" s="815">
        <f>IF(ISERROR(AT130+AX130),AX130,(AT130+AX130))</f>
        <v>285</v>
      </c>
      <c r="S130" s="579">
        <f>AV130</f>
        <v>906</v>
      </c>
      <c r="T130" s="579">
        <f t="shared" ref="T130" si="201">BB130</f>
        <v>1197</v>
      </c>
      <c r="U130" s="579">
        <f t="shared" ref="U130" si="202">BC130</f>
        <v>2595</v>
      </c>
      <c r="V130" s="579">
        <f>BG130+BJ130</f>
        <v>689</v>
      </c>
      <c r="W130" s="579">
        <f>BR130</f>
        <v>870</v>
      </c>
      <c r="X130" s="815">
        <f>IF(ISERROR(BH130+BI130),BI130,(BH130+BI130))</f>
        <v>687</v>
      </c>
      <c r="Y130" s="815">
        <f>BK130+BL130+BN130</f>
        <v>1062</v>
      </c>
      <c r="Z130" s="579">
        <f>BM130</f>
        <v>1113</v>
      </c>
      <c r="AA130" s="815">
        <f>BO130+BQ130</f>
        <v>878</v>
      </c>
      <c r="AB130" s="579">
        <f>BP130</f>
        <v>1302</v>
      </c>
      <c r="AC130" s="579">
        <f>BX130</f>
        <v>1950</v>
      </c>
      <c r="AD130" s="579">
        <f>BU130</f>
        <v>1696</v>
      </c>
      <c r="AE130" s="579">
        <f>BS130+BT130</f>
        <v>3609</v>
      </c>
      <c r="AF130" s="579">
        <f>CA130</f>
        <v>2705</v>
      </c>
      <c r="AG130" s="579">
        <f>BV130</f>
        <v>3782</v>
      </c>
      <c r="AH130" s="579">
        <f>BZ130</f>
        <v>1163</v>
      </c>
      <c r="AI130" s="579">
        <f>BW130</f>
        <v>1528</v>
      </c>
      <c r="AJ130" s="579">
        <f>BY130</f>
        <v>1025</v>
      </c>
      <c r="AK130" s="579">
        <f>CB130</f>
        <v>3206</v>
      </c>
      <c r="AL130" s="579">
        <f>CE130</f>
        <v>2125</v>
      </c>
      <c r="AM130" s="579">
        <f>CH130</f>
        <v>2107</v>
      </c>
      <c r="AN130" s="579">
        <f>CJ130</f>
        <v>2389</v>
      </c>
      <c r="AO130" s="579">
        <f t="shared" ref="AO130" si="203">CC130</f>
        <v>1345</v>
      </c>
      <c r="AP130" s="579">
        <f t="shared" ref="AP130" si="204">CD130</f>
        <v>693</v>
      </c>
      <c r="AQ130" s="579">
        <f>CK130</f>
        <v>1690</v>
      </c>
      <c r="AR130" s="579">
        <f>CI130</f>
        <v>1035</v>
      </c>
      <c r="AS130" s="579">
        <f>CF130+CG130</f>
        <v>1618</v>
      </c>
      <c r="AT130" t="s">
        <v>304</v>
      </c>
      <c r="AU130">
        <v>662</v>
      </c>
      <c r="AV130">
        <v>906</v>
      </c>
      <c r="AW130">
        <v>1464</v>
      </c>
      <c r="AX130">
        <v>285</v>
      </c>
      <c r="AY130">
        <v>1371</v>
      </c>
      <c r="AZ130" t="s">
        <v>304</v>
      </c>
      <c r="BA130">
        <v>750</v>
      </c>
      <c r="BB130">
        <v>1197</v>
      </c>
      <c r="BC130">
        <v>2595</v>
      </c>
      <c r="BD130">
        <v>974</v>
      </c>
      <c r="BE130">
        <v>573</v>
      </c>
      <c r="BF130">
        <v>3446</v>
      </c>
      <c r="BG130">
        <v>97</v>
      </c>
      <c r="BH130" t="s">
        <v>304</v>
      </c>
      <c r="BI130">
        <v>687</v>
      </c>
      <c r="BJ130">
        <v>592</v>
      </c>
      <c r="BK130" s="816"/>
      <c r="BL130">
        <v>12</v>
      </c>
      <c r="BM130">
        <v>1113</v>
      </c>
      <c r="BN130">
        <v>1050</v>
      </c>
      <c r="BO130"/>
      <c r="BP130">
        <v>1302</v>
      </c>
      <c r="BQ130">
        <v>878</v>
      </c>
      <c r="BR130">
        <v>870</v>
      </c>
      <c r="BS130">
        <v>125</v>
      </c>
      <c r="BT130">
        <v>3484</v>
      </c>
      <c r="BU130">
        <v>1696</v>
      </c>
      <c r="BV130">
        <v>3782</v>
      </c>
      <c r="BW130">
        <v>1528</v>
      </c>
      <c r="BX130">
        <v>1950</v>
      </c>
      <c r="BY130">
        <v>1025</v>
      </c>
      <c r="BZ130">
        <v>1163</v>
      </c>
      <c r="CA130">
        <v>2705</v>
      </c>
      <c r="CB130">
        <v>3206</v>
      </c>
      <c r="CC130">
        <v>1345</v>
      </c>
      <c r="CD130">
        <v>693</v>
      </c>
      <c r="CE130">
        <v>2125</v>
      </c>
      <c r="CF130">
        <v>42</v>
      </c>
      <c r="CG130">
        <v>1576</v>
      </c>
      <c r="CH130">
        <v>2107</v>
      </c>
      <c r="CI130">
        <v>1035</v>
      </c>
      <c r="CJ130">
        <v>2389</v>
      </c>
      <c r="CK130">
        <v>1690</v>
      </c>
      <c r="CL130">
        <v>54718</v>
      </c>
      <c r="CM130" s="69"/>
      <c r="CN130" s="69"/>
      <c r="CO130" s="69"/>
      <c r="CP130" s="69"/>
    </row>
    <row r="131" spans="1:94">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c r="CN131" s="69"/>
      <c r="CO131" s="69"/>
      <c r="CP131" s="69"/>
    </row>
    <row r="132" spans="1:94">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1:94">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row r="136" spans="1:94">
      <c r="A136" s="80">
        <f>ROWS($A$3:A65)</f>
        <v>63</v>
      </c>
      <c r="B136" s="92" t="s">
        <v>390</v>
      </c>
      <c r="C136" s="203">
        <v>2019</v>
      </c>
      <c r="D136" s="259" t="s">
        <v>59</v>
      </c>
      <c r="E136" s="706">
        <v>44427</v>
      </c>
      <c r="F136" s="381">
        <f>SUM(AT136:BF136)</f>
        <v>56967</v>
      </c>
      <c r="G136" s="384">
        <f>SUM(BG136:BR136)</f>
        <v>51305</v>
      </c>
      <c r="H136" s="384">
        <f>SUM(BS136:CB136)</f>
        <v>133623</v>
      </c>
      <c r="I136" s="383">
        <f>SUM(CC136:CK136)</f>
        <v>208020</v>
      </c>
      <c r="J136" s="382"/>
      <c r="K136" s="381">
        <f>BF136</f>
        <v>4967</v>
      </c>
      <c r="L136" s="384">
        <f>AY136</f>
        <v>4544</v>
      </c>
      <c r="M136" s="384">
        <f>BD136</f>
        <v>12278</v>
      </c>
      <c r="N136" s="384">
        <f>AW136</f>
        <v>12991</v>
      </c>
      <c r="O136" s="384">
        <f>BE136</f>
        <v>5107</v>
      </c>
      <c r="P136" s="384">
        <f>'2021'!AZ136+'2021'!BA136</f>
        <v>490</v>
      </c>
      <c r="Q136" s="384">
        <f>'2021'!AU136</f>
        <v>7024</v>
      </c>
      <c r="R136" s="384">
        <f>AT136+AX136</f>
        <v>354</v>
      </c>
      <c r="S136" s="384">
        <f>AV136</f>
        <v>4475</v>
      </c>
      <c r="T136" s="384">
        <f>BB136</f>
        <v>2792</v>
      </c>
      <c r="U136" s="385">
        <f>BC136</f>
        <v>1945</v>
      </c>
      <c r="V136" s="384">
        <f>BG136+BJ136</f>
        <v>2855</v>
      </c>
      <c r="W136" s="384">
        <f>BR136</f>
        <v>15952</v>
      </c>
      <c r="X136" s="384">
        <f>BH136+BI136</f>
        <v>155</v>
      </c>
      <c r="Y136" s="384">
        <f>BK136+BL136+BN136</f>
        <v>2523</v>
      </c>
      <c r="Z136" s="384">
        <f>BM136</f>
        <v>7030</v>
      </c>
      <c r="AA136" s="384">
        <f>BO136+BQ136</f>
        <v>4824</v>
      </c>
      <c r="AB136" s="385">
        <f>BP136</f>
        <v>17966</v>
      </c>
      <c r="AC136" s="384">
        <f>BX136</f>
        <v>27254</v>
      </c>
      <c r="AD136" s="384">
        <f>BU136</f>
        <v>6297</v>
      </c>
      <c r="AE136" s="384">
        <f>BS136+BT136</f>
        <v>7475</v>
      </c>
      <c r="AF136" s="384">
        <f>CA136</f>
        <v>1241</v>
      </c>
      <c r="AG136" s="384">
        <f>BV136</f>
        <v>15832</v>
      </c>
      <c r="AH136" s="384">
        <f>BZ136</f>
        <v>11679</v>
      </c>
      <c r="AI136" s="384">
        <f>BW136</f>
        <v>29198</v>
      </c>
      <c r="AJ136" s="384">
        <f>BY136</f>
        <v>16536</v>
      </c>
      <c r="AK136" s="385">
        <f>CB136</f>
        <v>18111</v>
      </c>
      <c r="AL136" s="384">
        <f>CE136</f>
        <v>16160</v>
      </c>
      <c r="AM136" s="384">
        <f>CH136</f>
        <v>19001</v>
      </c>
      <c r="AN136" s="384">
        <f>CJ136</f>
        <v>58456</v>
      </c>
      <c r="AO136" s="384">
        <f>CC136</f>
        <v>42194</v>
      </c>
      <c r="AP136" s="384">
        <f>CD136</f>
        <v>2136</v>
      </c>
      <c r="AQ136" s="384">
        <f>CK136</f>
        <v>38785</v>
      </c>
      <c r="AR136" s="384">
        <f>CI136</f>
        <v>2724</v>
      </c>
      <c r="AS136" s="383">
        <f>CF136+CG136</f>
        <v>28564</v>
      </c>
      <c r="AT136" s="384">
        <v>354</v>
      </c>
      <c r="AU136" s="384">
        <v>7024</v>
      </c>
      <c r="AV136" s="384">
        <v>4475</v>
      </c>
      <c r="AW136" s="384">
        <v>12991</v>
      </c>
      <c r="AX136" s="384"/>
      <c r="AY136" s="384">
        <v>4544</v>
      </c>
      <c r="AZ136" s="384"/>
      <c r="BA136" s="384">
        <v>490</v>
      </c>
      <c r="BB136" s="384">
        <v>2792</v>
      </c>
      <c r="BC136" s="384">
        <v>1945</v>
      </c>
      <c r="BD136" s="384">
        <v>12278</v>
      </c>
      <c r="BE136" s="384">
        <v>5107</v>
      </c>
      <c r="BF136" s="385">
        <v>4967</v>
      </c>
      <c r="BG136" s="384">
        <v>575</v>
      </c>
      <c r="BH136" s="384"/>
      <c r="BI136" s="384">
        <v>155</v>
      </c>
      <c r="BJ136" s="384">
        <v>2280</v>
      </c>
      <c r="BK136" s="384"/>
      <c r="BL136" s="384"/>
      <c r="BM136" s="384">
        <v>7030</v>
      </c>
      <c r="BN136" s="384">
        <v>2523</v>
      </c>
      <c r="BO136" s="384">
        <v>409</v>
      </c>
      <c r="BP136" s="384">
        <v>17966</v>
      </c>
      <c r="BQ136" s="384">
        <v>4415</v>
      </c>
      <c r="BR136" s="385">
        <v>15952</v>
      </c>
      <c r="BS136" s="384">
        <v>226</v>
      </c>
      <c r="BT136" s="384">
        <v>7249</v>
      </c>
      <c r="BU136" s="384">
        <v>6297</v>
      </c>
      <c r="BV136" s="384">
        <v>15832</v>
      </c>
      <c r="BW136" s="384">
        <v>29198</v>
      </c>
      <c r="BX136" s="384">
        <v>27254</v>
      </c>
      <c r="BY136" s="384">
        <v>16536</v>
      </c>
      <c r="BZ136" s="384">
        <v>11679</v>
      </c>
      <c r="CA136" s="384">
        <v>1241</v>
      </c>
      <c r="CB136" s="385">
        <v>18111</v>
      </c>
      <c r="CC136" s="384">
        <v>42194</v>
      </c>
      <c r="CD136" s="384">
        <v>2136</v>
      </c>
      <c r="CE136" s="384">
        <v>16160</v>
      </c>
      <c r="CF136" s="384"/>
      <c r="CG136" s="384">
        <v>28564</v>
      </c>
      <c r="CH136" s="384">
        <v>19001</v>
      </c>
      <c r="CI136" s="384">
        <v>2724</v>
      </c>
      <c r="CJ136" s="384">
        <v>58456</v>
      </c>
      <c r="CK136" s="383">
        <v>38785</v>
      </c>
      <c r="CL136" s="319">
        <v>449915</v>
      </c>
    </row>
    <row r="137" spans="1:94">
      <c r="A137" s="80">
        <f>ROWS($A$3:A66)</f>
        <v>64</v>
      </c>
      <c r="B137" s="92" t="s">
        <v>391</v>
      </c>
      <c r="C137" s="203">
        <v>2019</v>
      </c>
      <c r="D137" s="259" t="s">
        <v>59</v>
      </c>
      <c r="E137" s="706">
        <v>44427</v>
      </c>
      <c r="F137" s="154">
        <f>SUM(AT137:BF137)</f>
        <v>128423</v>
      </c>
      <c r="G137" s="155">
        <f>SUM(BG137:BR137)</f>
        <v>46199</v>
      </c>
      <c r="H137" s="155">
        <f>SUM(BS137:CB137)</f>
        <v>22869</v>
      </c>
      <c r="I137" s="156">
        <f>SUM(CC137:CK137)</f>
        <v>34623</v>
      </c>
      <c r="J137" s="281"/>
      <c r="K137" s="154">
        <f>BF137</f>
        <v>28687</v>
      </c>
      <c r="L137" s="155">
        <f>AY137</f>
        <v>13225</v>
      </c>
      <c r="M137" s="155">
        <f>BD137</f>
        <v>25934</v>
      </c>
      <c r="N137" s="155">
        <f>AW137</f>
        <v>5840</v>
      </c>
      <c r="O137" s="155">
        <f>BE137</f>
        <v>7099</v>
      </c>
      <c r="P137" s="155">
        <f>'2021'!AZ137+'2021'!BA137</f>
        <v>3350</v>
      </c>
      <c r="Q137" s="155">
        <f>'2021'!AU137</f>
        <v>5472</v>
      </c>
      <c r="R137" s="155">
        <f>AT137+AX137</f>
        <v>6542</v>
      </c>
      <c r="S137" s="155">
        <f>AV137</f>
        <v>10762</v>
      </c>
      <c r="T137" s="155">
        <f>BB137</f>
        <v>6732</v>
      </c>
      <c r="U137" s="552">
        <f>BC137</f>
        <v>14780</v>
      </c>
      <c r="V137" s="155">
        <f>BG137+BJ137</f>
        <v>2432</v>
      </c>
      <c r="W137" s="155">
        <f>BR137</f>
        <v>2536</v>
      </c>
      <c r="X137" s="155">
        <f>BH137+BI137</f>
        <v>5613</v>
      </c>
      <c r="Y137" s="155">
        <f>BK137+BL137+BN137</f>
        <v>9004</v>
      </c>
      <c r="Z137" s="155">
        <f>BM137</f>
        <v>17195</v>
      </c>
      <c r="AA137" s="155">
        <f>BO137+BQ137</f>
        <v>8372</v>
      </c>
      <c r="AB137" s="552">
        <f>BP137</f>
        <v>1047</v>
      </c>
      <c r="AC137" s="155">
        <f>BX137</f>
        <v>0</v>
      </c>
      <c r="AD137" s="155">
        <f>BU137</f>
        <v>2700</v>
      </c>
      <c r="AE137" s="155">
        <f>BS137+BT137</f>
        <v>2112</v>
      </c>
      <c r="AF137" s="155">
        <f>CA137</f>
        <v>6267</v>
      </c>
      <c r="AG137" s="155">
        <f>BV137</f>
        <v>3560</v>
      </c>
      <c r="AH137" s="155">
        <f>BZ137</f>
        <v>4303</v>
      </c>
      <c r="AI137" s="155">
        <f>BW137</f>
        <v>0</v>
      </c>
      <c r="AJ137" s="155">
        <f>BY137</f>
        <v>0</v>
      </c>
      <c r="AK137" s="552">
        <f>CB137</f>
        <v>3927</v>
      </c>
      <c r="AL137" s="155">
        <f>CE137</f>
        <v>2579</v>
      </c>
      <c r="AM137" s="155">
        <f>CH137</f>
        <v>3958</v>
      </c>
      <c r="AN137" s="155">
        <f>CJ137</f>
        <v>3549</v>
      </c>
      <c r="AO137" s="155">
        <f>CC137</f>
        <v>4546</v>
      </c>
      <c r="AP137" s="155">
        <f>CD137</f>
        <v>5409</v>
      </c>
      <c r="AQ137" s="155">
        <f>CK137</f>
        <v>4057</v>
      </c>
      <c r="AR137" s="155">
        <f>CI137</f>
        <v>4769</v>
      </c>
      <c r="AS137" s="156">
        <f>CF137+CG137</f>
        <v>5756</v>
      </c>
      <c r="AT137" s="155"/>
      <c r="AU137" s="155">
        <v>5472</v>
      </c>
      <c r="AV137" s="155">
        <v>10762</v>
      </c>
      <c r="AW137" s="155">
        <v>5840</v>
      </c>
      <c r="AX137" s="155">
        <v>6542</v>
      </c>
      <c r="AY137" s="155">
        <v>13225</v>
      </c>
      <c r="AZ137" s="155"/>
      <c r="BA137" s="155">
        <v>3350</v>
      </c>
      <c r="BB137" s="155">
        <v>6732</v>
      </c>
      <c r="BC137" s="155">
        <v>14780</v>
      </c>
      <c r="BD137" s="155">
        <v>25934</v>
      </c>
      <c r="BE137" s="155">
        <v>7099</v>
      </c>
      <c r="BF137" s="552">
        <v>28687</v>
      </c>
      <c r="BG137" s="155">
        <v>737</v>
      </c>
      <c r="BH137" s="155"/>
      <c r="BI137" s="155">
        <v>5613</v>
      </c>
      <c r="BJ137" s="155">
        <v>1695</v>
      </c>
      <c r="BK137" s="155"/>
      <c r="BL137" s="155"/>
      <c r="BM137" s="155">
        <v>17195</v>
      </c>
      <c r="BN137" s="155">
        <v>9004</v>
      </c>
      <c r="BO137" s="155">
        <v>886</v>
      </c>
      <c r="BP137" s="155">
        <v>1047</v>
      </c>
      <c r="BQ137" s="155">
        <v>7486</v>
      </c>
      <c r="BR137" s="552">
        <v>2536</v>
      </c>
      <c r="BS137" s="155"/>
      <c r="BT137" s="155">
        <v>2112</v>
      </c>
      <c r="BU137" s="155">
        <v>2700</v>
      </c>
      <c r="BV137" s="155">
        <v>3560</v>
      </c>
      <c r="BW137" s="155"/>
      <c r="BX137" s="155"/>
      <c r="BY137" s="155"/>
      <c r="BZ137" s="155">
        <v>4303</v>
      </c>
      <c r="CA137" s="155">
        <v>6267</v>
      </c>
      <c r="CB137" s="552">
        <v>3927</v>
      </c>
      <c r="CC137" s="155">
        <v>4546</v>
      </c>
      <c r="CD137" s="155">
        <v>5409</v>
      </c>
      <c r="CE137" s="155">
        <v>2579</v>
      </c>
      <c r="CF137" s="155"/>
      <c r="CG137" s="155">
        <v>5756</v>
      </c>
      <c r="CH137" s="155">
        <v>3958</v>
      </c>
      <c r="CI137" s="155">
        <v>4769</v>
      </c>
      <c r="CJ137" s="155">
        <v>3549</v>
      </c>
      <c r="CK137" s="156">
        <v>4057</v>
      </c>
      <c r="CL137" s="320">
        <v>232114</v>
      </c>
    </row>
    <row r="141" spans="1:94">
      <c r="B141" s="772" t="s">
        <v>480</v>
      </c>
    </row>
    <row r="152" spans="46:90">
      <c r="AT152" s="691" t="s">
        <v>340</v>
      </c>
      <c r="AU152" s="691" t="s">
        <v>341</v>
      </c>
      <c r="AV152" s="691" t="s">
        <v>310</v>
      </c>
      <c r="AW152" s="691" t="s">
        <v>311</v>
      </c>
      <c r="AX152" s="691" t="s">
        <v>312</v>
      </c>
      <c r="AY152" s="691" t="s">
        <v>342</v>
      </c>
      <c r="AZ152" s="691" t="s">
        <v>343</v>
      </c>
      <c r="BA152" s="691" t="s">
        <v>313</v>
      </c>
      <c r="BB152" s="691" t="s">
        <v>344</v>
      </c>
      <c r="BC152" s="691" t="s">
        <v>345</v>
      </c>
      <c r="BD152" s="691" t="s">
        <v>346</v>
      </c>
      <c r="BE152" s="691" t="s">
        <v>347</v>
      </c>
      <c r="BF152" s="691" t="s">
        <v>314</v>
      </c>
      <c r="BG152" s="691" t="s">
        <v>315</v>
      </c>
      <c r="BH152" s="691" t="s">
        <v>374</v>
      </c>
      <c r="BI152" s="691" t="s">
        <v>316</v>
      </c>
      <c r="BJ152" s="691" t="s">
        <v>317</v>
      </c>
      <c r="BK152" s="691" t="s">
        <v>348</v>
      </c>
      <c r="BL152" s="691" t="s">
        <v>349</v>
      </c>
      <c r="BM152" s="691" t="s">
        <v>350</v>
      </c>
      <c r="BN152" s="691" t="s">
        <v>351</v>
      </c>
      <c r="BO152" s="691" t="s">
        <v>352</v>
      </c>
      <c r="BP152" s="691" t="s">
        <v>318</v>
      </c>
      <c r="BQ152" s="691" t="s">
        <v>319</v>
      </c>
      <c r="BR152" s="691" t="s">
        <v>320</v>
      </c>
      <c r="BS152" s="691" t="s">
        <v>321</v>
      </c>
      <c r="BT152" s="691" t="s">
        <v>322</v>
      </c>
      <c r="BU152" s="691" t="s">
        <v>323</v>
      </c>
      <c r="BV152" s="691" t="s">
        <v>324</v>
      </c>
      <c r="BW152" s="691" t="s">
        <v>325</v>
      </c>
      <c r="BX152" s="691" t="s">
        <v>326</v>
      </c>
      <c r="BY152" s="691" t="s">
        <v>327</v>
      </c>
      <c r="BZ152" s="691" t="s">
        <v>328</v>
      </c>
      <c r="CA152" s="691" t="s">
        <v>329</v>
      </c>
      <c r="CB152" s="691" t="s">
        <v>330</v>
      </c>
      <c r="CC152" s="691" t="s">
        <v>331</v>
      </c>
      <c r="CD152" s="691" t="s">
        <v>332</v>
      </c>
      <c r="CE152" s="691" t="s">
        <v>333</v>
      </c>
      <c r="CF152" s="691" t="s">
        <v>353</v>
      </c>
      <c r="CG152" s="691" t="s">
        <v>334</v>
      </c>
      <c r="CH152" s="691" t="s">
        <v>335</v>
      </c>
      <c r="CI152" s="691" t="s">
        <v>336</v>
      </c>
      <c r="CJ152" s="691" t="s">
        <v>337</v>
      </c>
      <c r="CK152" s="691" t="s">
        <v>338</v>
      </c>
    </row>
    <row r="153" spans="46:90" ht="15">
      <c r="AT153" s="692">
        <v>2</v>
      </c>
      <c r="AU153" s="692">
        <v>25</v>
      </c>
      <c r="AV153" s="692">
        <v>36</v>
      </c>
      <c r="AW153" s="692">
        <v>35</v>
      </c>
      <c r="AX153" s="692">
        <v>40</v>
      </c>
      <c r="AY153" s="692">
        <v>171</v>
      </c>
      <c r="AZ153" s="692">
        <v>5</v>
      </c>
      <c r="BA153" s="692">
        <v>95</v>
      </c>
      <c r="BB153" s="692">
        <v>65</v>
      </c>
      <c r="BC153" s="692">
        <v>79</v>
      </c>
      <c r="BD153" s="692">
        <v>46</v>
      </c>
      <c r="BE153" s="692">
        <v>15</v>
      </c>
      <c r="BF153" s="692">
        <v>71</v>
      </c>
      <c r="BG153" s="692">
        <v>7</v>
      </c>
      <c r="BH153" s="692">
        <v>3</v>
      </c>
      <c r="BI153" s="692">
        <v>40</v>
      </c>
      <c r="BJ153" s="692">
        <v>59</v>
      </c>
      <c r="BK153" s="692">
        <v>5</v>
      </c>
      <c r="BL153" s="692">
        <v>2</v>
      </c>
      <c r="BM153" s="692">
        <v>35</v>
      </c>
      <c r="BN153" s="692">
        <v>48</v>
      </c>
      <c r="BO153" s="692">
        <v>2</v>
      </c>
      <c r="BP153" s="692">
        <v>50</v>
      </c>
      <c r="BQ153" s="692">
        <v>33</v>
      </c>
      <c r="BR153" s="692">
        <v>40</v>
      </c>
      <c r="BS153" s="692">
        <v>6</v>
      </c>
      <c r="BT153" s="692">
        <v>110</v>
      </c>
      <c r="BU153" s="692">
        <v>69</v>
      </c>
      <c r="BV153" s="692">
        <v>137</v>
      </c>
      <c r="BW153" s="692">
        <v>38</v>
      </c>
      <c r="BX153" s="692">
        <v>120</v>
      </c>
      <c r="BY153" s="692">
        <v>39</v>
      </c>
      <c r="BZ153" s="692">
        <v>98</v>
      </c>
      <c r="CA153" s="692">
        <v>132</v>
      </c>
      <c r="CB153" s="692">
        <v>177</v>
      </c>
      <c r="CC153" s="692">
        <v>33</v>
      </c>
      <c r="CD153" s="692">
        <v>13</v>
      </c>
      <c r="CE153" s="692">
        <v>34</v>
      </c>
      <c r="CF153" s="692">
        <v>2</v>
      </c>
      <c r="CG153" s="692">
        <v>31</v>
      </c>
      <c r="CH153" s="692">
        <v>44</v>
      </c>
      <c r="CI153" s="692">
        <v>38</v>
      </c>
      <c r="CJ153" s="692">
        <v>68</v>
      </c>
      <c r="CK153" s="692">
        <v>56</v>
      </c>
      <c r="CL153" s="693">
        <v>2254</v>
      </c>
    </row>
    <row r="154" spans="46:90">
      <c r="AT154" s="692">
        <v>1642.1299999999999</v>
      </c>
      <c r="AU154" s="692">
        <v>23012.719999999998</v>
      </c>
      <c r="AV154" s="692">
        <v>12955.949999999999</v>
      </c>
      <c r="AW154" s="692">
        <v>21235.45</v>
      </c>
      <c r="AX154" s="692">
        <v>19000</v>
      </c>
      <c r="AY154" s="692">
        <v>8695.2199999999975</v>
      </c>
      <c r="AZ154" s="692">
        <v>802.22</v>
      </c>
      <c r="BA154" s="692">
        <v>28171.230000000003</v>
      </c>
      <c r="BB154" s="692">
        <v>13125.729999999994</v>
      </c>
      <c r="BC154" s="692">
        <v>5604.9699999999993</v>
      </c>
      <c r="BD154" s="692">
        <v>52391.43</v>
      </c>
      <c r="BE154" s="692">
        <v>68472.180000000008</v>
      </c>
      <c r="BF154" s="692">
        <v>17234.57</v>
      </c>
      <c r="BG154" s="692">
        <v>3990.3899999999994</v>
      </c>
      <c r="BH154" s="692">
        <v>8534.01</v>
      </c>
      <c r="BI154" s="692">
        <v>34929.600000000006</v>
      </c>
      <c r="BJ154" s="692">
        <v>15967.439999999999</v>
      </c>
      <c r="BK154" s="692">
        <v>2044.9399999999998</v>
      </c>
      <c r="BL154" s="692">
        <v>6646.3899999999994</v>
      </c>
      <c r="BM154" s="692">
        <v>27663.01</v>
      </c>
      <c r="BN154" s="692">
        <v>35040.07</v>
      </c>
      <c r="BO154" s="692">
        <v>4016.86</v>
      </c>
      <c r="BP154" s="692">
        <v>28546.199999999997</v>
      </c>
      <c r="BQ154" s="692">
        <v>20260.309999999998</v>
      </c>
      <c r="BR154" s="692">
        <v>15564.76</v>
      </c>
      <c r="BS154" s="692">
        <v>1181.7599999999998</v>
      </c>
      <c r="BT154" s="692">
        <v>21330.729999999992</v>
      </c>
      <c r="BU154" s="692">
        <v>8672.17</v>
      </c>
      <c r="BV154" s="692">
        <v>19755.710000000006</v>
      </c>
      <c r="BW154" s="692">
        <v>21300.820000000014</v>
      </c>
      <c r="BX154" s="692">
        <v>16776.750000000004</v>
      </c>
      <c r="BY154" s="692">
        <v>15552.83</v>
      </c>
      <c r="BZ154" s="692">
        <v>22803.579999999998</v>
      </c>
      <c r="CA154" s="692">
        <v>9822.5400000000009</v>
      </c>
      <c r="CB154" s="692">
        <v>21473.08</v>
      </c>
      <c r="CC154" s="692">
        <v>55452.76</v>
      </c>
      <c r="CD154" s="692">
        <v>15670.099999999999</v>
      </c>
      <c r="CE154" s="692">
        <v>32297.29</v>
      </c>
      <c r="CF154" s="692">
        <v>599.70000000000005</v>
      </c>
      <c r="CG154" s="692">
        <v>115614.43</v>
      </c>
      <c r="CH154" s="692">
        <v>29138.640000000007</v>
      </c>
      <c r="CI154" s="692">
        <v>9631.3799999999992</v>
      </c>
      <c r="CJ154" s="692">
        <v>21130.89</v>
      </c>
      <c r="CK154"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80:I80" formulaRange="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CX154"/>
  <sheetViews>
    <sheetView zoomScaleNormal="100" workbookViewId="0">
      <pane xSplit="5" ySplit="4" topLeftCell="F65" activePane="bottomRight" state="frozen"/>
      <selection activeCell="P47" sqref="P47"/>
      <selection pane="topRight" activeCell="P47" sqref="P47"/>
      <selection pane="bottomLeft" activeCell="P47" sqref="P47"/>
      <selection pane="bottomRight" activeCell="BI34" sqref="BI34"/>
    </sheetView>
  </sheetViews>
  <sheetFormatPr baseColWidth="10" defaultRowHeight="12.75"/>
  <cols>
    <col min="1" max="1" width="4" customWidth="1"/>
    <col min="2" max="2" width="39" style="58" customWidth="1"/>
    <col min="3" max="3" width="6.85546875" style="198" customWidth="1"/>
    <col min="4" max="4" width="12.5703125" customWidth="1"/>
    <col min="5" max="5" width="8.7109375" style="457" customWidth="1"/>
    <col min="6" max="87" width="11.42578125" style="126" customWidth="1"/>
    <col min="88" max="88" width="13.5703125" style="126" customWidth="1"/>
    <col min="89" max="89" width="11.42578125" style="126" customWidth="1"/>
    <col min="90" max="90" width="17.85546875" style="126" customWidth="1"/>
  </cols>
  <sheetData>
    <row r="1" spans="1:95" ht="13.5" thickBot="1">
      <c r="B1" s="70" t="s">
        <v>187</v>
      </c>
      <c r="E1" s="809" t="s">
        <v>482</v>
      </c>
    </row>
    <row r="2" spans="1:95">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5">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5">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5">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5">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5">
      <c r="A7" s="80">
        <f>ROWS($A$3:A5)</f>
        <v>3</v>
      </c>
      <c r="B7" s="92" t="s">
        <v>60</v>
      </c>
      <c r="C7" s="584">
        <v>2020</v>
      </c>
      <c r="D7" s="259" t="s">
        <v>1</v>
      </c>
      <c r="E7" s="705">
        <v>44491</v>
      </c>
      <c r="F7" s="154">
        <f t="shared" ref="F7:F13" si="0">SUM(AT7:BF7)</f>
        <v>1055684</v>
      </c>
      <c r="G7" s="155">
        <f t="shared" ref="G7:G13" si="1">SUM(BG7:BR7)</f>
        <v>691760</v>
      </c>
      <c r="H7" s="155">
        <f t="shared" ref="H7:H13" si="2">SUM(BS7:CB7)</f>
        <v>935635</v>
      </c>
      <c r="I7" s="156">
        <f t="shared" ref="I7:I13" si="3">SUM(CC7:CK7)</f>
        <v>891699</v>
      </c>
      <c r="J7" s="155"/>
      <c r="K7" s="154">
        <f t="shared" ref="K7:K20" si="4">BF7</f>
        <v>151139</v>
      </c>
      <c r="L7" s="155">
        <f t="shared" ref="L7:L20" si="5">AY7</f>
        <v>85808</v>
      </c>
      <c r="M7" s="155">
        <f t="shared" ref="M7:M20" si="6">BD7</f>
        <v>130412</v>
      </c>
      <c r="N7" s="155">
        <f t="shared" ref="N7:N20" si="7">AW7</f>
        <v>64234</v>
      </c>
      <c r="O7" s="155">
        <f t="shared" ref="O7:O20" si="8">BE7</f>
        <v>62714</v>
      </c>
      <c r="P7" s="155">
        <f>'2020'!AZ7+'2020'!BA7</f>
        <v>119981</v>
      </c>
      <c r="Q7" s="155">
        <f>'2020'!AU7</f>
        <v>61776</v>
      </c>
      <c r="R7" s="155">
        <f>AT7+AX7</f>
        <v>89409</v>
      </c>
      <c r="S7" s="155">
        <f t="shared" ref="S7:S20" si="9">AV7</f>
        <v>64128</v>
      </c>
      <c r="T7" s="155">
        <f t="shared" ref="T7:U20" si="10">BB7</f>
        <v>77676</v>
      </c>
      <c r="U7" s="552">
        <f t="shared" si="10"/>
        <v>148407</v>
      </c>
      <c r="V7" s="155">
        <f t="shared" ref="V7:V13" si="11">BG7+BJ7</f>
        <v>87862</v>
      </c>
      <c r="W7" s="155">
        <f t="shared" ref="W7:W20" si="12">BR7</f>
        <v>87040</v>
      </c>
      <c r="X7" s="155">
        <f t="shared" ref="X7:X13" si="13">BH7+BI7</f>
        <v>125840</v>
      </c>
      <c r="Y7" s="155">
        <f t="shared" ref="Y7:Y13" si="14">BK7+BL7+BN7</f>
        <v>131535</v>
      </c>
      <c r="Z7" s="155">
        <f t="shared" ref="Z7:Z20" si="15">BM7</f>
        <v>112595</v>
      </c>
      <c r="AA7" s="155">
        <f t="shared" ref="AA7:AA12" si="16">BO7+BQ7</f>
        <v>67159</v>
      </c>
      <c r="AB7" s="552">
        <f t="shared" ref="AB7:AB20" si="17">BP7</f>
        <v>79729</v>
      </c>
      <c r="AC7" s="155">
        <f t="shared" ref="AC7:AC20" si="18">BX7</f>
        <v>102534</v>
      </c>
      <c r="AD7" s="155">
        <f t="shared" ref="AD7:AD20" si="19">BU7</f>
        <v>67980</v>
      </c>
      <c r="AE7" s="155">
        <f t="shared" ref="AE7:AE13" si="20">BS7+BT7</f>
        <v>153136</v>
      </c>
      <c r="AF7" s="155">
        <f t="shared" ref="AF7:AF20" si="21">CA7</f>
        <v>80666</v>
      </c>
      <c r="AG7" s="155">
        <f t="shared" ref="AG7:AG20" si="22">BV7</f>
        <v>186029</v>
      </c>
      <c r="AH7" s="155">
        <f t="shared" ref="AH7:AH20" si="23">BZ7</f>
        <v>81798</v>
      </c>
      <c r="AI7" s="155">
        <f t="shared" ref="AI7:AI20" si="24">BW7</f>
        <v>76942</v>
      </c>
      <c r="AJ7" s="155">
        <f t="shared" ref="AJ7:AJ20" si="25">BY7</f>
        <v>73438</v>
      </c>
      <c r="AK7" s="552">
        <f t="shared" ref="AK7:AK20" si="26">CB7</f>
        <v>113112</v>
      </c>
      <c r="AL7" s="155">
        <f t="shared" ref="AL7:AL20" si="27">CE7</f>
        <v>91758</v>
      </c>
      <c r="AM7" s="155">
        <f t="shared" ref="AM7:AM20" si="28">CH7</f>
        <v>140952</v>
      </c>
      <c r="AN7" s="155">
        <f t="shared" ref="AN7:AN20" si="29">CJ7</f>
        <v>163208</v>
      </c>
      <c r="AO7" s="155">
        <f t="shared" ref="AO7:AP20" si="30">CC7</f>
        <v>109248</v>
      </c>
      <c r="AP7" s="155">
        <f t="shared" si="30"/>
        <v>51911</v>
      </c>
      <c r="AQ7" s="155">
        <f t="shared" ref="AQ7:AQ20" si="31">CK7</f>
        <v>120423</v>
      </c>
      <c r="AR7" s="155">
        <f t="shared" ref="AR7:AR20" si="32">CI7</f>
        <v>66477</v>
      </c>
      <c r="AS7" s="156">
        <f t="shared" ref="AS7:AS13" si="33">CF7+CG7</f>
        <v>147722</v>
      </c>
      <c r="AT7" s="534">
        <v>20732</v>
      </c>
      <c r="AU7" s="534">
        <v>61776</v>
      </c>
      <c r="AV7" s="534">
        <v>64128</v>
      </c>
      <c r="AW7" s="534">
        <v>64234</v>
      </c>
      <c r="AX7" s="534">
        <v>68677</v>
      </c>
      <c r="AY7" s="534">
        <v>85808</v>
      </c>
      <c r="AZ7" s="534">
        <v>9990</v>
      </c>
      <c r="BA7" s="534">
        <v>109991</v>
      </c>
      <c r="BB7" s="534">
        <v>77676</v>
      </c>
      <c r="BC7" s="534">
        <v>148407</v>
      </c>
      <c r="BD7" s="534">
        <v>130412</v>
      </c>
      <c r="BE7" s="534">
        <v>62714</v>
      </c>
      <c r="BF7" s="557">
        <v>151139</v>
      </c>
      <c r="BG7" s="534">
        <v>14019</v>
      </c>
      <c r="BH7" s="534">
        <v>17342</v>
      </c>
      <c r="BI7" s="534">
        <v>108498</v>
      </c>
      <c r="BJ7" s="534">
        <v>73843</v>
      </c>
      <c r="BK7" s="534">
        <v>10883</v>
      </c>
      <c r="BL7" s="534">
        <v>14497</v>
      </c>
      <c r="BM7" s="534">
        <v>112595</v>
      </c>
      <c r="BN7" s="534">
        <v>106155</v>
      </c>
      <c r="BO7" s="534">
        <v>9799</v>
      </c>
      <c r="BP7" s="534">
        <v>79729</v>
      </c>
      <c r="BQ7" s="534">
        <v>57360</v>
      </c>
      <c r="BR7" s="557">
        <v>87040</v>
      </c>
      <c r="BS7" s="534">
        <v>15304</v>
      </c>
      <c r="BT7" s="534">
        <v>137832</v>
      </c>
      <c r="BU7" s="534">
        <v>67980</v>
      </c>
      <c r="BV7" s="534">
        <v>186029</v>
      </c>
      <c r="BW7" s="534">
        <v>76942</v>
      </c>
      <c r="BX7" s="534">
        <v>102534</v>
      </c>
      <c r="BY7" s="534">
        <v>73438</v>
      </c>
      <c r="BZ7" s="534">
        <v>81798</v>
      </c>
      <c r="CA7" s="534">
        <v>80666</v>
      </c>
      <c r="CB7" s="557">
        <v>113112</v>
      </c>
      <c r="CC7" s="534">
        <v>109248</v>
      </c>
      <c r="CD7" s="534">
        <v>51911</v>
      </c>
      <c r="CE7" s="534">
        <v>91758</v>
      </c>
      <c r="CF7" s="534">
        <v>11868</v>
      </c>
      <c r="CG7" s="534">
        <v>135854</v>
      </c>
      <c r="CH7" s="534">
        <v>140952</v>
      </c>
      <c r="CI7" s="534">
        <v>66477</v>
      </c>
      <c r="CJ7" s="534">
        <v>163208</v>
      </c>
      <c r="CK7" s="534">
        <v>120423</v>
      </c>
      <c r="CL7" s="553">
        <v>3574782</v>
      </c>
      <c r="CM7" s="101"/>
    </row>
    <row r="8" spans="1:95" ht="14.25">
      <c r="A8" s="80">
        <f>ROWS($A$3:A6)</f>
        <v>4</v>
      </c>
      <c r="B8" s="92" t="s">
        <v>387</v>
      </c>
      <c r="C8" s="203"/>
      <c r="D8" s="259" t="s">
        <v>1</v>
      </c>
      <c r="E8" s="705">
        <v>44491</v>
      </c>
      <c r="F8" s="154">
        <f t="shared" si="0"/>
        <v>178649</v>
      </c>
      <c r="G8" s="155">
        <f t="shared" si="1"/>
        <v>116452</v>
      </c>
      <c r="H8" s="155">
        <f t="shared" si="2"/>
        <v>116458</v>
      </c>
      <c r="I8" s="156">
        <f t="shared" si="3"/>
        <v>114118</v>
      </c>
      <c r="J8" s="155"/>
      <c r="K8" s="154">
        <f t="shared" si="4"/>
        <v>20040</v>
      </c>
      <c r="L8" s="155">
        <f t="shared" si="5"/>
        <v>15460</v>
      </c>
      <c r="M8" s="155">
        <f t="shared" si="6"/>
        <v>14361</v>
      </c>
      <c r="N8" s="155">
        <f t="shared" si="7"/>
        <v>10799</v>
      </c>
      <c r="O8" s="155">
        <f t="shared" si="8"/>
        <v>8130</v>
      </c>
      <c r="P8" s="155">
        <f>'2020'!AZ8+'2020'!BA8</f>
        <v>23264</v>
      </c>
      <c r="Q8" s="155">
        <f>'2020'!AU8</f>
        <v>14228</v>
      </c>
      <c r="R8" s="155">
        <f>AT8+AX8</f>
        <v>27905</v>
      </c>
      <c r="S8" s="155">
        <f t="shared" si="9"/>
        <v>16018</v>
      </c>
      <c r="T8" s="155">
        <f t="shared" si="10"/>
        <v>10562</v>
      </c>
      <c r="U8" s="552">
        <f t="shared" si="10"/>
        <v>17882</v>
      </c>
      <c r="V8" s="155">
        <f t="shared" si="11"/>
        <v>12754</v>
      </c>
      <c r="W8" s="155">
        <f t="shared" si="12"/>
        <v>8610</v>
      </c>
      <c r="X8" s="155">
        <f t="shared" si="13"/>
        <v>28029</v>
      </c>
      <c r="Y8" s="155">
        <f t="shared" si="14"/>
        <v>33040</v>
      </c>
      <c r="Z8" s="155">
        <f t="shared" si="15"/>
        <v>12329</v>
      </c>
      <c r="AA8" s="155">
        <f t="shared" si="16"/>
        <v>12488</v>
      </c>
      <c r="AB8" s="552">
        <f t="shared" si="17"/>
        <v>9202</v>
      </c>
      <c r="AC8" s="155">
        <f t="shared" si="18"/>
        <v>12084</v>
      </c>
      <c r="AD8" s="155">
        <f t="shared" si="19"/>
        <v>7760</v>
      </c>
      <c r="AE8" s="155">
        <f t="shared" si="20"/>
        <v>19707</v>
      </c>
      <c r="AF8" s="155">
        <f t="shared" si="21"/>
        <v>10514</v>
      </c>
      <c r="AG8" s="155">
        <f t="shared" si="22"/>
        <v>22515</v>
      </c>
      <c r="AH8" s="155">
        <f t="shared" si="23"/>
        <v>12995</v>
      </c>
      <c r="AI8" s="155">
        <f t="shared" si="24"/>
        <v>10174</v>
      </c>
      <c r="AJ8" s="155">
        <f t="shared" si="25"/>
        <v>8872</v>
      </c>
      <c r="AK8" s="552">
        <f t="shared" si="26"/>
        <v>11837</v>
      </c>
      <c r="AL8" s="155">
        <f t="shared" si="27"/>
        <v>12530</v>
      </c>
      <c r="AM8" s="155">
        <f t="shared" si="28"/>
        <v>17119</v>
      </c>
      <c r="AN8" s="155">
        <f t="shared" si="29"/>
        <v>17819</v>
      </c>
      <c r="AO8" s="155">
        <f t="shared" si="30"/>
        <v>14663</v>
      </c>
      <c r="AP8" s="155">
        <f t="shared" si="30"/>
        <v>9503</v>
      </c>
      <c r="AQ8" s="155">
        <f t="shared" si="31"/>
        <v>12308</v>
      </c>
      <c r="AR8" s="155">
        <f t="shared" si="32"/>
        <v>10068</v>
      </c>
      <c r="AS8" s="156">
        <f t="shared" si="33"/>
        <v>20108</v>
      </c>
      <c r="AT8" s="534">
        <v>10728</v>
      </c>
      <c r="AU8" s="534">
        <v>14228</v>
      </c>
      <c r="AV8" s="534">
        <v>16018</v>
      </c>
      <c r="AW8" s="534">
        <v>10799</v>
      </c>
      <c r="AX8" s="534">
        <v>17177</v>
      </c>
      <c r="AY8" s="534">
        <v>15460</v>
      </c>
      <c r="AZ8" s="534">
        <v>3616</v>
      </c>
      <c r="BA8" s="534">
        <v>19648</v>
      </c>
      <c r="BB8" s="534">
        <v>10562</v>
      </c>
      <c r="BC8" s="534">
        <v>17882</v>
      </c>
      <c r="BD8" s="534">
        <v>14361</v>
      </c>
      <c r="BE8" s="534">
        <v>8130</v>
      </c>
      <c r="BF8" s="557">
        <v>20040</v>
      </c>
      <c r="BG8" s="534">
        <v>2080</v>
      </c>
      <c r="BH8" s="534">
        <v>8097</v>
      </c>
      <c r="BI8" s="534">
        <v>19932</v>
      </c>
      <c r="BJ8" s="534">
        <v>10674</v>
      </c>
      <c r="BK8" s="534">
        <v>3315</v>
      </c>
      <c r="BL8" s="534">
        <v>8436</v>
      </c>
      <c r="BM8" s="534">
        <v>12329</v>
      </c>
      <c r="BN8" s="534">
        <v>21289</v>
      </c>
      <c r="BO8" s="534">
        <v>3051</v>
      </c>
      <c r="BP8" s="534">
        <v>9202</v>
      </c>
      <c r="BQ8" s="534">
        <v>9437</v>
      </c>
      <c r="BR8" s="557">
        <v>8610</v>
      </c>
      <c r="BS8" s="534">
        <v>4949</v>
      </c>
      <c r="BT8" s="534">
        <v>14758</v>
      </c>
      <c r="BU8" s="534">
        <v>7760</v>
      </c>
      <c r="BV8" s="534">
        <v>22515</v>
      </c>
      <c r="BW8" s="534">
        <v>10174</v>
      </c>
      <c r="BX8" s="534">
        <v>12084</v>
      </c>
      <c r="BY8" s="534">
        <v>8872</v>
      </c>
      <c r="BZ8" s="534">
        <v>12995</v>
      </c>
      <c r="CA8" s="534">
        <v>10514</v>
      </c>
      <c r="CB8" s="557">
        <v>11837</v>
      </c>
      <c r="CC8" s="534">
        <v>14663</v>
      </c>
      <c r="CD8" s="534">
        <v>9503</v>
      </c>
      <c r="CE8" s="534">
        <v>12530</v>
      </c>
      <c r="CF8" s="534">
        <v>3933</v>
      </c>
      <c r="CG8" s="534">
        <v>16175</v>
      </c>
      <c r="CH8" s="534">
        <v>17119</v>
      </c>
      <c r="CI8" s="534">
        <v>10068</v>
      </c>
      <c r="CJ8" s="534">
        <v>17819</v>
      </c>
      <c r="CK8" s="534">
        <v>12308</v>
      </c>
      <c r="CL8" s="320">
        <v>525676</v>
      </c>
    </row>
    <row r="9" spans="1:95">
      <c r="A9" s="80">
        <f>ROWS($A$3:A7)</f>
        <v>5</v>
      </c>
      <c r="B9" s="92" t="s">
        <v>0</v>
      </c>
      <c r="C9" s="203"/>
      <c r="D9" s="259" t="s">
        <v>1</v>
      </c>
      <c r="E9" s="705">
        <v>44491</v>
      </c>
      <c r="F9" s="154">
        <f t="shared" si="0"/>
        <v>524483</v>
      </c>
      <c r="G9" s="155">
        <f t="shared" si="1"/>
        <v>248946</v>
      </c>
      <c r="H9" s="155">
        <f t="shared" si="2"/>
        <v>367160</v>
      </c>
      <c r="I9" s="156">
        <f t="shared" si="3"/>
        <v>468534</v>
      </c>
      <c r="J9" s="155"/>
      <c r="K9" s="154">
        <f t="shared" si="4"/>
        <v>69960</v>
      </c>
      <c r="L9" s="155">
        <f t="shared" si="5"/>
        <v>35693</v>
      </c>
      <c r="M9" s="155">
        <f t="shared" si="6"/>
        <v>75087</v>
      </c>
      <c r="N9" s="155">
        <f t="shared" si="7"/>
        <v>31918</v>
      </c>
      <c r="O9" s="155">
        <f t="shared" si="8"/>
        <v>26439</v>
      </c>
      <c r="P9" s="155">
        <f>'2020'!AZ9+'2020'!BA9</f>
        <v>64997</v>
      </c>
      <c r="Q9" s="155">
        <f>'2020'!AU9</f>
        <v>25371</v>
      </c>
      <c r="R9" s="155">
        <f t="shared" ref="R9:R16" si="34">AT9+AX9</f>
        <v>42010</v>
      </c>
      <c r="S9" s="155">
        <f t="shared" si="9"/>
        <v>28246</v>
      </c>
      <c r="T9" s="155">
        <f t="shared" si="10"/>
        <v>43729</v>
      </c>
      <c r="U9" s="552">
        <f t="shared" si="10"/>
        <v>81033</v>
      </c>
      <c r="V9" s="155">
        <f t="shared" si="11"/>
        <v>25572</v>
      </c>
      <c r="W9" s="155">
        <f t="shared" si="12"/>
        <v>22613</v>
      </c>
      <c r="X9" s="155">
        <f t="shared" si="13"/>
        <v>51945</v>
      </c>
      <c r="Y9" s="155">
        <f t="shared" si="14"/>
        <v>50385</v>
      </c>
      <c r="Z9" s="155">
        <f t="shared" si="15"/>
        <v>51267</v>
      </c>
      <c r="AA9" s="155">
        <f t="shared" si="16"/>
        <v>26755</v>
      </c>
      <c r="AB9" s="552">
        <f t="shared" si="17"/>
        <v>20409</v>
      </c>
      <c r="AC9" s="155">
        <f t="shared" si="18"/>
        <v>42123</v>
      </c>
      <c r="AD9" s="155">
        <f t="shared" si="19"/>
        <v>27224</v>
      </c>
      <c r="AE9" s="155">
        <f t="shared" si="20"/>
        <v>57643</v>
      </c>
      <c r="AF9" s="155">
        <f t="shared" si="21"/>
        <v>27283</v>
      </c>
      <c r="AG9" s="155">
        <f t="shared" si="22"/>
        <v>69847</v>
      </c>
      <c r="AH9" s="155">
        <f t="shared" si="23"/>
        <v>39896</v>
      </c>
      <c r="AI9" s="155">
        <f t="shared" si="24"/>
        <v>32517</v>
      </c>
      <c r="AJ9" s="155">
        <f t="shared" si="25"/>
        <v>26964</v>
      </c>
      <c r="AK9" s="552">
        <f t="shared" si="26"/>
        <v>43663</v>
      </c>
      <c r="AL9" s="155">
        <f t="shared" si="27"/>
        <v>40575</v>
      </c>
      <c r="AM9" s="155">
        <f t="shared" si="28"/>
        <v>81078</v>
      </c>
      <c r="AN9" s="155">
        <f t="shared" si="29"/>
        <v>93829</v>
      </c>
      <c r="AO9" s="155">
        <f t="shared" si="30"/>
        <v>51515</v>
      </c>
      <c r="AP9" s="155">
        <f t="shared" si="30"/>
        <v>23565</v>
      </c>
      <c r="AQ9" s="155">
        <f t="shared" si="31"/>
        <v>59191</v>
      </c>
      <c r="AR9" s="155">
        <f t="shared" si="32"/>
        <v>36629</v>
      </c>
      <c r="AS9" s="156">
        <f t="shared" si="33"/>
        <v>82152</v>
      </c>
      <c r="AT9" s="534">
        <v>4709</v>
      </c>
      <c r="AU9" s="534">
        <v>25371</v>
      </c>
      <c r="AV9" s="534">
        <v>28246</v>
      </c>
      <c r="AW9" s="534">
        <v>31918</v>
      </c>
      <c r="AX9" s="534">
        <v>37301</v>
      </c>
      <c r="AY9" s="534">
        <v>35693</v>
      </c>
      <c r="AZ9" s="534">
        <v>4653</v>
      </c>
      <c r="BA9" s="534">
        <v>60344</v>
      </c>
      <c r="BB9" s="534">
        <v>43729</v>
      </c>
      <c r="BC9" s="534">
        <v>81033</v>
      </c>
      <c r="BD9" s="534">
        <v>75087</v>
      </c>
      <c r="BE9" s="534">
        <v>26439</v>
      </c>
      <c r="BF9" s="557">
        <v>69960</v>
      </c>
      <c r="BG9" s="534">
        <v>3099</v>
      </c>
      <c r="BH9" s="534">
        <v>3916</v>
      </c>
      <c r="BI9" s="534">
        <v>48029</v>
      </c>
      <c r="BJ9" s="534">
        <v>22473</v>
      </c>
      <c r="BK9" s="534">
        <v>2863</v>
      </c>
      <c r="BL9" s="534">
        <v>3447</v>
      </c>
      <c r="BM9" s="534">
        <v>51267</v>
      </c>
      <c r="BN9" s="534">
        <v>44075</v>
      </c>
      <c r="BO9" s="534">
        <v>1636</v>
      </c>
      <c r="BP9" s="534">
        <v>20409</v>
      </c>
      <c r="BQ9" s="534">
        <v>25119</v>
      </c>
      <c r="BR9" s="557">
        <v>22613</v>
      </c>
      <c r="BS9" s="534">
        <v>3464</v>
      </c>
      <c r="BT9" s="534">
        <v>54179</v>
      </c>
      <c r="BU9" s="534">
        <v>27224</v>
      </c>
      <c r="BV9" s="534">
        <v>69847</v>
      </c>
      <c r="BW9" s="534">
        <v>32517</v>
      </c>
      <c r="BX9" s="534">
        <v>42123</v>
      </c>
      <c r="BY9" s="534">
        <v>26964</v>
      </c>
      <c r="BZ9" s="534">
        <v>39896</v>
      </c>
      <c r="CA9" s="534">
        <v>27283</v>
      </c>
      <c r="CB9" s="557">
        <v>43663</v>
      </c>
      <c r="CC9" s="534">
        <v>51515</v>
      </c>
      <c r="CD9" s="534">
        <v>23565</v>
      </c>
      <c r="CE9" s="534">
        <v>40575</v>
      </c>
      <c r="CF9" s="534">
        <v>5344</v>
      </c>
      <c r="CG9" s="534">
        <v>76808</v>
      </c>
      <c r="CH9" s="534">
        <v>81078</v>
      </c>
      <c r="CI9" s="534">
        <v>36629</v>
      </c>
      <c r="CJ9" s="534">
        <v>93829</v>
      </c>
      <c r="CK9" s="534">
        <v>59191</v>
      </c>
      <c r="CL9" s="320">
        <v>1609124</v>
      </c>
      <c r="CM9" s="422"/>
    </row>
    <row r="10" spans="1:95">
      <c r="A10" s="80">
        <f>ROWS($A$3:A8)</f>
        <v>6</v>
      </c>
      <c r="B10" s="92" t="s">
        <v>202</v>
      </c>
      <c r="C10" s="203"/>
      <c r="D10" s="259" t="s">
        <v>1</v>
      </c>
      <c r="E10" s="705">
        <v>44491</v>
      </c>
      <c r="F10" s="154">
        <f t="shared" si="0"/>
        <v>331373</v>
      </c>
      <c r="G10" s="155">
        <f t="shared" si="1"/>
        <v>306834</v>
      </c>
      <c r="H10" s="155">
        <f t="shared" si="2"/>
        <v>427608</v>
      </c>
      <c r="I10" s="156">
        <f t="shared" si="3"/>
        <v>286989</v>
      </c>
      <c r="J10" s="155"/>
      <c r="K10" s="154">
        <f t="shared" si="4"/>
        <v>58567</v>
      </c>
      <c r="L10" s="155">
        <f t="shared" si="5"/>
        <v>33519</v>
      </c>
      <c r="M10" s="155">
        <f t="shared" si="6"/>
        <v>38039</v>
      </c>
      <c r="N10" s="155">
        <f t="shared" si="7"/>
        <v>20423</v>
      </c>
      <c r="O10" s="155">
        <f t="shared" si="8"/>
        <v>26877</v>
      </c>
      <c r="P10" s="155">
        <f>'2020'!AZ10+'2020'!BA10</f>
        <v>29107</v>
      </c>
      <c r="Q10" s="155">
        <f>'2020'!AU10</f>
        <v>21167</v>
      </c>
      <c r="R10" s="155">
        <f t="shared" si="34"/>
        <v>17235</v>
      </c>
      <c r="S10" s="155">
        <f t="shared" si="9"/>
        <v>18574</v>
      </c>
      <c r="T10" s="155">
        <f t="shared" si="10"/>
        <v>21272</v>
      </c>
      <c r="U10" s="552">
        <f t="shared" si="10"/>
        <v>46593</v>
      </c>
      <c r="V10" s="155">
        <f t="shared" si="11"/>
        <v>45548</v>
      </c>
      <c r="W10" s="155">
        <f t="shared" si="12"/>
        <v>54166</v>
      </c>
      <c r="X10" s="155">
        <f t="shared" si="13"/>
        <v>40777</v>
      </c>
      <c r="Y10" s="155">
        <f t="shared" si="14"/>
        <v>43735</v>
      </c>
      <c r="Z10" s="155">
        <f t="shared" si="15"/>
        <v>46853</v>
      </c>
      <c r="AA10" s="155">
        <f t="shared" si="16"/>
        <v>26823</v>
      </c>
      <c r="AB10" s="552">
        <f t="shared" si="17"/>
        <v>48932</v>
      </c>
      <c r="AC10" s="155">
        <f t="shared" si="18"/>
        <v>46694</v>
      </c>
      <c r="AD10" s="155">
        <f t="shared" si="19"/>
        <v>30952</v>
      </c>
      <c r="AE10" s="155">
        <f t="shared" si="20"/>
        <v>71311</v>
      </c>
      <c r="AF10" s="155">
        <f t="shared" si="21"/>
        <v>40593</v>
      </c>
      <c r="AG10" s="155">
        <f t="shared" si="22"/>
        <v>87434</v>
      </c>
      <c r="AH10" s="155">
        <f t="shared" si="23"/>
        <v>26780</v>
      </c>
      <c r="AI10" s="155">
        <f t="shared" si="24"/>
        <v>32701</v>
      </c>
      <c r="AJ10" s="155">
        <f t="shared" si="25"/>
        <v>36516</v>
      </c>
      <c r="AK10" s="552">
        <f t="shared" si="26"/>
        <v>54627</v>
      </c>
      <c r="AL10" s="155">
        <f t="shared" si="27"/>
        <v>37064</v>
      </c>
      <c r="AM10" s="155">
        <f t="shared" si="28"/>
        <v>39423</v>
      </c>
      <c r="AN10" s="155">
        <f t="shared" si="29"/>
        <v>45481</v>
      </c>
      <c r="AO10" s="155">
        <f t="shared" si="30"/>
        <v>40538</v>
      </c>
      <c r="AP10" s="155">
        <f t="shared" si="30"/>
        <v>17764</v>
      </c>
      <c r="AQ10" s="155">
        <f t="shared" si="31"/>
        <v>46161</v>
      </c>
      <c r="AR10" s="155">
        <f t="shared" si="32"/>
        <v>18488</v>
      </c>
      <c r="AS10" s="156">
        <f t="shared" si="33"/>
        <v>42070</v>
      </c>
      <c r="AT10" s="534">
        <v>4877</v>
      </c>
      <c r="AU10" s="534">
        <v>21167</v>
      </c>
      <c r="AV10" s="534">
        <v>18574</v>
      </c>
      <c r="AW10" s="534">
        <v>20423</v>
      </c>
      <c r="AX10" s="534">
        <v>12358</v>
      </c>
      <c r="AY10" s="534">
        <v>33519</v>
      </c>
      <c r="AZ10" s="534">
        <v>1346</v>
      </c>
      <c r="BA10" s="534">
        <v>27761</v>
      </c>
      <c r="BB10" s="534">
        <v>21272</v>
      </c>
      <c r="BC10" s="534">
        <v>46593</v>
      </c>
      <c r="BD10" s="534">
        <v>38039</v>
      </c>
      <c r="BE10" s="534">
        <v>26877</v>
      </c>
      <c r="BF10" s="557">
        <v>58567</v>
      </c>
      <c r="BG10" s="534">
        <v>8525</v>
      </c>
      <c r="BH10" s="534">
        <v>4446</v>
      </c>
      <c r="BI10" s="534">
        <v>36331</v>
      </c>
      <c r="BJ10" s="534">
        <v>37023</v>
      </c>
      <c r="BK10" s="534">
        <v>4384</v>
      </c>
      <c r="BL10" s="534">
        <v>1735</v>
      </c>
      <c r="BM10" s="534">
        <v>46853</v>
      </c>
      <c r="BN10" s="534">
        <v>37616</v>
      </c>
      <c r="BO10" s="534">
        <v>5006</v>
      </c>
      <c r="BP10" s="534">
        <v>48932</v>
      </c>
      <c r="BQ10" s="534">
        <v>21817</v>
      </c>
      <c r="BR10" s="557">
        <v>54166</v>
      </c>
      <c r="BS10" s="534">
        <v>6533</v>
      </c>
      <c r="BT10" s="534">
        <v>64778</v>
      </c>
      <c r="BU10" s="534">
        <v>30952</v>
      </c>
      <c r="BV10" s="534">
        <v>87434</v>
      </c>
      <c r="BW10" s="534">
        <v>32701</v>
      </c>
      <c r="BX10" s="534">
        <v>46694</v>
      </c>
      <c r="BY10" s="534">
        <v>36516</v>
      </c>
      <c r="BZ10" s="534">
        <v>26780</v>
      </c>
      <c r="CA10" s="534">
        <v>40593</v>
      </c>
      <c r="CB10" s="557">
        <v>54627</v>
      </c>
      <c r="CC10" s="534">
        <v>40538</v>
      </c>
      <c r="CD10" s="534">
        <v>17764</v>
      </c>
      <c r="CE10" s="534">
        <v>37064</v>
      </c>
      <c r="CF10" s="534">
        <v>2229</v>
      </c>
      <c r="CG10" s="534">
        <v>39841</v>
      </c>
      <c r="CH10" s="534">
        <v>39423</v>
      </c>
      <c r="CI10" s="534">
        <v>18488</v>
      </c>
      <c r="CJ10" s="534">
        <v>45481</v>
      </c>
      <c r="CK10" s="534">
        <v>46161</v>
      </c>
      <c r="CL10" s="320">
        <v>1352803</v>
      </c>
      <c r="CM10" s="422"/>
    </row>
    <row r="11" spans="1:95">
      <c r="A11" s="80">
        <f>ROWS($A$3:A9)</f>
        <v>7</v>
      </c>
      <c r="B11" s="92" t="s">
        <v>2</v>
      </c>
      <c r="C11" s="203"/>
      <c r="D11" s="259" t="s">
        <v>1</v>
      </c>
      <c r="E11" s="705">
        <v>44491</v>
      </c>
      <c r="F11" s="154">
        <f t="shared" si="0"/>
        <v>9130</v>
      </c>
      <c r="G11" s="155">
        <f t="shared" si="1"/>
        <v>10188</v>
      </c>
      <c r="H11" s="155">
        <f t="shared" si="2"/>
        <v>11903</v>
      </c>
      <c r="I11" s="156">
        <f t="shared" si="3"/>
        <v>7997</v>
      </c>
      <c r="J11" s="155"/>
      <c r="K11" s="154">
        <f t="shared" si="4"/>
        <v>1170</v>
      </c>
      <c r="L11" s="155">
        <f t="shared" si="5"/>
        <v>539</v>
      </c>
      <c r="M11" s="155">
        <f t="shared" si="6"/>
        <v>1069</v>
      </c>
      <c r="N11" s="155">
        <f t="shared" si="7"/>
        <v>297</v>
      </c>
      <c r="O11" s="155">
        <f t="shared" si="8"/>
        <v>258</v>
      </c>
      <c r="P11" s="155">
        <f>'2020'!AZ11+'2020'!BA11</f>
        <v>1484</v>
      </c>
      <c r="Q11" s="155">
        <f>'2020'!AU11</f>
        <v>259</v>
      </c>
      <c r="R11" s="155">
        <f t="shared" si="34"/>
        <v>1203</v>
      </c>
      <c r="S11" s="155">
        <f t="shared" si="9"/>
        <v>612</v>
      </c>
      <c r="T11" s="155">
        <f t="shared" si="10"/>
        <v>845</v>
      </c>
      <c r="U11" s="552">
        <f t="shared" si="10"/>
        <v>1394</v>
      </c>
      <c r="V11" s="155">
        <f t="shared" si="11"/>
        <v>2358</v>
      </c>
      <c r="W11" s="155">
        <f t="shared" si="12"/>
        <v>523</v>
      </c>
      <c r="X11" s="155">
        <f t="shared" si="13"/>
        <v>3111</v>
      </c>
      <c r="Y11" s="155">
        <f t="shared" si="14"/>
        <v>2680</v>
      </c>
      <c r="Z11" s="155">
        <f t="shared" si="15"/>
        <v>777</v>
      </c>
      <c r="AA11" s="155">
        <f t="shared" si="16"/>
        <v>412</v>
      </c>
      <c r="AB11" s="552">
        <f t="shared" si="17"/>
        <v>327</v>
      </c>
      <c r="AC11" s="155">
        <f t="shared" si="18"/>
        <v>683</v>
      </c>
      <c r="AD11" s="155">
        <f t="shared" si="19"/>
        <v>985</v>
      </c>
      <c r="AE11" s="155">
        <f t="shared" si="20"/>
        <v>2298</v>
      </c>
      <c r="AF11" s="155">
        <f t="shared" si="21"/>
        <v>920</v>
      </c>
      <c r="AG11" s="155">
        <f t="shared" si="22"/>
        <v>3775</v>
      </c>
      <c r="AH11" s="155">
        <f t="shared" si="23"/>
        <v>971</v>
      </c>
      <c r="AI11" s="155">
        <f t="shared" si="24"/>
        <v>457</v>
      </c>
      <c r="AJ11" s="155">
        <f t="shared" si="25"/>
        <v>354</v>
      </c>
      <c r="AK11" s="552">
        <f t="shared" si="26"/>
        <v>1460</v>
      </c>
      <c r="AL11" s="155">
        <f t="shared" si="27"/>
        <v>381</v>
      </c>
      <c r="AM11" s="155">
        <f t="shared" si="28"/>
        <v>1544</v>
      </c>
      <c r="AN11" s="155">
        <f t="shared" si="29"/>
        <v>2195</v>
      </c>
      <c r="AO11" s="155">
        <f t="shared" si="30"/>
        <v>275</v>
      </c>
      <c r="AP11" s="155">
        <f t="shared" si="30"/>
        <v>476</v>
      </c>
      <c r="AQ11" s="155">
        <f t="shared" si="31"/>
        <v>1122</v>
      </c>
      <c r="AR11" s="155">
        <f t="shared" si="32"/>
        <v>710</v>
      </c>
      <c r="AS11" s="156">
        <f t="shared" si="33"/>
        <v>1294</v>
      </c>
      <c r="AT11" s="466">
        <v>273</v>
      </c>
      <c r="AU11" s="466">
        <v>259</v>
      </c>
      <c r="AV11" s="466">
        <v>612</v>
      </c>
      <c r="AW11" s="466">
        <v>297</v>
      </c>
      <c r="AX11" s="466">
        <v>930</v>
      </c>
      <c r="AY11" s="466">
        <v>539</v>
      </c>
      <c r="AZ11" s="466">
        <v>223</v>
      </c>
      <c r="BA11" s="534">
        <v>1261</v>
      </c>
      <c r="BB11" s="466">
        <v>845</v>
      </c>
      <c r="BC11" s="534">
        <v>1394</v>
      </c>
      <c r="BD11" s="534">
        <v>1069</v>
      </c>
      <c r="BE11" s="466">
        <v>258</v>
      </c>
      <c r="BF11" s="557">
        <v>1170</v>
      </c>
      <c r="BG11" s="466">
        <v>137</v>
      </c>
      <c r="BH11" s="466">
        <v>704</v>
      </c>
      <c r="BI11" s="534">
        <v>2407</v>
      </c>
      <c r="BJ11" s="534">
        <v>2221</v>
      </c>
      <c r="BK11" s="466">
        <v>253</v>
      </c>
      <c r="BL11" s="466">
        <v>765</v>
      </c>
      <c r="BM11" s="466">
        <v>777</v>
      </c>
      <c r="BN11" s="534">
        <v>1662</v>
      </c>
      <c r="BO11" s="466">
        <v>73</v>
      </c>
      <c r="BP11" s="466">
        <v>327</v>
      </c>
      <c r="BQ11" s="466">
        <v>339</v>
      </c>
      <c r="BR11" s="558">
        <v>523</v>
      </c>
      <c r="BS11" s="466">
        <v>204</v>
      </c>
      <c r="BT11" s="534">
        <v>2094</v>
      </c>
      <c r="BU11" s="466">
        <v>985</v>
      </c>
      <c r="BV11" s="534">
        <v>3775</v>
      </c>
      <c r="BW11" s="466">
        <v>457</v>
      </c>
      <c r="BX11" s="466">
        <v>683</v>
      </c>
      <c r="BY11" s="466">
        <v>354</v>
      </c>
      <c r="BZ11" s="466">
        <v>971</v>
      </c>
      <c r="CA11" s="466">
        <v>920</v>
      </c>
      <c r="CB11" s="557">
        <v>1460</v>
      </c>
      <c r="CC11" s="466">
        <v>275</v>
      </c>
      <c r="CD11" s="466">
        <v>476</v>
      </c>
      <c r="CE11" s="466">
        <v>381</v>
      </c>
      <c r="CF11" s="466">
        <v>176</v>
      </c>
      <c r="CG11" s="534">
        <v>1118</v>
      </c>
      <c r="CH11" s="534">
        <v>1544</v>
      </c>
      <c r="CI11" s="466">
        <v>710</v>
      </c>
      <c r="CJ11" s="534">
        <v>2195</v>
      </c>
      <c r="CK11" s="534">
        <v>1122</v>
      </c>
      <c r="CL11" s="320">
        <v>39216</v>
      </c>
      <c r="CM11" s="422"/>
    </row>
    <row r="12" spans="1:95" s="711" customFormat="1">
      <c r="A12" s="709">
        <f>ROWS($A$3:A10)</f>
        <v>8</v>
      </c>
      <c r="B12" s="92" t="s">
        <v>283</v>
      </c>
      <c r="C12" s="203"/>
      <c r="D12" s="259" t="s">
        <v>1</v>
      </c>
      <c r="E12" s="705">
        <v>44491</v>
      </c>
      <c r="F12" s="154">
        <f t="shared" ref="F12" si="35">SUM(AT12:BF12)</f>
        <v>12049</v>
      </c>
      <c r="G12" s="155">
        <f t="shared" ref="G12" si="36">SUM(BG12:BR12)</f>
        <v>9340</v>
      </c>
      <c r="H12" s="155">
        <f t="shared" ref="H12" si="37">SUM(BS12:CB12)</f>
        <v>12506</v>
      </c>
      <c r="I12" s="156">
        <f t="shared" ref="I12" si="38">SUM(CC12:CK12)</f>
        <v>14061</v>
      </c>
      <c r="J12" s="155"/>
      <c r="K12" s="154">
        <f t="shared" si="4"/>
        <v>1402</v>
      </c>
      <c r="L12" s="155">
        <f t="shared" si="5"/>
        <v>597</v>
      </c>
      <c r="M12" s="155">
        <f t="shared" si="6"/>
        <v>1856</v>
      </c>
      <c r="N12" s="155">
        <f t="shared" si="7"/>
        <v>797</v>
      </c>
      <c r="O12" s="155">
        <f t="shared" si="8"/>
        <v>1010</v>
      </c>
      <c r="P12" s="155">
        <f>'2017'!AZ12+'2017'!BA12</f>
        <v>1097</v>
      </c>
      <c r="Q12" s="155">
        <f>'2017'!AU12</f>
        <v>738</v>
      </c>
      <c r="R12" s="155">
        <f t="shared" si="34"/>
        <v>1056</v>
      </c>
      <c r="S12" s="155">
        <f t="shared" si="9"/>
        <v>678</v>
      </c>
      <c r="T12" s="155">
        <f t="shared" si="10"/>
        <v>1268</v>
      </c>
      <c r="U12" s="552">
        <f t="shared" si="10"/>
        <v>1505</v>
      </c>
      <c r="V12" s="155">
        <f t="shared" si="11"/>
        <v>1630</v>
      </c>
      <c r="W12" s="155">
        <f t="shared" si="12"/>
        <v>1128</v>
      </c>
      <c r="X12" s="155">
        <f t="shared" si="13"/>
        <v>1978</v>
      </c>
      <c r="Y12" s="155">
        <f t="shared" si="14"/>
        <v>1695</v>
      </c>
      <c r="Z12" s="155">
        <f t="shared" si="15"/>
        <v>1369</v>
      </c>
      <c r="AA12" s="155">
        <f t="shared" si="16"/>
        <v>681</v>
      </c>
      <c r="AB12" s="552">
        <f t="shared" si="17"/>
        <v>859</v>
      </c>
      <c r="AC12" s="155">
        <f t="shared" si="18"/>
        <v>950</v>
      </c>
      <c r="AD12" s="155">
        <f t="shared" si="19"/>
        <v>1059</v>
      </c>
      <c r="AE12" s="155">
        <f t="shared" si="20"/>
        <v>2177</v>
      </c>
      <c r="AF12" s="155">
        <f t="shared" si="21"/>
        <v>1356</v>
      </c>
      <c r="AG12" s="155">
        <f t="shared" si="22"/>
        <v>2458</v>
      </c>
      <c r="AH12" s="155">
        <f t="shared" si="23"/>
        <v>1156</v>
      </c>
      <c r="AI12" s="155">
        <f t="shared" si="24"/>
        <v>1093</v>
      </c>
      <c r="AJ12" s="155">
        <f t="shared" si="25"/>
        <v>732</v>
      </c>
      <c r="AK12" s="552">
        <f t="shared" si="26"/>
        <v>1525</v>
      </c>
      <c r="AL12" s="155">
        <f t="shared" si="27"/>
        <v>1208</v>
      </c>
      <c r="AM12" s="155">
        <f t="shared" si="28"/>
        <v>1788</v>
      </c>
      <c r="AN12" s="155">
        <f t="shared" si="29"/>
        <v>3884</v>
      </c>
      <c r="AO12" s="155">
        <f t="shared" si="30"/>
        <v>2257</v>
      </c>
      <c r="AP12" s="155">
        <f t="shared" si="30"/>
        <v>603</v>
      </c>
      <c r="AQ12" s="155">
        <f t="shared" si="31"/>
        <v>1641</v>
      </c>
      <c r="AR12" s="155">
        <f t="shared" si="32"/>
        <v>582</v>
      </c>
      <c r="AS12" s="156">
        <f t="shared" si="33"/>
        <v>2098</v>
      </c>
      <c r="AT12" s="281">
        <f>AT7-SUM(AT8:AT11)</f>
        <v>145</v>
      </c>
      <c r="AU12" s="155">
        <f t="shared" ref="AU12:CL12" si="39">AU7-SUM(AU8:AU11)</f>
        <v>751</v>
      </c>
      <c r="AV12" s="155">
        <f t="shared" si="39"/>
        <v>678</v>
      </c>
      <c r="AW12" s="155">
        <f t="shared" si="39"/>
        <v>797</v>
      </c>
      <c r="AX12" s="155">
        <f t="shared" si="39"/>
        <v>911</v>
      </c>
      <c r="AY12" s="155">
        <f t="shared" si="39"/>
        <v>597</v>
      </c>
      <c r="AZ12" s="155">
        <f t="shared" si="39"/>
        <v>152</v>
      </c>
      <c r="BA12" s="155">
        <f t="shared" si="39"/>
        <v>977</v>
      </c>
      <c r="BB12" s="155">
        <f t="shared" si="39"/>
        <v>1268</v>
      </c>
      <c r="BC12" s="155">
        <f t="shared" si="39"/>
        <v>1505</v>
      </c>
      <c r="BD12" s="155">
        <f t="shared" si="39"/>
        <v>1856</v>
      </c>
      <c r="BE12" s="155">
        <f t="shared" si="39"/>
        <v>1010</v>
      </c>
      <c r="BF12" s="552">
        <f t="shared" si="39"/>
        <v>1402</v>
      </c>
      <c r="BG12" s="155">
        <f t="shared" si="39"/>
        <v>178</v>
      </c>
      <c r="BH12" s="155">
        <f t="shared" si="39"/>
        <v>179</v>
      </c>
      <c r="BI12" s="155">
        <f t="shared" si="39"/>
        <v>1799</v>
      </c>
      <c r="BJ12" s="155">
        <f t="shared" si="39"/>
        <v>1452</v>
      </c>
      <c r="BK12" s="155">
        <f t="shared" si="39"/>
        <v>68</v>
      </c>
      <c r="BL12" s="155">
        <f t="shared" si="39"/>
        <v>114</v>
      </c>
      <c r="BM12" s="155">
        <f t="shared" si="39"/>
        <v>1369</v>
      </c>
      <c r="BN12" s="155">
        <f t="shared" si="39"/>
        <v>1513</v>
      </c>
      <c r="BO12" s="155">
        <f t="shared" si="39"/>
        <v>33</v>
      </c>
      <c r="BP12" s="155">
        <f t="shared" si="39"/>
        <v>859</v>
      </c>
      <c r="BQ12" s="155">
        <f t="shared" si="39"/>
        <v>648</v>
      </c>
      <c r="BR12" s="552">
        <f t="shared" si="39"/>
        <v>1128</v>
      </c>
      <c r="BS12" s="155">
        <f t="shared" si="39"/>
        <v>154</v>
      </c>
      <c r="BT12" s="155">
        <f t="shared" si="39"/>
        <v>2023</v>
      </c>
      <c r="BU12" s="155">
        <f t="shared" si="39"/>
        <v>1059</v>
      </c>
      <c r="BV12" s="155">
        <f t="shared" si="39"/>
        <v>2458</v>
      </c>
      <c r="BW12" s="155">
        <f t="shared" si="39"/>
        <v>1093</v>
      </c>
      <c r="BX12" s="155">
        <f t="shared" si="39"/>
        <v>950</v>
      </c>
      <c r="BY12" s="155">
        <f t="shared" si="39"/>
        <v>732</v>
      </c>
      <c r="BZ12" s="155">
        <f t="shared" si="39"/>
        <v>1156</v>
      </c>
      <c r="CA12" s="155">
        <f t="shared" si="39"/>
        <v>1356</v>
      </c>
      <c r="CB12" s="552">
        <f t="shared" si="39"/>
        <v>1525</v>
      </c>
      <c r="CC12" s="155">
        <f t="shared" si="39"/>
        <v>2257</v>
      </c>
      <c r="CD12" s="155">
        <f t="shared" si="39"/>
        <v>603</v>
      </c>
      <c r="CE12" s="155">
        <f t="shared" si="39"/>
        <v>1208</v>
      </c>
      <c r="CF12" s="155">
        <f t="shared" si="39"/>
        <v>186</v>
      </c>
      <c r="CG12" s="281">
        <f t="shared" si="39"/>
        <v>1912</v>
      </c>
      <c r="CH12" s="155">
        <f t="shared" si="39"/>
        <v>1788</v>
      </c>
      <c r="CI12" s="155">
        <f t="shared" si="39"/>
        <v>582</v>
      </c>
      <c r="CJ12" s="155">
        <f t="shared" si="39"/>
        <v>3884</v>
      </c>
      <c r="CK12" s="156">
        <f t="shared" si="39"/>
        <v>1641</v>
      </c>
      <c r="CL12" s="615">
        <f t="shared" si="39"/>
        <v>47963</v>
      </c>
      <c r="CM12" s="422"/>
      <c r="CN12"/>
      <c r="CO12"/>
      <c r="CP12"/>
      <c r="CQ12"/>
    </row>
    <row r="13" spans="1:95">
      <c r="A13" s="80">
        <f>ROWS($A$3:A11)</f>
        <v>9</v>
      </c>
      <c r="B13" s="92" t="s">
        <v>65</v>
      </c>
      <c r="C13" s="584">
        <v>2020</v>
      </c>
      <c r="D13" s="259" t="s">
        <v>11</v>
      </c>
      <c r="E13" s="705">
        <v>44357</v>
      </c>
      <c r="F13" s="154">
        <f t="shared" si="0"/>
        <v>4154806</v>
      </c>
      <c r="G13" s="155">
        <f t="shared" si="1"/>
        <v>2807596</v>
      </c>
      <c r="H13" s="155">
        <f t="shared" si="2"/>
        <v>2273843</v>
      </c>
      <c r="I13" s="156">
        <f t="shared" si="3"/>
        <v>1865746</v>
      </c>
      <c r="J13" s="155"/>
      <c r="K13" s="154">
        <f t="shared" si="4"/>
        <v>314062</v>
      </c>
      <c r="L13" s="155">
        <f t="shared" si="5"/>
        <v>427486</v>
      </c>
      <c r="M13" s="155">
        <f t="shared" si="6"/>
        <v>132523</v>
      </c>
      <c r="N13" s="155">
        <f t="shared" si="7"/>
        <v>258580</v>
      </c>
      <c r="O13" s="155">
        <f t="shared" si="8"/>
        <v>132832</v>
      </c>
      <c r="P13" s="155">
        <f>'2020'!AZ13+'2020'!BA13</f>
        <v>471960</v>
      </c>
      <c r="Q13" s="155">
        <f>'2020'!AU13</f>
        <v>393172</v>
      </c>
      <c r="R13" s="155">
        <f t="shared" si="34"/>
        <v>1179051</v>
      </c>
      <c r="S13" s="155">
        <f t="shared" si="9"/>
        <v>534718</v>
      </c>
      <c r="T13" s="155">
        <f t="shared" si="10"/>
        <v>112966</v>
      </c>
      <c r="U13" s="552">
        <f t="shared" si="10"/>
        <v>197456</v>
      </c>
      <c r="V13" s="155">
        <f t="shared" si="11"/>
        <v>287185</v>
      </c>
      <c r="W13" s="155">
        <f>BR13</f>
        <v>118246</v>
      </c>
      <c r="X13" s="155">
        <f t="shared" si="13"/>
        <v>755640</v>
      </c>
      <c r="Y13" s="155">
        <f t="shared" si="14"/>
        <v>1017272</v>
      </c>
      <c r="Z13" s="155">
        <f t="shared" si="15"/>
        <v>143702</v>
      </c>
      <c r="AA13" s="155">
        <f>BP13+BR13</f>
        <v>278079</v>
      </c>
      <c r="AB13" s="552">
        <f>BQ13</f>
        <v>199773</v>
      </c>
      <c r="AC13" s="155">
        <f t="shared" si="18"/>
        <v>212813</v>
      </c>
      <c r="AD13" s="155">
        <f t="shared" si="19"/>
        <v>166650</v>
      </c>
      <c r="AE13" s="155">
        <f t="shared" si="20"/>
        <v>494952</v>
      </c>
      <c r="AF13" s="155">
        <f t="shared" si="21"/>
        <v>229028</v>
      </c>
      <c r="AG13" s="155">
        <f t="shared" si="22"/>
        <v>431464</v>
      </c>
      <c r="AH13" s="155">
        <f t="shared" si="23"/>
        <v>286666</v>
      </c>
      <c r="AI13" s="155">
        <f t="shared" si="24"/>
        <v>140012</v>
      </c>
      <c r="AJ13" s="155">
        <f t="shared" si="25"/>
        <v>141107</v>
      </c>
      <c r="AK13" s="552">
        <f t="shared" si="26"/>
        <v>171151</v>
      </c>
      <c r="AL13" s="155">
        <f t="shared" si="27"/>
        <v>189480</v>
      </c>
      <c r="AM13" s="155">
        <f t="shared" si="28"/>
        <v>201694</v>
      </c>
      <c r="AN13" s="155">
        <f t="shared" si="29"/>
        <v>286437</v>
      </c>
      <c r="AO13" s="155">
        <f t="shared" si="30"/>
        <v>287057</v>
      </c>
      <c r="AP13" s="155">
        <f t="shared" si="30"/>
        <v>227992</v>
      </c>
      <c r="AQ13" s="155">
        <f t="shared" si="31"/>
        <v>130762</v>
      </c>
      <c r="AR13" s="155">
        <f t="shared" si="32"/>
        <v>218164</v>
      </c>
      <c r="AS13" s="156">
        <f t="shared" si="33"/>
        <v>324160</v>
      </c>
      <c r="AT13" s="281">
        <v>633609</v>
      </c>
      <c r="AU13" s="155">
        <v>393172</v>
      </c>
      <c r="AV13" s="155">
        <v>534718</v>
      </c>
      <c r="AW13" s="155">
        <v>258580</v>
      </c>
      <c r="AX13" s="155">
        <v>545442</v>
      </c>
      <c r="AY13" s="155">
        <v>427486</v>
      </c>
      <c r="AZ13" s="155">
        <v>126317</v>
      </c>
      <c r="BA13" s="155">
        <v>345643</v>
      </c>
      <c r="BB13" s="155">
        <v>112966</v>
      </c>
      <c r="BC13" s="155">
        <v>197456</v>
      </c>
      <c r="BD13" s="155">
        <v>132523</v>
      </c>
      <c r="BE13" s="155">
        <v>132832</v>
      </c>
      <c r="BF13" s="552">
        <v>314062</v>
      </c>
      <c r="BG13" s="155">
        <v>55237</v>
      </c>
      <c r="BH13" s="155">
        <v>309328</v>
      </c>
      <c r="BI13" s="155">
        <v>446312</v>
      </c>
      <c r="BJ13" s="155">
        <v>231948</v>
      </c>
      <c r="BK13" s="155">
        <v>159134</v>
      </c>
      <c r="BL13" s="155">
        <v>309450</v>
      </c>
      <c r="BM13" s="155">
        <v>143702</v>
      </c>
      <c r="BN13" s="155">
        <v>548688</v>
      </c>
      <c r="BO13" s="155">
        <v>125945</v>
      </c>
      <c r="BP13" s="155">
        <v>159833</v>
      </c>
      <c r="BQ13" s="155">
        <v>199773</v>
      </c>
      <c r="BR13" s="552">
        <v>118246</v>
      </c>
      <c r="BS13" s="155">
        <v>230070</v>
      </c>
      <c r="BT13" s="155">
        <v>264882</v>
      </c>
      <c r="BU13" s="155">
        <v>166650</v>
      </c>
      <c r="BV13" s="155">
        <v>431464</v>
      </c>
      <c r="BW13" s="155">
        <v>140012</v>
      </c>
      <c r="BX13" s="155">
        <v>212813</v>
      </c>
      <c r="BY13" s="155">
        <v>141107</v>
      </c>
      <c r="BZ13" s="155">
        <v>286666</v>
      </c>
      <c r="CA13" s="155">
        <v>229028</v>
      </c>
      <c r="CB13" s="552">
        <v>171151</v>
      </c>
      <c r="CC13" s="155">
        <v>287057</v>
      </c>
      <c r="CD13" s="155">
        <v>227992</v>
      </c>
      <c r="CE13" s="155">
        <v>189480</v>
      </c>
      <c r="CF13" s="155">
        <v>126599</v>
      </c>
      <c r="CG13" s="281">
        <v>197561</v>
      </c>
      <c r="CH13" s="155">
        <v>201694</v>
      </c>
      <c r="CI13" s="155">
        <v>218164</v>
      </c>
      <c r="CJ13" s="155">
        <v>286437</v>
      </c>
      <c r="CK13" s="156">
        <v>130762</v>
      </c>
      <c r="CL13" s="320">
        <v>11101991</v>
      </c>
      <c r="CM13" s="422"/>
    </row>
    <row r="14" spans="1:95">
      <c r="A14" s="80">
        <f>ROWS($A$3:A12)</f>
        <v>10</v>
      </c>
      <c r="B14" s="54" t="s">
        <v>61</v>
      </c>
      <c r="C14" s="252"/>
      <c r="D14" s="259" t="s">
        <v>12</v>
      </c>
      <c r="E14" s="705">
        <v>44357</v>
      </c>
      <c r="F14" s="530">
        <f>F13/F7*100</f>
        <v>393.56530931604533</v>
      </c>
      <c r="G14" s="531">
        <f>G13/G7*100</f>
        <v>405.86272695732629</v>
      </c>
      <c r="H14" s="531">
        <f>H13/H7*100</f>
        <v>243.02671447733357</v>
      </c>
      <c r="I14" s="532">
        <f>I13/I7*100</f>
        <v>209.23495484462808</v>
      </c>
      <c r="J14" s="281"/>
      <c r="K14" s="541">
        <f t="shared" si="4"/>
        <v>207.79679632656035</v>
      </c>
      <c r="L14" s="542">
        <f t="shared" si="5"/>
        <v>498.18898004848035</v>
      </c>
      <c r="M14" s="542">
        <f t="shared" si="6"/>
        <v>101.6187160690734</v>
      </c>
      <c r="N14" s="542">
        <f t="shared" si="7"/>
        <v>402.55939222218763</v>
      </c>
      <c r="O14" s="542">
        <f t="shared" si="8"/>
        <v>211.80597633702206</v>
      </c>
      <c r="P14" s="531">
        <f>P13/P7*100</f>
        <v>393.3622823613739</v>
      </c>
      <c r="Q14" s="542">
        <f>'2020'!AU14</f>
        <v>636.44781144781143</v>
      </c>
      <c r="R14" s="531">
        <f>R13/R7*100</f>
        <v>1318.7162366204743</v>
      </c>
      <c r="S14" s="542">
        <f t="shared" si="9"/>
        <v>833.82921656686619</v>
      </c>
      <c r="T14" s="542">
        <f t="shared" si="10"/>
        <v>145.43230856377772</v>
      </c>
      <c r="U14" s="554">
        <f t="shared" si="10"/>
        <v>133.05032781472573</v>
      </c>
      <c r="V14" s="531">
        <f>V13/V7*100</f>
        <v>326.85916550954903</v>
      </c>
      <c r="W14" s="542">
        <f t="shared" si="12"/>
        <v>135.85248161764707</v>
      </c>
      <c r="X14" s="531">
        <f>X13/X7*100</f>
        <v>600.47679593134137</v>
      </c>
      <c r="Y14" s="531">
        <f>Y13/Y7*100</f>
        <v>773.38503060022049</v>
      </c>
      <c r="Z14" s="542">
        <f t="shared" si="15"/>
        <v>127.62733691549357</v>
      </c>
      <c r="AA14" s="531">
        <f>AA13/AA7*100</f>
        <v>414.06066201104841</v>
      </c>
      <c r="AB14" s="554">
        <f t="shared" si="17"/>
        <v>200.47034328788774</v>
      </c>
      <c r="AC14" s="542">
        <f t="shared" si="18"/>
        <v>207.55359197924591</v>
      </c>
      <c r="AD14" s="542">
        <f t="shared" si="19"/>
        <v>245.14563106796118</v>
      </c>
      <c r="AE14" s="531">
        <f>AE13/AE7*100</f>
        <v>323.21074077943786</v>
      </c>
      <c r="AF14" s="542">
        <f t="shared" si="21"/>
        <v>283.92135472193985</v>
      </c>
      <c r="AG14" s="542">
        <f t="shared" si="22"/>
        <v>231.933730762408</v>
      </c>
      <c r="AH14" s="542">
        <f t="shared" si="23"/>
        <v>350.45600136922661</v>
      </c>
      <c r="AI14" s="542">
        <f t="shared" si="24"/>
        <v>181.97083517454706</v>
      </c>
      <c r="AJ14" s="542">
        <f t="shared" si="25"/>
        <v>192.14439391050954</v>
      </c>
      <c r="AK14" s="554">
        <f t="shared" si="26"/>
        <v>151.31108989320319</v>
      </c>
      <c r="AL14" s="542">
        <f t="shared" si="27"/>
        <v>206.49970574772772</v>
      </c>
      <c r="AM14" s="542">
        <f t="shared" si="28"/>
        <v>143.09410295703501</v>
      </c>
      <c r="AN14" s="542">
        <f t="shared" si="29"/>
        <v>175.50426449683837</v>
      </c>
      <c r="AO14" s="542">
        <f t="shared" si="30"/>
        <v>262.75721294669012</v>
      </c>
      <c r="AP14" s="542">
        <f t="shared" si="30"/>
        <v>439.19785787212726</v>
      </c>
      <c r="AQ14" s="542">
        <f t="shared" si="31"/>
        <v>108.58556920189663</v>
      </c>
      <c r="AR14" s="542">
        <f t="shared" si="32"/>
        <v>328.17967116446289</v>
      </c>
      <c r="AS14" s="532">
        <f>AS13/AS7*100</f>
        <v>219.43921690743423</v>
      </c>
      <c r="AT14" s="531">
        <f t="shared" ref="AT14:CK14" si="40">AT13/AT7*100</f>
        <v>3056.1885008682234</v>
      </c>
      <c r="AU14" s="531">
        <f t="shared" si="40"/>
        <v>636.44781144781143</v>
      </c>
      <c r="AV14" s="531">
        <f t="shared" si="40"/>
        <v>833.82921656686619</v>
      </c>
      <c r="AW14" s="531">
        <f t="shared" si="40"/>
        <v>402.55939222218763</v>
      </c>
      <c r="AX14" s="531">
        <f t="shared" si="40"/>
        <v>794.21349214438601</v>
      </c>
      <c r="AY14" s="531">
        <f t="shared" si="40"/>
        <v>498.18898004848035</v>
      </c>
      <c r="AZ14" s="531">
        <f t="shared" si="40"/>
        <v>1264.4344344344343</v>
      </c>
      <c r="BA14" s="531">
        <f t="shared" si="40"/>
        <v>314.24662017801455</v>
      </c>
      <c r="BB14" s="531">
        <f t="shared" si="40"/>
        <v>145.43230856377772</v>
      </c>
      <c r="BC14" s="531">
        <f t="shared" si="40"/>
        <v>133.05032781472573</v>
      </c>
      <c r="BD14" s="531">
        <f t="shared" si="40"/>
        <v>101.6187160690734</v>
      </c>
      <c r="BE14" s="531">
        <f t="shared" si="40"/>
        <v>211.80597633702206</v>
      </c>
      <c r="BF14" s="555">
        <f t="shared" si="40"/>
        <v>207.79679632656035</v>
      </c>
      <c r="BG14" s="531">
        <f t="shared" si="40"/>
        <v>394.01526499750338</v>
      </c>
      <c r="BH14" s="531">
        <f t="shared" si="40"/>
        <v>1783.6927690001155</v>
      </c>
      <c r="BI14" s="531">
        <f t="shared" si="40"/>
        <v>411.3550480193183</v>
      </c>
      <c r="BJ14" s="531">
        <f t="shared" si="40"/>
        <v>314.10966510028032</v>
      </c>
      <c r="BK14" s="531">
        <f t="shared" si="40"/>
        <v>1462.225489295231</v>
      </c>
      <c r="BL14" s="531">
        <f t="shared" si="40"/>
        <v>2134.5795681865211</v>
      </c>
      <c r="BM14" s="531">
        <f t="shared" si="40"/>
        <v>127.62733691549357</v>
      </c>
      <c r="BN14" s="531">
        <f t="shared" si="40"/>
        <v>516.87438180019785</v>
      </c>
      <c r="BO14" s="531">
        <f t="shared" si="40"/>
        <v>1285.2842126747626</v>
      </c>
      <c r="BP14" s="531">
        <f t="shared" si="40"/>
        <v>200.47034328788774</v>
      </c>
      <c r="BQ14" s="531">
        <f t="shared" si="40"/>
        <v>348.27928870292885</v>
      </c>
      <c r="BR14" s="555">
        <f t="shared" si="40"/>
        <v>135.85248161764707</v>
      </c>
      <c r="BS14" s="531">
        <f t="shared" si="40"/>
        <v>1503.3324621014112</v>
      </c>
      <c r="BT14" s="531">
        <f t="shared" si="40"/>
        <v>192.17743339717916</v>
      </c>
      <c r="BU14" s="531">
        <f t="shared" si="40"/>
        <v>245.14563106796118</v>
      </c>
      <c r="BV14" s="531">
        <f t="shared" si="40"/>
        <v>231.933730762408</v>
      </c>
      <c r="BW14" s="531">
        <f t="shared" si="40"/>
        <v>181.97083517454706</v>
      </c>
      <c r="BX14" s="531">
        <f t="shared" si="40"/>
        <v>207.55359197924591</v>
      </c>
      <c r="BY14" s="531">
        <f t="shared" si="40"/>
        <v>192.14439391050954</v>
      </c>
      <c r="BZ14" s="531">
        <f t="shared" si="40"/>
        <v>350.45600136922661</v>
      </c>
      <c r="CA14" s="531">
        <f t="shared" si="40"/>
        <v>283.92135472193985</v>
      </c>
      <c r="CB14" s="555">
        <f t="shared" si="40"/>
        <v>151.31108989320319</v>
      </c>
      <c r="CC14" s="531">
        <f t="shared" si="40"/>
        <v>262.75721294669012</v>
      </c>
      <c r="CD14" s="531">
        <f t="shared" si="40"/>
        <v>439.19785787212726</v>
      </c>
      <c r="CE14" s="531">
        <f t="shared" si="40"/>
        <v>206.49970574772772</v>
      </c>
      <c r="CF14" s="531">
        <f t="shared" si="40"/>
        <v>1066.7256488035052</v>
      </c>
      <c r="CG14" s="531">
        <f>CG13/CG7*100</f>
        <v>145.42155549339734</v>
      </c>
      <c r="CH14" s="531">
        <f t="shared" si="40"/>
        <v>143.09410295703501</v>
      </c>
      <c r="CI14" s="531">
        <f t="shared" si="40"/>
        <v>328.17967116446289</v>
      </c>
      <c r="CJ14" s="531">
        <f t="shared" si="40"/>
        <v>175.50426449683837</v>
      </c>
      <c r="CK14" s="532">
        <f t="shared" si="40"/>
        <v>108.58556920189663</v>
      </c>
      <c r="CL14" s="556">
        <f>CL13/CL7*100</f>
        <v>310.5641406944535</v>
      </c>
      <c r="CM14" s="710"/>
    </row>
    <row r="15" spans="1:95">
      <c r="A15" s="80">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c r="CM15" s="49"/>
      <c r="CN15" s="711"/>
      <c r="CO15" s="711"/>
      <c r="CP15" s="711"/>
    </row>
    <row r="16" spans="1:95">
      <c r="A16" s="80">
        <f>ROWS($A$3:A14)</f>
        <v>12</v>
      </c>
      <c r="B16" s="92" t="s">
        <v>200</v>
      </c>
      <c r="C16" s="584">
        <v>2019</v>
      </c>
      <c r="D16" s="259" t="s">
        <v>11</v>
      </c>
      <c r="E16" s="706">
        <v>44384</v>
      </c>
      <c r="F16" s="534">
        <v>2405600</v>
      </c>
      <c r="G16" s="534">
        <v>1567500</v>
      </c>
      <c r="H16" s="534">
        <v>1240100</v>
      </c>
      <c r="I16" s="535">
        <v>1041300</v>
      </c>
      <c r="J16" s="281"/>
      <c r="K16" s="154">
        <f t="shared" si="4"/>
        <v>172600</v>
      </c>
      <c r="L16" s="155">
        <f t="shared" si="5"/>
        <v>209200</v>
      </c>
      <c r="M16" s="155">
        <f t="shared" si="6"/>
        <v>78100</v>
      </c>
      <c r="N16" s="155">
        <f t="shared" si="7"/>
        <v>122700</v>
      </c>
      <c r="O16" s="155">
        <f t="shared" si="8"/>
        <v>68300</v>
      </c>
      <c r="P16" s="155">
        <f>'2020'!AZ16+'2020'!BA16</f>
        <v>281900</v>
      </c>
      <c r="Q16" s="155">
        <f>'2020'!AU16</f>
        <v>233200</v>
      </c>
      <c r="R16" s="155">
        <f t="shared" si="34"/>
        <v>817700</v>
      </c>
      <c r="S16" s="155">
        <f t="shared" si="9"/>
        <v>291500</v>
      </c>
      <c r="T16" s="155">
        <f t="shared" si="10"/>
        <v>74000</v>
      </c>
      <c r="U16" s="552">
        <f t="shared" si="10"/>
        <v>114900</v>
      </c>
      <c r="V16" s="155">
        <f>BG16+BJ16</f>
        <v>164000</v>
      </c>
      <c r="W16" s="155">
        <f t="shared" si="12"/>
        <v>64599.999999999993</v>
      </c>
      <c r="X16" s="155">
        <f>BH16+BI16</f>
        <v>456600</v>
      </c>
      <c r="Y16" s="155">
        <f>BK16+BL16+BN16</f>
        <v>609000</v>
      </c>
      <c r="Z16" s="155">
        <f t="shared" si="15"/>
        <v>67700</v>
      </c>
      <c r="AA16" s="155">
        <f>BO16+BQ16</f>
        <v>164600</v>
      </c>
      <c r="AB16" s="552">
        <f t="shared" si="17"/>
        <v>68100</v>
      </c>
      <c r="AC16" s="155">
        <f t="shared" si="18"/>
        <v>123400</v>
      </c>
      <c r="AD16" s="155">
        <f t="shared" si="19"/>
        <v>77400</v>
      </c>
      <c r="AE16" s="155">
        <f>BS16+BT16</f>
        <v>302000</v>
      </c>
      <c r="AF16" s="155">
        <f t="shared" si="21"/>
        <v>109700</v>
      </c>
      <c r="AG16" s="155">
        <f t="shared" si="22"/>
        <v>251900</v>
      </c>
      <c r="AH16" s="155">
        <f t="shared" si="23"/>
        <v>148900</v>
      </c>
      <c r="AI16" s="155">
        <f t="shared" si="24"/>
        <v>77600</v>
      </c>
      <c r="AJ16" s="155">
        <f t="shared" si="25"/>
        <v>90300</v>
      </c>
      <c r="AK16" s="552">
        <f t="shared" si="26"/>
        <v>79100</v>
      </c>
      <c r="AL16" s="155">
        <f t="shared" si="27"/>
        <v>96100</v>
      </c>
      <c r="AM16" s="155">
        <f t="shared" si="28"/>
        <v>117100</v>
      </c>
      <c r="AN16" s="155">
        <f t="shared" si="29"/>
        <v>168500</v>
      </c>
      <c r="AO16" s="155">
        <f t="shared" si="30"/>
        <v>159000</v>
      </c>
      <c r="AP16" s="155">
        <f t="shared" si="30"/>
        <v>117800</v>
      </c>
      <c r="AQ16" s="155">
        <f t="shared" si="31"/>
        <v>70400</v>
      </c>
      <c r="AR16" s="155">
        <f t="shared" si="32"/>
        <v>128000</v>
      </c>
      <c r="AS16" s="156">
        <f>CF16+CG16</f>
        <v>209800</v>
      </c>
      <c r="AT16" s="534">
        <v>546200</v>
      </c>
      <c r="AU16" s="534">
        <v>233200</v>
      </c>
      <c r="AV16" s="534">
        <v>291500</v>
      </c>
      <c r="AW16" s="534">
        <v>122700</v>
      </c>
      <c r="AX16" s="534">
        <v>271500</v>
      </c>
      <c r="AY16" s="534">
        <v>209200</v>
      </c>
      <c r="AZ16" s="534">
        <v>97900</v>
      </c>
      <c r="BA16" s="534">
        <v>184000</v>
      </c>
      <c r="BB16" s="534">
        <v>74000</v>
      </c>
      <c r="BC16" s="534">
        <v>114900</v>
      </c>
      <c r="BD16" s="534">
        <v>78100</v>
      </c>
      <c r="BE16" s="534">
        <v>68300</v>
      </c>
      <c r="BF16" s="557">
        <v>172600</v>
      </c>
      <c r="BG16" s="534">
        <v>42300</v>
      </c>
      <c r="BH16" s="534">
        <v>240000</v>
      </c>
      <c r="BI16" s="534">
        <v>216600</v>
      </c>
      <c r="BJ16" s="534">
        <v>121700</v>
      </c>
      <c r="BK16" s="534">
        <v>124500</v>
      </c>
      <c r="BL16" s="534">
        <v>242400</v>
      </c>
      <c r="BM16" s="534">
        <v>67700</v>
      </c>
      <c r="BN16" s="534">
        <v>242100</v>
      </c>
      <c r="BO16" s="534">
        <v>77900</v>
      </c>
      <c r="BP16" s="534">
        <v>68100</v>
      </c>
      <c r="BQ16" s="534">
        <v>86700</v>
      </c>
      <c r="BR16" s="557">
        <v>64599.999999999993</v>
      </c>
      <c r="BS16" s="534">
        <v>180100</v>
      </c>
      <c r="BT16" s="534">
        <v>121900</v>
      </c>
      <c r="BU16" s="534">
        <v>77400</v>
      </c>
      <c r="BV16" s="534">
        <v>251900</v>
      </c>
      <c r="BW16" s="534">
        <v>77600</v>
      </c>
      <c r="BX16" s="534">
        <v>123400</v>
      </c>
      <c r="BY16" s="534">
        <v>90300</v>
      </c>
      <c r="BZ16" s="534">
        <v>148900</v>
      </c>
      <c r="CA16" s="534">
        <v>109700</v>
      </c>
      <c r="CB16" s="557">
        <v>79100</v>
      </c>
      <c r="CC16" s="534">
        <v>159000</v>
      </c>
      <c r="CD16" s="534">
        <v>117800</v>
      </c>
      <c r="CE16" s="534">
        <v>96100</v>
      </c>
      <c r="CF16" s="534">
        <v>127300</v>
      </c>
      <c r="CG16" s="534">
        <v>82500</v>
      </c>
      <c r="CH16" s="534">
        <v>117100</v>
      </c>
      <c r="CI16" s="534">
        <v>128000</v>
      </c>
      <c r="CJ16" s="534">
        <v>168500</v>
      </c>
      <c r="CK16" s="534">
        <v>70400</v>
      </c>
      <c r="CL16" s="320">
        <v>6385500</v>
      </c>
    </row>
    <row r="17" spans="1:94" ht="14.25">
      <c r="A17" s="80">
        <f>ROWS($A$3:A15)</f>
        <v>13</v>
      </c>
      <c r="B17" s="388" t="s">
        <v>243</v>
      </c>
      <c r="C17" s="584">
        <v>2019</v>
      </c>
      <c r="D17" s="259" t="s">
        <v>3</v>
      </c>
      <c r="E17" s="706">
        <v>44384</v>
      </c>
      <c r="F17" s="619">
        <f>(AT16*AT17+AU16*AU17+AV16*AV17+AW16*AW17+AX16*AX17+AY16*AY17+AZ16*AZ17+BA16*BA17+BB16*BB17+BC16*BC17+BD16*BD17+BE16*BE17+BF16*BF17)/F16</f>
        <v>3.3556659461257068</v>
      </c>
      <c r="G17" s="620">
        <f>(BG16*BG17+BH16*BH17+BI16*BI17+BJ16*BJ17+BK16*BK17+BL16*BL17+BM16*BM17+BN16*BN17+BO16*BO17+BP16*BP17+BQ16*BQ17+BR16*BR17)/G16</f>
        <v>3.7795789473684209</v>
      </c>
      <c r="H17" s="620">
        <f>(BS16*BS17+BT16*BT17+BU16*BU17+BV16*BV17+BW16*BW17+BX16*BX17+BY16*BY17+BZ16*BZ17+CA16*CA17+CB16*CB17)/H16</f>
        <v>3.2191597451818401</v>
      </c>
      <c r="I17" s="621">
        <f>(CC16*CC17+CD16*CD17+CE16*CE17+CF16*CF17+CG16*CG17+CH16*CH17+CI16*CI17+CJ16*CJ17+CK16*CK17)/I16</f>
        <v>2.7575338519158743</v>
      </c>
      <c r="J17" s="622"/>
      <c r="K17" s="623">
        <f t="shared" si="4"/>
        <v>2.8</v>
      </c>
      <c r="L17" s="624">
        <f t="shared" si="5"/>
        <v>3.1</v>
      </c>
      <c r="M17" s="624">
        <f t="shared" si="6"/>
        <v>2.6</v>
      </c>
      <c r="N17" s="624">
        <f t="shared" si="7"/>
        <v>3.5</v>
      </c>
      <c r="O17" s="624">
        <f t="shared" si="8"/>
        <v>3.8</v>
      </c>
      <c r="P17" s="620">
        <f>ROUND((AZ16*AZ17/100+BA16*BA17/100)/P16%,1)</f>
        <v>3.5</v>
      </c>
      <c r="Q17" s="624">
        <f>'2020'!AU17</f>
        <v>2.8</v>
      </c>
      <c r="R17" s="620">
        <f>ROUND((AT16*AT17/100+AX16*AX17/100)/R16%,1)</f>
        <v>3.7</v>
      </c>
      <c r="S17" s="624">
        <f t="shared" si="9"/>
        <v>3.2</v>
      </c>
      <c r="T17" s="624">
        <f t="shared" si="10"/>
        <v>2.4</v>
      </c>
      <c r="U17" s="625">
        <f t="shared" si="10"/>
        <v>2.7</v>
      </c>
      <c r="V17" s="620">
        <f>ROUND((BG16*BG17/100+BJ16*BJ17/100)/V16%,1)</f>
        <v>3.3</v>
      </c>
      <c r="W17" s="624">
        <f t="shared" si="12"/>
        <v>2.8</v>
      </c>
      <c r="X17" s="620">
        <f>ROUND((BH16*BH17/100+BI16*BI17/100)/X16%,1)</f>
        <v>3.4</v>
      </c>
      <c r="Y17" s="620">
        <f>ROUND((BK16*BK17/100+BL16*BL17/100+BN16*BN17/100)/Y16%,1)</f>
        <v>4.3</v>
      </c>
      <c r="Z17" s="624">
        <f t="shared" si="15"/>
        <v>3</v>
      </c>
      <c r="AA17" s="620">
        <f>ROUND((BO16*BO17/100+BQ16*BQ17/100)/AA16%,1)</f>
        <v>3.9</v>
      </c>
      <c r="AB17" s="625">
        <f t="shared" si="17"/>
        <v>2.9</v>
      </c>
      <c r="AC17" s="624">
        <f t="shared" si="18"/>
        <v>3</v>
      </c>
      <c r="AD17" s="624">
        <f t="shared" si="19"/>
        <v>2.5</v>
      </c>
      <c r="AE17" s="620">
        <f>ROUND((BS16*BS17/100+BT16*BT17/100)/AE16%,1)</f>
        <v>4</v>
      </c>
      <c r="AF17" s="624">
        <f t="shared" si="21"/>
        <v>3.4</v>
      </c>
      <c r="AG17" s="624">
        <f t="shared" si="22"/>
        <v>2.9</v>
      </c>
      <c r="AH17" s="624">
        <f t="shared" si="23"/>
        <v>3.1</v>
      </c>
      <c r="AI17" s="624">
        <f t="shared" si="24"/>
        <v>2.2999999999999998</v>
      </c>
      <c r="AJ17" s="624">
        <f t="shared" si="25"/>
        <v>2.7</v>
      </c>
      <c r="AK17" s="625">
        <f t="shared" si="26"/>
        <v>2.9</v>
      </c>
      <c r="AL17" s="624">
        <f t="shared" si="27"/>
        <v>3.2</v>
      </c>
      <c r="AM17" s="624">
        <f t="shared" si="28"/>
        <v>2</v>
      </c>
      <c r="AN17" s="624">
        <f t="shared" si="29"/>
        <v>2.4</v>
      </c>
      <c r="AO17" s="624">
        <f t="shared" si="30"/>
        <v>3.3</v>
      </c>
      <c r="AP17" s="624">
        <f t="shared" si="30"/>
        <v>2.6</v>
      </c>
      <c r="AQ17" s="624">
        <f t="shared" si="31"/>
        <v>2.7</v>
      </c>
      <c r="AR17" s="624">
        <f t="shared" si="32"/>
        <v>2.2999999999999998</v>
      </c>
      <c r="AS17" s="621">
        <f>ROUND((CF16*CF17/100+CG16*CG17/100)/AS16%,1)</f>
        <v>2.9</v>
      </c>
      <c r="AT17" s="618">
        <v>4.0999999999999996</v>
      </c>
      <c r="AU17" s="618">
        <v>2.8</v>
      </c>
      <c r="AV17" s="618">
        <v>3.2</v>
      </c>
      <c r="AW17" s="618">
        <v>3.5</v>
      </c>
      <c r="AX17" s="618">
        <v>2.8</v>
      </c>
      <c r="AY17" s="618">
        <v>3.1</v>
      </c>
      <c r="AZ17" s="618">
        <v>4.7</v>
      </c>
      <c r="BA17" s="618">
        <v>2.8</v>
      </c>
      <c r="BB17" s="618">
        <v>2.4</v>
      </c>
      <c r="BC17" s="618">
        <v>2.7</v>
      </c>
      <c r="BD17" s="618">
        <v>2.6</v>
      </c>
      <c r="BE17" s="618">
        <v>3.8</v>
      </c>
      <c r="BF17" s="626">
        <v>2.8</v>
      </c>
      <c r="BG17" s="618">
        <v>4.3</v>
      </c>
      <c r="BH17" s="618">
        <v>3.9</v>
      </c>
      <c r="BI17" s="618">
        <v>2.8</v>
      </c>
      <c r="BJ17" s="618">
        <v>2.9</v>
      </c>
      <c r="BK17" s="618">
        <v>4</v>
      </c>
      <c r="BL17" s="618">
        <v>5.3</v>
      </c>
      <c r="BM17" s="618">
        <v>3</v>
      </c>
      <c r="BN17" s="618">
        <v>3.5</v>
      </c>
      <c r="BO17" s="618">
        <v>5.6</v>
      </c>
      <c r="BP17" s="618">
        <v>2.9</v>
      </c>
      <c r="BQ17" s="618">
        <v>2.2999999999999998</v>
      </c>
      <c r="BR17" s="626">
        <v>2.8</v>
      </c>
      <c r="BS17" s="618">
        <v>4.9000000000000004</v>
      </c>
      <c r="BT17" s="618">
        <v>2.7</v>
      </c>
      <c r="BU17" s="618">
        <v>2.5</v>
      </c>
      <c r="BV17" s="618">
        <v>2.9</v>
      </c>
      <c r="BW17" s="618">
        <v>2.2999999999999998</v>
      </c>
      <c r="BX17" s="618">
        <v>3</v>
      </c>
      <c r="BY17" s="618">
        <v>2.7</v>
      </c>
      <c r="BZ17" s="618">
        <v>3.1</v>
      </c>
      <c r="CA17" s="618">
        <v>3.4</v>
      </c>
      <c r="CB17" s="626">
        <v>2.9</v>
      </c>
      <c r="CC17" s="618">
        <v>3.3</v>
      </c>
      <c r="CD17" s="618">
        <v>2.6</v>
      </c>
      <c r="CE17" s="618">
        <v>3.2</v>
      </c>
      <c r="CF17" s="618">
        <v>3.3</v>
      </c>
      <c r="CG17" s="618">
        <v>2.2999999999999998</v>
      </c>
      <c r="CH17" s="618">
        <v>2</v>
      </c>
      <c r="CI17" s="618">
        <v>2.2999999999999998</v>
      </c>
      <c r="CJ17" s="618">
        <v>2.4</v>
      </c>
      <c r="CK17" s="618">
        <v>2.7</v>
      </c>
      <c r="CL17" s="627">
        <v>3.2</v>
      </c>
    </row>
    <row r="18" spans="1:94">
      <c r="A18" s="80">
        <f>ROWS($A$3:A16)</f>
        <v>14</v>
      </c>
      <c r="B18" s="238" t="s">
        <v>302</v>
      </c>
      <c r="C18" s="202">
        <v>2019</v>
      </c>
      <c r="D18" s="259" t="s">
        <v>11</v>
      </c>
      <c r="E18" s="706">
        <v>44384</v>
      </c>
      <c r="F18" s="534">
        <v>24500</v>
      </c>
      <c r="G18" s="534">
        <v>9600</v>
      </c>
      <c r="H18" s="534">
        <v>18600</v>
      </c>
      <c r="I18" s="535">
        <v>20000</v>
      </c>
      <c r="J18" s="382"/>
      <c r="K18" s="154">
        <f>BF18</f>
        <v>2200</v>
      </c>
      <c r="L18" s="155">
        <f>AY18</f>
        <v>2300</v>
      </c>
      <c r="M18" s="155">
        <f>BD18</f>
        <v>1500</v>
      </c>
      <c r="N18" s="155">
        <f>AW18</f>
        <v>1000</v>
      </c>
      <c r="O18" s="155">
        <f>BE18</f>
        <v>800</v>
      </c>
      <c r="P18" s="531">
        <f>'2020'!AZ18+'2020'!BA18</f>
        <v>4500</v>
      </c>
      <c r="Q18" s="155">
        <f>'2020'!AU18</f>
        <v>800</v>
      </c>
      <c r="R18" s="531">
        <f>AT18+AX18</f>
        <v>4300</v>
      </c>
      <c r="S18" s="155">
        <f>AV18</f>
        <v>1700</v>
      </c>
      <c r="T18" s="155">
        <f>BB18</f>
        <v>2100</v>
      </c>
      <c r="U18" s="552">
        <f>BC18</f>
        <v>2500</v>
      </c>
      <c r="V18" s="531">
        <f>BG18+BJ18</f>
        <v>1200</v>
      </c>
      <c r="W18" s="155">
        <f>BR18</f>
        <v>500</v>
      </c>
      <c r="X18" s="531">
        <f>BH18+BI18</f>
        <v>2000</v>
      </c>
      <c r="Y18" s="531">
        <f>BK18+BL18+BN18</f>
        <v>2900</v>
      </c>
      <c r="Z18" s="155">
        <f>BM18</f>
        <v>1100</v>
      </c>
      <c r="AA18" s="531">
        <f>BO18+BQ18</f>
        <v>900</v>
      </c>
      <c r="AB18" s="552">
        <f>BP18</f>
        <v>600</v>
      </c>
      <c r="AC18" s="155">
        <f>BX18</f>
        <v>1100</v>
      </c>
      <c r="AD18" s="155">
        <f>BU18</f>
        <v>1900</v>
      </c>
      <c r="AE18" s="531">
        <f>BS18+BT18</f>
        <v>5100</v>
      </c>
      <c r="AF18" s="155">
        <f>CA18</f>
        <v>1500</v>
      </c>
      <c r="AG18" s="155">
        <f>BV18</f>
        <v>4700</v>
      </c>
      <c r="AH18" s="155">
        <f>BZ18</f>
        <v>2200</v>
      </c>
      <c r="AI18" s="155">
        <f>BW18</f>
        <v>900</v>
      </c>
      <c r="AJ18" s="155">
        <f>BY18</f>
        <v>500</v>
      </c>
      <c r="AK18" s="552">
        <f>CB18</f>
        <v>1300</v>
      </c>
      <c r="AL18" s="155">
        <f>CE18</f>
        <v>900</v>
      </c>
      <c r="AM18" s="155">
        <f>CH18</f>
        <v>3000</v>
      </c>
      <c r="AN18" s="155">
        <f>CJ18</f>
        <v>5200</v>
      </c>
      <c r="AO18" s="155">
        <f>CC18</f>
        <v>1400</v>
      </c>
      <c r="AP18" s="155">
        <f>CD18</f>
        <v>600</v>
      </c>
      <c r="AQ18" s="155">
        <f>CK18</f>
        <v>1500</v>
      </c>
      <c r="AR18" s="155">
        <f>CI18</f>
        <v>3700</v>
      </c>
      <c r="AS18" s="532">
        <f>CF18+CG18</f>
        <v>2600</v>
      </c>
      <c r="AT18" s="534">
        <v>900</v>
      </c>
      <c r="AU18" s="534">
        <v>800</v>
      </c>
      <c r="AV18" s="534">
        <v>1700</v>
      </c>
      <c r="AW18" s="534">
        <v>1000</v>
      </c>
      <c r="AX18" s="534">
        <v>3400</v>
      </c>
      <c r="AY18" s="534">
        <v>2300</v>
      </c>
      <c r="AZ18" s="534">
        <v>700</v>
      </c>
      <c r="BA18" s="534">
        <v>3800</v>
      </c>
      <c r="BB18" s="534">
        <v>2100</v>
      </c>
      <c r="BC18" s="534">
        <v>2500</v>
      </c>
      <c r="BD18" s="534">
        <v>1500</v>
      </c>
      <c r="BE18" s="534">
        <v>800</v>
      </c>
      <c r="BF18" s="557">
        <v>2200</v>
      </c>
      <c r="BG18" s="534">
        <v>200</v>
      </c>
      <c r="BH18" s="534">
        <v>300</v>
      </c>
      <c r="BI18" s="534">
        <v>1700</v>
      </c>
      <c r="BJ18" s="534">
        <v>1000</v>
      </c>
      <c r="BK18" s="534">
        <v>300</v>
      </c>
      <c r="BL18" s="534">
        <v>300</v>
      </c>
      <c r="BM18" s="534">
        <v>1100</v>
      </c>
      <c r="BN18" s="534">
        <v>2300</v>
      </c>
      <c r="BO18" s="534">
        <v>200</v>
      </c>
      <c r="BP18" s="534">
        <v>600</v>
      </c>
      <c r="BQ18" s="534">
        <v>700</v>
      </c>
      <c r="BR18" s="557">
        <v>500</v>
      </c>
      <c r="BS18" s="534">
        <v>500</v>
      </c>
      <c r="BT18" s="534">
        <v>4600</v>
      </c>
      <c r="BU18" s="534">
        <v>1900</v>
      </c>
      <c r="BV18" s="534">
        <v>4700</v>
      </c>
      <c r="BW18" s="534">
        <v>900</v>
      </c>
      <c r="BX18" s="534">
        <v>1100</v>
      </c>
      <c r="BY18" s="534">
        <v>500</v>
      </c>
      <c r="BZ18" s="534">
        <v>2200</v>
      </c>
      <c r="CA18" s="534">
        <v>1500</v>
      </c>
      <c r="CB18" s="557">
        <v>1300</v>
      </c>
      <c r="CC18" s="534">
        <v>1400</v>
      </c>
      <c r="CD18" s="534">
        <v>600</v>
      </c>
      <c r="CE18" s="534">
        <v>900</v>
      </c>
      <c r="CF18" s="534">
        <v>300</v>
      </c>
      <c r="CG18" s="534">
        <v>2300</v>
      </c>
      <c r="CH18" s="534">
        <v>3000</v>
      </c>
      <c r="CI18" s="534">
        <v>3700</v>
      </c>
      <c r="CJ18" s="534">
        <v>5200</v>
      </c>
      <c r="CK18" s="534">
        <v>1500</v>
      </c>
      <c r="CL18" s="320">
        <v>71300</v>
      </c>
    </row>
    <row r="19" spans="1:94">
      <c r="A19" s="80">
        <f>ROWS($A$3:A17)</f>
        <v>15</v>
      </c>
      <c r="B19" s="238" t="s">
        <v>268</v>
      </c>
      <c r="C19" s="584">
        <v>2020</v>
      </c>
      <c r="D19" s="259" t="s">
        <v>11</v>
      </c>
      <c r="E19" s="706">
        <v>44428</v>
      </c>
      <c r="F19" s="533">
        <f>SUM(AT19:BF19)</f>
        <v>1868151</v>
      </c>
      <c r="G19" s="281">
        <f>SUM(BG19:BR19)</f>
        <v>1186606</v>
      </c>
      <c r="H19" s="281">
        <f>SUM(BS19:CB19)</f>
        <v>899696</v>
      </c>
      <c r="I19" s="300">
        <f>SUM(CC19:CK19)</f>
        <v>772118</v>
      </c>
      <c r="J19" s="382"/>
      <c r="K19" s="154">
        <f>BF19</f>
        <v>127666</v>
      </c>
      <c r="L19" s="155">
        <f>AY19</f>
        <v>152199</v>
      </c>
      <c r="M19" s="155">
        <f>BD19</f>
        <v>55703</v>
      </c>
      <c r="N19" s="155">
        <f>AW19</f>
        <v>87510</v>
      </c>
      <c r="O19" s="155">
        <f>BE19</f>
        <v>52679</v>
      </c>
      <c r="P19" s="531">
        <f>'2020'!AZ19+'2020'!BA19</f>
        <v>216844</v>
      </c>
      <c r="Q19" s="155">
        <f>'2020'!AU19</f>
        <v>181520</v>
      </c>
      <c r="R19" s="531">
        <f>AT19+AX19</f>
        <v>629804</v>
      </c>
      <c r="S19" s="155">
        <f>AV19</f>
        <v>219950</v>
      </c>
      <c r="T19" s="155">
        <f>BB19</f>
        <v>59319</v>
      </c>
      <c r="U19" s="552">
        <f>BC19</f>
        <v>84957</v>
      </c>
      <c r="V19" s="531">
        <f>BG19+BJ19</f>
        <v>124308</v>
      </c>
      <c r="W19" s="155">
        <f>BR19</f>
        <v>48022</v>
      </c>
      <c r="X19" s="531">
        <f>BH19+BI19</f>
        <v>338268</v>
      </c>
      <c r="Y19" s="531">
        <f>BK19+BL19+BN19</f>
        <v>459191</v>
      </c>
      <c r="Z19" s="155">
        <f>BM19</f>
        <v>46260</v>
      </c>
      <c r="AA19" s="531">
        <f>BO19+BQ19</f>
        <v>121966</v>
      </c>
      <c r="AB19" s="552">
        <f>BP19</f>
        <v>48591</v>
      </c>
      <c r="AC19" s="155">
        <f>BX19</f>
        <v>87499</v>
      </c>
      <c r="AD19" s="155">
        <f>BU19</f>
        <v>54202</v>
      </c>
      <c r="AE19" s="531">
        <f>BS19+BT19</f>
        <v>213090</v>
      </c>
      <c r="AF19" s="155">
        <f>CA19</f>
        <v>78625</v>
      </c>
      <c r="AG19" s="155">
        <f>BV19</f>
        <v>183590</v>
      </c>
      <c r="AH19" s="155">
        <f>BZ19</f>
        <v>103245</v>
      </c>
      <c r="AI19" s="155">
        <f>BW19</f>
        <v>57457</v>
      </c>
      <c r="AJ19" s="155">
        <f>BY19</f>
        <v>67238</v>
      </c>
      <c r="AK19" s="552">
        <f>CB19</f>
        <v>54750</v>
      </c>
      <c r="AL19" s="155">
        <f>CE19</f>
        <v>70205</v>
      </c>
      <c r="AM19" s="155">
        <f>CH19</f>
        <v>87038</v>
      </c>
      <c r="AN19" s="155">
        <f>CJ19</f>
        <v>121039</v>
      </c>
      <c r="AO19" s="155">
        <f>CC19</f>
        <v>115242</v>
      </c>
      <c r="AP19" s="155">
        <f>CD19</f>
        <v>84721</v>
      </c>
      <c r="AQ19" s="155">
        <f>CK19</f>
        <v>48193</v>
      </c>
      <c r="AR19" s="155">
        <f>CI19</f>
        <v>93903</v>
      </c>
      <c r="AS19" s="532">
        <f>CF19+CG19</f>
        <v>151777</v>
      </c>
      <c r="AT19" s="534">
        <v>423052</v>
      </c>
      <c r="AU19" s="534">
        <v>181520</v>
      </c>
      <c r="AV19" s="534">
        <v>219950</v>
      </c>
      <c r="AW19" s="534">
        <v>87510</v>
      </c>
      <c r="AX19" s="534">
        <v>206752</v>
      </c>
      <c r="AY19" s="534">
        <v>152199</v>
      </c>
      <c r="AZ19" s="534">
        <v>71691</v>
      </c>
      <c r="BA19" s="534">
        <v>145153</v>
      </c>
      <c r="BB19" s="534">
        <v>59319</v>
      </c>
      <c r="BC19" s="534">
        <v>84957</v>
      </c>
      <c r="BD19" s="534">
        <v>55703</v>
      </c>
      <c r="BE19" s="534">
        <v>52679</v>
      </c>
      <c r="BF19" s="557">
        <v>127666</v>
      </c>
      <c r="BG19" s="534">
        <v>31343</v>
      </c>
      <c r="BH19" s="534">
        <v>179534</v>
      </c>
      <c r="BI19" s="534">
        <v>158734</v>
      </c>
      <c r="BJ19" s="534">
        <v>92965</v>
      </c>
      <c r="BK19" s="534">
        <v>91438</v>
      </c>
      <c r="BL19" s="534">
        <v>189353</v>
      </c>
      <c r="BM19" s="534">
        <v>46260</v>
      </c>
      <c r="BN19" s="534">
        <v>178400</v>
      </c>
      <c r="BO19" s="534">
        <v>58184</v>
      </c>
      <c r="BP19" s="534">
        <v>48591</v>
      </c>
      <c r="BQ19" s="534">
        <v>63782</v>
      </c>
      <c r="BR19" s="557">
        <v>48022</v>
      </c>
      <c r="BS19" s="534">
        <v>129036</v>
      </c>
      <c r="BT19" s="534">
        <v>84054</v>
      </c>
      <c r="BU19" s="534">
        <v>54202</v>
      </c>
      <c r="BV19" s="534">
        <v>183590</v>
      </c>
      <c r="BW19" s="534">
        <v>57457</v>
      </c>
      <c r="BX19" s="534">
        <v>87499</v>
      </c>
      <c r="BY19" s="534">
        <v>67238</v>
      </c>
      <c r="BZ19" s="534">
        <v>103245</v>
      </c>
      <c r="CA19" s="534">
        <v>78625</v>
      </c>
      <c r="CB19" s="557">
        <v>54750</v>
      </c>
      <c r="CC19" s="534">
        <v>115242</v>
      </c>
      <c r="CD19" s="534">
        <v>84721</v>
      </c>
      <c r="CE19" s="534">
        <v>70205</v>
      </c>
      <c r="CF19" s="534">
        <v>95161</v>
      </c>
      <c r="CG19" s="534">
        <v>56616</v>
      </c>
      <c r="CH19" s="534">
        <v>87038</v>
      </c>
      <c r="CI19" s="534">
        <v>93903</v>
      </c>
      <c r="CJ19" s="534">
        <v>121039</v>
      </c>
      <c r="CK19" s="534">
        <v>48193</v>
      </c>
      <c r="CL19" s="320">
        <v>4726571</v>
      </c>
    </row>
    <row r="20" spans="1:94" ht="13.5" customHeight="1">
      <c r="A20" s="80">
        <f>ROWS($A$3:A18)</f>
        <v>16</v>
      </c>
      <c r="B20" s="92" t="s">
        <v>64</v>
      </c>
      <c r="C20" s="584">
        <v>2019</v>
      </c>
      <c r="D20" s="259" t="s">
        <v>285</v>
      </c>
      <c r="E20" s="706">
        <v>44431</v>
      </c>
      <c r="F20" s="154">
        <v>200629.51699999999</v>
      </c>
      <c r="G20" s="155">
        <v>114593.72100000001</v>
      </c>
      <c r="H20" s="155">
        <v>80431.793000000005</v>
      </c>
      <c r="I20" s="156">
        <v>74977.202000000005</v>
      </c>
      <c r="J20" s="281"/>
      <c r="K20" s="154">
        <f t="shared" si="4"/>
        <v>12747.746999999999</v>
      </c>
      <c r="L20" s="155">
        <f t="shared" si="5"/>
        <v>13794.36</v>
      </c>
      <c r="M20" s="155">
        <f t="shared" si="6"/>
        <v>4804.8050000000003</v>
      </c>
      <c r="N20" s="155">
        <f t="shared" si="7"/>
        <v>7682.2430000000004</v>
      </c>
      <c r="O20" s="155">
        <f t="shared" si="8"/>
        <v>4427.4110000000001</v>
      </c>
      <c r="P20" s="155">
        <f>AZ20+BA20</f>
        <v>24676.362999999998</v>
      </c>
      <c r="Q20" s="155">
        <f>AU20</f>
        <v>23576.325000000001</v>
      </c>
      <c r="R20" s="155">
        <f>AT20+AX20</f>
        <v>74546.756999999998</v>
      </c>
      <c r="S20" s="155">
        <f t="shared" si="9"/>
        <v>20757.932000000001</v>
      </c>
      <c r="T20" s="155">
        <f t="shared" si="10"/>
        <v>5264.6639999999998</v>
      </c>
      <c r="U20" s="552">
        <f t="shared" si="10"/>
        <v>8350.9110000000001</v>
      </c>
      <c r="V20" s="155">
        <f>BG20+BJ20</f>
        <v>12116.624</v>
      </c>
      <c r="W20" s="155">
        <f t="shared" si="12"/>
        <v>4303.5069999999996</v>
      </c>
      <c r="X20" s="155">
        <f>BH20+BI20</f>
        <v>34209.442999999999</v>
      </c>
      <c r="Y20" s="155">
        <f>BK20+BL20+BN20</f>
        <v>45416.184000000001</v>
      </c>
      <c r="Z20" s="155">
        <f t="shared" si="15"/>
        <v>4061.587</v>
      </c>
      <c r="AA20" s="155">
        <f>BO20+BQ20</f>
        <v>10248.244999999999</v>
      </c>
      <c r="AB20" s="552">
        <f t="shared" si="17"/>
        <v>4238.13</v>
      </c>
      <c r="AC20" s="155">
        <f t="shared" si="18"/>
        <v>7580.7460000000001</v>
      </c>
      <c r="AD20" s="155">
        <f t="shared" si="19"/>
        <v>4967.2889999999998</v>
      </c>
      <c r="AE20" s="155">
        <f>BS20+BT20</f>
        <v>18763.919999999998</v>
      </c>
      <c r="AF20" s="155">
        <f t="shared" si="21"/>
        <v>7117.25</v>
      </c>
      <c r="AG20" s="155">
        <f t="shared" si="22"/>
        <v>16193.245999999999</v>
      </c>
      <c r="AH20" s="155">
        <f t="shared" si="23"/>
        <v>9244.64</v>
      </c>
      <c r="AI20" s="155">
        <f t="shared" si="24"/>
        <v>5494.7520000000004</v>
      </c>
      <c r="AJ20" s="155">
        <f t="shared" si="25"/>
        <v>6320.5240000000003</v>
      </c>
      <c r="AK20" s="552">
        <f t="shared" si="26"/>
        <v>4749.4250000000002</v>
      </c>
      <c r="AL20" s="155">
        <f t="shared" si="27"/>
        <v>6111.8909999999996</v>
      </c>
      <c r="AM20" s="155">
        <f t="shared" si="28"/>
        <v>9794.3770000000004</v>
      </c>
      <c r="AN20" s="155">
        <f t="shared" si="29"/>
        <v>12174.539000000001</v>
      </c>
      <c r="AO20" s="155">
        <f t="shared" si="30"/>
        <v>10686.986999999999</v>
      </c>
      <c r="AP20" s="155">
        <f t="shared" si="30"/>
        <v>7053.473</v>
      </c>
      <c r="AQ20" s="155">
        <f t="shared" si="31"/>
        <v>4435.9480000000003</v>
      </c>
      <c r="AR20" s="155">
        <f t="shared" si="32"/>
        <v>9755.0869999999995</v>
      </c>
      <c r="AS20" s="156">
        <f>CF20+CG20</f>
        <v>14964.900000000001</v>
      </c>
      <c r="AT20" s="281">
        <v>52201.014000000003</v>
      </c>
      <c r="AU20" s="155">
        <v>23576.325000000001</v>
      </c>
      <c r="AV20" s="155">
        <v>20757.932000000001</v>
      </c>
      <c r="AW20" s="155">
        <v>7682.2430000000004</v>
      </c>
      <c r="AX20" s="155">
        <v>22345.742999999999</v>
      </c>
      <c r="AY20" s="155">
        <v>13794.36</v>
      </c>
      <c r="AZ20" s="155">
        <v>6600.7759999999998</v>
      </c>
      <c r="BA20" s="155">
        <v>18075.587</v>
      </c>
      <c r="BB20" s="155">
        <v>5264.6639999999998</v>
      </c>
      <c r="BC20" s="155">
        <v>8350.9110000000001</v>
      </c>
      <c r="BD20" s="155">
        <v>4804.8050000000003</v>
      </c>
      <c r="BE20" s="155">
        <v>4427.4110000000001</v>
      </c>
      <c r="BF20" s="552">
        <v>12747.746999999999</v>
      </c>
      <c r="BG20" s="155">
        <v>2806.6579999999999</v>
      </c>
      <c r="BH20" s="155">
        <v>18741.955000000002</v>
      </c>
      <c r="BI20" s="155">
        <v>15467.487999999999</v>
      </c>
      <c r="BJ20" s="155">
        <v>9309.9660000000003</v>
      </c>
      <c r="BK20" s="155">
        <v>8435.7109999999993</v>
      </c>
      <c r="BL20" s="155">
        <v>18752.792000000001</v>
      </c>
      <c r="BM20" s="155">
        <v>4061.587</v>
      </c>
      <c r="BN20" s="155">
        <v>18227.681</v>
      </c>
      <c r="BO20" s="155">
        <v>4704.3819999999996</v>
      </c>
      <c r="BP20" s="155">
        <v>4238.13</v>
      </c>
      <c r="BQ20" s="155">
        <v>5543.8630000000003</v>
      </c>
      <c r="BR20" s="552">
        <v>4303.5069999999996</v>
      </c>
      <c r="BS20" s="155">
        <v>11486.987999999999</v>
      </c>
      <c r="BT20" s="155">
        <v>7276.9319999999998</v>
      </c>
      <c r="BU20" s="155">
        <v>4967.2889999999998</v>
      </c>
      <c r="BV20" s="155">
        <v>16193.245999999999</v>
      </c>
      <c r="BW20" s="155">
        <v>5494.7520000000004</v>
      </c>
      <c r="BX20" s="155">
        <v>7580.7460000000001</v>
      </c>
      <c r="BY20" s="155">
        <v>6320.5240000000003</v>
      </c>
      <c r="BZ20" s="155">
        <v>9244.64</v>
      </c>
      <c r="CA20" s="155">
        <v>7117.25</v>
      </c>
      <c r="CB20" s="552">
        <v>4749.4250000000002</v>
      </c>
      <c r="CC20" s="155">
        <v>10686.986999999999</v>
      </c>
      <c r="CD20" s="155">
        <v>7053.473</v>
      </c>
      <c r="CE20" s="155">
        <v>6111.8909999999996</v>
      </c>
      <c r="CF20" s="155">
        <v>9037.0380000000005</v>
      </c>
      <c r="CG20" s="281">
        <v>5927.8620000000001</v>
      </c>
      <c r="CH20" s="155">
        <v>9794.3770000000004</v>
      </c>
      <c r="CI20" s="155">
        <v>9755.0869999999995</v>
      </c>
      <c r="CJ20" s="155">
        <v>12174.539000000001</v>
      </c>
      <c r="CK20" s="156">
        <v>4435.9480000000003</v>
      </c>
      <c r="CL20" s="320">
        <v>470632.23300000001</v>
      </c>
    </row>
    <row r="21" spans="1:94">
      <c r="A21" s="80">
        <f>ROWS($A$3:A19)</f>
        <v>17</v>
      </c>
      <c r="B21" s="698" t="s">
        <v>62</v>
      </c>
      <c r="C21" s="584">
        <v>2019</v>
      </c>
      <c r="D21" s="259" t="s">
        <v>3</v>
      </c>
      <c r="E21" s="706">
        <v>44431</v>
      </c>
      <c r="F21" s="536">
        <f>F118/F20%</f>
        <v>0.36734624646482106</v>
      </c>
      <c r="G21" s="537">
        <f>G118/G20%</f>
        <v>0.28511597070837763</v>
      </c>
      <c r="H21" s="537">
        <f>H118/H20%</f>
        <v>0.75682758930911809</v>
      </c>
      <c r="I21" s="538">
        <f>I118/I20%</f>
        <v>0.69008443393233043</v>
      </c>
      <c r="J21" s="382"/>
      <c r="K21" s="539">
        <f t="shared" ref="K21:AS21" si="41">K118/K20%</f>
        <v>0.69154965187181705</v>
      </c>
      <c r="L21" s="521">
        <f t="shared" si="41"/>
        <v>0.37605224164078654</v>
      </c>
      <c r="M21" s="521">
        <f t="shared" si="41"/>
        <v>1.3640511945854203</v>
      </c>
      <c r="N21" s="521">
        <f t="shared" si="41"/>
        <v>0.44161581454791266</v>
      </c>
      <c r="O21" s="521">
        <f t="shared" si="41"/>
        <v>0.77652605552093545</v>
      </c>
      <c r="P21" s="521">
        <f t="shared" si="41"/>
        <v>0.44501695813114761</v>
      </c>
      <c r="Q21" s="521">
        <f t="shared" si="41"/>
        <v>0.10365483170086941</v>
      </c>
      <c r="R21" s="521">
        <f t="shared" si="41"/>
        <v>0.11884219188770342</v>
      </c>
      <c r="S21" s="521">
        <f t="shared" si="41"/>
        <v>0.16338332739504108</v>
      </c>
      <c r="T21" s="521">
        <f t="shared" si="41"/>
        <v>1.4255040777531103</v>
      </c>
      <c r="U21" s="559">
        <f t="shared" si="41"/>
        <v>1.5725230456892665</v>
      </c>
      <c r="V21" s="521">
        <f t="shared" si="41"/>
        <v>0.35532999951141503</v>
      </c>
      <c r="W21" s="521">
        <f t="shared" si="41"/>
        <v>0.54114005159048195</v>
      </c>
      <c r="X21" s="521">
        <f t="shared" si="41"/>
        <v>0.20294688808584224</v>
      </c>
      <c r="Y21" s="521">
        <f t="shared" si="41"/>
        <v>0.17808409442766043</v>
      </c>
      <c r="Z21" s="521">
        <f t="shared" si="41"/>
        <v>1.3201982377824235</v>
      </c>
      <c r="AA21" s="521">
        <f t="shared" si="41"/>
        <v>0.28397057252241731</v>
      </c>
      <c r="AB21" s="559">
        <f t="shared" si="41"/>
        <v>0.64540257141711088</v>
      </c>
      <c r="AC21" s="521">
        <f t="shared" si="41"/>
        <v>0.58911088697603109</v>
      </c>
      <c r="AD21" s="521">
        <f t="shared" si="41"/>
        <v>1.0633768238570376</v>
      </c>
      <c r="AE21" s="521">
        <f t="shared" si="41"/>
        <v>0.72286068156334071</v>
      </c>
      <c r="AF21" s="521">
        <f t="shared" si="41"/>
        <v>0.57697846780708839</v>
      </c>
      <c r="AG21" s="521">
        <f t="shared" si="41"/>
        <v>0.93156739544375478</v>
      </c>
      <c r="AH21" s="521">
        <f t="shared" si="41"/>
        <v>0.77328051714290658</v>
      </c>
      <c r="AI21" s="521">
        <f t="shared" si="41"/>
        <v>0.76241839486113294</v>
      </c>
      <c r="AJ21" s="521">
        <f t="shared" si="41"/>
        <v>0.39503053860724202</v>
      </c>
      <c r="AK21" s="559">
        <f t="shared" si="41"/>
        <v>0.95483137432426024</v>
      </c>
      <c r="AL21" s="521">
        <f t="shared" si="41"/>
        <v>0.50408294257865527</v>
      </c>
      <c r="AM21" s="521">
        <f t="shared" si="41"/>
        <v>0.90573397368714725</v>
      </c>
      <c r="AN21" s="521">
        <f t="shared" si="41"/>
        <v>0.9941813813237611</v>
      </c>
      <c r="AO21" s="521">
        <f t="shared" si="41"/>
        <v>0.37518526035448529</v>
      </c>
      <c r="AP21" s="521">
        <f t="shared" si="41"/>
        <v>0.23148879991459526</v>
      </c>
      <c r="AQ21" s="521">
        <f t="shared" si="41"/>
        <v>1.3133607517491186</v>
      </c>
      <c r="AR21" s="521">
        <f t="shared" si="41"/>
        <v>0.73775866888732</v>
      </c>
      <c r="AS21" s="540">
        <f t="shared" si="41"/>
        <v>0.60271702450400599</v>
      </c>
      <c r="AT21" s="537">
        <v>3.8390058859776172E-2</v>
      </c>
      <c r="AU21" s="537">
        <v>0.10365483170086941</v>
      </c>
      <c r="AV21" s="537">
        <v>0.16338332739504108</v>
      </c>
      <c r="AW21" s="537">
        <v>0.4416158145479126</v>
      </c>
      <c r="AX21" s="537">
        <v>0.306783265161512</v>
      </c>
      <c r="AY21" s="537">
        <v>0.37605224164078654</v>
      </c>
      <c r="AZ21" s="537">
        <v>0.2114902853846275</v>
      </c>
      <c r="BA21" s="537">
        <v>0.53029536468165595</v>
      </c>
      <c r="BB21" s="537">
        <v>1.4255040777531103</v>
      </c>
      <c r="BC21" s="537">
        <v>1.5725230456892665</v>
      </c>
      <c r="BD21" s="537">
        <v>1.3640511945854203</v>
      </c>
      <c r="BE21" s="537">
        <v>0.77652605552093545</v>
      </c>
      <c r="BF21" s="563">
        <v>0.69154965187181705</v>
      </c>
      <c r="BG21" s="537">
        <v>0.32754257911010176</v>
      </c>
      <c r="BH21" s="537">
        <v>5.7571368621896692E-2</v>
      </c>
      <c r="BI21" s="537">
        <v>0.37909840305032078</v>
      </c>
      <c r="BJ21" s="537">
        <v>0.36370702105679009</v>
      </c>
      <c r="BK21" s="537">
        <v>0.12600004907707246</v>
      </c>
      <c r="BL21" s="537">
        <v>2.3708469650812528E-2</v>
      </c>
      <c r="BM21" s="537">
        <v>1.3201982377824235</v>
      </c>
      <c r="BN21" s="537">
        <v>0.36101136507710446</v>
      </c>
      <c r="BO21" s="537">
        <v>0.14686307361944673</v>
      </c>
      <c r="BP21" s="537">
        <v>0.64540257141711088</v>
      </c>
      <c r="BQ21" s="537">
        <v>0.40031653018842639</v>
      </c>
      <c r="BR21" s="563">
        <v>0.54114005159048195</v>
      </c>
      <c r="BS21" s="537">
        <v>0.1246279703608988</v>
      </c>
      <c r="BT21" s="537">
        <v>1.667199858401865</v>
      </c>
      <c r="BU21" s="537">
        <v>1.0633768238570376</v>
      </c>
      <c r="BV21" s="537">
        <v>0.93156739544375478</v>
      </c>
      <c r="BW21" s="537">
        <v>0.76241839486113294</v>
      </c>
      <c r="BX21" s="537">
        <v>0.58911088697603109</v>
      </c>
      <c r="BY21" s="537">
        <v>0.39503053860724202</v>
      </c>
      <c r="BZ21" s="537">
        <v>0.77328051714290658</v>
      </c>
      <c r="CA21" s="537">
        <v>0.57697846780708839</v>
      </c>
      <c r="CB21" s="563">
        <v>0.95483137432426024</v>
      </c>
      <c r="CC21" s="537">
        <v>0.37518526035448529</v>
      </c>
      <c r="CD21" s="537">
        <v>0.23148879991459526</v>
      </c>
      <c r="CE21" s="537">
        <v>0.50408294257865527</v>
      </c>
      <c r="CF21" s="537">
        <v>9.6491792996776155E-2</v>
      </c>
      <c r="CG21" s="537">
        <v>1.3744584472445545</v>
      </c>
      <c r="CH21" s="537">
        <v>0.90573397368714714</v>
      </c>
      <c r="CI21" s="537">
        <v>0.73775866888732</v>
      </c>
      <c r="CJ21" s="537">
        <v>0.99418138132376099</v>
      </c>
      <c r="CK21" s="538">
        <v>1.3133607517491188</v>
      </c>
      <c r="CL21" s="564">
        <v>0.46530302143584795</v>
      </c>
    </row>
    <row r="22" spans="1:94">
      <c r="A22" s="80">
        <f>ROWS($A$3:A20)</f>
        <v>18</v>
      </c>
      <c r="B22" s="59" t="s">
        <v>66</v>
      </c>
      <c r="C22" s="387">
        <v>2020</v>
      </c>
      <c r="D22" s="259"/>
      <c r="E22" s="451"/>
      <c r="F22" s="154"/>
      <c r="G22" s="155"/>
      <c r="H22" s="155"/>
      <c r="I22" s="156"/>
      <c r="J22" s="281"/>
      <c r="K22" s="154"/>
      <c r="L22" s="155"/>
      <c r="M22" s="155"/>
      <c r="N22" s="155"/>
      <c r="O22" s="155"/>
      <c r="P22" s="155"/>
      <c r="Q22" s="155">
        <f>'2020'!AU22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c r="A23" s="80">
        <f>ROWS($A$3:A21)</f>
        <v>19</v>
      </c>
      <c r="B23" s="52" t="s">
        <v>253</v>
      </c>
      <c r="C23" s="205">
        <v>2020</v>
      </c>
      <c r="D23" s="259" t="s">
        <v>13</v>
      </c>
      <c r="E23" s="706">
        <v>44428</v>
      </c>
      <c r="F23" s="154">
        <v>12429</v>
      </c>
      <c r="G23" s="155">
        <v>4406</v>
      </c>
      <c r="H23" s="155">
        <v>11988</v>
      </c>
      <c r="I23" s="156">
        <v>10262</v>
      </c>
      <c r="J23" s="281"/>
      <c r="K23" s="154">
        <f t="shared" ref="K23:K33" si="42">BF23</f>
        <v>1628</v>
      </c>
      <c r="L23" s="155">
        <f t="shared" ref="L23:L33" si="43">AY23</f>
        <v>1058</v>
      </c>
      <c r="M23" s="155">
        <f t="shared" ref="M23:M33" si="44">BD23</f>
        <v>1268</v>
      </c>
      <c r="N23" s="155">
        <f t="shared" ref="N23:N33" si="45">AW23</f>
        <v>706</v>
      </c>
      <c r="O23" s="155">
        <f t="shared" ref="O23:O33" si="46">BE23</f>
        <v>515</v>
      </c>
      <c r="P23" s="155">
        <f>AZ23+BA23</f>
        <v>1922</v>
      </c>
      <c r="Q23" s="155">
        <f>AU23</f>
        <v>555</v>
      </c>
      <c r="R23" s="155">
        <f t="shared" ref="R23:R29" si="47">AT23+AX23</f>
        <v>1303</v>
      </c>
      <c r="S23" s="155">
        <f t="shared" ref="S23:S33" si="48">AV23</f>
        <v>629</v>
      </c>
      <c r="T23" s="155">
        <f t="shared" ref="T23:U33" si="49">BB23</f>
        <v>1042</v>
      </c>
      <c r="U23" s="552">
        <f t="shared" si="49"/>
        <v>1803</v>
      </c>
      <c r="V23" s="155">
        <f t="shared" ref="V23:V29" si="50">BG23+BJ23</f>
        <v>539</v>
      </c>
      <c r="W23" s="155">
        <f t="shared" ref="W23:W33" si="51">BR23</f>
        <v>470</v>
      </c>
      <c r="X23" s="155">
        <f t="shared" ref="X23:X29" si="52">BH23+BI23</f>
        <v>768</v>
      </c>
      <c r="Y23" s="155">
        <f t="shared" ref="Y23:Y29" si="53">BK23+BL23+BN23</f>
        <v>963</v>
      </c>
      <c r="Z23" s="155">
        <f t="shared" ref="Z23:Z33" si="54">BM23</f>
        <v>802</v>
      </c>
      <c r="AA23" s="155">
        <f t="shared" ref="AA23:AA29" si="55">BO23+BQ23</f>
        <v>433</v>
      </c>
      <c r="AB23" s="552">
        <f t="shared" ref="AB23:AB33" si="56">BP23</f>
        <v>431</v>
      </c>
      <c r="AC23" s="155">
        <f t="shared" ref="AC23:AC33" si="57">BX23</f>
        <v>954</v>
      </c>
      <c r="AD23" s="155">
        <f t="shared" ref="AD23:AD33" si="58">BU23</f>
        <v>1186</v>
      </c>
      <c r="AE23" s="155">
        <f t="shared" ref="AE23:AE29" si="59">BS23+BT23</f>
        <v>2706</v>
      </c>
      <c r="AF23" s="155">
        <f t="shared" ref="AF23:AF33" si="60">CA23</f>
        <v>946</v>
      </c>
      <c r="AG23" s="155">
        <f t="shared" ref="AG23:AG33" si="61">BV23</f>
        <v>3161</v>
      </c>
      <c r="AH23" s="155">
        <f t="shared" ref="AH23:AH33" si="62">BZ23</f>
        <v>791</v>
      </c>
      <c r="AI23" s="155">
        <f t="shared" ref="AI23:AI33" si="63">BW23</f>
        <v>734</v>
      </c>
      <c r="AJ23" s="155">
        <f t="shared" ref="AJ23:AJ33" si="64">BY23</f>
        <v>416</v>
      </c>
      <c r="AK23" s="552">
        <f t="shared" ref="AK23:AK33" si="65">CB23</f>
        <v>1094</v>
      </c>
      <c r="AL23" s="155">
        <f t="shared" ref="AL23:AL33" si="66">CE23</f>
        <v>700</v>
      </c>
      <c r="AM23" s="155">
        <f t="shared" ref="AM23:AM33" si="67">CH23</f>
        <v>1633</v>
      </c>
      <c r="AN23" s="155">
        <f t="shared" ref="AN23:AN33" si="68">CJ23</f>
        <v>2250</v>
      </c>
      <c r="AO23" s="155">
        <f t="shared" ref="AO23:AP33" si="69">CC23</f>
        <v>997</v>
      </c>
      <c r="AP23" s="155">
        <f t="shared" si="69"/>
        <v>377</v>
      </c>
      <c r="AQ23" s="155">
        <f t="shared" ref="AQ23:AQ33" si="70">CK23</f>
        <v>1135</v>
      </c>
      <c r="AR23" s="155">
        <f t="shared" ref="AR23:AR33" si="71">CI23</f>
        <v>1412</v>
      </c>
      <c r="AS23" s="156">
        <f t="shared" ref="AS23:AS29" si="72">CF23+CG23</f>
        <v>1758</v>
      </c>
      <c r="AT23" s="155">
        <v>182</v>
      </c>
      <c r="AU23" s="155">
        <v>555</v>
      </c>
      <c r="AV23" s="155">
        <v>629</v>
      </c>
      <c r="AW23" s="155">
        <v>706</v>
      </c>
      <c r="AX23" s="155">
        <v>1121</v>
      </c>
      <c r="AY23" s="155">
        <v>1058</v>
      </c>
      <c r="AZ23" s="155">
        <v>158</v>
      </c>
      <c r="BA23" s="155">
        <v>1764</v>
      </c>
      <c r="BB23" s="155">
        <v>1042</v>
      </c>
      <c r="BC23" s="155">
        <v>1803</v>
      </c>
      <c r="BD23" s="155">
        <v>1268</v>
      </c>
      <c r="BE23" s="155">
        <v>515</v>
      </c>
      <c r="BF23" s="552">
        <v>1628</v>
      </c>
      <c r="BG23" s="155">
        <v>84</v>
      </c>
      <c r="BH23" s="155">
        <v>66</v>
      </c>
      <c r="BI23" s="155">
        <v>702</v>
      </c>
      <c r="BJ23" s="155">
        <v>455</v>
      </c>
      <c r="BK23" s="155">
        <v>66</v>
      </c>
      <c r="BL23" s="155">
        <v>55</v>
      </c>
      <c r="BM23" s="155">
        <v>802</v>
      </c>
      <c r="BN23" s="155">
        <v>842</v>
      </c>
      <c r="BO23" s="155">
        <v>23</v>
      </c>
      <c r="BP23" s="155">
        <v>431</v>
      </c>
      <c r="BQ23" s="155">
        <v>410</v>
      </c>
      <c r="BR23" s="552">
        <v>470</v>
      </c>
      <c r="BS23" s="155">
        <v>178</v>
      </c>
      <c r="BT23" s="155">
        <v>2528</v>
      </c>
      <c r="BU23" s="155">
        <v>1186</v>
      </c>
      <c r="BV23" s="155">
        <v>3161</v>
      </c>
      <c r="BW23" s="155">
        <v>734</v>
      </c>
      <c r="BX23" s="155">
        <v>954</v>
      </c>
      <c r="BY23" s="155">
        <v>416</v>
      </c>
      <c r="BZ23" s="155">
        <v>791</v>
      </c>
      <c r="CA23" s="155">
        <v>946</v>
      </c>
      <c r="CB23" s="552">
        <v>1094</v>
      </c>
      <c r="CC23" s="155">
        <v>997</v>
      </c>
      <c r="CD23" s="155">
        <v>377</v>
      </c>
      <c r="CE23" s="155">
        <v>700</v>
      </c>
      <c r="CF23" s="155">
        <v>107</v>
      </c>
      <c r="CG23" s="155">
        <v>1651</v>
      </c>
      <c r="CH23" s="155">
        <v>1633</v>
      </c>
      <c r="CI23" s="155">
        <v>1412</v>
      </c>
      <c r="CJ23" s="155">
        <v>2250</v>
      </c>
      <c r="CK23" s="156">
        <v>1135</v>
      </c>
      <c r="CL23" s="320">
        <v>39085</v>
      </c>
      <c r="CM23" s="628"/>
    </row>
    <row r="24" spans="1:94">
      <c r="A24" s="80">
        <f>ROWS($A$3:A22)</f>
        <v>20</v>
      </c>
      <c r="B24" s="52" t="s">
        <v>249</v>
      </c>
      <c r="C24" s="203">
        <v>2020</v>
      </c>
      <c r="D24" s="259" t="s">
        <v>13</v>
      </c>
      <c r="E24" s="706">
        <v>44428</v>
      </c>
      <c r="F24" s="154">
        <v>2089</v>
      </c>
      <c r="G24" s="155">
        <v>599</v>
      </c>
      <c r="H24" s="155">
        <v>2723</v>
      </c>
      <c r="I24" s="156">
        <v>728</v>
      </c>
      <c r="J24" s="281"/>
      <c r="K24" s="154">
        <f>L24+M24</f>
        <v>436</v>
      </c>
      <c r="L24" s="155">
        <f t="shared" si="43"/>
        <v>294</v>
      </c>
      <c r="M24" s="155">
        <f t="shared" si="44"/>
        <v>142</v>
      </c>
      <c r="N24" s="155">
        <f t="shared" si="45"/>
        <v>51</v>
      </c>
      <c r="O24" s="155">
        <f t="shared" si="46"/>
        <v>18</v>
      </c>
      <c r="P24" s="155">
        <f t="shared" ref="P24:P29" si="73">AZ24+BA24</f>
        <v>647</v>
      </c>
      <c r="Q24" s="155">
        <f t="shared" ref="Q24:Q33" si="74">AU24</f>
        <v>43</v>
      </c>
      <c r="R24" s="155">
        <f t="shared" si="47"/>
        <v>459</v>
      </c>
      <c r="S24" s="155">
        <f t="shared" si="48"/>
        <v>98</v>
      </c>
      <c r="T24" s="155">
        <f t="shared" si="49"/>
        <v>194</v>
      </c>
      <c r="U24" s="552">
        <f t="shared" si="49"/>
        <v>90</v>
      </c>
      <c r="V24" s="155">
        <f t="shared" si="50"/>
        <v>185</v>
      </c>
      <c r="W24" s="155">
        <f t="shared" si="51"/>
        <v>16</v>
      </c>
      <c r="X24" s="155">
        <f t="shared" si="52"/>
        <v>123</v>
      </c>
      <c r="Y24" s="155">
        <f t="shared" si="53"/>
        <v>154</v>
      </c>
      <c r="Z24" s="155">
        <f t="shared" si="54"/>
        <v>41</v>
      </c>
      <c r="AA24" s="155">
        <f t="shared" si="55"/>
        <v>59</v>
      </c>
      <c r="AB24" s="552">
        <f t="shared" si="56"/>
        <v>21</v>
      </c>
      <c r="AC24" s="155">
        <f t="shared" si="57"/>
        <v>14</v>
      </c>
      <c r="AD24" s="155">
        <f t="shared" si="58"/>
        <v>368</v>
      </c>
      <c r="AE24" s="155">
        <f t="shared" si="59"/>
        <v>945</v>
      </c>
      <c r="AF24" s="155">
        <f t="shared" si="60"/>
        <v>139</v>
      </c>
      <c r="AG24" s="155">
        <f t="shared" si="61"/>
        <v>1079</v>
      </c>
      <c r="AH24" s="155">
        <f t="shared" si="62"/>
        <v>123</v>
      </c>
      <c r="AI24" s="155">
        <f t="shared" si="63"/>
        <v>15</v>
      </c>
      <c r="AJ24" s="155">
        <f t="shared" si="64"/>
        <v>10</v>
      </c>
      <c r="AK24" s="552">
        <f t="shared" si="65"/>
        <v>30</v>
      </c>
      <c r="AL24" s="155">
        <f t="shared" si="66"/>
        <v>21</v>
      </c>
      <c r="AM24" s="155">
        <f t="shared" si="67"/>
        <v>62</v>
      </c>
      <c r="AN24" s="155">
        <f t="shared" si="68"/>
        <v>112</v>
      </c>
      <c r="AO24" s="155">
        <f t="shared" si="69"/>
        <v>48</v>
      </c>
      <c r="AP24" s="155">
        <f t="shared" si="69"/>
        <v>32</v>
      </c>
      <c r="AQ24" s="155">
        <f t="shared" si="70"/>
        <v>33</v>
      </c>
      <c r="AR24" s="155">
        <f t="shared" si="71"/>
        <v>351</v>
      </c>
      <c r="AS24" s="156">
        <f t="shared" si="72"/>
        <v>69</v>
      </c>
      <c r="AT24" s="155">
        <v>95</v>
      </c>
      <c r="AU24" s="155">
        <v>43</v>
      </c>
      <c r="AV24" s="155">
        <v>98</v>
      </c>
      <c r="AW24" s="155">
        <v>51</v>
      </c>
      <c r="AX24" s="155">
        <v>364</v>
      </c>
      <c r="AY24" s="155">
        <v>294</v>
      </c>
      <c r="AZ24" s="155">
        <v>44</v>
      </c>
      <c r="BA24" s="155">
        <v>603</v>
      </c>
      <c r="BB24" s="155">
        <v>194</v>
      </c>
      <c r="BC24" s="155">
        <v>90</v>
      </c>
      <c r="BD24" s="155">
        <v>142</v>
      </c>
      <c r="BE24" s="155">
        <v>18</v>
      </c>
      <c r="BF24" s="552">
        <v>53</v>
      </c>
      <c r="BG24" s="155">
        <v>48</v>
      </c>
      <c r="BH24" s="155">
        <v>11</v>
      </c>
      <c r="BI24" s="155">
        <v>112</v>
      </c>
      <c r="BJ24" s="155">
        <v>137</v>
      </c>
      <c r="BK24" s="155">
        <v>13</v>
      </c>
      <c r="BL24" s="155">
        <v>9</v>
      </c>
      <c r="BM24" s="155">
        <v>41</v>
      </c>
      <c r="BN24" s="155">
        <v>132</v>
      </c>
      <c r="BO24" s="155">
        <v>8</v>
      </c>
      <c r="BP24" s="155">
        <v>21</v>
      </c>
      <c r="BQ24" s="155">
        <v>51</v>
      </c>
      <c r="BR24" s="552">
        <v>16</v>
      </c>
      <c r="BS24" s="155">
        <v>82</v>
      </c>
      <c r="BT24" s="155">
        <v>863</v>
      </c>
      <c r="BU24" s="155">
        <v>368</v>
      </c>
      <c r="BV24" s="155">
        <v>1079</v>
      </c>
      <c r="BW24" s="155">
        <v>15</v>
      </c>
      <c r="BX24" s="155">
        <v>14</v>
      </c>
      <c r="BY24" s="155">
        <v>10</v>
      </c>
      <c r="BZ24" s="155">
        <v>123</v>
      </c>
      <c r="CA24" s="155">
        <v>139</v>
      </c>
      <c r="CB24" s="552">
        <v>30</v>
      </c>
      <c r="CC24" s="155">
        <v>48</v>
      </c>
      <c r="CD24" s="155">
        <v>32</v>
      </c>
      <c r="CE24" s="155">
        <v>21</v>
      </c>
      <c r="CF24" s="155">
        <v>12</v>
      </c>
      <c r="CG24" s="155">
        <v>57</v>
      </c>
      <c r="CH24" s="155">
        <v>62</v>
      </c>
      <c r="CI24" s="155">
        <v>351</v>
      </c>
      <c r="CJ24" s="155">
        <v>112</v>
      </c>
      <c r="CK24" s="156">
        <v>33</v>
      </c>
      <c r="CL24" s="320">
        <v>6139</v>
      </c>
      <c r="CN24" s="628"/>
      <c r="CO24" s="628"/>
      <c r="CP24" s="628"/>
    </row>
    <row r="25" spans="1:94">
      <c r="A25" s="80">
        <f>ROWS($A$3:A23)</f>
        <v>21</v>
      </c>
      <c r="B25" s="52" t="s">
        <v>250</v>
      </c>
      <c r="C25" s="203">
        <v>2020</v>
      </c>
      <c r="D25" s="259" t="s">
        <v>13</v>
      </c>
      <c r="E25" s="706">
        <v>44428</v>
      </c>
      <c r="F25" s="154">
        <v>2002</v>
      </c>
      <c r="G25" s="155">
        <v>777</v>
      </c>
      <c r="H25" s="155">
        <v>2560</v>
      </c>
      <c r="I25" s="156">
        <v>1663</v>
      </c>
      <c r="J25" s="281"/>
      <c r="K25" s="154">
        <f>L25+M25</f>
        <v>348</v>
      </c>
      <c r="L25" s="155">
        <f t="shared" si="43"/>
        <v>200</v>
      </c>
      <c r="M25" s="155">
        <f t="shared" si="44"/>
        <v>148</v>
      </c>
      <c r="N25" s="155">
        <f t="shared" si="45"/>
        <v>119</v>
      </c>
      <c r="O25" s="155">
        <f t="shared" si="46"/>
        <v>63</v>
      </c>
      <c r="P25" s="155">
        <f t="shared" si="73"/>
        <v>282</v>
      </c>
      <c r="Q25" s="155">
        <f t="shared" si="74"/>
        <v>99</v>
      </c>
      <c r="R25" s="155">
        <f t="shared" si="47"/>
        <v>149</v>
      </c>
      <c r="S25" s="155">
        <f t="shared" si="48"/>
        <v>120</v>
      </c>
      <c r="T25" s="155">
        <f t="shared" si="49"/>
        <v>165</v>
      </c>
      <c r="U25" s="552">
        <f t="shared" si="49"/>
        <v>316</v>
      </c>
      <c r="V25" s="155">
        <f t="shared" si="50"/>
        <v>100</v>
      </c>
      <c r="W25" s="155">
        <f t="shared" si="51"/>
        <v>116</v>
      </c>
      <c r="X25" s="155">
        <f t="shared" si="52"/>
        <v>106</v>
      </c>
      <c r="Y25" s="155">
        <f t="shared" si="53"/>
        <v>132</v>
      </c>
      <c r="Z25" s="155">
        <f t="shared" si="54"/>
        <v>139</v>
      </c>
      <c r="AA25" s="155">
        <f t="shared" si="55"/>
        <v>71</v>
      </c>
      <c r="AB25" s="552">
        <f t="shared" si="56"/>
        <v>113</v>
      </c>
      <c r="AC25" s="155">
        <f t="shared" si="57"/>
        <v>181</v>
      </c>
      <c r="AD25" s="155">
        <f t="shared" si="58"/>
        <v>242</v>
      </c>
      <c r="AE25" s="155">
        <f t="shared" si="59"/>
        <v>473</v>
      </c>
      <c r="AF25" s="155">
        <f t="shared" si="60"/>
        <v>222</v>
      </c>
      <c r="AG25" s="155">
        <f t="shared" si="61"/>
        <v>784</v>
      </c>
      <c r="AH25" s="155">
        <f t="shared" si="62"/>
        <v>112</v>
      </c>
      <c r="AI25" s="155">
        <f t="shared" si="63"/>
        <v>175</v>
      </c>
      <c r="AJ25" s="155">
        <f t="shared" si="64"/>
        <v>70</v>
      </c>
      <c r="AK25" s="552">
        <f t="shared" si="65"/>
        <v>301</v>
      </c>
      <c r="AL25" s="155">
        <f t="shared" si="66"/>
        <v>150</v>
      </c>
      <c r="AM25" s="155">
        <f t="shared" si="67"/>
        <v>210</v>
      </c>
      <c r="AN25" s="155">
        <f t="shared" si="68"/>
        <v>362</v>
      </c>
      <c r="AO25" s="155">
        <f t="shared" si="69"/>
        <v>178</v>
      </c>
      <c r="AP25" s="155">
        <f t="shared" si="69"/>
        <v>65</v>
      </c>
      <c r="AQ25" s="155">
        <f t="shared" si="70"/>
        <v>206</v>
      </c>
      <c r="AR25" s="155">
        <f t="shared" si="71"/>
        <v>257</v>
      </c>
      <c r="AS25" s="156">
        <f t="shared" si="72"/>
        <v>235</v>
      </c>
      <c r="AT25" s="155">
        <v>27</v>
      </c>
      <c r="AU25" s="155">
        <v>99</v>
      </c>
      <c r="AV25" s="155">
        <v>120</v>
      </c>
      <c r="AW25" s="155">
        <v>119</v>
      </c>
      <c r="AX25" s="155">
        <v>122</v>
      </c>
      <c r="AY25" s="155">
        <v>200</v>
      </c>
      <c r="AZ25" s="155">
        <v>29</v>
      </c>
      <c r="BA25" s="155">
        <v>253</v>
      </c>
      <c r="BB25" s="155">
        <v>165</v>
      </c>
      <c r="BC25" s="155">
        <v>316</v>
      </c>
      <c r="BD25" s="155">
        <v>148</v>
      </c>
      <c r="BE25" s="155">
        <v>63</v>
      </c>
      <c r="BF25" s="552">
        <v>341</v>
      </c>
      <c r="BG25" s="155">
        <v>13</v>
      </c>
      <c r="BH25" s="155">
        <v>9</v>
      </c>
      <c r="BI25" s="155">
        <v>97</v>
      </c>
      <c r="BJ25" s="155">
        <v>87</v>
      </c>
      <c r="BK25" s="155">
        <v>10</v>
      </c>
      <c r="BL25" s="155">
        <v>6</v>
      </c>
      <c r="BM25" s="155">
        <v>139</v>
      </c>
      <c r="BN25" s="155">
        <v>116</v>
      </c>
      <c r="BO25" s="155">
        <v>3</v>
      </c>
      <c r="BP25" s="155">
        <v>113</v>
      </c>
      <c r="BQ25" s="155">
        <v>68</v>
      </c>
      <c r="BR25" s="552">
        <v>116</v>
      </c>
      <c r="BS25" s="155">
        <v>25</v>
      </c>
      <c r="BT25" s="155">
        <v>448</v>
      </c>
      <c r="BU25" s="155">
        <v>242</v>
      </c>
      <c r="BV25" s="155">
        <v>784</v>
      </c>
      <c r="BW25" s="155">
        <v>175</v>
      </c>
      <c r="BX25" s="155">
        <v>181</v>
      </c>
      <c r="BY25" s="155">
        <v>70</v>
      </c>
      <c r="BZ25" s="155">
        <v>112</v>
      </c>
      <c r="CA25" s="155">
        <v>222</v>
      </c>
      <c r="CB25" s="552">
        <v>301</v>
      </c>
      <c r="CC25" s="155">
        <v>178</v>
      </c>
      <c r="CD25" s="155">
        <v>65</v>
      </c>
      <c r="CE25" s="155">
        <v>150</v>
      </c>
      <c r="CF25" s="155">
        <v>13</v>
      </c>
      <c r="CG25" s="155">
        <v>222</v>
      </c>
      <c r="CH25" s="155">
        <v>210</v>
      </c>
      <c r="CI25" s="155">
        <v>257</v>
      </c>
      <c r="CJ25" s="155">
        <v>362</v>
      </c>
      <c r="CK25" s="156">
        <v>206</v>
      </c>
      <c r="CL25" s="320">
        <v>7002</v>
      </c>
    </row>
    <row r="26" spans="1:94">
      <c r="A26" s="80">
        <f>ROWS($A$3:A24)</f>
        <v>22</v>
      </c>
      <c r="B26" s="52" t="s">
        <v>251</v>
      </c>
      <c r="C26" s="203">
        <v>2020</v>
      </c>
      <c r="D26" s="259" t="s">
        <v>13</v>
      </c>
      <c r="E26" s="706">
        <v>44428</v>
      </c>
      <c r="F26" s="154">
        <v>2328</v>
      </c>
      <c r="G26" s="155">
        <v>810</v>
      </c>
      <c r="H26" s="155">
        <v>2612</v>
      </c>
      <c r="I26" s="156">
        <v>2293</v>
      </c>
      <c r="J26" s="281"/>
      <c r="K26" s="154">
        <f>L26+M26</f>
        <v>439</v>
      </c>
      <c r="L26" s="155">
        <f t="shared" si="43"/>
        <v>204</v>
      </c>
      <c r="M26" s="155">
        <f t="shared" si="44"/>
        <v>235</v>
      </c>
      <c r="N26" s="155">
        <f t="shared" si="45"/>
        <v>151</v>
      </c>
      <c r="O26" s="155">
        <f t="shared" si="46"/>
        <v>98</v>
      </c>
      <c r="P26" s="155">
        <f t="shared" si="73"/>
        <v>280</v>
      </c>
      <c r="Q26" s="155">
        <f t="shared" si="74"/>
        <v>107</v>
      </c>
      <c r="R26" s="155">
        <f t="shared" si="47"/>
        <v>163</v>
      </c>
      <c r="S26" s="155">
        <f t="shared" si="48"/>
        <v>128</v>
      </c>
      <c r="T26" s="155">
        <f t="shared" si="49"/>
        <v>176</v>
      </c>
      <c r="U26" s="552">
        <f t="shared" si="49"/>
        <v>362</v>
      </c>
      <c r="V26" s="155">
        <f t="shared" si="50"/>
        <v>94</v>
      </c>
      <c r="W26" s="155">
        <f t="shared" si="51"/>
        <v>113</v>
      </c>
      <c r="X26" s="155">
        <f t="shared" si="52"/>
        <v>131</v>
      </c>
      <c r="Y26" s="155">
        <f t="shared" si="53"/>
        <v>136</v>
      </c>
      <c r="Z26" s="155">
        <f t="shared" si="54"/>
        <v>154</v>
      </c>
      <c r="AA26" s="155">
        <f t="shared" si="55"/>
        <v>80</v>
      </c>
      <c r="AB26" s="552">
        <f t="shared" si="56"/>
        <v>102</v>
      </c>
      <c r="AC26" s="155">
        <f t="shared" si="57"/>
        <v>224</v>
      </c>
      <c r="AD26" s="155">
        <f t="shared" si="58"/>
        <v>296</v>
      </c>
      <c r="AE26" s="155">
        <f t="shared" si="59"/>
        <v>492</v>
      </c>
      <c r="AF26" s="155">
        <f t="shared" si="60"/>
        <v>232</v>
      </c>
      <c r="AG26" s="155">
        <f t="shared" si="61"/>
        <v>667</v>
      </c>
      <c r="AH26" s="155">
        <f t="shared" si="62"/>
        <v>153</v>
      </c>
      <c r="AI26" s="155">
        <f t="shared" si="63"/>
        <v>182</v>
      </c>
      <c r="AJ26" s="155">
        <f t="shared" si="64"/>
        <v>90</v>
      </c>
      <c r="AK26" s="552">
        <f t="shared" si="65"/>
        <v>276</v>
      </c>
      <c r="AL26" s="155">
        <f t="shared" si="66"/>
        <v>152</v>
      </c>
      <c r="AM26" s="155">
        <f t="shared" si="67"/>
        <v>357</v>
      </c>
      <c r="AN26" s="155">
        <f t="shared" si="68"/>
        <v>502</v>
      </c>
      <c r="AO26" s="155">
        <f t="shared" si="69"/>
        <v>253</v>
      </c>
      <c r="AP26" s="155">
        <f t="shared" si="69"/>
        <v>67</v>
      </c>
      <c r="AQ26" s="155">
        <f t="shared" si="70"/>
        <v>259</v>
      </c>
      <c r="AR26" s="155">
        <f t="shared" si="71"/>
        <v>330</v>
      </c>
      <c r="AS26" s="156">
        <f t="shared" si="72"/>
        <v>373</v>
      </c>
      <c r="AT26" s="155">
        <v>27</v>
      </c>
      <c r="AU26" s="155">
        <v>107</v>
      </c>
      <c r="AV26" s="155">
        <v>128</v>
      </c>
      <c r="AW26" s="155">
        <v>151</v>
      </c>
      <c r="AX26" s="155">
        <v>136</v>
      </c>
      <c r="AY26" s="155">
        <v>204</v>
      </c>
      <c r="AZ26" s="155">
        <v>26</v>
      </c>
      <c r="BA26" s="155">
        <v>254</v>
      </c>
      <c r="BB26" s="155">
        <v>176</v>
      </c>
      <c r="BC26" s="155">
        <v>362</v>
      </c>
      <c r="BD26" s="155">
        <v>235</v>
      </c>
      <c r="BE26" s="155">
        <v>98</v>
      </c>
      <c r="BF26" s="552">
        <v>424</v>
      </c>
      <c r="BG26" s="155">
        <v>10</v>
      </c>
      <c r="BH26" s="155">
        <v>18</v>
      </c>
      <c r="BI26" s="155">
        <v>113</v>
      </c>
      <c r="BJ26" s="155">
        <v>84</v>
      </c>
      <c r="BK26" s="155">
        <v>10</v>
      </c>
      <c r="BL26" s="155">
        <v>5</v>
      </c>
      <c r="BM26" s="155">
        <v>154</v>
      </c>
      <c r="BN26" s="155">
        <v>121</v>
      </c>
      <c r="BO26" s="155">
        <v>2</v>
      </c>
      <c r="BP26" s="155">
        <v>102</v>
      </c>
      <c r="BQ26" s="155">
        <v>78</v>
      </c>
      <c r="BR26" s="552">
        <v>113</v>
      </c>
      <c r="BS26" s="155">
        <v>22</v>
      </c>
      <c r="BT26" s="155">
        <v>470</v>
      </c>
      <c r="BU26" s="155">
        <v>296</v>
      </c>
      <c r="BV26" s="155">
        <v>667</v>
      </c>
      <c r="BW26" s="155">
        <v>182</v>
      </c>
      <c r="BX26" s="155">
        <v>224</v>
      </c>
      <c r="BY26" s="155">
        <v>90</v>
      </c>
      <c r="BZ26" s="155">
        <v>153</v>
      </c>
      <c r="CA26" s="155">
        <v>232</v>
      </c>
      <c r="CB26" s="552">
        <v>276</v>
      </c>
      <c r="CC26" s="155">
        <v>253</v>
      </c>
      <c r="CD26" s="155">
        <v>67</v>
      </c>
      <c r="CE26" s="155">
        <v>152</v>
      </c>
      <c r="CF26" s="155">
        <v>17</v>
      </c>
      <c r="CG26" s="155">
        <v>356</v>
      </c>
      <c r="CH26" s="155">
        <v>357</v>
      </c>
      <c r="CI26" s="155">
        <v>330</v>
      </c>
      <c r="CJ26" s="155">
        <v>502</v>
      </c>
      <c r="CK26" s="156">
        <v>259</v>
      </c>
      <c r="CL26" s="320">
        <v>8043</v>
      </c>
    </row>
    <row r="27" spans="1:94">
      <c r="A27" s="80">
        <f>ROWS($A$3:A25)</f>
        <v>23</v>
      </c>
      <c r="B27" s="52" t="s">
        <v>252</v>
      </c>
      <c r="C27" s="203">
        <v>2020</v>
      </c>
      <c r="D27" s="259" t="s">
        <v>13</v>
      </c>
      <c r="E27" s="706">
        <v>44428</v>
      </c>
      <c r="F27" s="154">
        <v>2870</v>
      </c>
      <c r="G27" s="155">
        <v>887</v>
      </c>
      <c r="H27" s="155">
        <v>2237</v>
      </c>
      <c r="I27" s="156">
        <v>2692</v>
      </c>
      <c r="J27" s="281"/>
      <c r="K27" s="154">
        <f>L27+M27</f>
        <v>542</v>
      </c>
      <c r="L27" s="155">
        <f t="shared" si="43"/>
        <v>210</v>
      </c>
      <c r="M27" s="155">
        <f t="shared" si="44"/>
        <v>332</v>
      </c>
      <c r="N27" s="155">
        <f t="shared" si="45"/>
        <v>190</v>
      </c>
      <c r="O27" s="155">
        <f t="shared" si="46"/>
        <v>140</v>
      </c>
      <c r="P27" s="155">
        <f t="shared" si="73"/>
        <v>325</v>
      </c>
      <c r="Q27" s="155">
        <f t="shared" si="74"/>
        <v>138</v>
      </c>
      <c r="R27" s="155">
        <f t="shared" si="47"/>
        <v>298</v>
      </c>
      <c r="S27" s="155">
        <f t="shared" si="48"/>
        <v>140</v>
      </c>
      <c r="T27" s="155">
        <f t="shared" si="49"/>
        <v>239</v>
      </c>
      <c r="U27" s="552">
        <f t="shared" si="49"/>
        <v>475</v>
      </c>
      <c r="V27" s="155">
        <f t="shared" si="50"/>
        <v>72</v>
      </c>
      <c r="W27" s="155">
        <f t="shared" si="51"/>
        <v>115</v>
      </c>
      <c r="X27" s="155">
        <f t="shared" si="52"/>
        <v>145</v>
      </c>
      <c r="Y27" s="155">
        <f t="shared" si="53"/>
        <v>229</v>
      </c>
      <c r="Z27" s="155">
        <f t="shared" si="54"/>
        <v>169</v>
      </c>
      <c r="AA27" s="155">
        <f t="shared" si="55"/>
        <v>76</v>
      </c>
      <c r="AB27" s="552">
        <f t="shared" si="56"/>
        <v>81</v>
      </c>
      <c r="AC27" s="155">
        <f t="shared" si="57"/>
        <v>292</v>
      </c>
      <c r="AD27" s="155">
        <f t="shared" si="58"/>
        <v>177</v>
      </c>
      <c r="AE27" s="155">
        <f t="shared" si="59"/>
        <v>542</v>
      </c>
      <c r="AF27" s="155">
        <f t="shared" si="60"/>
        <v>231</v>
      </c>
      <c r="AG27" s="155">
        <f t="shared" si="61"/>
        <v>342</v>
      </c>
      <c r="AH27" s="155">
        <f t="shared" si="62"/>
        <v>167</v>
      </c>
      <c r="AI27" s="155">
        <f t="shared" si="63"/>
        <v>150</v>
      </c>
      <c r="AJ27" s="155">
        <f t="shared" si="64"/>
        <v>87</v>
      </c>
      <c r="AK27" s="552">
        <f t="shared" si="65"/>
        <v>249</v>
      </c>
      <c r="AL27" s="155">
        <f t="shared" si="66"/>
        <v>172</v>
      </c>
      <c r="AM27" s="155">
        <f t="shared" si="67"/>
        <v>471</v>
      </c>
      <c r="AN27" s="155">
        <f t="shared" si="68"/>
        <v>643</v>
      </c>
      <c r="AO27" s="155">
        <f t="shared" si="69"/>
        <v>234</v>
      </c>
      <c r="AP27" s="155">
        <f t="shared" si="69"/>
        <v>90</v>
      </c>
      <c r="AQ27" s="155">
        <f t="shared" si="70"/>
        <v>271</v>
      </c>
      <c r="AR27" s="155">
        <f t="shared" si="71"/>
        <v>303</v>
      </c>
      <c r="AS27" s="156">
        <f t="shared" si="72"/>
        <v>508</v>
      </c>
      <c r="AT27" s="155">
        <v>20</v>
      </c>
      <c r="AU27" s="155">
        <v>138</v>
      </c>
      <c r="AV27" s="155">
        <v>140</v>
      </c>
      <c r="AW27" s="155">
        <v>190</v>
      </c>
      <c r="AX27" s="155">
        <v>278</v>
      </c>
      <c r="AY27" s="155">
        <v>210</v>
      </c>
      <c r="AZ27" s="155">
        <v>35</v>
      </c>
      <c r="BA27" s="155">
        <v>290</v>
      </c>
      <c r="BB27" s="155">
        <v>239</v>
      </c>
      <c r="BC27" s="155">
        <v>475</v>
      </c>
      <c r="BD27" s="155">
        <v>332</v>
      </c>
      <c r="BE27" s="155">
        <v>140</v>
      </c>
      <c r="BF27" s="552">
        <v>383</v>
      </c>
      <c r="BG27" s="155">
        <v>5</v>
      </c>
      <c r="BH27" s="155">
        <v>16</v>
      </c>
      <c r="BI27" s="155">
        <v>129</v>
      </c>
      <c r="BJ27" s="155">
        <v>67</v>
      </c>
      <c r="BK27" s="155">
        <v>19</v>
      </c>
      <c r="BL27" s="155">
        <v>12</v>
      </c>
      <c r="BM27" s="155">
        <v>169</v>
      </c>
      <c r="BN27" s="155">
        <v>198</v>
      </c>
      <c r="BO27" s="155">
        <v>2</v>
      </c>
      <c r="BP27" s="155">
        <v>81</v>
      </c>
      <c r="BQ27" s="155">
        <v>74</v>
      </c>
      <c r="BR27" s="552">
        <v>115</v>
      </c>
      <c r="BS27" s="155">
        <v>32</v>
      </c>
      <c r="BT27" s="155">
        <v>510</v>
      </c>
      <c r="BU27" s="155">
        <v>177</v>
      </c>
      <c r="BV27" s="155">
        <v>342</v>
      </c>
      <c r="BW27" s="155">
        <v>150</v>
      </c>
      <c r="BX27" s="155">
        <v>292</v>
      </c>
      <c r="BY27" s="155">
        <v>87</v>
      </c>
      <c r="BZ27" s="155">
        <v>167</v>
      </c>
      <c r="CA27" s="155">
        <v>231</v>
      </c>
      <c r="CB27" s="552">
        <v>249</v>
      </c>
      <c r="CC27" s="155">
        <v>234</v>
      </c>
      <c r="CD27" s="155">
        <v>90</v>
      </c>
      <c r="CE27" s="155">
        <v>172</v>
      </c>
      <c r="CF27" s="155">
        <v>24</v>
      </c>
      <c r="CG27" s="155">
        <v>484</v>
      </c>
      <c r="CH27" s="155">
        <v>471</v>
      </c>
      <c r="CI27" s="155">
        <v>303</v>
      </c>
      <c r="CJ27" s="155">
        <v>643</v>
      </c>
      <c r="CK27" s="156">
        <v>271</v>
      </c>
      <c r="CL27" s="320">
        <v>8686</v>
      </c>
    </row>
    <row r="28" spans="1:94">
      <c r="A28" s="80">
        <f>ROWS($A$3:A26)</f>
        <v>24</v>
      </c>
      <c r="B28" s="52" t="s">
        <v>4</v>
      </c>
      <c r="C28" s="203">
        <v>2020</v>
      </c>
      <c r="D28" s="259" t="s">
        <v>13</v>
      </c>
      <c r="E28" s="706">
        <v>44428</v>
      </c>
      <c r="F28" s="154">
        <v>2042</v>
      </c>
      <c r="G28" s="155">
        <v>727</v>
      </c>
      <c r="H28" s="155">
        <v>1203</v>
      </c>
      <c r="I28" s="156">
        <v>1898</v>
      </c>
      <c r="J28" s="281"/>
      <c r="K28" s="154">
        <f t="shared" si="42"/>
        <v>272</v>
      </c>
      <c r="L28" s="155">
        <f t="shared" si="43"/>
        <v>109</v>
      </c>
      <c r="M28" s="155">
        <f>BD28</f>
        <v>210</v>
      </c>
      <c r="N28" s="155">
        <f>AW28</f>
        <v>134</v>
      </c>
      <c r="O28" s="155">
        <f>BE28</f>
        <v>126</v>
      </c>
      <c r="P28" s="155">
        <f t="shared" si="73"/>
        <v>249</v>
      </c>
      <c r="Q28" s="155">
        <f t="shared" si="74"/>
        <v>108</v>
      </c>
      <c r="R28" s="155">
        <f>AT28+AX28</f>
        <v>183</v>
      </c>
      <c r="S28" s="155">
        <f>AV28</f>
        <v>106</v>
      </c>
      <c r="T28" s="155">
        <f>BB28</f>
        <v>161</v>
      </c>
      <c r="U28" s="552">
        <f>BC28</f>
        <v>384</v>
      </c>
      <c r="V28" s="155">
        <f>BG28+BJ28</f>
        <v>43</v>
      </c>
      <c r="W28" s="155">
        <f>BR28</f>
        <v>63</v>
      </c>
      <c r="X28" s="155">
        <f>BH28+BI28</f>
        <v>118</v>
      </c>
      <c r="Y28" s="155">
        <f>BK28+BL28+BN28</f>
        <v>203</v>
      </c>
      <c r="Z28" s="155">
        <f>BM28</f>
        <v>152</v>
      </c>
      <c r="AA28" s="155">
        <f>BO28+BQ28</f>
        <v>80</v>
      </c>
      <c r="AB28" s="552">
        <f>BP28</f>
        <v>68</v>
      </c>
      <c r="AC28" s="155">
        <f>BX28</f>
        <v>159</v>
      </c>
      <c r="AD28" s="155">
        <f>BU28</f>
        <v>67</v>
      </c>
      <c r="AE28" s="155">
        <f>BS28+BT28</f>
        <v>195</v>
      </c>
      <c r="AF28" s="155">
        <f>CA28</f>
        <v>97</v>
      </c>
      <c r="AG28" s="155">
        <f>BV28</f>
        <v>196</v>
      </c>
      <c r="AH28" s="155">
        <f>BZ28</f>
        <v>145</v>
      </c>
      <c r="AI28" s="155">
        <f>BW28</f>
        <v>128</v>
      </c>
      <c r="AJ28" s="155">
        <f>BY28</f>
        <v>72</v>
      </c>
      <c r="AK28" s="552">
        <f>CB28</f>
        <v>144</v>
      </c>
      <c r="AL28" s="155">
        <f>CE28</f>
        <v>90</v>
      </c>
      <c r="AM28" s="155">
        <f>CH28</f>
        <v>355</v>
      </c>
      <c r="AN28" s="155">
        <f>CJ28</f>
        <v>502</v>
      </c>
      <c r="AO28" s="155">
        <f>CC28</f>
        <v>180</v>
      </c>
      <c r="AP28" s="155">
        <f>CD28</f>
        <v>57</v>
      </c>
      <c r="AQ28" s="155">
        <f>CK28</f>
        <v>197</v>
      </c>
      <c r="AR28" s="155">
        <f>CI28</f>
        <v>130</v>
      </c>
      <c r="AS28" s="156">
        <f t="shared" si="72"/>
        <v>387</v>
      </c>
      <c r="AT28" s="155">
        <v>10</v>
      </c>
      <c r="AU28" s="155">
        <v>108</v>
      </c>
      <c r="AV28" s="155">
        <v>106</v>
      </c>
      <c r="AW28" s="155">
        <v>134</v>
      </c>
      <c r="AX28" s="155">
        <v>173</v>
      </c>
      <c r="AY28" s="155">
        <v>109</v>
      </c>
      <c r="AZ28" s="155">
        <v>15</v>
      </c>
      <c r="BA28" s="155">
        <v>234</v>
      </c>
      <c r="BB28" s="155">
        <v>161</v>
      </c>
      <c r="BC28" s="155">
        <v>384</v>
      </c>
      <c r="BD28" s="155">
        <v>210</v>
      </c>
      <c r="BE28" s="155">
        <v>126</v>
      </c>
      <c r="BF28" s="552">
        <v>272</v>
      </c>
      <c r="BG28" s="155">
        <v>3</v>
      </c>
      <c r="BH28" s="155">
        <v>5</v>
      </c>
      <c r="BI28" s="155">
        <v>113</v>
      </c>
      <c r="BJ28" s="155">
        <v>40</v>
      </c>
      <c r="BK28" s="155">
        <v>12</v>
      </c>
      <c r="BL28" s="155">
        <v>16</v>
      </c>
      <c r="BM28" s="155">
        <v>152</v>
      </c>
      <c r="BN28" s="155">
        <v>175</v>
      </c>
      <c r="BO28" s="155">
        <v>5</v>
      </c>
      <c r="BP28" s="155">
        <v>68</v>
      </c>
      <c r="BQ28" s="155">
        <v>75</v>
      </c>
      <c r="BR28" s="552">
        <v>63</v>
      </c>
      <c r="BS28" s="155">
        <v>12</v>
      </c>
      <c r="BT28" s="155">
        <v>183</v>
      </c>
      <c r="BU28" s="155">
        <v>67</v>
      </c>
      <c r="BV28" s="155">
        <v>196</v>
      </c>
      <c r="BW28" s="155">
        <v>128</v>
      </c>
      <c r="BX28" s="155">
        <v>159</v>
      </c>
      <c r="BY28" s="155">
        <v>72</v>
      </c>
      <c r="BZ28" s="155">
        <v>145</v>
      </c>
      <c r="CA28" s="155">
        <v>97</v>
      </c>
      <c r="CB28" s="552">
        <v>144</v>
      </c>
      <c r="CC28" s="155">
        <v>180</v>
      </c>
      <c r="CD28" s="155">
        <v>57</v>
      </c>
      <c r="CE28" s="155">
        <v>90</v>
      </c>
      <c r="CF28" s="155">
        <v>29</v>
      </c>
      <c r="CG28" s="155">
        <v>358</v>
      </c>
      <c r="CH28" s="155">
        <v>355</v>
      </c>
      <c r="CI28" s="155">
        <v>130</v>
      </c>
      <c r="CJ28" s="155">
        <v>502</v>
      </c>
      <c r="CK28" s="156">
        <v>197</v>
      </c>
      <c r="CL28" s="320">
        <v>5870</v>
      </c>
    </row>
    <row r="29" spans="1:94">
      <c r="A29" s="80">
        <f>ROWS($A$3:A27)</f>
        <v>25</v>
      </c>
      <c r="B29" s="52" t="s">
        <v>5</v>
      </c>
      <c r="C29" s="203">
        <v>2020</v>
      </c>
      <c r="D29" s="259" t="s">
        <v>13</v>
      </c>
      <c r="E29" s="706">
        <v>44428</v>
      </c>
      <c r="F29" s="154">
        <v>1098</v>
      </c>
      <c r="G29" s="155">
        <v>606</v>
      </c>
      <c r="H29" s="155">
        <v>653</v>
      </c>
      <c r="I29" s="156">
        <v>988</v>
      </c>
      <c r="J29" s="281"/>
      <c r="K29" s="154">
        <f t="shared" si="42"/>
        <v>155</v>
      </c>
      <c r="L29" s="155">
        <f t="shared" si="43"/>
        <v>41</v>
      </c>
      <c r="M29" s="155">
        <f t="shared" si="44"/>
        <v>201</v>
      </c>
      <c r="N29" s="155">
        <f t="shared" si="45"/>
        <v>61</v>
      </c>
      <c r="O29" s="155">
        <f t="shared" si="46"/>
        <v>70</v>
      </c>
      <c r="P29" s="155">
        <f t="shared" si="73"/>
        <v>139</v>
      </c>
      <c r="Q29" s="155">
        <f t="shared" si="74"/>
        <v>60</v>
      </c>
      <c r="R29" s="155">
        <f t="shared" si="47"/>
        <v>51</v>
      </c>
      <c r="S29" s="155">
        <f t="shared" si="48"/>
        <v>37</v>
      </c>
      <c r="T29" s="155">
        <f t="shared" si="49"/>
        <v>107</v>
      </c>
      <c r="U29" s="552">
        <f t="shared" si="49"/>
        <v>176</v>
      </c>
      <c r="V29" s="155">
        <f t="shared" si="50"/>
        <v>45</v>
      </c>
      <c r="W29" s="155">
        <f t="shared" si="51"/>
        <v>47</v>
      </c>
      <c r="X29" s="155">
        <f t="shared" si="52"/>
        <v>145</v>
      </c>
      <c r="Y29" s="155">
        <f t="shared" si="53"/>
        <v>109</v>
      </c>
      <c r="Z29" s="155">
        <f t="shared" si="54"/>
        <v>147</v>
      </c>
      <c r="AA29" s="155">
        <f t="shared" si="55"/>
        <v>67</v>
      </c>
      <c r="AB29" s="552">
        <f t="shared" si="56"/>
        <v>46</v>
      </c>
      <c r="AC29" s="155">
        <f t="shared" si="57"/>
        <v>84</v>
      </c>
      <c r="AD29" s="155">
        <f t="shared" si="58"/>
        <v>36</v>
      </c>
      <c r="AE29" s="155">
        <f t="shared" si="59"/>
        <v>59</v>
      </c>
      <c r="AF29" s="155">
        <f t="shared" si="60"/>
        <v>25</v>
      </c>
      <c r="AG29" s="155">
        <f t="shared" si="61"/>
        <v>93</v>
      </c>
      <c r="AH29" s="155">
        <f t="shared" si="62"/>
        <v>91</v>
      </c>
      <c r="AI29" s="155">
        <f t="shared" si="63"/>
        <v>84</v>
      </c>
      <c r="AJ29" s="155">
        <f t="shared" si="64"/>
        <v>87</v>
      </c>
      <c r="AK29" s="552">
        <f t="shared" si="65"/>
        <v>94</v>
      </c>
      <c r="AL29" s="155">
        <f t="shared" si="66"/>
        <v>115</v>
      </c>
      <c r="AM29" s="155">
        <f t="shared" si="67"/>
        <v>178</v>
      </c>
      <c r="AN29" s="155">
        <f t="shared" si="68"/>
        <v>129</v>
      </c>
      <c r="AO29" s="155">
        <f t="shared" si="69"/>
        <v>104</v>
      </c>
      <c r="AP29" s="155">
        <f t="shared" si="69"/>
        <v>66</v>
      </c>
      <c r="AQ29" s="155">
        <f t="shared" si="70"/>
        <v>169</v>
      </c>
      <c r="AR29" s="155">
        <f t="shared" si="71"/>
        <v>41</v>
      </c>
      <c r="AS29" s="156">
        <f t="shared" si="72"/>
        <v>186</v>
      </c>
      <c r="AT29" s="155">
        <v>3</v>
      </c>
      <c r="AU29" s="155">
        <v>60</v>
      </c>
      <c r="AV29" s="155">
        <v>37</v>
      </c>
      <c r="AW29" s="155">
        <v>61</v>
      </c>
      <c r="AX29" s="155">
        <v>48</v>
      </c>
      <c r="AY29" s="155">
        <v>41</v>
      </c>
      <c r="AZ29" s="155">
        <v>9</v>
      </c>
      <c r="BA29" s="155">
        <v>130</v>
      </c>
      <c r="BB29" s="155">
        <v>107</v>
      </c>
      <c r="BC29" s="155">
        <v>176</v>
      </c>
      <c r="BD29" s="155">
        <v>201</v>
      </c>
      <c r="BE29" s="155">
        <v>70</v>
      </c>
      <c r="BF29" s="552">
        <v>155</v>
      </c>
      <c r="BG29" s="155">
        <v>5</v>
      </c>
      <c r="BH29" s="155">
        <v>7</v>
      </c>
      <c r="BI29" s="155">
        <v>138</v>
      </c>
      <c r="BJ29" s="155">
        <v>40</v>
      </c>
      <c r="BK29" s="155">
        <v>2</v>
      </c>
      <c r="BL29" s="155">
        <v>7</v>
      </c>
      <c r="BM29" s="155">
        <v>147</v>
      </c>
      <c r="BN29" s="155">
        <v>100</v>
      </c>
      <c r="BO29" s="155">
        <v>3</v>
      </c>
      <c r="BP29" s="155">
        <v>46</v>
      </c>
      <c r="BQ29" s="155">
        <v>64</v>
      </c>
      <c r="BR29" s="552">
        <v>47</v>
      </c>
      <c r="BS29" s="155">
        <v>5</v>
      </c>
      <c r="BT29" s="155">
        <v>54</v>
      </c>
      <c r="BU29" s="155">
        <v>36</v>
      </c>
      <c r="BV29" s="155">
        <v>93</v>
      </c>
      <c r="BW29" s="155">
        <v>84</v>
      </c>
      <c r="BX29" s="155">
        <v>84</v>
      </c>
      <c r="BY29" s="155">
        <v>87</v>
      </c>
      <c r="BZ29" s="155">
        <v>91</v>
      </c>
      <c r="CA29" s="155">
        <v>25</v>
      </c>
      <c r="CB29" s="552">
        <v>94</v>
      </c>
      <c r="CC29" s="155">
        <v>104</v>
      </c>
      <c r="CD29" s="155">
        <v>66</v>
      </c>
      <c r="CE29" s="155">
        <v>115</v>
      </c>
      <c r="CF29" s="155">
        <v>12</v>
      </c>
      <c r="CG29" s="155">
        <v>174</v>
      </c>
      <c r="CH29" s="155">
        <v>178</v>
      </c>
      <c r="CI29" s="155">
        <v>41</v>
      </c>
      <c r="CJ29" s="155">
        <v>129</v>
      </c>
      <c r="CK29" s="156">
        <v>169</v>
      </c>
      <c r="CL29" s="320">
        <v>3345</v>
      </c>
    </row>
    <row r="30" spans="1:94">
      <c r="A30" s="80">
        <f>ROWS($A$3:A28)</f>
        <v>26</v>
      </c>
      <c r="B30" s="53" t="s">
        <v>256</v>
      </c>
      <c r="C30" s="252"/>
      <c r="D30" s="259" t="s">
        <v>1</v>
      </c>
      <c r="E30" s="706">
        <v>44428</v>
      </c>
      <c r="F30" s="539">
        <f>F35/F23</f>
        <v>37.26060020918819</v>
      </c>
      <c r="G30" s="521">
        <f>G35/G23</f>
        <v>46.016114389468903</v>
      </c>
      <c r="H30" s="521">
        <f>H35/H23</f>
        <v>26.375625625625627</v>
      </c>
      <c r="I30" s="540">
        <f>I35/I23</f>
        <v>41.513740011693628</v>
      </c>
      <c r="J30" s="382"/>
      <c r="K30" s="536">
        <f>BF30</f>
        <v>38.946560196560199</v>
      </c>
      <c r="L30" s="537">
        <f t="shared" si="43"/>
        <v>23.946124763705104</v>
      </c>
      <c r="M30" s="537">
        <f t="shared" si="44"/>
        <v>53.24921135646688</v>
      </c>
      <c r="N30" s="537">
        <f t="shared" si="45"/>
        <v>39.597733711048157</v>
      </c>
      <c r="O30" s="537">
        <f t="shared" si="46"/>
        <v>50.796116504854368</v>
      </c>
      <c r="P30" s="521">
        <f>P35/P23</f>
        <v>30.069198751300728</v>
      </c>
      <c r="Q30" s="537">
        <f t="shared" si="74"/>
        <v>40.509909909909908</v>
      </c>
      <c r="R30" s="521">
        <f>R35/R23</f>
        <v>26.71834228702993</v>
      </c>
      <c r="S30" s="537">
        <f t="shared" si="48"/>
        <v>31.976152623211448</v>
      </c>
      <c r="T30" s="537">
        <f t="shared" si="49"/>
        <v>40.147792706333973</v>
      </c>
      <c r="U30" s="561">
        <f t="shared" si="49"/>
        <v>41.984470327232387</v>
      </c>
      <c r="V30" s="521">
        <f>V35/V23</f>
        <v>29.786641929499073</v>
      </c>
      <c r="W30" s="537">
        <f t="shared" si="51"/>
        <v>39.897872340425529</v>
      </c>
      <c r="X30" s="521">
        <f>X35/X23</f>
        <v>52.927083333333336</v>
      </c>
      <c r="Y30" s="521">
        <f>Y35/Y23</f>
        <v>45.084112149532707</v>
      </c>
      <c r="Z30" s="537">
        <f t="shared" si="54"/>
        <v>56.765586034912715</v>
      </c>
      <c r="AA30" s="521">
        <f>AA35/AA23</f>
        <v>47.478060046189377</v>
      </c>
      <c r="AB30" s="561">
        <f t="shared" si="56"/>
        <v>41.280742459396748</v>
      </c>
      <c r="AC30" s="537">
        <f t="shared" si="57"/>
        <v>40.098532494758906</v>
      </c>
      <c r="AD30" s="537">
        <f t="shared" si="58"/>
        <v>18.743676222596964</v>
      </c>
      <c r="AE30" s="521">
        <f>AE35/AE23</f>
        <v>19.2719881744272</v>
      </c>
      <c r="AF30" s="537">
        <f t="shared" si="60"/>
        <v>24.048625792811841</v>
      </c>
      <c r="AG30" s="537">
        <f t="shared" si="61"/>
        <v>17.688706105662764</v>
      </c>
      <c r="AH30" s="537">
        <f t="shared" si="62"/>
        <v>41.723135271807841</v>
      </c>
      <c r="AI30" s="537">
        <f t="shared" si="63"/>
        <v>40.698910081743868</v>
      </c>
      <c r="AJ30" s="537">
        <f t="shared" si="64"/>
        <v>57.588942307692307</v>
      </c>
      <c r="AK30" s="561">
        <f t="shared" si="65"/>
        <v>34.790676416819011</v>
      </c>
      <c r="AL30" s="537">
        <f t="shared" si="66"/>
        <v>49.227142857142859</v>
      </c>
      <c r="AM30" s="537">
        <f t="shared" si="67"/>
        <v>46.053276178812006</v>
      </c>
      <c r="AN30" s="537">
        <f t="shared" si="68"/>
        <v>38.202666666666666</v>
      </c>
      <c r="AO30" s="537">
        <f t="shared" si="69"/>
        <v>44.35406218655968</v>
      </c>
      <c r="AP30" s="537">
        <f t="shared" si="69"/>
        <v>53.132625994694962</v>
      </c>
      <c r="AQ30" s="537">
        <f t="shared" si="70"/>
        <v>48.122466960352426</v>
      </c>
      <c r="AR30" s="537">
        <f t="shared" si="71"/>
        <v>23.413597733711047</v>
      </c>
      <c r="AS30" s="540">
        <f>AS35/AS23</f>
        <v>44.631968145620021</v>
      </c>
      <c r="AT30" s="521">
        <f>AT35/AT23</f>
        <v>13.598901098901099</v>
      </c>
      <c r="AU30" s="521">
        <f>AU35/AU23</f>
        <v>40.509909909909908</v>
      </c>
      <c r="AV30" s="521">
        <f t="shared" ref="AV30:CL30" si="75">AV35/AV23</f>
        <v>31.976152623211448</v>
      </c>
      <c r="AW30" s="521">
        <f t="shared" si="75"/>
        <v>39.597733711048157</v>
      </c>
      <c r="AX30" s="521">
        <f>AX35/AX23</f>
        <v>28.848349687778768</v>
      </c>
      <c r="AY30" s="521">
        <f t="shared" si="75"/>
        <v>23.946124763705104</v>
      </c>
      <c r="AZ30" s="521">
        <f t="shared" si="75"/>
        <v>25.537974683544302</v>
      </c>
      <c r="BA30" s="521">
        <f t="shared" si="75"/>
        <v>30.475056689342402</v>
      </c>
      <c r="BB30" s="521">
        <f t="shared" si="75"/>
        <v>40.147792706333973</v>
      </c>
      <c r="BC30" s="521">
        <f t="shared" si="75"/>
        <v>41.984470327232387</v>
      </c>
      <c r="BD30" s="521">
        <f>BD35/BD23</f>
        <v>53.24921135646688</v>
      </c>
      <c r="BE30" s="521">
        <f t="shared" si="75"/>
        <v>50.796116504854368</v>
      </c>
      <c r="BF30" s="559">
        <f t="shared" si="75"/>
        <v>38.946560196560199</v>
      </c>
      <c r="BG30" s="521">
        <f t="shared" si="75"/>
        <v>17.238095238095237</v>
      </c>
      <c r="BH30" s="521">
        <f>BH35/BH23</f>
        <v>39.106060606060609</v>
      </c>
      <c r="BI30" s="521">
        <f>BI35/BI23</f>
        <v>54.226495726495727</v>
      </c>
      <c r="BJ30" s="521">
        <f>BJ35/BJ23</f>
        <v>32.103296703296706</v>
      </c>
      <c r="BK30" s="521">
        <f t="shared" si="75"/>
        <v>27.712121212121211</v>
      </c>
      <c r="BL30" s="521">
        <f t="shared" si="75"/>
        <v>52.854545454545452</v>
      </c>
      <c r="BM30" s="521">
        <f>BM35/BM23</f>
        <v>56.765586034912715</v>
      </c>
      <c r="BN30" s="521">
        <f t="shared" si="75"/>
        <v>45.938242280285039</v>
      </c>
      <c r="BO30" s="521">
        <f t="shared" si="75"/>
        <v>43.217391304347828</v>
      </c>
      <c r="BP30" s="521">
        <f t="shared" si="75"/>
        <v>41.280742459396748</v>
      </c>
      <c r="BQ30" s="521">
        <f>BQ35/BQ23</f>
        <v>47.717073170731709</v>
      </c>
      <c r="BR30" s="559">
        <f t="shared" si="75"/>
        <v>39.897872340425529</v>
      </c>
      <c r="BS30" s="521">
        <f t="shared" si="75"/>
        <v>19.426966292134832</v>
      </c>
      <c r="BT30" s="521">
        <f t="shared" si="75"/>
        <v>19.26107594936709</v>
      </c>
      <c r="BU30" s="521">
        <f t="shared" si="75"/>
        <v>18.743676222596964</v>
      </c>
      <c r="BV30" s="521">
        <f t="shared" si="75"/>
        <v>17.688706105662764</v>
      </c>
      <c r="BW30" s="521">
        <f t="shared" si="75"/>
        <v>40.698910081743868</v>
      </c>
      <c r="BX30" s="521">
        <f t="shared" si="75"/>
        <v>40.098532494758906</v>
      </c>
      <c r="BY30" s="521">
        <f t="shared" si="75"/>
        <v>57.588942307692307</v>
      </c>
      <c r="BZ30" s="521">
        <f t="shared" si="75"/>
        <v>41.723135271807841</v>
      </c>
      <c r="CA30" s="521">
        <f t="shared" si="75"/>
        <v>24.048625792811841</v>
      </c>
      <c r="CB30" s="559">
        <f t="shared" si="75"/>
        <v>34.790676416819011</v>
      </c>
      <c r="CC30" s="521">
        <f t="shared" si="75"/>
        <v>44.35406218655968</v>
      </c>
      <c r="CD30" s="521">
        <f t="shared" si="75"/>
        <v>53.132625994694962</v>
      </c>
      <c r="CE30" s="521">
        <f t="shared" si="75"/>
        <v>49.227142857142859</v>
      </c>
      <c r="CF30" s="521">
        <f t="shared" si="75"/>
        <v>43.635514018691588</v>
      </c>
      <c r="CG30" s="521">
        <f t="shared" si="75"/>
        <v>44.696547546941247</v>
      </c>
      <c r="CH30" s="521">
        <f t="shared" si="75"/>
        <v>46.053276178812006</v>
      </c>
      <c r="CI30" s="521">
        <f t="shared" si="75"/>
        <v>23.413597733711047</v>
      </c>
      <c r="CJ30" s="521">
        <f t="shared" si="75"/>
        <v>38.202666666666666</v>
      </c>
      <c r="CK30" s="540">
        <f t="shared" si="75"/>
        <v>48.122466960352426</v>
      </c>
      <c r="CL30" s="560">
        <f t="shared" si="75"/>
        <v>36.025662018677245</v>
      </c>
    </row>
    <row r="31" spans="1:94">
      <c r="A31" s="80">
        <f>ROWS($A$3:A29)</f>
        <v>27</v>
      </c>
      <c r="B31" s="53" t="str">
        <f>"Entwicklung Betriebe ab 5 ha LF von 2001 / "&amp;C22</f>
        <v>Entwicklung Betriebe ab 5 ha LF von 2001 / 2020</v>
      </c>
      <c r="C31" s="252"/>
      <c r="D31" s="259" t="s">
        <v>3</v>
      </c>
      <c r="E31" s="706">
        <v>44428</v>
      </c>
      <c r="F31" s="530">
        <f>(F23-F24)/('2001'!F23-'2001'!F24)%-100</f>
        <v>-29.831704668838228</v>
      </c>
      <c r="G31" s="531">
        <f>(G23-G24)/('2001'!G23-'2001'!G24)%-100</f>
        <v>-25.147463625639006</v>
      </c>
      <c r="H31" s="531">
        <f>(H23-H24)/('2001'!H23-'2001'!H24)%-100</f>
        <v>-25.167595509248045</v>
      </c>
      <c r="I31" s="532">
        <f>(I23-I24)/('2001'!I23-'2001'!I24)%-100</f>
        <v>-30.489938757655295</v>
      </c>
      <c r="J31" s="281"/>
      <c r="K31" s="154">
        <f t="shared" si="42"/>
        <v>-30.86040386303776</v>
      </c>
      <c r="L31" s="155">
        <f t="shared" si="43"/>
        <v>-26.325940212150428</v>
      </c>
      <c r="M31" s="155">
        <f t="shared" si="44"/>
        <v>-39.168017287952466</v>
      </c>
      <c r="N31" s="155">
        <f t="shared" si="45"/>
        <v>-23.302107728337234</v>
      </c>
      <c r="O31" s="155">
        <f t="shared" si="46"/>
        <v>-25.710014947683106</v>
      </c>
      <c r="P31" s="531">
        <f>100-(P23%/((AZ23%)/(100-AZ31)+(BA23%)/(100-BA31)))</f>
        <v>-27.237027754235385</v>
      </c>
      <c r="Q31" s="542">
        <f t="shared" si="74"/>
        <v>-29.08587257617728</v>
      </c>
      <c r="R31" s="531">
        <f>100-(R23%/((AT23%)/(100-AT31)+(AX23%)/(100-AX31)))</f>
        <v>-22.605392838737302</v>
      </c>
      <c r="S31" s="542">
        <f t="shared" si="48"/>
        <v>-19.423368740515926</v>
      </c>
      <c r="T31" s="542">
        <f t="shared" si="49"/>
        <v>-34.466769706336933</v>
      </c>
      <c r="U31" s="554">
        <f t="shared" si="49"/>
        <v>-31.91573926868044</v>
      </c>
      <c r="V31" s="531">
        <f>100-(V23%/((BG23%)/(100-BG31)+(BJ23%)/(100-BJ31)))</f>
        <v>-11.594202898550705</v>
      </c>
      <c r="W31" s="542">
        <f t="shared" si="51"/>
        <v>-28.164556962025316</v>
      </c>
      <c r="X31" s="531">
        <f>100-(X23%/((BH23%)/(100-BH31)+(BI23%)/(100-BI31)))</f>
        <v>-19.286501552887955</v>
      </c>
      <c r="Y31" s="531">
        <f>100-(Y23%/((BK23%)/(100-BK31)+(BL23%)/(100-BL31)+(BN23%)/(100-BN31)))</f>
        <v>-27.766235803201752</v>
      </c>
      <c r="Z31" s="542">
        <f t="shared" si="54"/>
        <v>-30.818181818181813</v>
      </c>
      <c r="AA31" s="531">
        <f>100-(AA23%/((BO23%)/(100-BO31)+(BQ23%)/(100-BQ31)))</f>
        <v>-18.373347410266945</v>
      </c>
      <c r="AB31" s="554">
        <f t="shared" si="56"/>
        <v>-28.571428571428569</v>
      </c>
      <c r="AC31" s="542">
        <f t="shared" si="57"/>
        <v>-26.332288401253919</v>
      </c>
      <c r="AD31" s="542">
        <f t="shared" si="58"/>
        <v>-22.537878787878796</v>
      </c>
      <c r="AE31" s="531">
        <f>100-(AE23%/((BS23%)/(100-BS31)+(BT23%)/(100-BT31)))</f>
        <v>-19.212894765506078</v>
      </c>
      <c r="AF31" s="542">
        <f t="shared" si="60"/>
        <v>-24.79030754892824</v>
      </c>
      <c r="AG31" s="542">
        <f t="shared" si="61"/>
        <v>-23.680351906158364</v>
      </c>
      <c r="AH31" s="542">
        <f t="shared" si="62"/>
        <v>-27.312295973884659</v>
      </c>
      <c r="AI31" s="542">
        <f t="shared" si="63"/>
        <v>-27.300303336703749</v>
      </c>
      <c r="AJ31" s="542">
        <f t="shared" si="64"/>
        <v>-32.333333333333329</v>
      </c>
      <c r="AK31" s="554">
        <f t="shared" si="65"/>
        <v>-31.794871794871796</v>
      </c>
      <c r="AL31" s="542">
        <f t="shared" si="66"/>
        <v>-26.673866090712735</v>
      </c>
      <c r="AM31" s="542">
        <f t="shared" si="67"/>
        <v>-31.932409012131714</v>
      </c>
      <c r="AN31" s="542">
        <f t="shared" si="68"/>
        <v>-29.671052631578945</v>
      </c>
      <c r="AO31" s="542">
        <f t="shared" si="69"/>
        <v>-26.774691358024697</v>
      </c>
      <c r="AP31" s="542">
        <f t="shared" si="69"/>
        <v>-30.583501006036215</v>
      </c>
      <c r="AQ31" s="542">
        <f t="shared" si="70"/>
        <v>-32.101047443006777</v>
      </c>
      <c r="AR31" s="542">
        <f t="shared" si="71"/>
        <v>-28.648285137861464</v>
      </c>
      <c r="AS31" s="532">
        <f>100-(AS23%/((CF23%)/(100-CF31)+(CG23%)/(100-CG31)))</f>
        <v>-33.459164916451357</v>
      </c>
      <c r="AT31" s="542">
        <f>(AT23-AT24)/('2001'!AT23-'2001'!AT24)%-100</f>
        <v>-11.224489795918359</v>
      </c>
      <c r="AU31" s="155">
        <f>(AU23-AU24)/('2001'!AU23-'2001'!AU24)%-100</f>
        <v>-29.08587257617728</v>
      </c>
      <c r="AV31" s="155">
        <f>(AV23-AV24)/('2001'!AV23-'2001'!AV24)%-100</f>
        <v>-19.423368740515926</v>
      </c>
      <c r="AW31" s="155">
        <f>(AW23-AW24)/('2001'!AW23-'2001'!AW24)%-100</f>
        <v>-23.302107728337234</v>
      </c>
      <c r="AX31" s="155">
        <f>(AX23-AX24)/('2001'!AX23-'2001'!AX24)%-100</f>
        <v>-24.676616915422898</v>
      </c>
      <c r="AY31" s="155">
        <f>(AY23-AY24)/('2001'!AY23-'2001'!AY24)%-100</f>
        <v>-26.325940212150428</v>
      </c>
      <c r="AZ31" s="155">
        <f>(AZ23-AZ24)/('2001'!AZ23-'2001'!AZ24)%-100</f>
        <v>-29.629629629629633</v>
      </c>
      <c r="BA31" s="155">
        <f>(BA23-BA24)/('2001'!BA23-'2001'!BA24)%-100</f>
        <v>-27.027027027027032</v>
      </c>
      <c r="BB31" s="155">
        <f>(BB23-BB24)/('2001'!BB23-'2001'!BB24)%-100</f>
        <v>-34.466769706336933</v>
      </c>
      <c r="BC31" s="155">
        <f>(BC23-BC24)/('2001'!BC23-'2001'!BC24)%-100</f>
        <v>-31.91573926868044</v>
      </c>
      <c r="BD31" s="155">
        <f>(BD23-BD24)/('2001'!BD23-'2001'!BD24)%-100</f>
        <v>-39.168017287952466</v>
      </c>
      <c r="BE31" s="155">
        <f>(BE23-BE24)/('2001'!BE23-'2001'!BE24)%-100</f>
        <v>-25.710014947683106</v>
      </c>
      <c r="BF31" s="552">
        <f>(BF23-BF24)/('2001'!BF23-'2001'!BF24)%-100</f>
        <v>-30.86040386303776</v>
      </c>
      <c r="BG31" s="155">
        <f>(BG23-BG24)/('2001'!BG23-'2001'!BG24)%-100</f>
        <v>-20</v>
      </c>
      <c r="BH31" s="155">
        <f>(BH23-BH24)/('2001'!BH23-'2001'!BH24)%-100</f>
        <v>-12.698412698412696</v>
      </c>
      <c r="BI31" s="155">
        <f>(BI23-BI24)/('2001'!BI23-'2001'!BI24)%-100</f>
        <v>-19.945725915875173</v>
      </c>
      <c r="BJ31" s="155">
        <f>(BJ23-BJ24)/('2001'!BJ23-'2001'!BJ24)%-100</f>
        <v>-10.169491525423723</v>
      </c>
      <c r="BK31" s="155">
        <f>(BK23-BK24)/('2001'!BK23-'2001'!BK24)%-100</f>
        <v>-22.058823529411768</v>
      </c>
      <c r="BL31" s="155">
        <f>(BL23-BL24)/('2001'!BL23-'2001'!BL24)%-100</f>
        <v>-37.837837837837839</v>
      </c>
      <c r="BM31" s="155">
        <f>(BM23-BM24)/('2001'!BM23-'2001'!BM24)%-100</f>
        <v>-30.818181818181813</v>
      </c>
      <c r="BN31" s="155">
        <f>(BN23-BN24)/('2001'!BN23-'2001'!BN24)%-100</f>
        <v>-27.624872579001021</v>
      </c>
      <c r="BO31" s="155">
        <f>(BO23-BO24)/('2001'!BO23-'2001'!BO24)%-100</f>
        <v>-28.571428571428569</v>
      </c>
      <c r="BP31" s="155">
        <f>(BP23-BP24)/('2001'!BP23-'2001'!BP24)%-100</f>
        <v>-28.571428571428569</v>
      </c>
      <c r="BQ31" s="155">
        <f>(BQ23-BQ24)/('2001'!BQ23-'2001'!BQ24)%-100</f>
        <v>-17.848970251716253</v>
      </c>
      <c r="BR31" s="552">
        <f>(BR23-BR24)/('2001'!BR23-'2001'!BR24)%-100</f>
        <v>-28.164556962025316</v>
      </c>
      <c r="BS31" s="155">
        <f>(BS23-BS24)/('2001'!BS23-'2001'!BS24)%-100</f>
        <v>-18.644067796610159</v>
      </c>
      <c r="BT31" s="155">
        <f>(BT23-BT24)/('2001'!BT23-'2001'!BT24)%-100</f>
        <v>-19.253152279340455</v>
      </c>
      <c r="BU31" s="155">
        <f>(BU23-BU24)/('2001'!BU23-'2001'!BU24)%-100</f>
        <v>-22.537878787878796</v>
      </c>
      <c r="BV31" s="155">
        <f>(BV23-BV24)/('2001'!BV23-'2001'!BV24)%-100</f>
        <v>-23.680351906158364</v>
      </c>
      <c r="BW31" s="155">
        <f>(BW23-BW24)/('2001'!BW23-'2001'!BW24)%-100</f>
        <v>-27.300303336703749</v>
      </c>
      <c r="BX31" s="155">
        <f>(BX23-BX24)/('2001'!BX23-'2001'!BX24)%-100</f>
        <v>-26.332288401253919</v>
      </c>
      <c r="BY31" s="155">
        <f>(BY23-BY24)/('2001'!BY23-'2001'!BY24)%-100</f>
        <v>-32.333333333333329</v>
      </c>
      <c r="BZ31" s="155">
        <f>(BZ23-BZ24)/('2001'!BZ23-'2001'!BZ24)%-100</f>
        <v>-27.312295973884659</v>
      </c>
      <c r="CA31" s="155">
        <f>(CA23-CA24)/('2001'!CA23-'2001'!CA24)%-100</f>
        <v>-24.79030754892824</v>
      </c>
      <c r="CB31" s="552">
        <f>(CB23-CB24)/('2001'!CB23-'2001'!CB24)%-100</f>
        <v>-31.794871794871796</v>
      </c>
      <c r="CC31" s="155">
        <f>(CC23-CC24)/('2001'!CC23-'2001'!CC24)%-100</f>
        <v>-26.774691358024697</v>
      </c>
      <c r="CD31" s="155">
        <f>(CD23-CD24)/('2001'!CD23-'2001'!CD24)%-100</f>
        <v>-30.583501006036215</v>
      </c>
      <c r="CE31" s="155">
        <f>(CE23-CE24)/('2001'!CE23-'2001'!CE24)%-100</f>
        <v>-26.673866090712735</v>
      </c>
      <c r="CF31" s="155">
        <f>(CF23-CF24)/('2001'!CF23-'2001'!CF24)%-100</f>
        <v>-31.159420289855063</v>
      </c>
      <c r="CG31" s="155">
        <f>(CG23-CG24)/('2001'!CG23-'2001'!CG24)%-100</f>
        <v>-33.610995418575598</v>
      </c>
      <c r="CH31" s="155">
        <f>(CH23-CH24)/('2001'!CH23-'2001'!CH24)%-100</f>
        <v>-31.932409012131714</v>
      </c>
      <c r="CI31" s="155">
        <f>(CI23-CI24)/('2001'!CI23-'2001'!CI24)%-100</f>
        <v>-28.648285137861464</v>
      </c>
      <c r="CJ31" s="155">
        <f>(CJ23-CJ24)/('2001'!CJ23-'2001'!CJ24)%-100</f>
        <v>-29.671052631578945</v>
      </c>
      <c r="CK31" s="156">
        <f>(CK23-CK24)/('2001'!CK23-'2001'!CK24)%-100</f>
        <v>-32.101047443006777</v>
      </c>
      <c r="CL31" s="320">
        <f>(CL23-CL24)/('2001'!CL23-'2001'!CL24)%-100</f>
        <v>-28.251921862409901</v>
      </c>
    </row>
    <row r="32" spans="1:94" ht="13.5" customHeight="1">
      <c r="A32" s="80">
        <f>ROWS($A$3:A30)</f>
        <v>28</v>
      </c>
      <c r="B32" s="53" t="s">
        <v>170</v>
      </c>
      <c r="C32" s="252"/>
      <c r="D32" s="259" t="s">
        <v>3</v>
      </c>
      <c r="E32" s="706">
        <v>44428</v>
      </c>
      <c r="F32" s="154">
        <v>35.4</v>
      </c>
      <c r="G32" s="155">
        <v>32.200000000000003</v>
      </c>
      <c r="H32" s="155">
        <v>32.700000000000003</v>
      </c>
      <c r="I32" s="156">
        <v>40.1</v>
      </c>
      <c r="J32" s="281"/>
      <c r="K32" s="154">
        <f t="shared" si="42"/>
        <v>28.6</v>
      </c>
      <c r="L32" s="155">
        <f t="shared" si="43"/>
        <v>35.5</v>
      </c>
      <c r="M32" s="155">
        <f t="shared" si="44"/>
        <v>30.9</v>
      </c>
      <c r="N32" s="155">
        <f t="shared" si="45"/>
        <v>33.200000000000003</v>
      </c>
      <c r="O32" s="155">
        <f t="shared" si="46"/>
        <v>37.200000000000003</v>
      </c>
      <c r="P32" s="531">
        <f>(AZ23*AZ32+BA23*BA32)/P23</f>
        <v>41.070031217481791</v>
      </c>
      <c r="Q32" s="542">
        <f t="shared" si="74"/>
        <v>29.9</v>
      </c>
      <c r="R32" s="531">
        <f>(AT23*AT32+AX23*AX32)/R23</f>
        <v>39.290713737528783</v>
      </c>
      <c r="S32" s="542">
        <f t="shared" si="48"/>
        <v>34.1</v>
      </c>
      <c r="T32" s="542">
        <f t="shared" si="49"/>
        <v>35.5</v>
      </c>
      <c r="U32" s="554">
        <f t="shared" si="49"/>
        <v>38.9</v>
      </c>
      <c r="V32" s="531">
        <f>(BG23*BG32+BJ23*BJ32)/V23</f>
        <v>26.111688311688312</v>
      </c>
      <c r="W32" s="542">
        <f t="shared" si="51"/>
        <v>24</v>
      </c>
      <c r="X32" s="531">
        <f>(BH23*BH32+BI23*BI32)/X23</f>
        <v>36.489843749999999</v>
      </c>
      <c r="Y32" s="531">
        <f>(BK23*BK32+BL23*BL32+BN23*BN32)/Y23</f>
        <v>42.581516095534788</v>
      </c>
      <c r="Z32" s="542">
        <f t="shared" si="54"/>
        <v>28</v>
      </c>
      <c r="AA32" s="531">
        <f>(BO23*BO32+BQ23*BQ32)/AA23</f>
        <v>32.294919168591228</v>
      </c>
      <c r="AB32" s="554">
        <f t="shared" si="56"/>
        <v>26.5</v>
      </c>
      <c r="AC32" s="542">
        <f t="shared" si="57"/>
        <v>34.9</v>
      </c>
      <c r="AD32" s="542">
        <f t="shared" si="58"/>
        <v>29.4</v>
      </c>
      <c r="AE32" s="531">
        <f>(BS23*BS32+BT23*BT32)/AE23</f>
        <v>36.851219512195122</v>
      </c>
      <c r="AF32" s="542">
        <f t="shared" si="60"/>
        <v>27</v>
      </c>
      <c r="AG32" s="542">
        <f t="shared" si="61"/>
        <v>32</v>
      </c>
      <c r="AH32" s="542">
        <f t="shared" si="62"/>
        <v>44.7</v>
      </c>
      <c r="AI32" s="542">
        <f t="shared" si="63"/>
        <v>26.8</v>
      </c>
      <c r="AJ32" s="542">
        <f t="shared" si="64"/>
        <v>30.6</v>
      </c>
      <c r="AK32" s="554">
        <f t="shared" si="65"/>
        <v>27.2</v>
      </c>
      <c r="AL32" s="542">
        <f t="shared" si="66"/>
        <v>25.8</v>
      </c>
      <c r="AM32" s="542">
        <f t="shared" si="67"/>
        <v>43.5</v>
      </c>
      <c r="AN32" s="542">
        <f t="shared" si="68"/>
        <v>56.1</v>
      </c>
      <c r="AO32" s="542">
        <f t="shared" si="69"/>
        <v>24.6</v>
      </c>
      <c r="AP32" s="542">
        <f t="shared" si="69"/>
        <v>26.5</v>
      </c>
      <c r="AQ32" s="542">
        <f t="shared" si="70"/>
        <v>29.4</v>
      </c>
      <c r="AR32" s="542">
        <f t="shared" si="71"/>
        <v>44.8</v>
      </c>
      <c r="AS32" s="532">
        <f>(CF23*CF32+CG23*CG32)/AS23</f>
        <v>36.023435722411833</v>
      </c>
      <c r="AT32" s="542">
        <v>53.4</v>
      </c>
      <c r="AU32" s="155">
        <v>29.9</v>
      </c>
      <c r="AV32" s="155">
        <v>34.1</v>
      </c>
      <c r="AW32" s="155">
        <v>33.200000000000003</v>
      </c>
      <c r="AX32" s="155">
        <v>37</v>
      </c>
      <c r="AY32" s="155">
        <v>35.5</v>
      </c>
      <c r="AZ32" s="155">
        <v>51.9</v>
      </c>
      <c r="BA32" s="155">
        <v>40.1</v>
      </c>
      <c r="BB32" s="155">
        <v>35.5</v>
      </c>
      <c r="BC32" s="155">
        <v>38.9</v>
      </c>
      <c r="BD32" s="155">
        <v>30.9</v>
      </c>
      <c r="BE32" s="155">
        <v>37.200000000000003</v>
      </c>
      <c r="BF32" s="552">
        <v>28.6</v>
      </c>
      <c r="BG32" s="155">
        <v>27.8</v>
      </c>
      <c r="BH32" s="155">
        <v>30</v>
      </c>
      <c r="BI32" s="155">
        <v>37.1</v>
      </c>
      <c r="BJ32" s="155">
        <v>25.8</v>
      </c>
      <c r="BK32" s="155">
        <v>58.5</v>
      </c>
      <c r="BL32" s="155">
        <v>63</v>
      </c>
      <c r="BM32" s="155">
        <v>28</v>
      </c>
      <c r="BN32" s="155">
        <v>40</v>
      </c>
      <c r="BO32" s="155">
        <v>42.9</v>
      </c>
      <c r="BP32" s="155">
        <v>26.5</v>
      </c>
      <c r="BQ32" s="155">
        <v>31.7</v>
      </c>
      <c r="BR32" s="552">
        <v>24</v>
      </c>
      <c r="BS32" s="155">
        <v>46.1</v>
      </c>
      <c r="BT32" s="155">
        <v>36.200000000000003</v>
      </c>
      <c r="BU32" s="155">
        <v>29.4</v>
      </c>
      <c r="BV32" s="155">
        <v>32</v>
      </c>
      <c r="BW32" s="155">
        <v>26.8</v>
      </c>
      <c r="BX32" s="155">
        <v>34.9</v>
      </c>
      <c r="BY32" s="155">
        <v>30.6</v>
      </c>
      <c r="BZ32" s="155">
        <v>44.7</v>
      </c>
      <c r="CA32" s="155">
        <v>27</v>
      </c>
      <c r="CB32" s="552">
        <v>27.2</v>
      </c>
      <c r="CC32" s="155">
        <v>24.6</v>
      </c>
      <c r="CD32" s="155">
        <v>26.5</v>
      </c>
      <c r="CE32" s="155">
        <v>25.8</v>
      </c>
      <c r="CF32" s="155">
        <v>44.1</v>
      </c>
      <c r="CG32" s="155">
        <v>35.5</v>
      </c>
      <c r="CH32" s="155">
        <v>43.5</v>
      </c>
      <c r="CI32" s="155">
        <v>44.8</v>
      </c>
      <c r="CJ32" s="155">
        <v>56.1</v>
      </c>
      <c r="CK32" s="156">
        <v>29.4</v>
      </c>
      <c r="CL32" s="320">
        <v>35.4</v>
      </c>
    </row>
    <row r="33" spans="1:90">
      <c r="A33" s="80">
        <f>ROWS($A$3:A31)</f>
        <v>29</v>
      </c>
      <c r="B33" s="53" t="s">
        <v>68</v>
      </c>
      <c r="C33" s="252"/>
      <c r="D33" s="259" t="s">
        <v>3</v>
      </c>
      <c r="E33" s="706">
        <v>44428</v>
      </c>
      <c r="F33" s="530">
        <f>100-F32</f>
        <v>64.599999999999994</v>
      </c>
      <c r="G33" s="531">
        <f>100-G32</f>
        <v>67.8</v>
      </c>
      <c r="H33" s="531">
        <f>100-H32</f>
        <v>67.3</v>
      </c>
      <c r="I33" s="532">
        <f>100-I32</f>
        <v>59.9</v>
      </c>
      <c r="J33" s="281"/>
      <c r="K33" s="541">
        <f t="shared" si="42"/>
        <v>71.400000000000006</v>
      </c>
      <c r="L33" s="542">
        <f t="shared" si="43"/>
        <v>64.5</v>
      </c>
      <c r="M33" s="542">
        <f t="shared" si="44"/>
        <v>69.099999999999994</v>
      </c>
      <c r="N33" s="542">
        <f t="shared" si="45"/>
        <v>66.8</v>
      </c>
      <c r="O33" s="542">
        <f t="shared" si="46"/>
        <v>62.8</v>
      </c>
      <c r="P33" s="531">
        <f>100-P32</f>
        <v>58.929968782518209</v>
      </c>
      <c r="Q33" s="542">
        <f t="shared" si="74"/>
        <v>70.099999999999994</v>
      </c>
      <c r="R33" s="531">
        <f>100-R32</f>
        <v>60.709286262471217</v>
      </c>
      <c r="S33" s="542">
        <f t="shared" si="48"/>
        <v>65.900000000000006</v>
      </c>
      <c r="T33" s="542">
        <f t="shared" si="49"/>
        <v>64.5</v>
      </c>
      <c r="U33" s="554">
        <f t="shared" si="49"/>
        <v>61.1</v>
      </c>
      <c r="V33" s="531">
        <f>100-V32</f>
        <v>73.888311688311688</v>
      </c>
      <c r="W33" s="542">
        <f t="shared" si="51"/>
        <v>76</v>
      </c>
      <c r="X33" s="531">
        <f>100-X32</f>
        <v>63.510156250000001</v>
      </c>
      <c r="Y33" s="531">
        <f>100-Y32</f>
        <v>57.418483904465212</v>
      </c>
      <c r="Z33" s="542">
        <f t="shared" si="54"/>
        <v>72</v>
      </c>
      <c r="AA33" s="531">
        <f>100-AA32</f>
        <v>67.705080831408765</v>
      </c>
      <c r="AB33" s="554">
        <f t="shared" si="56"/>
        <v>73.5</v>
      </c>
      <c r="AC33" s="542">
        <f t="shared" si="57"/>
        <v>65.099999999999994</v>
      </c>
      <c r="AD33" s="542">
        <f t="shared" si="58"/>
        <v>70.599999999999994</v>
      </c>
      <c r="AE33" s="531">
        <f>100-AE32</f>
        <v>63.148780487804878</v>
      </c>
      <c r="AF33" s="542">
        <f t="shared" si="60"/>
        <v>73</v>
      </c>
      <c r="AG33" s="542">
        <f t="shared" si="61"/>
        <v>68</v>
      </c>
      <c r="AH33" s="542">
        <f t="shared" si="62"/>
        <v>55.3</v>
      </c>
      <c r="AI33" s="542">
        <f t="shared" si="63"/>
        <v>73.2</v>
      </c>
      <c r="AJ33" s="542">
        <f t="shared" si="64"/>
        <v>69.400000000000006</v>
      </c>
      <c r="AK33" s="554">
        <f t="shared" si="65"/>
        <v>72.8</v>
      </c>
      <c r="AL33" s="542">
        <f t="shared" si="66"/>
        <v>74.2</v>
      </c>
      <c r="AM33" s="542">
        <f t="shared" si="67"/>
        <v>56.5</v>
      </c>
      <c r="AN33" s="542">
        <f t="shared" si="68"/>
        <v>43.9</v>
      </c>
      <c r="AO33" s="542">
        <f t="shared" si="69"/>
        <v>75.400000000000006</v>
      </c>
      <c r="AP33" s="542">
        <f t="shared" si="69"/>
        <v>73.5</v>
      </c>
      <c r="AQ33" s="542">
        <f t="shared" si="70"/>
        <v>70.599999999999994</v>
      </c>
      <c r="AR33" s="542">
        <f t="shared" si="71"/>
        <v>55.2</v>
      </c>
      <c r="AS33" s="532">
        <f>100-AS32</f>
        <v>63.976564277588167</v>
      </c>
      <c r="AT33" s="531">
        <f>100-AT32</f>
        <v>46.6</v>
      </c>
      <c r="AU33" s="531">
        <f>100-AU32</f>
        <v>70.099999999999994</v>
      </c>
      <c r="AV33" s="531">
        <f t="shared" ref="AV33:CL33" si="76">100-AV32</f>
        <v>65.900000000000006</v>
      </c>
      <c r="AW33" s="531">
        <f t="shared" si="76"/>
        <v>66.8</v>
      </c>
      <c r="AX33" s="531">
        <f>100-AX32</f>
        <v>63</v>
      </c>
      <c r="AY33" s="531">
        <f t="shared" si="76"/>
        <v>64.5</v>
      </c>
      <c r="AZ33" s="531">
        <f t="shared" si="76"/>
        <v>48.1</v>
      </c>
      <c r="BA33" s="531">
        <f t="shared" si="76"/>
        <v>59.9</v>
      </c>
      <c r="BB33" s="531">
        <f t="shared" si="76"/>
        <v>64.5</v>
      </c>
      <c r="BC33" s="531">
        <f t="shared" si="76"/>
        <v>61.1</v>
      </c>
      <c r="BD33" s="531">
        <f t="shared" si="76"/>
        <v>69.099999999999994</v>
      </c>
      <c r="BE33" s="531">
        <f t="shared" si="76"/>
        <v>62.8</v>
      </c>
      <c r="BF33" s="555">
        <f t="shared" si="76"/>
        <v>71.400000000000006</v>
      </c>
      <c r="BG33" s="531">
        <f t="shared" si="76"/>
        <v>72.2</v>
      </c>
      <c r="BH33" s="531">
        <f>100-BH32</f>
        <v>70</v>
      </c>
      <c r="BI33" s="531">
        <f>100-BI32</f>
        <v>62.9</v>
      </c>
      <c r="BJ33" s="531">
        <f>100-BJ32</f>
        <v>74.2</v>
      </c>
      <c r="BK33" s="531">
        <f t="shared" si="76"/>
        <v>41.5</v>
      </c>
      <c r="BL33" s="531">
        <f t="shared" si="76"/>
        <v>37</v>
      </c>
      <c r="BM33" s="531">
        <f>100-BM32</f>
        <v>72</v>
      </c>
      <c r="BN33" s="531">
        <f t="shared" si="76"/>
        <v>60</v>
      </c>
      <c r="BO33" s="531">
        <f t="shared" si="76"/>
        <v>57.1</v>
      </c>
      <c r="BP33" s="531">
        <f t="shared" si="76"/>
        <v>73.5</v>
      </c>
      <c r="BQ33" s="531">
        <f>100-BQ32</f>
        <v>68.3</v>
      </c>
      <c r="BR33" s="555">
        <f t="shared" si="76"/>
        <v>76</v>
      </c>
      <c r="BS33" s="531">
        <f t="shared" si="76"/>
        <v>53.9</v>
      </c>
      <c r="BT33" s="531">
        <f t="shared" si="76"/>
        <v>63.8</v>
      </c>
      <c r="BU33" s="531">
        <f t="shared" si="76"/>
        <v>70.599999999999994</v>
      </c>
      <c r="BV33" s="531">
        <f t="shared" si="76"/>
        <v>68</v>
      </c>
      <c r="BW33" s="531">
        <f t="shared" si="76"/>
        <v>73.2</v>
      </c>
      <c r="BX33" s="531">
        <f t="shared" si="76"/>
        <v>65.099999999999994</v>
      </c>
      <c r="BY33" s="531">
        <f t="shared" si="76"/>
        <v>69.400000000000006</v>
      </c>
      <c r="BZ33" s="531">
        <f t="shared" si="76"/>
        <v>55.3</v>
      </c>
      <c r="CA33" s="531">
        <f t="shared" si="76"/>
        <v>73</v>
      </c>
      <c r="CB33" s="555">
        <f t="shared" si="76"/>
        <v>72.8</v>
      </c>
      <c r="CC33" s="531">
        <f t="shared" si="76"/>
        <v>75.400000000000006</v>
      </c>
      <c r="CD33" s="531">
        <f t="shared" si="76"/>
        <v>73.5</v>
      </c>
      <c r="CE33" s="531">
        <f t="shared" si="76"/>
        <v>74.2</v>
      </c>
      <c r="CF33" s="531">
        <f t="shared" si="76"/>
        <v>55.9</v>
      </c>
      <c r="CG33" s="531">
        <f t="shared" si="76"/>
        <v>64.5</v>
      </c>
      <c r="CH33" s="531">
        <f t="shared" si="76"/>
        <v>56.5</v>
      </c>
      <c r="CI33" s="531">
        <f t="shared" si="76"/>
        <v>55.2</v>
      </c>
      <c r="CJ33" s="531">
        <f t="shared" si="76"/>
        <v>43.9</v>
      </c>
      <c r="CK33" s="532">
        <f t="shared" si="76"/>
        <v>70.599999999999994</v>
      </c>
      <c r="CL33" s="556">
        <f t="shared" si="76"/>
        <v>64.599999999999994</v>
      </c>
    </row>
    <row r="34" spans="1:90">
      <c r="A34" s="80">
        <f>ROWS($A$3:A32)</f>
        <v>30</v>
      </c>
      <c r="B34" s="59" t="s">
        <v>69</v>
      </c>
      <c r="C34" s="202">
        <v>2020</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c r="A35" s="80">
        <f>ROWS($A$3:A33)</f>
        <v>31</v>
      </c>
      <c r="B35" s="92" t="s">
        <v>71</v>
      </c>
      <c r="C35" s="205"/>
      <c r="D35" s="259" t="s">
        <v>1</v>
      </c>
      <c r="E35" s="706">
        <v>44431</v>
      </c>
      <c r="F35" s="154">
        <v>463112</v>
      </c>
      <c r="G35" s="155">
        <v>202747</v>
      </c>
      <c r="H35" s="155">
        <v>316191</v>
      </c>
      <c r="I35" s="156">
        <v>426014</v>
      </c>
      <c r="J35" s="281"/>
      <c r="K35" s="154">
        <f>BF35</f>
        <v>63405</v>
      </c>
      <c r="L35" s="155">
        <f>AY35</f>
        <v>25335</v>
      </c>
      <c r="M35" s="155">
        <f>BD35</f>
        <v>67520</v>
      </c>
      <c r="N35" s="155">
        <f>AW35</f>
        <v>27956</v>
      </c>
      <c r="O35" s="155">
        <f>BE35</f>
        <v>26160</v>
      </c>
      <c r="P35" s="155">
        <f>AZ35+BA35</f>
        <v>57793</v>
      </c>
      <c r="Q35" s="155">
        <f>AU35</f>
        <v>22483</v>
      </c>
      <c r="R35" s="155">
        <f t="shared" ref="R35:R41" si="77">AT35+AX35</f>
        <v>34814</v>
      </c>
      <c r="S35" s="155">
        <f>AV35</f>
        <v>20113</v>
      </c>
      <c r="T35" s="155">
        <f t="shared" ref="T35:U39" si="78">BB35</f>
        <v>41834</v>
      </c>
      <c r="U35" s="552">
        <f t="shared" si="78"/>
        <v>75698</v>
      </c>
      <c r="V35" s="155">
        <f>BG35+BJ35</f>
        <v>16055</v>
      </c>
      <c r="W35" s="155">
        <f>BR35</f>
        <v>18752</v>
      </c>
      <c r="X35" s="155">
        <f>BH35+BI35</f>
        <v>40648</v>
      </c>
      <c r="Y35" s="155">
        <f>BK35+BL35+BN35</f>
        <v>43416</v>
      </c>
      <c r="Z35" s="155">
        <f>BM35</f>
        <v>45526</v>
      </c>
      <c r="AA35" s="155">
        <f>BO35+BQ35</f>
        <v>20558</v>
      </c>
      <c r="AB35" s="552">
        <f>BP35</f>
        <v>17792</v>
      </c>
      <c r="AC35" s="155">
        <f>BX35</f>
        <v>38254</v>
      </c>
      <c r="AD35" s="155">
        <f>BU35</f>
        <v>22230</v>
      </c>
      <c r="AE35" s="155">
        <f>BS35+BT35</f>
        <v>52150</v>
      </c>
      <c r="AF35" s="155">
        <f>CA35</f>
        <v>22750</v>
      </c>
      <c r="AG35" s="155">
        <f>BV35</f>
        <v>55914</v>
      </c>
      <c r="AH35" s="155">
        <f>BZ35</f>
        <v>33003</v>
      </c>
      <c r="AI35" s="155">
        <f>BW35</f>
        <v>29873</v>
      </c>
      <c r="AJ35" s="155">
        <f>BY35</f>
        <v>23957</v>
      </c>
      <c r="AK35" s="552">
        <f>CB35</f>
        <v>38061</v>
      </c>
      <c r="AL35" s="155">
        <f>CE35</f>
        <v>34459</v>
      </c>
      <c r="AM35" s="155">
        <f>CH35</f>
        <v>75205</v>
      </c>
      <c r="AN35" s="155">
        <f>CJ35</f>
        <v>85956</v>
      </c>
      <c r="AO35" s="155">
        <f t="shared" ref="AO35:AP39" si="79">CC35</f>
        <v>44221</v>
      </c>
      <c r="AP35" s="155">
        <f t="shared" si="79"/>
        <v>20031</v>
      </c>
      <c r="AQ35" s="155">
        <f>CK35</f>
        <v>54619</v>
      </c>
      <c r="AR35" s="155">
        <f>CI35</f>
        <v>33060</v>
      </c>
      <c r="AS35" s="156">
        <f>CF35+CG35</f>
        <v>78463</v>
      </c>
      <c r="AT35" s="155">
        <v>2475</v>
      </c>
      <c r="AU35" s="155">
        <v>22483</v>
      </c>
      <c r="AV35" s="155">
        <v>20113</v>
      </c>
      <c r="AW35" s="155">
        <v>27956</v>
      </c>
      <c r="AX35" s="155">
        <v>32339</v>
      </c>
      <c r="AY35" s="155">
        <v>25335</v>
      </c>
      <c r="AZ35" s="155">
        <v>4035</v>
      </c>
      <c r="BA35" s="155">
        <v>53758</v>
      </c>
      <c r="BB35" s="155">
        <v>41834</v>
      </c>
      <c r="BC35" s="155">
        <v>75698</v>
      </c>
      <c r="BD35" s="155">
        <v>67520</v>
      </c>
      <c r="BE35" s="155">
        <v>26160</v>
      </c>
      <c r="BF35" s="552">
        <v>63405</v>
      </c>
      <c r="BG35" s="155">
        <v>1448</v>
      </c>
      <c r="BH35" s="155">
        <v>2581</v>
      </c>
      <c r="BI35" s="155">
        <v>38067</v>
      </c>
      <c r="BJ35" s="155">
        <v>14607</v>
      </c>
      <c r="BK35" s="155">
        <v>1829</v>
      </c>
      <c r="BL35" s="155">
        <v>2907</v>
      </c>
      <c r="BM35" s="155">
        <v>45526</v>
      </c>
      <c r="BN35" s="155">
        <v>38680</v>
      </c>
      <c r="BO35" s="155">
        <v>994</v>
      </c>
      <c r="BP35" s="155">
        <v>17792</v>
      </c>
      <c r="BQ35" s="155">
        <v>19564</v>
      </c>
      <c r="BR35" s="552">
        <v>18752</v>
      </c>
      <c r="BS35" s="155">
        <v>3458</v>
      </c>
      <c r="BT35" s="155">
        <v>48692</v>
      </c>
      <c r="BU35" s="155">
        <v>22230</v>
      </c>
      <c r="BV35" s="155">
        <v>55914</v>
      </c>
      <c r="BW35" s="155">
        <v>29873</v>
      </c>
      <c r="BX35" s="155">
        <v>38254</v>
      </c>
      <c r="BY35" s="155">
        <v>23957</v>
      </c>
      <c r="BZ35" s="155">
        <v>33003</v>
      </c>
      <c r="CA35" s="155">
        <v>22750</v>
      </c>
      <c r="CB35" s="552">
        <v>38061</v>
      </c>
      <c r="CC35" s="155">
        <v>44221</v>
      </c>
      <c r="CD35" s="155">
        <v>20031</v>
      </c>
      <c r="CE35" s="155">
        <v>34459</v>
      </c>
      <c r="CF35" s="155">
        <v>4669</v>
      </c>
      <c r="CG35" s="155">
        <v>73794</v>
      </c>
      <c r="CH35" s="155">
        <v>75205</v>
      </c>
      <c r="CI35" s="155">
        <v>33060</v>
      </c>
      <c r="CJ35" s="155">
        <v>85956</v>
      </c>
      <c r="CK35" s="156">
        <v>54619</v>
      </c>
      <c r="CL35" s="320">
        <v>1408063</v>
      </c>
    </row>
    <row r="36" spans="1:90">
      <c r="A36" s="80">
        <f>ROWS($A$3:A34)</f>
        <v>32</v>
      </c>
      <c r="B36" s="92" t="s">
        <v>72</v>
      </c>
      <c r="C36" s="203"/>
      <c r="D36" s="259" t="s">
        <v>1</v>
      </c>
      <c r="E36" s="706">
        <v>44431</v>
      </c>
      <c r="F36" s="154">
        <v>306738</v>
      </c>
      <c r="G36" s="155">
        <v>137003</v>
      </c>
      <c r="H36" s="155">
        <v>136880</v>
      </c>
      <c r="I36" s="156">
        <v>229660</v>
      </c>
      <c r="J36" s="281"/>
      <c r="K36" s="154">
        <f>BF36</f>
        <v>33645</v>
      </c>
      <c r="L36" s="155">
        <f>AY36</f>
        <v>11146</v>
      </c>
      <c r="M36" s="155">
        <f>BD36</f>
        <v>57915</v>
      </c>
      <c r="N36" s="155">
        <f>AW36</f>
        <v>12209</v>
      </c>
      <c r="O36" s="155">
        <f>BE36</f>
        <v>17142</v>
      </c>
      <c r="P36" s="155">
        <f t="shared" ref="P36:P39" si="80">AZ36+BA36</f>
        <v>43263</v>
      </c>
      <c r="Q36" s="155">
        <f t="shared" ref="Q36:Q39" si="81">AU36</f>
        <v>15160</v>
      </c>
      <c r="R36" s="155">
        <f t="shared" si="77"/>
        <v>25566</v>
      </c>
      <c r="S36" s="155">
        <f>AV36</f>
        <v>9929</v>
      </c>
      <c r="T36" s="155">
        <f t="shared" si="78"/>
        <v>30920</v>
      </c>
      <c r="U36" s="552">
        <f t="shared" si="78"/>
        <v>49842</v>
      </c>
      <c r="V36" s="155">
        <f>BG36+BJ36</f>
        <v>9873</v>
      </c>
      <c r="W36" s="155">
        <f>BR36</f>
        <v>9051</v>
      </c>
      <c r="X36" s="155">
        <f>BH36+BI36</f>
        <v>30651</v>
      </c>
      <c r="Y36" s="155">
        <f>BK36+BL36+BN36</f>
        <v>33761</v>
      </c>
      <c r="Z36" s="155">
        <f>BM36</f>
        <v>33511</v>
      </c>
      <c r="AA36" s="155">
        <f>BO36+BQ36</f>
        <v>11989</v>
      </c>
      <c r="AB36" s="552">
        <f>BP36</f>
        <v>8166</v>
      </c>
      <c r="AC36" s="155">
        <f>BX36</f>
        <v>15053</v>
      </c>
      <c r="AD36" s="155">
        <f>BU36</f>
        <v>10096</v>
      </c>
      <c r="AE36" s="155">
        <f>BS36+BT36</f>
        <v>19908</v>
      </c>
      <c r="AF36" s="155">
        <f>CA36</f>
        <v>6652</v>
      </c>
      <c r="AG36" s="155">
        <f>BV36</f>
        <v>27536</v>
      </c>
      <c r="AH36" s="155">
        <f>BZ36</f>
        <v>18252</v>
      </c>
      <c r="AI36" s="155">
        <f>BW36</f>
        <v>16432</v>
      </c>
      <c r="AJ36" s="155">
        <f>BY36</f>
        <v>8379</v>
      </c>
      <c r="AK36" s="552">
        <f>CB36</f>
        <v>14572</v>
      </c>
      <c r="AL36" s="155">
        <f>CE36</f>
        <v>12270</v>
      </c>
      <c r="AM36" s="155">
        <f>CH36</f>
        <v>50709</v>
      </c>
      <c r="AN36" s="155">
        <f>CJ36</f>
        <v>27058</v>
      </c>
      <c r="AO36" s="155">
        <f t="shared" si="79"/>
        <v>20507</v>
      </c>
      <c r="AP36" s="155">
        <f t="shared" si="79"/>
        <v>12618</v>
      </c>
      <c r="AQ36" s="155">
        <f>CK36</f>
        <v>34421</v>
      </c>
      <c r="AR36" s="155">
        <f>CI36</f>
        <v>13412</v>
      </c>
      <c r="AS36" s="156">
        <f>CF36+CG36</f>
        <v>58666</v>
      </c>
      <c r="AT36" s="155">
        <v>1453</v>
      </c>
      <c r="AU36" s="155">
        <v>15160</v>
      </c>
      <c r="AV36" s="155">
        <v>9929</v>
      </c>
      <c r="AW36" s="155">
        <v>12209</v>
      </c>
      <c r="AX36" s="155">
        <v>24113</v>
      </c>
      <c r="AY36" s="155">
        <v>11146</v>
      </c>
      <c r="AZ36" s="155">
        <v>3089</v>
      </c>
      <c r="BA36" s="155">
        <v>40174</v>
      </c>
      <c r="BB36" s="155">
        <v>30920</v>
      </c>
      <c r="BC36" s="155">
        <v>49842</v>
      </c>
      <c r="BD36" s="155">
        <v>57915</v>
      </c>
      <c r="BE36" s="155">
        <v>17142</v>
      </c>
      <c r="BF36" s="552">
        <v>33645</v>
      </c>
      <c r="BG36" s="155">
        <v>506</v>
      </c>
      <c r="BH36" s="155">
        <v>1810</v>
      </c>
      <c r="BI36" s="155">
        <v>28841</v>
      </c>
      <c r="BJ36" s="155">
        <v>9367</v>
      </c>
      <c r="BK36" s="155">
        <v>1512</v>
      </c>
      <c r="BL36" s="155">
        <v>2342</v>
      </c>
      <c r="BM36" s="155">
        <v>33511</v>
      </c>
      <c r="BN36" s="155">
        <v>29907</v>
      </c>
      <c r="BO36" s="155">
        <v>530</v>
      </c>
      <c r="BP36" s="155">
        <v>8166</v>
      </c>
      <c r="BQ36" s="155">
        <v>11459</v>
      </c>
      <c r="BR36" s="552">
        <v>9051</v>
      </c>
      <c r="BS36" s="155">
        <v>1628</v>
      </c>
      <c r="BT36" s="155">
        <v>18280</v>
      </c>
      <c r="BU36" s="155">
        <v>10096</v>
      </c>
      <c r="BV36" s="155">
        <v>27536</v>
      </c>
      <c r="BW36" s="155">
        <v>16432</v>
      </c>
      <c r="BX36" s="155">
        <v>15053</v>
      </c>
      <c r="BY36" s="155">
        <v>8379</v>
      </c>
      <c r="BZ36" s="155">
        <v>18252</v>
      </c>
      <c r="CA36" s="155">
        <v>6652</v>
      </c>
      <c r="CB36" s="552">
        <v>14572</v>
      </c>
      <c r="CC36" s="155">
        <v>20507</v>
      </c>
      <c r="CD36" s="155">
        <v>12618</v>
      </c>
      <c r="CE36" s="155">
        <v>12270</v>
      </c>
      <c r="CF36" s="155">
        <v>3992</v>
      </c>
      <c r="CG36" s="155">
        <v>54674</v>
      </c>
      <c r="CH36" s="155">
        <v>50709</v>
      </c>
      <c r="CI36" s="155">
        <v>13412</v>
      </c>
      <c r="CJ36" s="155">
        <v>27058</v>
      </c>
      <c r="CK36" s="156">
        <v>34421</v>
      </c>
      <c r="CL36" s="320">
        <v>810280</v>
      </c>
    </row>
    <row r="37" spans="1:90">
      <c r="A37" s="80">
        <f>ROWS($A$3:A35)</f>
        <v>33</v>
      </c>
      <c r="B37" s="92" t="s">
        <v>6</v>
      </c>
      <c r="C37" s="203"/>
      <c r="D37" s="259" t="s">
        <v>1</v>
      </c>
      <c r="E37" s="706">
        <v>44431</v>
      </c>
      <c r="F37" s="154">
        <v>140541</v>
      </c>
      <c r="G37" s="155">
        <v>61059</v>
      </c>
      <c r="H37" s="155">
        <v>159294</v>
      </c>
      <c r="I37" s="156">
        <v>185835</v>
      </c>
      <c r="J37" s="281"/>
      <c r="K37" s="154">
        <f>BF37</f>
        <v>29241</v>
      </c>
      <c r="L37" s="155">
        <f>AY37</f>
        <v>12427</v>
      </c>
      <c r="M37" s="155">
        <f>BD37</f>
        <v>8616</v>
      </c>
      <c r="N37" s="155">
        <f>AW37</f>
        <v>15599</v>
      </c>
      <c r="O37" s="155">
        <f>BE37</f>
        <v>8993</v>
      </c>
      <c r="P37" s="155">
        <f t="shared" si="80"/>
        <v>7388</v>
      </c>
      <c r="Q37" s="155">
        <f t="shared" si="81"/>
        <v>7231</v>
      </c>
      <c r="R37" s="155">
        <f t="shared" si="77"/>
        <v>6438</v>
      </c>
      <c r="S37" s="155">
        <f>AV37</f>
        <v>9784</v>
      </c>
      <c r="T37" s="155">
        <f t="shared" si="78"/>
        <v>9210</v>
      </c>
      <c r="U37" s="552">
        <f t="shared" si="78"/>
        <v>25614</v>
      </c>
      <c r="V37" s="155">
        <f>BG37+BJ37</f>
        <v>5198</v>
      </c>
      <c r="W37" s="155">
        <f>BR37</f>
        <v>9690</v>
      </c>
      <c r="X37" s="155">
        <f>BH37+BI37</f>
        <v>8894</v>
      </c>
      <c r="Y37" s="155">
        <f>BK37+BN37</f>
        <v>7825</v>
      </c>
      <c r="Z37" s="155">
        <f>BM37</f>
        <v>11017</v>
      </c>
      <c r="AA37" s="155">
        <f>BQ37</f>
        <v>7841</v>
      </c>
      <c r="AB37" s="552">
        <f>BP37</f>
        <v>9573</v>
      </c>
      <c r="AC37" s="155">
        <f>BX37</f>
        <v>23170</v>
      </c>
      <c r="AD37" s="155">
        <f>BU37</f>
        <v>9582</v>
      </c>
      <c r="AE37" s="155">
        <f>BS37+BT37</f>
        <v>25055</v>
      </c>
      <c r="AF37" s="155">
        <f>CA37</f>
        <v>14625</v>
      </c>
      <c r="AG37" s="155">
        <f>BV37</f>
        <v>21040</v>
      </c>
      <c r="AH37" s="155">
        <f>BZ37</f>
        <v>13596</v>
      </c>
      <c r="AI37" s="155">
        <f>BW37</f>
        <v>13414</v>
      </c>
      <c r="AJ37" s="155">
        <f>BY37</f>
        <v>15568</v>
      </c>
      <c r="AK37" s="552">
        <f>CB37</f>
        <v>23243</v>
      </c>
      <c r="AL37" s="155">
        <f>CE37</f>
        <v>22049</v>
      </c>
      <c r="AM37" s="155">
        <f>CH37</f>
        <v>24321</v>
      </c>
      <c r="AN37" s="155">
        <f>CJ37</f>
        <v>57064</v>
      </c>
      <c r="AO37" s="155">
        <f t="shared" si="79"/>
        <v>23591</v>
      </c>
      <c r="AP37" s="155">
        <f t="shared" si="79"/>
        <v>7352</v>
      </c>
      <c r="AQ37" s="155">
        <f>CK37</f>
        <v>20116</v>
      </c>
      <c r="AR37" s="155">
        <f>CI37</f>
        <v>11681</v>
      </c>
      <c r="AS37" s="156">
        <f>CF37+CG37</f>
        <v>19660</v>
      </c>
      <c r="AT37" s="155">
        <v>569</v>
      </c>
      <c r="AU37" s="155">
        <v>7231</v>
      </c>
      <c r="AV37" s="155">
        <v>9784</v>
      </c>
      <c r="AW37" s="155">
        <v>15599</v>
      </c>
      <c r="AX37" s="155">
        <v>5869</v>
      </c>
      <c r="AY37" s="155">
        <v>12427</v>
      </c>
      <c r="AZ37" s="155">
        <v>241</v>
      </c>
      <c r="BA37" s="155">
        <v>7147</v>
      </c>
      <c r="BB37" s="155">
        <v>9210</v>
      </c>
      <c r="BC37" s="155">
        <v>25614</v>
      </c>
      <c r="BD37" s="155">
        <v>8616</v>
      </c>
      <c r="BE37" s="155">
        <v>8993</v>
      </c>
      <c r="BF37" s="552">
        <v>29241</v>
      </c>
      <c r="BG37" s="155">
        <v>688</v>
      </c>
      <c r="BH37" s="155">
        <v>668</v>
      </c>
      <c r="BI37" s="155">
        <v>8226</v>
      </c>
      <c r="BJ37" s="155">
        <v>4510</v>
      </c>
      <c r="BK37" s="155">
        <v>231</v>
      </c>
      <c r="BL37" s="155" t="s">
        <v>304</v>
      </c>
      <c r="BM37" s="155">
        <v>11017</v>
      </c>
      <c r="BN37" s="155">
        <v>7594</v>
      </c>
      <c r="BO37" s="155" t="s">
        <v>304</v>
      </c>
      <c r="BP37" s="155">
        <v>9573</v>
      </c>
      <c r="BQ37" s="155">
        <v>7841</v>
      </c>
      <c r="BR37" s="552">
        <v>9690</v>
      </c>
      <c r="BS37" s="155">
        <v>935</v>
      </c>
      <c r="BT37" s="155">
        <v>24120</v>
      </c>
      <c r="BU37" s="155">
        <v>9582</v>
      </c>
      <c r="BV37" s="155">
        <v>21040</v>
      </c>
      <c r="BW37" s="155">
        <v>13414</v>
      </c>
      <c r="BX37" s="155">
        <v>23170</v>
      </c>
      <c r="BY37" s="155">
        <v>15568</v>
      </c>
      <c r="BZ37" s="155">
        <v>13596</v>
      </c>
      <c r="CA37" s="155">
        <v>14625</v>
      </c>
      <c r="CB37" s="552">
        <v>23243</v>
      </c>
      <c r="CC37" s="155">
        <v>23591</v>
      </c>
      <c r="CD37" s="155">
        <v>7352</v>
      </c>
      <c r="CE37" s="155">
        <v>22049</v>
      </c>
      <c r="CF37" s="155">
        <v>661</v>
      </c>
      <c r="CG37" s="155">
        <v>18999</v>
      </c>
      <c r="CH37" s="155">
        <v>24321</v>
      </c>
      <c r="CI37" s="155">
        <v>11681</v>
      </c>
      <c r="CJ37" s="155">
        <v>57064</v>
      </c>
      <c r="CK37" s="156">
        <v>20116</v>
      </c>
      <c r="CL37" s="320">
        <v>546729</v>
      </c>
    </row>
    <row r="38" spans="1:90">
      <c r="A38" s="80">
        <f>ROWS($A$3:A36)</f>
        <v>34</v>
      </c>
      <c r="B38" s="92" t="s">
        <v>244</v>
      </c>
      <c r="C38" s="203"/>
      <c r="D38" s="259" t="s">
        <v>1</v>
      </c>
      <c r="E38" s="706">
        <v>44431</v>
      </c>
      <c r="F38" s="154">
        <v>3467</v>
      </c>
      <c r="G38" s="155">
        <v>1267</v>
      </c>
      <c r="H38" s="155">
        <v>7122</v>
      </c>
      <c r="I38" s="156">
        <v>9217</v>
      </c>
      <c r="J38" s="281"/>
      <c r="K38" s="154">
        <f>BF38</f>
        <v>18</v>
      </c>
      <c r="L38" s="155">
        <f>AY38</f>
        <v>508</v>
      </c>
      <c r="M38" s="155">
        <f>BD38</f>
        <v>80</v>
      </c>
      <c r="N38" s="155">
        <f>AW38</f>
        <v>104</v>
      </c>
      <c r="O38" s="155">
        <f>BE38</f>
        <v>4</v>
      </c>
      <c r="P38" s="155">
        <f t="shared" si="80"/>
        <v>1012</v>
      </c>
      <c r="Q38" s="155">
        <f t="shared" si="81"/>
        <v>63</v>
      </c>
      <c r="R38" s="155">
        <f t="shared" si="77"/>
        <v>533</v>
      </c>
      <c r="S38" s="155">
        <f>AV38</f>
        <v>157</v>
      </c>
      <c r="T38" s="155">
        <f t="shared" si="78"/>
        <v>797</v>
      </c>
      <c r="U38" s="552">
        <f t="shared" si="78"/>
        <v>190</v>
      </c>
      <c r="V38" s="155">
        <f>BG38+BJ38</f>
        <v>403</v>
      </c>
      <c r="W38" s="155">
        <f>BR38</f>
        <v>4</v>
      </c>
      <c r="X38" s="155">
        <f>BI38</f>
        <v>157</v>
      </c>
      <c r="Y38" s="155">
        <f>BN38</f>
        <v>369</v>
      </c>
      <c r="Z38" s="155">
        <f>BM38</f>
        <v>197</v>
      </c>
      <c r="AA38" s="155">
        <f>BQ38</f>
        <v>25</v>
      </c>
      <c r="AB38" s="552">
        <f>BP38</f>
        <v>3</v>
      </c>
      <c r="AC38" s="155" t="str">
        <f>BX38</f>
        <v>.</v>
      </c>
      <c r="AD38" s="155">
        <f>BU38</f>
        <v>557</v>
      </c>
      <c r="AE38" s="155">
        <f>BS38+BT38</f>
        <v>798</v>
      </c>
      <c r="AF38" s="155">
        <f>CA38</f>
        <v>601</v>
      </c>
      <c r="AG38" s="155">
        <f>BV38</f>
        <v>4014</v>
      </c>
      <c r="AH38" s="155">
        <f>BZ38</f>
        <v>1014</v>
      </c>
      <c r="AI38" s="155" t="str">
        <f>BW38</f>
        <v>.</v>
      </c>
      <c r="AJ38" s="155" t="str">
        <f>BY38</f>
        <v>–</v>
      </c>
      <c r="AK38" s="552">
        <f>CB38</f>
        <v>117</v>
      </c>
      <c r="AL38" s="155">
        <f>CE38</f>
        <v>7</v>
      </c>
      <c r="AM38" s="155">
        <f>CH38</f>
        <v>38</v>
      </c>
      <c r="AN38" s="155">
        <f>CJ38</f>
        <v>1675</v>
      </c>
      <c r="AO38" s="155">
        <f t="shared" si="79"/>
        <v>54</v>
      </c>
      <c r="AP38" s="155">
        <f t="shared" si="79"/>
        <v>41</v>
      </c>
      <c r="AQ38" s="155">
        <f>CK38</f>
        <v>21</v>
      </c>
      <c r="AR38" s="155">
        <f>CI38</f>
        <v>7320</v>
      </c>
      <c r="AS38" s="156">
        <f>CF38+CG38</f>
        <v>62</v>
      </c>
      <c r="AT38" s="155">
        <v>62</v>
      </c>
      <c r="AU38" s="155">
        <v>63</v>
      </c>
      <c r="AV38" s="155">
        <v>157</v>
      </c>
      <c r="AW38" s="155">
        <v>104</v>
      </c>
      <c r="AX38" s="155">
        <v>471</v>
      </c>
      <c r="AY38" s="155">
        <v>508</v>
      </c>
      <c r="AZ38" s="155">
        <v>52</v>
      </c>
      <c r="BA38" s="155">
        <v>960</v>
      </c>
      <c r="BB38" s="155">
        <v>797</v>
      </c>
      <c r="BC38" s="155">
        <v>190</v>
      </c>
      <c r="BD38" s="155">
        <v>80</v>
      </c>
      <c r="BE38" s="155">
        <v>4</v>
      </c>
      <c r="BF38" s="552">
        <v>18</v>
      </c>
      <c r="BG38" s="155">
        <v>24</v>
      </c>
      <c r="BH38" s="155" t="s">
        <v>304</v>
      </c>
      <c r="BI38" s="155">
        <v>157</v>
      </c>
      <c r="BJ38" s="155">
        <v>379</v>
      </c>
      <c r="BK38" s="155">
        <v>26</v>
      </c>
      <c r="BL38" s="155" t="s">
        <v>304</v>
      </c>
      <c r="BM38" s="155">
        <v>197</v>
      </c>
      <c r="BN38" s="155">
        <v>369</v>
      </c>
      <c r="BO38" s="155" t="s">
        <v>304</v>
      </c>
      <c r="BP38" s="155">
        <v>3</v>
      </c>
      <c r="BQ38" s="155">
        <v>25</v>
      </c>
      <c r="BR38" s="552">
        <v>4</v>
      </c>
      <c r="BS38" s="155">
        <v>53</v>
      </c>
      <c r="BT38" s="155">
        <v>745</v>
      </c>
      <c r="BU38" s="155">
        <v>557</v>
      </c>
      <c r="BV38" s="155">
        <v>4014</v>
      </c>
      <c r="BW38" s="155" t="s">
        <v>304</v>
      </c>
      <c r="BX38" s="155" t="s">
        <v>304</v>
      </c>
      <c r="BY38" s="155" t="s">
        <v>41</v>
      </c>
      <c r="BZ38" s="155">
        <v>1014</v>
      </c>
      <c r="CA38" s="155">
        <v>601</v>
      </c>
      <c r="CB38" s="552">
        <v>117</v>
      </c>
      <c r="CC38" s="155">
        <v>54</v>
      </c>
      <c r="CD38" s="155">
        <v>41</v>
      </c>
      <c r="CE38" s="155">
        <v>7</v>
      </c>
      <c r="CF38" s="155">
        <v>3</v>
      </c>
      <c r="CG38" s="155">
        <v>59</v>
      </c>
      <c r="CH38" s="155">
        <v>38</v>
      </c>
      <c r="CI38" s="155">
        <v>7320</v>
      </c>
      <c r="CJ38" s="155">
        <v>1675</v>
      </c>
      <c r="CK38" s="156">
        <v>21</v>
      </c>
      <c r="CL38" s="320">
        <v>21073</v>
      </c>
    </row>
    <row r="39" spans="1:90">
      <c r="A39" s="80">
        <f>ROWS($A$3:A37)</f>
        <v>35</v>
      </c>
      <c r="B39" s="92" t="s">
        <v>245</v>
      </c>
      <c r="C39" s="203"/>
      <c r="D39" s="259" t="s">
        <v>1</v>
      </c>
      <c r="E39" s="706">
        <v>44431</v>
      </c>
      <c r="F39" s="154">
        <v>10797</v>
      </c>
      <c r="G39" s="155">
        <v>2270</v>
      </c>
      <c r="H39" s="155">
        <v>11791</v>
      </c>
      <c r="I39" s="156">
        <v>608</v>
      </c>
      <c r="J39" s="281"/>
      <c r="K39" s="154" t="str">
        <f>BF39</f>
        <v>–</v>
      </c>
      <c r="L39" s="155">
        <f>AY39</f>
        <v>1157</v>
      </c>
      <c r="M39" s="155">
        <f>BD39</f>
        <v>742</v>
      </c>
      <c r="N39" s="155" t="str">
        <f>AW39</f>
        <v>.</v>
      </c>
      <c r="O39" s="155" t="str">
        <f>BE39</f>
        <v>–</v>
      </c>
      <c r="P39" s="155">
        <f t="shared" si="80"/>
        <v>5792</v>
      </c>
      <c r="Q39" s="155" t="str">
        <f t="shared" si="81"/>
        <v>–</v>
      </c>
      <c r="R39" s="155">
        <f t="shared" si="77"/>
        <v>2132</v>
      </c>
      <c r="S39" s="155">
        <f>AV39</f>
        <v>132</v>
      </c>
      <c r="T39" s="155">
        <f t="shared" si="78"/>
        <v>842</v>
      </c>
      <c r="U39" s="552" t="str">
        <f t="shared" si="78"/>
        <v>.</v>
      </c>
      <c r="V39" s="155">
        <f>BG39+BJ39</f>
        <v>518</v>
      </c>
      <c r="W39" s="155" t="str">
        <f>BR39</f>
        <v>.</v>
      </c>
      <c r="X39" s="155">
        <f>BI39</f>
        <v>794</v>
      </c>
      <c r="Y39" s="155">
        <f>BN39</f>
        <v>672</v>
      </c>
      <c r="Z39" s="155" t="str">
        <f>BM39</f>
        <v>.</v>
      </c>
      <c r="AA39" s="155">
        <f>BQ39</f>
        <v>220</v>
      </c>
      <c r="AB39" s="552" t="str">
        <f>BP39</f>
        <v>–</v>
      </c>
      <c r="AC39" s="155" t="str">
        <f>BX39</f>
        <v>–</v>
      </c>
      <c r="AD39" s="155">
        <f>BU39</f>
        <v>1878</v>
      </c>
      <c r="AE39" s="155">
        <f>BT39</f>
        <v>5459</v>
      </c>
      <c r="AF39" s="155">
        <f>CA39</f>
        <v>804</v>
      </c>
      <c r="AG39" s="155">
        <f>BV39</f>
        <v>2684</v>
      </c>
      <c r="AH39" s="155">
        <f>BZ39</f>
        <v>67</v>
      </c>
      <c r="AI39" s="155" t="str">
        <f>BW39</f>
        <v>–</v>
      </c>
      <c r="AJ39" s="155" t="str">
        <f>BY39</f>
        <v>–</v>
      </c>
      <c r="AK39" s="552">
        <f>CB39</f>
        <v>69</v>
      </c>
      <c r="AL39" s="155" t="str">
        <f>CE39</f>
        <v>–</v>
      </c>
      <c r="AM39" s="155" t="str">
        <f>CH39</f>
        <v>.</v>
      </c>
      <c r="AN39" s="155" t="str">
        <f>CJ39</f>
        <v>.</v>
      </c>
      <c r="AO39" s="155">
        <f t="shared" si="79"/>
        <v>24</v>
      </c>
      <c r="AP39" s="155" t="str">
        <f t="shared" si="79"/>
        <v>.</v>
      </c>
      <c r="AQ39" s="155" t="str">
        <f>CK39</f>
        <v>–</v>
      </c>
      <c r="AR39" s="155">
        <f>CI39</f>
        <v>571</v>
      </c>
      <c r="AS39" s="156" t="str">
        <f>CG39</f>
        <v>–</v>
      </c>
      <c r="AT39" s="155">
        <v>360</v>
      </c>
      <c r="AU39" s="155" t="s">
        <v>41</v>
      </c>
      <c r="AV39" s="155">
        <v>132</v>
      </c>
      <c r="AW39" s="155" t="s">
        <v>304</v>
      </c>
      <c r="AX39" s="155">
        <v>1772</v>
      </c>
      <c r="AY39" s="155">
        <v>1157</v>
      </c>
      <c r="AZ39" s="155">
        <v>609</v>
      </c>
      <c r="BA39" s="155">
        <v>5183</v>
      </c>
      <c r="BB39" s="155">
        <v>842</v>
      </c>
      <c r="BC39" s="155" t="s">
        <v>304</v>
      </c>
      <c r="BD39" s="155">
        <v>742</v>
      </c>
      <c r="BE39" s="155" t="s">
        <v>41</v>
      </c>
      <c r="BF39" s="552" t="s">
        <v>41</v>
      </c>
      <c r="BG39" s="155">
        <v>203</v>
      </c>
      <c r="BH39" s="155" t="s">
        <v>304</v>
      </c>
      <c r="BI39" s="155">
        <v>794</v>
      </c>
      <c r="BJ39" s="155">
        <v>315</v>
      </c>
      <c r="BK39" s="155">
        <v>56</v>
      </c>
      <c r="BL39" s="155" t="s">
        <v>41</v>
      </c>
      <c r="BM39" s="155" t="s">
        <v>304</v>
      </c>
      <c r="BN39" s="155">
        <v>672</v>
      </c>
      <c r="BO39" s="155" t="s">
        <v>41</v>
      </c>
      <c r="BP39" s="155" t="s">
        <v>41</v>
      </c>
      <c r="BQ39" s="155">
        <v>220</v>
      </c>
      <c r="BR39" s="552" t="s">
        <v>304</v>
      </c>
      <c r="BS39" s="155">
        <v>829</v>
      </c>
      <c r="BT39" s="155">
        <v>5459</v>
      </c>
      <c r="BU39" s="155">
        <v>1878</v>
      </c>
      <c r="BV39" s="155">
        <v>2684</v>
      </c>
      <c r="BW39" s="155" t="s">
        <v>41</v>
      </c>
      <c r="BX39" s="155" t="s">
        <v>41</v>
      </c>
      <c r="BY39" s="155" t="s">
        <v>41</v>
      </c>
      <c r="BZ39" s="155">
        <v>67</v>
      </c>
      <c r="CA39" s="155">
        <v>804</v>
      </c>
      <c r="CB39" s="552">
        <v>69</v>
      </c>
      <c r="CC39" s="155">
        <v>24</v>
      </c>
      <c r="CD39" s="155" t="s">
        <v>304</v>
      </c>
      <c r="CE39" s="155" t="s">
        <v>41</v>
      </c>
      <c r="CF39" s="155" t="s">
        <v>41</v>
      </c>
      <c r="CG39" s="155" t="s">
        <v>41</v>
      </c>
      <c r="CH39" s="155" t="s">
        <v>304</v>
      </c>
      <c r="CI39" s="155">
        <v>571</v>
      </c>
      <c r="CJ39" s="155" t="s">
        <v>304</v>
      </c>
      <c r="CK39" s="156" t="s">
        <v>41</v>
      </c>
      <c r="CL39" s="320">
        <v>25465</v>
      </c>
    </row>
    <row r="40" spans="1:90">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c r="A41" s="80">
        <f>ROWS($A$3:A39)</f>
        <v>37</v>
      </c>
      <c r="B41" s="92" t="s">
        <v>73</v>
      </c>
      <c r="C41" s="584">
        <v>2020</v>
      </c>
      <c r="D41" s="259" t="s">
        <v>7</v>
      </c>
      <c r="E41" s="706">
        <v>44379</v>
      </c>
      <c r="F41" s="154">
        <v>281572</v>
      </c>
      <c r="G41" s="155">
        <v>75404</v>
      </c>
      <c r="H41" s="155">
        <v>196518</v>
      </c>
      <c r="I41" s="156">
        <v>375261</v>
      </c>
      <c r="J41" s="281"/>
      <c r="K41" s="154">
        <f t="shared" ref="K41:K54" si="82">BF41</f>
        <v>68190</v>
      </c>
      <c r="L41" s="155">
        <f t="shared" ref="L41:L54" si="83">AY41</f>
        <v>19889</v>
      </c>
      <c r="M41" s="155">
        <f t="shared" ref="M41:M54" si="84">BD41</f>
        <v>18335</v>
      </c>
      <c r="N41" s="155">
        <f t="shared" ref="N41:N54" si="85">AW41</f>
        <v>30067</v>
      </c>
      <c r="O41" s="155">
        <f t="shared" ref="O41:O54" si="86">BE41</f>
        <v>20024</v>
      </c>
      <c r="P41" s="155">
        <f>AZ41+BA41</f>
        <v>11802</v>
      </c>
      <c r="Q41" s="155">
        <f>AU41</f>
        <v>9206</v>
      </c>
      <c r="R41" s="155">
        <f t="shared" si="77"/>
        <v>12973</v>
      </c>
      <c r="S41" s="155">
        <f t="shared" ref="S41:S54" si="87">AV41</f>
        <v>8405</v>
      </c>
      <c r="T41" s="155">
        <f t="shared" ref="T41:U54" si="88">BB41</f>
        <v>21884</v>
      </c>
      <c r="U41" s="552">
        <f t="shared" si="88"/>
        <v>60797</v>
      </c>
      <c r="V41" s="155">
        <f>BG41+BJ41</f>
        <v>2007</v>
      </c>
      <c r="W41" s="155">
        <f t="shared" ref="W41:W54" si="89">BR41</f>
        <v>11641</v>
      </c>
      <c r="X41" s="155">
        <f>BH41+BI41</f>
        <v>5242</v>
      </c>
      <c r="Y41" s="155">
        <f>BK41+BL41+BN41</f>
        <v>11450</v>
      </c>
      <c r="Z41" s="155">
        <f t="shared" ref="Z41:Z54" si="90">BM41</f>
        <v>21603</v>
      </c>
      <c r="AA41" s="155">
        <f>BO41+BQ41</f>
        <v>10334</v>
      </c>
      <c r="AB41" s="552">
        <f t="shared" ref="AB41:AB54" si="91">BP41</f>
        <v>13127</v>
      </c>
      <c r="AC41" s="155">
        <f t="shared" ref="AC41:AC54" si="92">BX41</f>
        <v>30496</v>
      </c>
      <c r="AD41" s="155">
        <f t="shared" ref="AD41:AD54" si="93">BU41</f>
        <v>12898</v>
      </c>
      <c r="AE41" s="155">
        <f>BS41+BT41</f>
        <v>26829</v>
      </c>
      <c r="AF41" s="155">
        <f t="shared" ref="AF41:AF54" si="94">CA41</f>
        <v>13265</v>
      </c>
      <c r="AG41" s="155">
        <f t="shared" ref="AG41:AG54" si="95">BV41</f>
        <v>25638</v>
      </c>
      <c r="AH41" s="155">
        <f t="shared" ref="AH41:AH54" si="96">BZ41</f>
        <v>23089</v>
      </c>
      <c r="AI41" s="155">
        <f t="shared" ref="AI41:AI54" si="97">BW41</f>
        <v>15482</v>
      </c>
      <c r="AJ41" s="155">
        <f t="shared" ref="AJ41:AJ54" si="98">BY41</f>
        <v>15175</v>
      </c>
      <c r="AK41" s="552">
        <f t="shared" ref="AK41:AK54" si="99">CB41</f>
        <v>33646</v>
      </c>
      <c r="AL41" s="155">
        <f t="shared" ref="AL41:AL54" si="100">CE41</f>
        <v>14193</v>
      </c>
      <c r="AM41" s="155">
        <f t="shared" ref="AM41:AM54" si="101">CH41</f>
        <v>85240</v>
      </c>
      <c r="AN41" s="155">
        <f t="shared" ref="AN41:AN54" si="102">CJ41</f>
        <v>135690</v>
      </c>
      <c r="AO41" s="155">
        <f t="shared" ref="AO41:AP54" si="103">CC41</f>
        <v>27212</v>
      </c>
      <c r="AP41" s="155">
        <f t="shared" si="103"/>
        <v>5770</v>
      </c>
      <c r="AQ41" s="155">
        <f t="shared" ref="AQ41:AQ54" si="104">CK41</f>
        <v>35224</v>
      </c>
      <c r="AR41" s="155">
        <f t="shared" ref="AR41:AR54" si="105">CI41</f>
        <v>20423</v>
      </c>
      <c r="AS41" s="156">
        <f>CF41+CG41</f>
        <v>51509</v>
      </c>
      <c r="AT41" s="155">
        <v>787</v>
      </c>
      <c r="AU41" s="155">
        <v>9206</v>
      </c>
      <c r="AV41" s="155">
        <v>8405</v>
      </c>
      <c r="AW41" s="155">
        <v>30067</v>
      </c>
      <c r="AX41" s="155">
        <v>12186</v>
      </c>
      <c r="AY41" s="155">
        <v>19889</v>
      </c>
      <c r="AZ41" s="155">
        <v>161</v>
      </c>
      <c r="BA41" s="155">
        <v>11641</v>
      </c>
      <c r="BB41" s="155">
        <v>21884</v>
      </c>
      <c r="BC41" s="155">
        <v>60797</v>
      </c>
      <c r="BD41" s="155">
        <v>18335</v>
      </c>
      <c r="BE41" s="155">
        <v>20024</v>
      </c>
      <c r="BF41" s="552">
        <v>68190</v>
      </c>
      <c r="BG41" s="155">
        <v>184</v>
      </c>
      <c r="BH41" s="155">
        <v>247</v>
      </c>
      <c r="BI41" s="155">
        <v>4995</v>
      </c>
      <c r="BJ41" s="155">
        <v>1823</v>
      </c>
      <c r="BK41" s="155">
        <v>354</v>
      </c>
      <c r="BL41" s="155">
        <v>29</v>
      </c>
      <c r="BM41" s="155">
        <v>21603</v>
      </c>
      <c r="BN41" s="155">
        <v>11067</v>
      </c>
      <c r="BO41" s="155">
        <v>124</v>
      </c>
      <c r="BP41" s="155">
        <v>13127</v>
      </c>
      <c r="BQ41" s="155">
        <v>10210</v>
      </c>
      <c r="BR41" s="552">
        <v>11641</v>
      </c>
      <c r="BS41" s="155">
        <v>399</v>
      </c>
      <c r="BT41" s="155">
        <v>26430</v>
      </c>
      <c r="BU41" s="155">
        <v>12898</v>
      </c>
      <c r="BV41" s="155">
        <v>25638</v>
      </c>
      <c r="BW41" s="155">
        <v>15482</v>
      </c>
      <c r="BX41" s="155">
        <v>30496</v>
      </c>
      <c r="BY41" s="155">
        <v>15175</v>
      </c>
      <c r="BZ41" s="155">
        <v>23089</v>
      </c>
      <c r="CA41" s="155">
        <v>13265</v>
      </c>
      <c r="CB41" s="552">
        <v>33646</v>
      </c>
      <c r="CC41" s="155">
        <v>27212</v>
      </c>
      <c r="CD41" s="155">
        <v>5770</v>
      </c>
      <c r="CE41" s="155">
        <v>14193</v>
      </c>
      <c r="CF41" s="155">
        <v>2402</v>
      </c>
      <c r="CG41" s="155">
        <v>49107</v>
      </c>
      <c r="CH41" s="155">
        <v>85240</v>
      </c>
      <c r="CI41" s="155">
        <v>20423</v>
      </c>
      <c r="CJ41" s="155">
        <v>135690</v>
      </c>
      <c r="CK41" s="156">
        <v>35224</v>
      </c>
      <c r="CL41" s="320">
        <v>928755</v>
      </c>
    </row>
    <row r="42" spans="1:90">
      <c r="A42" s="80">
        <f>ROWS($A$3:A40)</f>
        <v>38</v>
      </c>
      <c r="B42" s="92" t="s">
        <v>305</v>
      </c>
      <c r="C42" s="584">
        <v>2020</v>
      </c>
      <c r="D42" s="259" t="s">
        <v>7</v>
      </c>
      <c r="E42" s="706">
        <v>44379</v>
      </c>
      <c r="F42" s="154">
        <v>107477</v>
      </c>
      <c r="G42" s="155">
        <v>28351</v>
      </c>
      <c r="H42" s="155">
        <v>82380</v>
      </c>
      <c r="I42" s="156">
        <v>160471</v>
      </c>
      <c r="J42" s="281"/>
      <c r="K42" s="154">
        <f t="shared" si="82"/>
        <v>27035</v>
      </c>
      <c r="L42" s="155">
        <f t="shared" si="83"/>
        <v>8036</v>
      </c>
      <c r="M42" s="155">
        <f t="shared" si="84"/>
        <v>7006</v>
      </c>
      <c r="N42" s="155">
        <f t="shared" si="85"/>
        <v>12251</v>
      </c>
      <c r="O42" s="155">
        <f t="shared" si="86"/>
        <v>6944</v>
      </c>
      <c r="P42" s="155">
        <f>'2020'!BA42</f>
        <v>4145</v>
      </c>
      <c r="Q42" s="155">
        <f>'2020'!AU42</f>
        <v>3626</v>
      </c>
      <c r="R42" s="155">
        <f>AX42</f>
        <v>4376</v>
      </c>
      <c r="S42" s="155">
        <f t="shared" si="87"/>
        <v>3003</v>
      </c>
      <c r="T42" s="155">
        <f t="shared" si="88"/>
        <v>8758</v>
      </c>
      <c r="U42" s="552">
        <f t="shared" si="88"/>
        <v>21832</v>
      </c>
      <c r="V42" s="155">
        <f>BJ42</f>
        <v>710</v>
      </c>
      <c r="W42" s="155">
        <f t="shared" si="89"/>
        <v>4713</v>
      </c>
      <c r="X42" s="155">
        <f>BI42</f>
        <v>1860</v>
      </c>
      <c r="Y42" s="155">
        <f>BN42</f>
        <v>4008</v>
      </c>
      <c r="Z42" s="155">
        <f t="shared" si="90"/>
        <v>7952</v>
      </c>
      <c r="AA42" s="155">
        <f>BQ42</f>
        <v>3569</v>
      </c>
      <c r="AB42" s="552">
        <f t="shared" si="91"/>
        <v>5241</v>
      </c>
      <c r="AC42" s="155">
        <f t="shared" si="92"/>
        <v>14070</v>
      </c>
      <c r="AD42" s="155">
        <f t="shared" si="93"/>
        <v>4408</v>
      </c>
      <c r="AE42" s="155">
        <f>BS42+BT42</f>
        <v>12772</v>
      </c>
      <c r="AF42" s="155">
        <f t="shared" si="94"/>
        <v>5516</v>
      </c>
      <c r="AG42" s="155">
        <f t="shared" si="95"/>
        <v>10088</v>
      </c>
      <c r="AH42" s="155">
        <f t="shared" si="96"/>
        <v>9475</v>
      </c>
      <c r="AI42" s="155">
        <f t="shared" si="97"/>
        <v>5627</v>
      </c>
      <c r="AJ42" s="155">
        <f t="shared" si="98"/>
        <v>6798</v>
      </c>
      <c r="AK42" s="552">
        <f t="shared" si="99"/>
        <v>13626</v>
      </c>
      <c r="AL42" s="155">
        <f t="shared" si="100"/>
        <v>5492</v>
      </c>
      <c r="AM42" s="155">
        <f t="shared" si="101"/>
        <v>33237</v>
      </c>
      <c r="AN42" s="155">
        <f t="shared" si="102"/>
        <v>67517</v>
      </c>
      <c r="AO42" s="155">
        <f t="shared" si="103"/>
        <v>8797</v>
      </c>
      <c r="AP42" s="155">
        <f t="shared" si="103"/>
        <v>2108</v>
      </c>
      <c r="AQ42" s="155">
        <f t="shared" si="104"/>
        <v>14592</v>
      </c>
      <c r="AR42" s="155">
        <f t="shared" si="105"/>
        <v>9020</v>
      </c>
      <c r="AS42" s="156">
        <f>CF42+CG42</f>
        <v>19708</v>
      </c>
      <c r="AT42" s="155" t="s">
        <v>58</v>
      </c>
      <c r="AU42" s="155">
        <v>3626</v>
      </c>
      <c r="AV42" s="155">
        <v>3003</v>
      </c>
      <c r="AW42" s="155">
        <v>12251</v>
      </c>
      <c r="AX42" s="155">
        <v>4376</v>
      </c>
      <c r="AY42" s="155">
        <v>8036</v>
      </c>
      <c r="AZ42" s="155" t="s">
        <v>58</v>
      </c>
      <c r="BA42" s="155">
        <v>4145</v>
      </c>
      <c r="BB42" s="155">
        <v>8758</v>
      </c>
      <c r="BC42" s="155">
        <v>21832</v>
      </c>
      <c r="BD42" s="155">
        <v>7006</v>
      </c>
      <c r="BE42" s="155">
        <v>6944</v>
      </c>
      <c r="BF42" s="552">
        <v>27035</v>
      </c>
      <c r="BG42" s="155" t="s">
        <v>58</v>
      </c>
      <c r="BH42" s="155" t="s">
        <v>58</v>
      </c>
      <c r="BI42" s="155">
        <v>1860</v>
      </c>
      <c r="BJ42" s="155">
        <v>710</v>
      </c>
      <c r="BK42" s="155" t="s">
        <v>58</v>
      </c>
      <c r="BL42" s="155" t="s">
        <v>58</v>
      </c>
      <c r="BM42" s="155">
        <v>7952</v>
      </c>
      <c r="BN42" s="155">
        <v>4008</v>
      </c>
      <c r="BO42" s="155" t="s">
        <v>58</v>
      </c>
      <c r="BP42" s="155">
        <v>5241</v>
      </c>
      <c r="BQ42" s="155">
        <v>3569</v>
      </c>
      <c r="BR42" s="552">
        <v>4713</v>
      </c>
      <c r="BS42" s="155">
        <v>140</v>
      </c>
      <c r="BT42" s="155">
        <v>12632</v>
      </c>
      <c r="BU42" s="155">
        <v>4408</v>
      </c>
      <c r="BV42" s="155">
        <v>10088</v>
      </c>
      <c r="BW42" s="155">
        <v>5627</v>
      </c>
      <c r="BX42" s="155">
        <v>14070</v>
      </c>
      <c r="BY42" s="155">
        <v>6798</v>
      </c>
      <c r="BZ42" s="155">
        <v>9475</v>
      </c>
      <c r="CA42" s="155">
        <v>5516</v>
      </c>
      <c r="CB42" s="552">
        <v>13626</v>
      </c>
      <c r="CC42" s="155">
        <v>8797</v>
      </c>
      <c r="CD42" s="155">
        <v>2108</v>
      </c>
      <c r="CE42" s="155">
        <v>5492</v>
      </c>
      <c r="CF42" s="155">
        <v>1066</v>
      </c>
      <c r="CG42" s="155">
        <v>18642</v>
      </c>
      <c r="CH42" s="155">
        <v>33237</v>
      </c>
      <c r="CI42" s="155">
        <v>9020</v>
      </c>
      <c r="CJ42" s="155">
        <v>67517</v>
      </c>
      <c r="CK42" s="156">
        <v>14592</v>
      </c>
      <c r="CL42" s="320">
        <v>378679</v>
      </c>
    </row>
    <row r="43" spans="1:90">
      <c r="A43" s="80">
        <f>ROWS($A$3:A41)</f>
        <v>39</v>
      </c>
      <c r="B43" s="92" t="s">
        <v>14</v>
      </c>
      <c r="C43" s="584">
        <v>2020</v>
      </c>
      <c r="D43" s="259" t="s">
        <v>7</v>
      </c>
      <c r="E43" s="706">
        <v>44379</v>
      </c>
      <c r="F43" s="154">
        <v>93567</v>
      </c>
      <c r="G43" s="155">
        <v>21782</v>
      </c>
      <c r="H43" s="155">
        <v>61966</v>
      </c>
      <c r="I43" s="156">
        <v>147917</v>
      </c>
      <c r="J43" s="281"/>
      <c r="K43" s="154">
        <f>BF43</f>
        <v>23650</v>
      </c>
      <c r="L43" s="155">
        <f>AY43</f>
        <v>6709</v>
      </c>
      <c r="M43" s="155">
        <f>BD43</f>
        <v>6158</v>
      </c>
      <c r="N43" s="155">
        <f>AW43</f>
        <v>10725</v>
      </c>
      <c r="O43" s="155">
        <f>BE43</f>
        <v>6520</v>
      </c>
      <c r="P43" s="155">
        <f>'2020'!BA43</f>
        <v>3393</v>
      </c>
      <c r="Q43" s="155">
        <f>'2020'!AU43</f>
        <v>2953</v>
      </c>
      <c r="R43" s="155">
        <f>AX43</f>
        <v>4065</v>
      </c>
      <c r="S43" s="155">
        <f>AV43</f>
        <v>2119</v>
      </c>
      <c r="T43" s="155">
        <f>BB43</f>
        <v>7490</v>
      </c>
      <c r="U43" s="552">
        <f>BC43</f>
        <v>19367</v>
      </c>
      <c r="V43" s="155">
        <f>BJ43</f>
        <v>189</v>
      </c>
      <c r="W43" s="155">
        <f>BR43</f>
        <v>3984</v>
      </c>
      <c r="X43" s="155">
        <f>BI43</f>
        <v>1165</v>
      </c>
      <c r="Y43" s="155">
        <f>BN43</f>
        <v>2878</v>
      </c>
      <c r="Z43" s="155">
        <f>BM43</f>
        <v>6860</v>
      </c>
      <c r="AA43" s="155">
        <f>BQ43</f>
        <v>2723</v>
      </c>
      <c r="AB43" s="552">
        <f>BP43</f>
        <v>3920</v>
      </c>
      <c r="AC43" s="155">
        <f>BX43</f>
        <v>12113</v>
      </c>
      <c r="AD43" s="155">
        <f>BU43</f>
        <v>2688</v>
      </c>
      <c r="AE43" s="155">
        <f>BS43+BT43</f>
        <v>9121</v>
      </c>
      <c r="AF43" s="155">
        <f>CA43</f>
        <v>2891</v>
      </c>
      <c r="AG43" s="155">
        <f>BV43</f>
        <v>6251</v>
      </c>
      <c r="AH43" s="155">
        <f>BZ43</f>
        <v>8343</v>
      </c>
      <c r="AI43" s="155">
        <f>BW43</f>
        <v>4270</v>
      </c>
      <c r="AJ43" s="155">
        <f>BY43</f>
        <v>5936</v>
      </c>
      <c r="AK43" s="552">
        <f>CB43</f>
        <v>10353</v>
      </c>
      <c r="AL43" s="155">
        <f>CE43</f>
        <v>3345</v>
      </c>
      <c r="AM43" s="155">
        <f>CH43</f>
        <v>31314</v>
      </c>
      <c r="AN43" s="155">
        <f>CJ43</f>
        <v>65217</v>
      </c>
      <c r="AO43" s="155">
        <f>CC43</f>
        <v>7472</v>
      </c>
      <c r="AP43" s="155">
        <f>CD43</f>
        <v>1446</v>
      </c>
      <c r="AQ43" s="155">
        <f>CK43</f>
        <v>12963</v>
      </c>
      <c r="AR43" s="155">
        <f>CI43</f>
        <v>8001</v>
      </c>
      <c r="AS43" s="156">
        <f>CF43+CG43</f>
        <v>18159</v>
      </c>
      <c r="AT43" s="155" t="s">
        <v>304</v>
      </c>
      <c r="AU43" s="155">
        <v>2953</v>
      </c>
      <c r="AV43" s="155">
        <v>2119</v>
      </c>
      <c r="AW43" s="155">
        <v>10725</v>
      </c>
      <c r="AX43" s="155">
        <v>4065</v>
      </c>
      <c r="AY43" s="155">
        <v>6709</v>
      </c>
      <c r="AZ43" s="155" t="s">
        <v>304</v>
      </c>
      <c r="BA43" s="155">
        <v>3393</v>
      </c>
      <c r="BB43" s="155">
        <v>7490</v>
      </c>
      <c r="BC43" s="155">
        <v>19367</v>
      </c>
      <c r="BD43" s="155">
        <v>6158</v>
      </c>
      <c r="BE43" s="155">
        <v>6520</v>
      </c>
      <c r="BF43" s="552">
        <v>23650</v>
      </c>
      <c r="BG43" s="155" t="s">
        <v>41</v>
      </c>
      <c r="BH43" s="155" t="s">
        <v>304</v>
      </c>
      <c r="BI43" s="155">
        <v>1165</v>
      </c>
      <c r="BJ43" s="155">
        <v>189</v>
      </c>
      <c r="BK43" s="155" t="s">
        <v>304</v>
      </c>
      <c r="BL43" s="155" t="s">
        <v>41</v>
      </c>
      <c r="BM43" s="155">
        <v>6860</v>
      </c>
      <c r="BN43" s="155">
        <v>2878</v>
      </c>
      <c r="BO43" s="155" t="s">
        <v>304</v>
      </c>
      <c r="BP43" s="155">
        <v>3920</v>
      </c>
      <c r="BQ43" s="155">
        <v>2723</v>
      </c>
      <c r="BR43" s="552">
        <v>3984</v>
      </c>
      <c r="BS43" s="155">
        <v>94</v>
      </c>
      <c r="BT43" s="155">
        <v>9027</v>
      </c>
      <c r="BU43" s="155">
        <v>2688</v>
      </c>
      <c r="BV43" s="155">
        <v>6251</v>
      </c>
      <c r="BW43" s="155">
        <v>4270</v>
      </c>
      <c r="BX43" s="155">
        <v>12113</v>
      </c>
      <c r="BY43" s="155">
        <v>5936</v>
      </c>
      <c r="BZ43" s="155">
        <v>8343</v>
      </c>
      <c r="CA43" s="155">
        <v>2891</v>
      </c>
      <c r="CB43" s="552">
        <v>10353</v>
      </c>
      <c r="CC43" s="155">
        <v>7472</v>
      </c>
      <c r="CD43" s="155">
        <v>1446</v>
      </c>
      <c r="CE43" s="155">
        <v>3345</v>
      </c>
      <c r="CF43" s="155">
        <v>1038</v>
      </c>
      <c r="CG43" s="155">
        <v>17121</v>
      </c>
      <c r="CH43" s="155">
        <v>31314</v>
      </c>
      <c r="CI43" s="155">
        <v>8001</v>
      </c>
      <c r="CJ43" s="155">
        <v>65217</v>
      </c>
      <c r="CK43" s="156">
        <v>12963</v>
      </c>
      <c r="CL43" s="320">
        <v>325232</v>
      </c>
    </row>
    <row r="44" spans="1:90">
      <c r="A44" s="80">
        <f>ROWS($A$3:A42)</f>
        <v>40</v>
      </c>
      <c r="B44" s="388" t="s">
        <v>20</v>
      </c>
      <c r="C44" s="584">
        <v>2020</v>
      </c>
      <c r="D44" s="259" t="s">
        <v>241</v>
      </c>
      <c r="E44" s="719">
        <v>44379</v>
      </c>
      <c r="F44" s="154">
        <f>IF(ISERROR(F43/F123)=TRUE,"*",F43/F123)</f>
        <v>54.589848308051344</v>
      </c>
      <c r="G44" s="155">
        <f>IF(ISERROR(G43/G123)=TRUE,"*",G43/G123)</f>
        <v>61.705382436260621</v>
      </c>
      <c r="H44" s="155">
        <f>IF(ISERROR(H43/H123)=TRUE,"*",H43/H123)</f>
        <v>40.447780678851174</v>
      </c>
      <c r="I44" s="156">
        <f>IF(ISERROR(I43/I123)=TRUE,"*",I43/I123)</f>
        <v>59.571888844140155</v>
      </c>
      <c r="J44" s="281"/>
      <c r="K44" s="154">
        <f t="shared" ref="K44:AP44" si="106">IF(ISERROR(K43/K123)=TRUE,"*",K43/K123)</f>
        <v>56.578947368421055</v>
      </c>
      <c r="L44" s="155">
        <f t="shared" si="106"/>
        <v>45.639455782312922</v>
      </c>
      <c r="M44" s="155">
        <f t="shared" si="106"/>
        <v>52.186440677966104</v>
      </c>
      <c r="N44" s="155">
        <f t="shared" si="106"/>
        <v>59.583333333333336</v>
      </c>
      <c r="O44" s="155">
        <f t="shared" si="106"/>
        <v>57.192982456140349</v>
      </c>
      <c r="P44" s="155">
        <f t="shared" si="106"/>
        <v>53.015625</v>
      </c>
      <c r="Q44" s="155">
        <f t="shared" si="106"/>
        <v>64.195652173913047</v>
      </c>
      <c r="R44" s="155">
        <f t="shared" si="106"/>
        <v>52.79220779220779</v>
      </c>
      <c r="S44" s="155">
        <f t="shared" si="106"/>
        <v>38.527272727272724</v>
      </c>
      <c r="T44" s="155">
        <f t="shared" si="106"/>
        <v>59.444444444444443</v>
      </c>
      <c r="U44" s="552">
        <f t="shared" si="106"/>
        <v>54.097765363128495</v>
      </c>
      <c r="V44" s="155">
        <f t="shared" si="106"/>
        <v>23.625</v>
      </c>
      <c r="W44" s="155">
        <f t="shared" si="106"/>
        <v>61.292307692307695</v>
      </c>
      <c r="X44" s="155">
        <f t="shared" si="106"/>
        <v>72.8125</v>
      </c>
      <c r="Y44" s="155">
        <f t="shared" si="106"/>
        <v>68.523809523809518</v>
      </c>
      <c r="Z44" s="155">
        <f t="shared" si="106"/>
        <v>64.716981132075475</v>
      </c>
      <c r="AA44" s="155">
        <f t="shared" si="106"/>
        <v>59.195652173913047</v>
      </c>
      <c r="AB44" s="552">
        <f t="shared" si="106"/>
        <v>59.393939393939391</v>
      </c>
      <c r="AC44" s="155">
        <f t="shared" si="106"/>
        <v>39.845394736842103</v>
      </c>
      <c r="AD44" s="155">
        <f t="shared" si="106"/>
        <v>26.88</v>
      </c>
      <c r="AE44" s="155">
        <f t="shared" si="106"/>
        <v>31.780487804878049</v>
      </c>
      <c r="AF44" s="155">
        <f t="shared" si="106"/>
        <v>34.011764705882356</v>
      </c>
      <c r="AG44" s="155">
        <f t="shared" si="106"/>
        <v>27.90625</v>
      </c>
      <c r="AH44" s="155">
        <f t="shared" si="106"/>
        <v>62.261194029850749</v>
      </c>
      <c r="AI44" s="155">
        <f t="shared" si="106"/>
        <v>34.715447154471548</v>
      </c>
      <c r="AJ44" s="155">
        <f t="shared" si="106"/>
        <v>76.102564102564102</v>
      </c>
      <c r="AK44" s="552">
        <f t="shared" si="106"/>
        <v>53.642487046632127</v>
      </c>
      <c r="AL44" s="155">
        <f t="shared" si="106"/>
        <v>76.022727272727266</v>
      </c>
      <c r="AM44" s="155">
        <f t="shared" si="106"/>
        <v>62.007920792079204</v>
      </c>
      <c r="AN44" s="155" t="str">
        <f t="shared" si="106"/>
        <v>*</v>
      </c>
      <c r="AO44" s="155">
        <f t="shared" si="106"/>
        <v>61.245901639344261</v>
      </c>
      <c r="AP44" s="155">
        <f t="shared" si="106"/>
        <v>76.10526315789474</v>
      </c>
      <c r="AQ44" s="155">
        <f t="shared" ref="AQ44:BV44" si="107">IF(ISERROR(AQ43/AQ123)=TRUE,"*",AQ43/AQ123)</f>
        <v>65.140703517587937</v>
      </c>
      <c r="AR44" s="155">
        <f t="shared" si="107"/>
        <v>46.789473684210527</v>
      </c>
      <c r="AS44" s="156">
        <f t="shared" si="107"/>
        <v>58.57741935483871</v>
      </c>
      <c r="AT44" s="155" t="str">
        <f t="shared" si="107"/>
        <v>*</v>
      </c>
      <c r="AU44" s="155">
        <f t="shared" si="107"/>
        <v>64.195652173913047</v>
      </c>
      <c r="AV44" s="155">
        <f t="shared" si="107"/>
        <v>38.527272727272724</v>
      </c>
      <c r="AW44" s="155">
        <f t="shared" si="107"/>
        <v>59.583333333333336</v>
      </c>
      <c r="AX44" s="155">
        <f t="shared" si="107"/>
        <v>52.79220779220779</v>
      </c>
      <c r="AY44" s="155">
        <f t="shared" si="107"/>
        <v>45.639455782312922</v>
      </c>
      <c r="AZ44" s="155" t="str">
        <f t="shared" si="107"/>
        <v>*</v>
      </c>
      <c r="BA44" s="155">
        <f t="shared" si="107"/>
        <v>53.015625</v>
      </c>
      <c r="BB44" s="155">
        <f t="shared" si="107"/>
        <v>59.444444444444443</v>
      </c>
      <c r="BC44" s="155">
        <f t="shared" si="107"/>
        <v>54.097765363128495</v>
      </c>
      <c r="BD44" s="155">
        <f t="shared" si="107"/>
        <v>52.186440677966104</v>
      </c>
      <c r="BE44" s="155">
        <f t="shared" si="107"/>
        <v>57.192982456140349</v>
      </c>
      <c r="BF44" s="552">
        <f t="shared" si="107"/>
        <v>56.578947368421055</v>
      </c>
      <c r="BG44" s="155" t="str">
        <f t="shared" si="107"/>
        <v>*</v>
      </c>
      <c r="BH44" s="155" t="str">
        <f t="shared" si="107"/>
        <v>*</v>
      </c>
      <c r="BI44" s="155">
        <f t="shared" si="107"/>
        <v>72.8125</v>
      </c>
      <c r="BJ44" s="155">
        <f t="shared" si="107"/>
        <v>23.625</v>
      </c>
      <c r="BK44" s="155" t="str">
        <f t="shared" si="107"/>
        <v>*</v>
      </c>
      <c r="BL44" s="155" t="str">
        <f t="shared" si="107"/>
        <v>*</v>
      </c>
      <c r="BM44" s="155">
        <f t="shared" si="107"/>
        <v>64.716981132075475</v>
      </c>
      <c r="BN44" s="155">
        <f t="shared" si="107"/>
        <v>68.523809523809518</v>
      </c>
      <c r="BO44" s="155" t="str">
        <f t="shared" si="107"/>
        <v>*</v>
      </c>
      <c r="BP44" s="155">
        <f t="shared" si="107"/>
        <v>59.393939393939391</v>
      </c>
      <c r="BQ44" s="155">
        <f t="shared" si="107"/>
        <v>59.195652173913047</v>
      </c>
      <c r="BR44" s="552">
        <f t="shared" si="107"/>
        <v>61.292307692307695</v>
      </c>
      <c r="BS44" s="155">
        <f t="shared" si="107"/>
        <v>23.5</v>
      </c>
      <c r="BT44" s="155">
        <f t="shared" si="107"/>
        <v>31.452961672473869</v>
      </c>
      <c r="BU44" s="155">
        <f t="shared" si="107"/>
        <v>26.88</v>
      </c>
      <c r="BV44" s="155">
        <f t="shared" si="107"/>
        <v>27.90625</v>
      </c>
      <c r="BW44" s="155">
        <f t="shared" ref="BW44:CL44" si="108">IF(ISERROR(BW43/BW123)=TRUE,"*",BW43/BW123)</f>
        <v>34.715447154471548</v>
      </c>
      <c r="BX44" s="155">
        <f t="shared" si="108"/>
        <v>39.845394736842103</v>
      </c>
      <c r="BY44" s="155">
        <f t="shared" si="108"/>
        <v>76.102564102564102</v>
      </c>
      <c r="BZ44" s="155">
        <f t="shared" si="108"/>
        <v>62.261194029850749</v>
      </c>
      <c r="CA44" s="155">
        <f t="shared" si="108"/>
        <v>34.011764705882356</v>
      </c>
      <c r="CB44" s="552">
        <f t="shared" si="108"/>
        <v>53.642487046632127</v>
      </c>
      <c r="CC44" s="155">
        <f t="shared" si="108"/>
        <v>61.245901639344261</v>
      </c>
      <c r="CD44" s="155">
        <f t="shared" si="108"/>
        <v>76.10526315789474</v>
      </c>
      <c r="CE44" s="155">
        <f t="shared" si="108"/>
        <v>76.022727272727266</v>
      </c>
      <c r="CF44" s="155">
        <f t="shared" si="108"/>
        <v>79.84615384615384</v>
      </c>
      <c r="CG44" s="155">
        <f t="shared" si="108"/>
        <v>55.229032258064514</v>
      </c>
      <c r="CH44" s="155">
        <f t="shared" si="108"/>
        <v>62.007920792079204</v>
      </c>
      <c r="CI44" s="155">
        <f t="shared" si="108"/>
        <v>46.789473684210527</v>
      </c>
      <c r="CJ44" s="155" t="str">
        <f t="shared" si="108"/>
        <v>*</v>
      </c>
      <c r="CK44" s="156">
        <f t="shared" si="108"/>
        <v>65.140703517587937</v>
      </c>
      <c r="CL44" s="320">
        <f t="shared" si="108"/>
        <v>53.474514962183491</v>
      </c>
    </row>
    <row r="45" spans="1:90">
      <c r="A45" s="80">
        <f>ROWS($A$3:A43)</f>
        <v>41</v>
      </c>
      <c r="B45" s="92" t="s">
        <v>74</v>
      </c>
      <c r="C45" s="202">
        <v>2020</v>
      </c>
      <c r="D45" s="259" t="s">
        <v>7</v>
      </c>
      <c r="E45" s="719">
        <v>44379</v>
      </c>
      <c r="F45" s="154">
        <v>915009</v>
      </c>
      <c r="G45" s="155">
        <v>68743</v>
      </c>
      <c r="H45" s="155">
        <v>103557</v>
      </c>
      <c r="I45" s="156">
        <v>583100</v>
      </c>
      <c r="J45" s="281"/>
      <c r="K45" s="154">
        <f t="shared" si="82"/>
        <v>135241</v>
      </c>
      <c r="L45" s="155">
        <f t="shared" si="83"/>
        <v>9447</v>
      </c>
      <c r="M45" s="155">
        <f t="shared" si="84"/>
        <v>107656</v>
      </c>
      <c r="N45" s="155">
        <f t="shared" si="85"/>
        <v>22867</v>
      </c>
      <c r="O45" s="155">
        <f t="shared" si="86"/>
        <v>35904</v>
      </c>
      <c r="P45" s="806">
        <f>IF(ISERROR(AZ45+BA45),BA45,AZ45+BA45)</f>
        <v>21541</v>
      </c>
      <c r="Q45" s="155">
        <f>'2020'!AU45</f>
        <v>16637</v>
      </c>
      <c r="R45" s="806">
        <f>IF(ISERROR(AT45+AX45),AX45,AT45+AX45)</f>
        <v>28484</v>
      </c>
      <c r="S45" s="155" t="str">
        <f t="shared" si="87"/>
        <v>.</v>
      </c>
      <c r="T45" s="155">
        <f t="shared" si="88"/>
        <v>132742</v>
      </c>
      <c r="U45" s="552">
        <f t="shared" si="88"/>
        <v>398991</v>
      </c>
      <c r="V45" s="806">
        <f>IF(ISERROR(BG45+BJ45),BJ45,(BG45+BJ45))</f>
        <v>3148</v>
      </c>
      <c r="W45" s="155">
        <f t="shared" si="89"/>
        <v>10582</v>
      </c>
      <c r="X45" s="806">
        <f>IF(ISERROR(BH45+BI45),BI45,(BH45+BI45))</f>
        <v>2127</v>
      </c>
      <c r="Y45" s="806">
        <f>IF(ISERROR(BK45+BL45+BN45),BN45,(BK45+BL45+BN45))</f>
        <v>12433</v>
      </c>
      <c r="Z45" s="155">
        <f t="shared" si="90"/>
        <v>30622</v>
      </c>
      <c r="AA45" s="806">
        <f>IF(ISERROR(BO45+BQ45),BQ45,(BO45+BQ45))</f>
        <v>3983</v>
      </c>
      <c r="AB45" s="552">
        <f t="shared" si="91"/>
        <v>4177</v>
      </c>
      <c r="AC45" s="155">
        <f t="shared" si="92"/>
        <v>18403</v>
      </c>
      <c r="AD45" s="155">
        <f t="shared" si="93"/>
        <v>2058</v>
      </c>
      <c r="AE45" s="806">
        <f>IF(ISERROR(BS45+BT45),BT45,(BS45+BT45))</f>
        <v>6129</v>
      </c>
      <c r="AF45" s="155" t="str">
        <f t="shared" si="94"/>
        <v>.</v>
      </c>
      <c r="AG45" s="155">
        <f t="shared" si="95"/>
        <v>21690</v>
      </c>
      <c r="AH45" s="155">
        <f t="shared" si="96"/>
        <v>11262</v>
      </c>
      <c r="AI45" s="155">
        <f t="shared" si="97"/>
        <v>25878</v>
      </c>
      <c r="AJ45" s="155">
        <f t="shared" si="98"/>
        <v>6860</v>
      </c>
      <c r="AK45" s="552">
        <f t="shared" si="99"/>
        <v>9101</v>
      </c>
      <c r="AL45" s="155">
        <f t="shared" si="100"/>
        <v>6555</v>
      </c>
      <c r="AM45" s="155">
        <f t="shared" si="101"/>
        <v>155679</v>
      </c>
      <c r="AN45" s="155">
        <f t="shared" si="102"/>
        <v>45759</v>
      </c>
      <c r="AO45" s="155">
        <f t="shared" si="103"/>
        <v>19032</v>
      </c>
      <c r="AP45" s="155">
        <f t="shared" si="103"/>
        <v>10505</v>
      </c>
      <c r="AQ45" s="155">
        <f t="shared" si="104"/>
        <v>97988</v>
      </c>
      <c r="AR45" s="155">
        <f t="shared" si="105"/>
        <v>11792</v>
      </c>
      <c r="AS45" s="156">
        <f>CF45+CG45</f>
        <v>235790</v>
      </c>
      <c r="AT45" s="155" t="s">
        <v>41</v>
      </c>
      <c r="AU45" s="155">
        <v>16637</v>
      </c>
      <c r="AV45" s="155" t="s">
        <v>304</v>
      </c>
      <c r="AW45" s="155">
        <v>22867</v>
      </c>
      <c r="AX45" s="155">
        <v>28484</v>
      </c>
      <c r="AY45" s="155">
        <v>9447</v>
      </c>
      <c r="AZ45" s="155" t="s">
        <v>304</v>
      </c>
      <c r="BA45" s="155">
        <v>21541</v>
      </c>
      <c r="BB45" s="155">
        <v>132742</v>
      </c>
      <c r="BC45" s="155">
        <v>398991</v>
      </c>
      <c r="BD45" s="776">
        <v>107656</v>
      </c>
      <c r="BE45" s="776">
        <v>35904</v>
      </c>
      <c r="BF45" s="804">
        <v>135241</v>
      </c>
      <c r="BG45" s="155" t="s">
        <v>41</v>
      </c>
      <c r="BH45" s="155" t="s">
        <v>304</v>
      </c>
      <c r="BI45" s="155">
        <v>2127</v>
      </c>
      <c r="BJ45" s="155">
        <v>3148</v>
      </c>
      <c r="BK45" s="155" t="s">
        <v>304</v>
      </c>
      <c r="BL45" s="155" t="s">
        <v>304</v>
      </c>
      <c r="BM45" s="155">
        <v>30622</v>
      </c>
      <c r="BN45" s="155">
        <v>12433</v>
      </c>
      <c r="BO45" s="155" t="s">
        <v>304</v>
      </c>
      <c r="BP45" s="155">
        <v>4177</v>
      </c>
      <c r="BQ45" s="155">
        <v>3983</v>
      </c>
      <c r="BR45" s="804">
        <v>10582</v>
      </c>
      <c r="BS45" s="805" t="s">
        <v>304</v>
      </c>
      <c r="BT45" s="155">
        <v>6129</v>
      </c>
      <c r="BU45" s="155">
        <v>2058</v>
      </c>
      <c r="BV45" s="155">
        <v>21690</v>
      </c>
      <c r="BW45" s="155">
        <v>25878</v>
      </c>
      <c r="BX45" s="155">
        <v>18403</v>
      </c>
      <c r="BY45" s="155">
        <v>6860</v>
      </c>
      <c r="BZ45" s="155">
        <v>11262</v>
      </c>
      <c r="CA45" s="155" t="s">
        <v>304</v>
      </c>
      <c r="CB45" s="552">
        <v>9101</v>
      </c>
      <c r="CC45" s="155">
        <v>19032</v>
      </c>
      <c r="CD45" s="155">
        <v>10505</v>
      </c>
      <c r="CE45" s="155">
        <v>6555</v>
      </c>
      <c r="CF45" s="155">
        <v>12117</v>
      </c>
      <c r="CG45" s="155">
        <v>223673</v>
      </c>
      <c r="CH45" s="155">
        <v>155679</v>
      </c>
      <c r="CI45" s="155">
        <v>11792</v>
      </c>
      <c r="CJ45" s="155">
        <v>45759</v>
      </c>
      <c r="CK45" s="156">
        <v>97988</v>
      </c>
      <c r="CL45" s="320">
        <v>1670409</v>
      </c>
    </row>
    <row r="46" spans="1:90">
      <c r="A46" s="80">
        <f>ROWS($A$3:A44)</f>
        <v>42</v>
      </c>
      <c r="B46" s="92" t="s">
        <v>8</v>
      </c>
      <c r="C46" s="203"/>
      <c r="D46" s="259" t="s">
        <v>7</v>
      </c>
      <c r="E46" s="719">
        <v>44379</v>
      </c>
      <c r="F46" s="154">
        <v>80943</v>
      </c>
      <c r="G46" s="155">
        <v>3583</v>
      </c>
      <c r="H46" s="155">
        <v>8315</v>
      </c>
      <c r="I46" s="156">
        <v>43624</v>
      </c>
      <c r="J46" s="281"/>
      <c r="K46" s="154">
        <f t="shared" si="82"/>
        <v>14887</v>
      </c>
      <c r="L46" s="155" t="str">
        <f t="shared" si="83"/>
        <v>.</v>
      </c>
      <c r="M46" s="155">
        <f t="shared" si="84"/>
        <v>9605</v>
      </c>
      <c r="N46" s="155">
        <f t="shared" si="85"/>
        <v>2330</v>
      </c>
      <c r="O46" s="155">
        <f t="shared" si="86"/>
        <v>1908</v>
      </c>
      <c r="P46" s="806">
        <f>IF(ISERROR(AZ46+BA46),BA46,AZ46+BA46)</f>
        <v>1712</v>
      </c>
      <c r="Q46" s="155">
        <f>'2020'!AU46</f>
        <v>1225</v>
      </c>
      <c r="R46" s="806">
        <f>IF(ISERROR(AT46+AX46),AX46,AT46+AX46)</f>
        <v>1946</v>
      </c>
      <c r="S46" s="155" t="str">
        <f t="shared" si="87"/>
        <v>.</v>
      </c>
      <c r="T46" s="155">
        <f t="shared" si="88"/>
        <v>12736</v>
      </c>
      <c r="U46" s="552">
        <f t="shared" si="88"/>
        <v>33599</v>
      </c>
      <c r="V46" s="806" t="str">
        <f>IF(ISERROR(BG46+BJ46),BJ46,(BG46+BJ46))</f>
        <v>.</v>
      </c>
      <c r="W46" s="155">
        <f t="shared" si="89"/>
        <v>863</v>
      </c>
      <c r="X46" s="806" t="str">
        <f>IF(ISERROR(BH46+BI46),BI46,(BH46+BI46))</f>
        <v>.</v>
      </c>
      <c r="Y46" s="806">
        <f>IF(ISERROR(BK46+BL46+BN46),BN46,(BK46+BL46+BN46))</f>
        <v>816</v>
      </c>
      <c r="Z46" s="155">
        <f t="shared" si="90"/>
        <v>1333</v>
      </c>
      <c r="AA46" s="806" t="str">
        <f>IF(ISERROR(BO46+BQ46),BQ46,(BO46+BQ46))</f>
        <v>.</v>
      </c>
      <c r="AB46" s="552">
        <f t="shared" si="91"/>
        <v>288</v>
      </c>
      <c r="AC46" s="155">
        <f t="shared" si="92"/>
        <v>1449</v>
      </c>
      <c r="AD46" s="155" t="str">
        <f t="shared" si="93"/>
        <v>.</v>
      </c>
      <c r="AE46" s="806">
        <f>IF(ISERROR(BS46+BT46),BT46,(BS46+BT46))</f>
        <v>338</v>
      </c>
      <c r="AF46" s="155" t="str">
        <f t="shared" si="94"/>
        <v>.</v>
      </c>
      <c r="AG46" s="155">
        <f t="shared" si="95"/>
        <v>1945</v>
      </c>
      <c r="AH46" s="155">
        <f t="shared" si="96"/>
        <v>851</v>
      </c>
      <c r="AI46" s="155">
        <f t="shared" si="97"/>
        <v>1802</v>
      </c>
      <c r="AJ46" s="155">
        <f t="shared" si="98"/>
        <v>1055</v>
      </c>
      <c r="AK46" s="552">
        <f t="shared" si="99"/>
        <v>754</v>
      </c>
      <c r="AL46" s="155">
        <f t="shared" si="100"/>
        <v>430</v>
      </c>
      <c r="AM46" s="155">
        <f t="shared" si="101"/>
        <v>12339</v>
      </c>
      <c r="AN46" s="155">
        <f t="shared" si="102"/>
        <v>4425</v>
      </c>
      <c r="AO46" s="155">
        <f t="shared" si="103"/>
        <v>1402</v>
      </c>
      <c r="AP46" s="155">
        <f t="shared" si="103"/>
        <v>310</v>
      </c>
      <c r="AQ46" s="155">
        <f t="shared" si="104"/>
        <v>7623</v>
      </c>
      <c r="AR46" s="155">
        <f t="shared" si="105"/>
        <v>698</v>
      </c>
      <c r="AS46" s="156">
        <f>CF46+CG46</f>
        <v>16397</v>
      </c>
      <c r="AT46" s="155" t="s">
        <v>41</v>
      </c>
      <c r="AU46" s="776">
        <v>1225</v>
      </c>
      <c r="AV46" s="155" t="s">
        <v>304</v>
      </c>
      <c r="AW46" s="776">
        <v>2330</v>
      </c>
      <c r="AX46" s="776">
        <v>1946</v>
      </c>
      <c r="AY46" s="155" t="s">
        <v>304</v>
      </c>
      <c r="AZ46" s="155" t="s">
        <v>41</v>
      </c>
      <c r="BA46" s="776">
        <v>1712</v>
      </c>
      <c r="BB46" s="776">
        <v>12736</v>
      </c>
      <c r="BC46" s="776">
        <v>33599</v>
      </c>
      <c r="BD46" s="776">
        <v>9605</v>
      </c>
      <c r="BE46" s="776">
        <v>1908</v>
      </c>
      <c r="BF46" s="804">
        <v>14887</v>
      </c>
      <c r="BG46" s="155" t="s">
        <v>41</v>
      </c>
      <c r="BH46" s="155" t="s">
        <v>41</v>
      </c>
      <c r="BI46" s="155" t="s">
        <v>304</v>
      </c>
      <c r="BJ46" s="155" t="s">
        <v>304</v>
      </c>
      <c r="BK46" s="155" t="s">
        <v>41</v>
      </c>
      <c r="BL46" s="155" t="s">
        <v>41</v>
      </c>
      <c r="BM46" s="776">
        <v>1333</v>
      </c>
      <c r="BN46" s="776">
        <v>816</v>
      </c>
      <c r="BO46" s="155" t="s">
        <v>304</v>
      </c>
      <c r="BP46" s="776">
        <v>288</v>
      </c>
      <c r="BQ46" s="155" t="s">
        <v>304</v>
      </c>
      <c r="BR46" s="804">
        <v>863</v>
      </c>
      <c r="BS46" s="805" t="s">
        <v>304</v>
      </c>
      <c r="BT46" s="776">
        <v>338</v>
      </c>
      <c r="BU46" s="155" t="s">
        <v>304</v>
      </c>
      <c r="BV46" s="776">
        <v>1945</v>
      </c>
      <c r="BW46" s="776">
        <v>1802</v>
      </c>
      <c r="BX46" s="776">
        <v>1449</v>
      </c>
      <c r="BY46" s="776">
        <v>1055</v>
      </c>
      <c r="BZ46" s="776">
        <v>851</v>
      </c>
      <c r="CA46" s="155" t="s">
        <v>304</v>
      </c>
      <c r="CB46" s="804">
        <v>754</v>
      </c>
      <c r="CC46" s="776">
        <v>1402</v>
      </c>
      <c r="CD46" s="776">
        <v>310</v>
      </c>
      <c r="CE46" s="776">
        <v>430</v>
      </c>
      <c r="CF46" s="776">
        <v>611</v>
      </c>
      <c r="CG46" s="776">
        <v>15786</v>
      </c>
      <c r="CH46" s="155">
        <v>12339</v>
      </c>
      <c r="CI46" s="155">
        <v>698</v>
      </c>
      <c r="CJ46" s="155">
        <v>4425</v>
      </c>
      <c r="CK46" s="777">
        <v>7623</v>
      </c>
      <c r="CL46" s="795">
        <v>136465</v>
      </c>
    </row>
    <row r="47" spans="1:90">
      <c r="A47" s="80">
        <f>ROWS($A$3:A45)</f>
        <v>43</v>
      </c>
      <c r="B47" s="388" t="s">
        <v>19</v>
      </c>
      <c r="C47" s="252"/>
      <c r="D47" s="259" t="s">
        <v>241</v>
      </c>
      <c r="E47" s="719">
        <v>44379</v>
      </c>
      <c r="F47" s="154">
        <f>F125/F124</f>
        <v>293.42363877822044</v>
      </c>
      <c r="G47" s="155">
        <f>G125/G124</f>
        <v>155.67100977198697</v>
      </c>
      <c r="H47" s="155">
        <f>H125/H124</f>
        <v>71.355835240274601</v>
      </c>
      <c r="I47" s="156">
        <f>I125/I124</f>
        <v>291.69797421731124</v>
      </c>
      <c r="J47" s="281"/>
      <c r="K47" s="154">
        <f t="shared" si="82"/>
        <v>192.32300884955751</v>
      </c>
      <c r="L47" s="155">
        <f t="shared" si="83"/>
        <v>69.118421052631575</v>
      </c>
      <c r="M47" s="155">
        <f t="shared" si="84"/>
        <v>306.17415730337081</v>
      </c>
      <c r="N47" s="155">
        <f t="shared" si="85"/>
        <v>199.60714285714286</v>
      </c>
      <c r="O47" s="155">
        <f t="shared" si="86"/>
        <v>308.40229885057471</v>
      </c>
      <c r="P47" s="806">
        <f>IF(ISERROR((BA45*BA47+AZ45*AZ47)/P45),BA47,(BA45*BA47+AZ45*AZ47)/P45)</f>
        <v>212.38596491228071</v>
      </c>
      <c r="Q47" s="155">
        <f>'2020'!AU47</f>
        <v>191.21276595744681</v>
      </c>
      <c r="R47" s="806">
        <f>IF(ISERROR((AT47*AT45+AX45*AX47)/R45),AX47,(AT47*AT45+AX45*AX47)/R45)</f>
        <v>318.66071428571428</v>
      </c>
      <c r="S47" s="155" t="str">
        <f>AV47</f>
        <v>*</v>
      </c>
      <c r="T47" s="155">
        <f t="shared" si="88"/>
        <v>325.69565217391306</v>
      </c>
      <c r="U47" s="552">
        <f t="shared" si="88"/>
        <v>387.14145383104125</v>
      </c>
      <c r="V47" s="806">
        <f>IF(ISERROR((BG47*BG45+BJ45*BJ47)/V45),BJ47,(BG47*BG45+BJ45*BJ47)/V45)</f>
        <v>109.78947368421052</v>
      </c>
      <c r="W47" s="155">
        <f t="shared" si="89"/>
        <v>99.478260869565219</v>
      </c>
      <c r="X47" s="806">
        <f>IF(ISERROR((BH45*BH47+BI45*BI47)/X45),BI47,(BH45*BH47+BI45*BI47)/X45)</f>
        <v>80.16</v>
      </c>
      <c r="Y47" s="806">
        <f>IF(ISERROR(BK47*BK45+BL47*BL45+BN47*BN45)/Y45,BN47,(BK47*BK45+BL47*BL45+BN47*BN45)/Y45)</f>
        <v>188.74468085106383</v>
      </c>
      <c r="Z47" s="155">
        <f t="shared" si="90"/>
        <v>281.63414634146341</v>
      </c>
      <c r="AA47" s="807">
        <f>IF(ISERROR((BO47*BO45+BQ47*BQ45)/AA45),BQ47,(BO47*BO45+BQ47*BQ45)/AA45)</f>
        <v>101.25</v>
      </c>
      <c r="AB47" s="552">
        <f t="shared" si="91"/>
        <v>46.073170731707314</v>
      </c>
      <c r="AC47" s="155">
        <f t="shared" si="92"/>
        <v>91.743119266055047</v>
      </c>
      <c r="AD47" s="155" t="str">
        <f t="shared" si="93"/>
        <v>*</v>
      </c>
      <c r="AE47" s="806">
        <f>IF(ISERROR((BS45*BS47+BT45*BT47)/AE45),BT47,(BS45*BS47+BT45*BT47)/AE45)</f>
        <v>37.992307692307691</v>
      </c>
      <c r="AF47" s="155" t="str">
        <f t="shared" si="94"/>
        <v>.</v>
      </c>
      <c r="AG47" s="155">
        <f t="shared" si="95"/>
        <v>52.435779816513758</v>
      </c>
      <c r="AH47" s="155">
        <f t="shared" si="96"/>
        <v>118.75925925925925</v>
      </c>
      <c r="AI47" s="155">
        <f t="shared" si="97"/>
        <v>167.91818181818181</v>
      </c>
      <c r="AJ47" s="155">
        <f t="shared" si="98"/>
        <v>75.264705882352942</v>
      </c>
      <c r="AK47" s="552">
        <f t="shared" si="99"/>
        <v>56.735632183908045</v>
      </c>
      <c r="AL47" s="155">
        <f t="shared" si="100"/>
        <v>116.66666666666667</v>
      </c>
      <c r="AM47" s="155">
        <f t="shared" si="101"/>
        <v>341.85185185185185</v>
      </c>
      <c r="AN47" s="155">
        <f t="shared" si="102"/>
        <v>191.08</v>
      </c>
      <c r="AO47" s="155">
        <f t="shared" si="103"/>
        <v>104.78409090909091</v>
      </c>
      <c r="AP47" s="155">
        <f t="shared" si="103"/>
        <v>198.90625</v>
      </c>
      <c r="AQ47" s="155">
        <f t="shared" si="104"/>
        <v>316.38596491228071</v>
      </c>
      <c r="AR47" s="155">
        <f t="shared" si="105"/>
        <v>139</v>
      </c>
      <c r="AS47" s="532">
        <f>(CF45*CF47+CG45*CG47)/AS45</f>
        <v>373.29831432338455</v>
      </c>
      <c r="AT47" s="155" t="s">
        <v>58</v>
      </c>
      <c r="AU47" s="155">
        <f t="shared" ref="AU47:CJ47" si="109">AU125/AU124</f>
        <v>191.21276595744681</v>
      </c>
      <c r="AV47" s="155" t="s">
        <v>233</v>
      </c>
      <c r="AW47" s="155">
        <f t="shared" si="109"/>
        <v>199.60714285714286</v>
      </c>
      <c r="AX47" s="155">
        <f t="shared" si="109"/>
        <v>318.66071428571428</v>
      </c>
      <c r="AY47" s="155">
        <f t="shared" si="109"/>
        <v>69.118421052631575</v>
      </c>
      <c r="AZ47" s="155" t="s">
        <v>58</v>
      </c>
      <c r="BA47" s="155">
        <f t="shared" si="109"/>
        <v>212.38596491228071</v>
      </c>
      <c r="BB47" s="155">
        <f t="shared" si="109"/>
        <v>325.69565217391306</v>
      </c>
      <c r="BC47" s="155">
        <f t="shared" si="109"/>
        <v>387.14145383104125</v>
      </c>
      <c r="BD47" s="155">
        <f t="shared" si="109"/>
        <v>306.17415730337081</v>
      </c>
      <c r="BE47" s="155">
        <f t="shared" si="109"/>
        <v>308.40229885057471</v>
      </c>
      <c r="BF47" s="552">
        <f t="shared" si="109"/>
        <v>192.32300884955751</v>
      </c>
      <c r="BG47" s="155" t="s">
        <v>58</v>
      </c>
      <c r="BH47" s="155" t="s">
        <v>233</v>
      </c>
      <c r="BI47" s="155">
        <f t="shared" si="109"/>
        <v>80.16</v>
      </c>
      <c r="BJ47" s="155">
        <f t="shared" si="109"/>
        <v>109.78947368421052</v>
      </c>
      <c r="BK47" s="155" t="str">
        <f>IF(ISERROR(BK125/BK124),"-",(BK125/BK124))</f>
        <v>-</v>
      </c>
      <c r="BL47" s="155" t="s">
        <v>58</v>
      </c>
      <c r="BM47" s="155">
        <f t="shared" si="109"/>
        <v>281.63414634146341</v>
      </c>
      <c r="BN47" s="155">
        <f t="shared" si="109"/>
        <v>188.74468085106383</v>
      </c>
      <c r="BO47" s="155" t="s">
        <v>58</v>
      </c>
      <c r="BP47" s="155">
        <f t="shared" si="109"/>
        <v>46.073170731707314</v>
      </c>
      <c r="BQ47" s="155">
        <f t="shared" si="109"/>
        <v>101.25</v>
      </c>
      <c r="BR47" s="552">
        <f t="shared" si="109"/>
        <v>99.478260869565219</v>
      </c>
      <c r="BS47" s="805" t="s">
        <v>304</v>
      </c>
      <c r="BT47" s="155">
        <f t="shared" si="109"/>
        <v>37.992307692307691</v>
      </c>
      <c r="BU47" s="155" t="s">
        <v>233</v>
      </c>
      <c r="BV47" s="155">
        <f t="shared" si="109"/>
        <v>52.435779816513758</v>
      </c>
      <c r="BW47" s="155">
        <f t="shared" si="109"/>
        <v>167.91818181818181</v>
      </c>
      <c r="BX47" s="155">
        <f t="shared" si="109"/>
        <v>91.743119266055047</v>
      </c>
      <c r="BY47" s="155">
        <f t="shared" si="109"/>
        <v>75.264705882352942</v>
      </c>
      <c r="BZ47" s="155">
        <f t="shared" si="109"/>
        <v>118.75925925925925</v>
      </c>
      <c r="CA47" s="155" t="str">
        <f>IF(ISERROR(CA125/CA124),".","CA125"/124)</f>
        <v>.</v>
      </c>
      <c r="CB47" s="552">
        <f t="shared" si="109"/>
        <v>56.735632183908045</v>
      </c>
      <c r="CC47" s="155">
        <f t="shared" si="109"/>
        <v>104.78409090909091</v>
      </c>
      <c r="CD47" s="155">
        <f t="shared" si="109"/>
        <v>198.90625</v>
      </c>
      <c r="CE47" s="155">
        <f t="shared" si="109"/>
        <v>116.66666666666667</v>
      </c>
      <c r="CF47" s="155">
        <f t="shared" si="109"/>
        <v>521.93333333333328</v>
      </c>
      <c r="CG47" s="155">
        <f t="shared" si="109"/>
        <v>365.24633431085044</v>
      </c>
      <c r="CH47" s="155">
        <f t="shared" si="109"/>
        <v>341.85185185185185</v>
      </c>
      <c r="CI47" s="155">
        <f t="shared" si="109"/>
        <v>139</v>
      </c>
      <c r="CJ47" s="155">
        <f t="shared" si="109"/>
        <v>191.08</v>
      </c>
      <c r="CK47" s="156">
        <f>CK125/CK124</f>
        <v>316.38596491228071</v>
      </c>
      <c r="CL47" s="320">
        <f>CL125/CL124</f>
        <v>230.27723297111052</v>
      </c>
    </row>
    <row r="48" spans="1:90">
      <c r="A48" s="80">
        <f>ROWS($A$3:A46)</f>
        <v>44</v>
      </c>
      <c r="B48" s="196" t="s">
        <v>239</v>
      </c>
      <c r="C48" s="202">
        <v>2020</v>
      </c>
      <c r="D48" s="259" t="s">
        <v>7</v>
      </c>
      <c r="E48" s="719">
        <v>44379</v>
      </c>
      <c r="F48" s="154">
        <v>20224</v>
      </c>
      <c r="G48" s="155">
        <v>12047</v>
      </c>
      <c r="H48" s="155">
        <v>14687</v>
      </c>
      <c r="I48" s="156">
        <v>17801</v>
      </c>
      <c r="J48" s="281"/>
      <c r="K48" s="154">
        <f t="shared" si="82"/>
        <v>3186</v>
      </c>
      <c r="L48" s="155">
        <f t="shared" si="83"/>
        <v>2500</v>
      </c>
      <c r="M48" s="155">
        <f t="shared" si="84"/>
        <v>960</v>
      </c>
      <c r="N48" s="155">
        <f t="shared" si="85"/>
        <v>1840</v>
      </c>
      <c r="O48" s="155">
        <f t="shared" si="86"/>
        <v>668</v>
      </c>
      <c r="P48" s="155">
        <f>'2020'!BA48</f>
        <v>1461</v>
      </c>
      <c r="Q48" s="155">
        <f>'2020'!AU48</f>
        <v>2354</v>
      </c>
      <c r="R48" s="155">
        <f>AX48</f>
        <v>2167</v>
      </c>
      <c r="S48" s="155">
        <f t="shared" si="87"/>
        <v>2639</v>
      </c>
      <c r="T48" s="155">
        <f t="shared" si="88"/>
        <v>760</v>
      </c>
      <c r="U48" s="552">
        <f t="shared" si="88"/>
        <v>1486</v>
      </c>
      <c r="V48" s="155">
        <f>BG48+BJ48</f>
        <v>991</v>
      </c>
      <c r="W48" s="155">
        <f t="shared" si="89"/>
        <v>854</v>
      </c>
      <c r="X48" s="155">
        <f>BH48+BI48</f>
        <v>2767</v>
      </c>
      <c r="Y48" s="155">
        <f>BK48+BL48+BN48</f>
        <v>2898</v>
      </c>
      <c r="Z48" s="155">
        <f t="shared" si="90"/>
        <v>1655</v>
      </c>
      <c r="AA48" s="155">
        <f>BO48+BQ48</f>
        <v>1481</v>
      </c>
      <c r="AB48" s="552">
        <f t="shared" si="91"/>
        <v>1401</v>
      </c>
      <c r="AC48" s="155">
        <f t="shared" si="92"/>
        <v>1210</v>
      </c>
      <c r="AD48" s="155">
        <f t="shared" si="93"/>
        <v>903</v>
      </c>
      <c r="AE48" s="155">
        <f>BS48+BT48</f>
        <v>2776</v>
      </c>
      <c r="AF48" s="155">
        <f t="shared" si="94"/>
        <v>1857</v>
      </c>
      <c r="AG48" s="155">
        <f t="shared" si="95"/>
        <v>1854</v>
      </c>
      <c r="AH48" s="155">
        <f t="shared" si="96"/>
        <v>1924</v>
      </c>
      <c r="AI48" s="155">
        <f t="shared" si="97"/>
        <v>966</v>
      </c>
      <c r="AJ48" s="155">
        <f t="shared" si="98"/>
        <v>835</v>
      </c>
      <c r="AK48" s="552">
        <f t="shared" si="99"/>
        <v>2362</v>
      </c>
      <c r="AL48" s="155">
        <f t="shared" si="100"/>
        <v>1619</v>
      </c>
      <c r="AM48" s="155">
        <f t="shared" si="101"/>
        <v>2355</v>
      </c>
      <c r="AN48" s="155" t="str">
        <f t="shared" si="102"/>
        <v>4047</v>
      </c>
      <c r="AO48" s="155">
        <f t="shared" si="103"/>
        <v>2927</v>
      </c>
      <c r="AP48" s="155">
        <f t="shared" si="103"/>
        <v>1203</v>
      </c>
      <c r="AQ48" s="155">
        <f t="shared" si="104"/>
        <v>1767</v>
      </c>
      <c r="AR48" s="155">
        <f t="shared" si="105"/>
        <v>1627</v>
      </c>
      <c r="AS48" s="156">
        <f>CF48+CG48</f>
        <v>2256</v>
      </c>
      <c r="AT48" s="776">
        <v>151</v>
      </c>
      <c r="AU48" s="776">
        <v>2354</v>
      </c>
      <c r="AV48" s="776">
        <v>2639</v>
      </c>
      <c r="AW48" s="776">
        <v>1840</v>
      </c>
      <c r="AX48" s="776">
        <v>2167</v>
      </c>
      <c r="AY48" s="776">
        <v>2500</v>
      </c>
      <c r="AZ48" s="776">
        <v>52</v>
      </c>
      <c r="BA48" s="776">
        <v>1461</v>
      </c>
      <c r="BB48" s="776">
        <v>760</v>
      </c>
      <c r="BC48" s="776">
        <v>1486</v>
      </c>
      <c r="BD48" s="776">
        <v>960</v>
      </c>
      <c r="BE48" s="776">
        <v>668</v>
      </c>
      <c r="BF48" s="804">
        <v>3186</v>
      </c>
      <c r="BG48" s="776">
        <v>70</v>
      </c>
      <c r="BH48" s="776">
        <v>138</v>
      </c>
      <c r="BI48" s="776">
        <v>2629</v>
      </c>
      <c r="BJ48" s="776">
        <v>921</v>
      </c>
      <c r="BK48" s="776">
        <v>81</v>
      </c>
      <c r="BL48" s="776">
        <v>569</v>
      </c>
      <c r="BM48" s="776">
        <v>1655</v>
      </c>
      <c r="BN48" s="776">
        <v>2248</v>
      </c>
      <c r="BO48" s="776">
        <v>65</v>
      </c>
      <c r="BP48" s="776">
        <v>1401</v>
      </c>
      <c r="BQ48" s="776">
        <v>1416</v>
      </c>
      <c r="BR48" s="804">
        <v>854</v>
      </c>
      <c r="BS48" s="155" t="s">
        <v>474</v>
      </c>
      <c r="BT48" s="776">
        <v>2481</v>
      </c>
      <c r="BU48" s="776">
        <v>903</v>
      </c>
      <c r="BV48" s="776">
        <v>1854</v>
      </c>
      <c r="BW48" s="776">
        <v>966</v>
      </c>
      <c r="BX48" s="776">
        <v>1210</v>
      </c>
      <c r="BY48" s="776">
        <v>835</v>
      </c>
      <c r="BZ48" s="776">
        <v>1924</v>
      </c>
      <c r="CA48" s="776">
        <v>1857</v>
      </c>
      <c r="CB48" s="804">
        <v>2362</v>
      </c>
      <c r="CC48" s="776">
        <v>2927</v>
      </c>
      <c r="CD48" s="776">
        <v>1203</v>
      </c>
      <c r="CE48" s="776">
        <v>1619</v>
      </c>
      <c r="CF48" s="776">
        <v>268</v>
      </c>
      <c r="CG48" s="776">
        <v>1988</v>
      </c>
      <c r="CH48" s="776">
        <v>2355</v>
      </c>
      <c r="CI48" s="776">
        <v>1627</v>
      </c>
      <c r="CJ48" s="155" t="s">
        <v>475</v>
      </c>
      <c r="CK48" s="777">
        <v>1767</v>
      </c>
      <c r="CL48" s="795">
        <v>64759</v>
      </c>
    </row>
    <row r="49" spans="1:90">
      <c r="A49" s="80">
        <f>ROWS($A$3:A47)</f>
        <v>45</v>
      </c>
      <c r="B49" s="92" t="s">
        <v>75</v>
      </c>
      <c r="C49" s="202">
        <v>2020</v>
      </c>
      <c r="D49" s="259" t="s">
        <v>7</v>
      </c>
      <c r="E49" s="719">
        <v>44379</v>
      </c>
      <c r="F49" s="154">
        <v>87177</v>
      </c>
      <c r="G49" s="155">
        <v>36830</v>
      </c>
      <c r="H49" s="155">
        <v>42882</v>
      </c>
      <c r="I49" s="156">
        <v>74082</v>
      </c>
      <c r="J49" s="281"/>
      <c r="K49" s="154">
        <f t="shared" si="82"/>
        <v>10403</v>
      </c>
      <c r="L49" s="155">
        <f t="shared" si="83"/>
        <v>7613</v>
      </c>
      <c r="M49" s="155">
        <f t="shared" si="84"/>
        <v>3999</v>
      </c>
      <c r="N49" s="155">
        <f t="shared" si="85"/>
        <v>10105</v>
      </c>
      <c r="O49" s="155">
        <f t="shared" si="86"/>
        <v>8740</v>
      </c>
      <c r="P49" s="155">
        <f>'2020'!BA49</f>
        <v>8371</v>
      </c>
      <c r="Q49" s="155">
        <f>'2020'!AU49</f>
        <v>4998</v>
      </c>
      <c r="R49" s="155">
        <f>AX49</f>
        <v>2482</v>
      </c>
      <c r="S49" s="155">
        <f t="shared" si="87"/>
        <v>14151</v>
      </c>
      <c r="T49" s="155">
        <f t="shared" si="88"/>
        <v>3982</v>
      </c>
      <c r="U49" s="552">
        <f t="shared" si="88"/>
        <v>12234</v>
      </c>
      <c r="V49" s="155">
        <f>BG49+BJ49</f>
        <v>2836</v>
      </c>
      <c r="W49" s="155">
        <f t="shared" si="89"/>
        <v>8299</v>
      </c>
      <c r="X49" s="155">
        <f>BH49+BI49</f>
        <v>4219</v>
      </c>
      <c r="Y49" s="155">
        <f>BN49</f>
        <v>4754</v>
      </c>
      <c r="Z49" s="155">
        <f t="shared" si="90"/>
        <v>1964</v>
      </c>
      <c r="AA49" s="155">
        <f>BQ49</f>
        <v>1662</v>
      </c>
      <c r="AB49" s="552">
        <f t="shared" si="91"/>
        <v>10769</v>
      </c>
      <c r="AC49" s="155">
        <f t="shared" si="92"/>
        <v>3300</v>
      </c>
      <c r="AD49" s="155">
        <f t="shared" si="93"/>
        <v>2282</v>
      </c>
      <c r="AE49" s="155">
        <f>BS49+BT49</f>
        <v>7623</v>
      </c>
      <c r="AF49" s="155">
        <f t="shared" si="94"/>
        <v>4236</v>
      </c>
      <c r="AG49" s="155">
        <f t="shared" si="95"/>
        <v>5671</v>
      </c>
      <c r="AH49" s="155">
        <f t="shared" si="96"/>
        <v>4892</v>
      </c>
      <c r="AI49" s="155">
        <f t="shared" si="97"/>
        <v>6171</v>
      </c>
      <c r="AJ49" s="155">
        <f t="shared" si="98"/>
        <v>5269</v>
      </c>
      <c r="AK49" s="552">
        <f t="shared" si="99"/>
        <v>3438</v>
      </c>
      <c r="AL49" s="155">
        <f t="shared" si="100"/>
        <v>17847</v>
      </c>
      <c r="AM49" s="155">
        <f t="shared" si="101"/>
        <v>3440</v>
      </c>
      <c r="AN49" s="155">
        <f t="shared" si="102"/>
        <v>5022</v>
      </c>
      <c r="AO49" s="155">
        <f t="shared" si="103"/>
        <v>20650</v>
      </c>
      <c r="AP49" s="155">
        <f t="shared" si="103"/>
        <v>7110</v>
      </c>
      <c r="AQ49" s="155">
        <f t="shared" si="104"/>
        <v>4240</v>
      </c>
      <c r="AR49" s="155">
        <f t="shared" si="105"/>
        <v>5155</v>
      </c>
      <c r="AS49" s="156">
        <f>CG49</f>
        <v>10436</v>
      </c>
      <c r="AT49" s="155" t="s">
        <v>304</v>
      </c>
      <c r="AU49" s="155">
        <v>4998</v>
      </c>
      <c r="AV49" s="155">
        <v>14151</v>
      </c>
      <c r="AW49" s="155">
        <v>10105</v>
      </c>
      <c r="AX49" s="155">
        <v>2482</v>
      </c>
      <c r="AY49" s="155">
        <v>7613</v>
      </c>
      <c r="AZ49" s="155" t="s">
        <v>304</v>
      </c>
      <c r="BA49" s="155">
        <v>8371</v>
      </c>
      <c r="BB49" s="155">
        <v>3982</v>
      </c>
      <c r="BC49" s="155">
        <v>12234</v>
      </c>
      <c r="BD49" s="155">
        <v>3999</v>
      </c>
      <c r="BE49" s="155">
        <v>8740</v>
      </c>
      <c r="BF49" s="552">
        <v>10403</v>
      </c>
      <c r="BG49" s="155"/>
      <c r="BH49" s="155">
        <v>168</v>
      </c>
      <c r="BI49" s="155">
        <v>4051</v>
      </c>
      <c r="BJ49" s="155">
        <v>2836</v>
      </c>
      <c r="BK49" s="155" t="s">
        <v>41</v>
      </c>
      <c r="BL49" s="155" t="s">
        <v>304</v>
      </c>
      <c r="BM49" s="155">
        <v>1964</v>
      </c>
      <c r="BN49" s="155">
        <v>4754</v>
      </c>
      <c r="BO49" s="155">
        <v>546</v>
      </c>
      <c r="BP49" s="155">
        <v>10769</v>
      </c>
      <c r="BQ49" s="155">
        <v>1662</v>
      </c>
      <c r="BR49" s="552">
        <v>8299</v>
      </c>
      <c r="BS49" s="155">
        <v>2029</v>
      </c>
      <c r="BT49" s="155">
        <v>5594</v>
      </c>
      <c r="BU49" s="155">
        <v>2282</v>
      </c>
      <c r="BV49" s="155">
        <v>5671</v>
      </c>
      <c r="BW49" s="155">
        <v>6171</v>
      </c>
      <c r="BX49" s="155">
        <v>3300</v>
      </c>
      <c r="BY49" s="155">
        <v>5269</v>
      </c>
      <c r="BZ49" s="155">
        <v>4892</v>
      </c>
      <c r="CA49" s="155">
        <v>4236</v>
      </c>
      <c r="CB49" s="552">
        <v>3438</v>
      </c>
      <c r="CC49" s="155">
        <v>20650</v>
      </c>
      <c r="CD49" s="155">
        <v>7110</v>
      </c>
      <c r="CE49" s="155">
        <v>17847</v>
      </c>
      <c r="CF49" s="155">
        <v>182</v>
      </c>
      <c r="CG49" s="155">
        <v>10436</v>
      </c>
      <c r="CH49" s="155">
        <v>3440</v>
      </c>
      <c r="CI49" s="155">
        <v>5155</v>
      </c>
      <c r="CJ49" s="155">
        <v>5022</v>
      </c>
      <c r="CK49" s="156">
        <v>4240</v>
      </c>
      <c r="CL49" s="320">
        <v>240971</v>
      </c>
    </row>
    <row r="50" spans="1:90">
      <c r="A50" s="80">
        <f>ROWS($A$3:A48)</f>
        <v>46</v>
      </c>
      <c r="B50" s="52" t="s">
        <v>76</v>
      </c>
      <c r="C50" s="202">
        <v>2020</v>
      </c>
      <c r="D50" s="259" t="s">
        <v>21</v>
      </c>
      <c r="E50" s="719">
        <v>44482</v>
      </c>
      <c r="F50" s="154">
        <v>70.099999999999994</v>
      </c>
      <c r="G50" s="155">
        <v>38.1</v>
      </c>
      <c r="H50" s="155">
        <v>55.8</v>
      </c>
      <c r="I50" s="156">
        <v>85.5</v>
      </c>
      <c r="J50" s="281"/>
      <c r="K50" s="154">
        <f t="shared" si="82"/>
        <v>104.3</v>
      </c>
      <c r="L50" s="155">
        <f t="shared" si="83"/>
        <v>76</v>
      </c>
      <c r="M50" s="155">
        <f t="shared" si="84"/>
        <v>37.4</v>
      </c>
      <c r="N50" s="155">
        <f t="shared" si="85"/>
        <v>98</v>
      </c>
      <c r="O50" s="155">
        <f t="shared" si="86"/>
        <v>74.900000000000006</v>
      </c>
      <c r="P50" s="531">
        <f>(AZ50*AZ35+BA50*BA35)/P35</f>
        <v>22.896655304275608</v>
      </c>
      <c r="Q50" s="155">
        <f>'2020'!AU50</f>
        <v>49.7</v>
      </c>
      <c r="R50" s="531">
        <f>(AT50*AT35+AX50*AX35)/R35</f>
        <v>44.290021255816626</v>
      </c>
      <c r="S50" s="155">
        <f t="shared" si="87"/>
        <v>53.1</v>
      </c>
      <c r="T50" s="155">
        <f t="shared" si="88"/>
        <v>74.2</v>
      </c>
      <c r="U50" s="552">
        <f t="shared" si="88"/>
        <v>112.7</v>
      </c>
      <c r="V50" s="531">
        <f>(BG50*BG35+BJ50*BJ35)/V35</f>
        <v>20.241930862659608</v>
      </c>
      <c r="W50" s="155">
        <f t="shared" si="89"/>
        <v>58.9</v>
      </c>
      <c r="X50" s="531">
        <f>(BH50*BH35+BI50*BI35)/X35</f>
        <v>18.231748179492225</v>
      </c>
      <c r="Y50" s="531">
        <f>(BK50*BK35+BL50*BL35+BN50*BN35)/Y35</f>
        <v>30.491024046434497</v>
      </c>
      <c r="Z50" s="155">
        <f t="shared" si="90"/>
        <v>45.3</v>
      </c>
      <c r="AA50" s="531">
        <f>(BO50*BO35+BQ50*BQ35)/AA35</f>
        <v>46.200895028699293</v>
      </c>
      <c r="AB50" s="552">
        <f t="shared" si="91"/>
        <v>68.2</v>
      </c>
      <c r="AC50" s="155">
        <f t="shared" si="92"/>
        <v>69.400000000000006</v>
      </c>
      <c r="AD50" s="155">
        <f t="shared" si="93"/>
        <v>48.1</v>
      </c>
      <c r="AE50" s="531">
        <f>(BS50*BS35+BT50*BT35)/AE35</f>
        <v>47.862711409395978</v>
      </c>
      <c r="AF50" s="155">
        <f t="shared" si="94"/>
        <v>54.1</v>
      </c>
      <c r="AG50" s="155">
        <f t="shared" si="95"/>
        <v>42.1</v>
      </c>
      <c r="AH50" s="155">
        <f t="shared" si="96"/>
        <v>64</v>
      </c>
      <c r="AI50" s="155">
        <f t="shared" si="97"/>
        <v>52.9</v>
      </c>
      <c r="AJ50" s="155">
        <f t="shared" si="98"/>
        <v>57.2</v>
      </c>
      <c r="AK50" s="552">
        <f t="shared" si="99"/>
        <v>73.099999999999994</v>
      </c>
      <c r="AL50" s="155">
        <f t="shared" si="100"/>
        <v>41.8</v>
      </c>
      <c r="AM50" s="155">
        <f t="shared" si="101"/>
        <v>107.4</v>
      </c>
      <c r="AN50" s="155">
        <f t="shared" si="102"/>
        <v>133</v>
      </c>
      <c r="AO50" s="155">
        <f t="shared" si="103"/>
        <v>56.5</v>
      </c>
      <c r="AP50" s="155">
        <f t="shared" si="103"/>
        <v>35</v>
      </c>
      <c r="AQ50" s="155">
        <f t="shared" si="104"/>
        <v>71.099999999999994</v>
      </c>
      <c r="AR50" s="155">
        <f t="shared" si="105"/>
        <v>57.1</v>
      </c>
      <c r="AS50" s="532">
        <f>(CF50*CF35+CG50*CG35)/AS35</f>
        <v>83.226425194040502</v>
      </c>
      <c r="AT50" s="466">
        <v>32.4</v>
      </c>
      <c r="AU50" s="466">
        <v>49.7</v>
      </c>
      <c r="AV50" s="466">
        <v>53.1</v>
      </c>
      <c r="AW50" s="466">
        <v>98</v>
      </c>
      <c r="AX50" s="466">
        <v>45.2</v>
      </c>
      <c r="AY50" s="466">
        <v>76</v>
      </c>
      <c r="AZ50" s="466">
        <v>4.2</v>
      </c>
      <c r="BA50" s="466">
        <v>24.3</v>
      </c>
      <c r="BB50" s="466">
        <v>74.2</v>
      </c>
      <c r="BC50" s="466">
        <v>112.7</v>
      </c>
      <c r="BD50" s="466">
        <v>37.4</v>
      </c>
      <c r="BE50" s="466">
        <v>74.900000000000006</v>
      </c>
      <c r="BF50" s="558">
        <v>104.3</v>
      </c>
      <c r="BG50" s="466">
        <v>24.7</v>
      </c>
      <c r="BH50" s="466">
        <v>18.7</v>
      </c>
      <c r="BI50" s="466">
        <v>18.2</v>
      </c>
      <c r="BJ50" s="466">
        <v>19.8</v>
      </c>
      <c r="BK50" s="466">
        <v>22.6</v>
      </c>
      <c r="BL50" s="466">
        <v>20.7</v>
      </c>
      <c r="BM50" s="466">
        <v>45.3</v>
      </c>
      <c r="BN50" s="466">
        <v>31.6</v>
      </c>
      <c r="BO50" s="466">
        <v>22.6</v>
      </c>
      <c r="BP50" s="466">
        <v>68.2</v>
      </c>
      <c r="BQ50" s="466">
        <v>47.4</v>
      </c>
      <c r="BR50" s="558">
        <v>58.9</v>
      </c>
      <c r="BS50" s="466">
        <v>23.4</v>
      </c>
      <c r="BT50" s="466">
        <v>49.6</v>
      </c>
      <c r="BU50" s="466">
        <v>48.1</v>
      </c>
      <c r="BV50" s="466">
        <v>42.1</v>
      </c>
      <c r="BW50" s="466">
        <v>52.9</v>
      </c>
      <c r="BX50" s="466">
        <v>69.400000000000006</v>
      </c>
      <c r="BY50" s="466">
        <v>57.2</v>
      </c>
      <c r="BZ50" s="466">
        <v>64</v>
      </c>
      <c r="CA50" s="466">
        <v>54.1</v>
      </c>
      <c r="CB50" s="558">
        <v>73.099999999999994</v>
      </c>
      <c r="CC50" s="466">
        <v>56.5</v>
      </c>
      <c r="CD50" s="466">
        <v>35</v>
      </c>
      <c r="CE50" s="466">
        <v>41.8</v>
      </c>
      <c r="CF50" s="466">
        <v>71</v>
      </c>
      <c r="CG50" s="466">
        <v>84</v>
      </c>
      <c r="CH50" s="466">
        <v>107.4</v>
      </c>
      <c r="CI50" s="466">
        <v>57.1</v>
      </c>
      <c r="CJ50" s="466">
        <v>133</v>
      </c>
      <c r="CK50" s="466">
        <v>71.099999999999994</v>
      </c>
      <c r="CL50" s="319">
        <v>66.900000000000006</v>
      </c>
    </row>
    <row r="51" spans="1:90" ht="12" customHeight="1">
      <c r="A51" s="80">
        <f>ROWS($A$3:A49)</f>
        <v>47</v>
      </c>
      <c r="B51" s="388" t="s">
        <v>92</v>
      </c>
      <c r="C51" s="584">
        <v>2020</v>
      </c>
      <c r="D51" s="259" t="s">
        <v>9</v>
      </c>
      <c r="E51" s="719">
        <v>44475</v>
      </c>
      <c r="F51" s="154">
        <v>7632.1677682350646</v>
      </c>
      <c r="G51" s="155">
        <v>7648.7601755717487</v>
      </c>
      <c r="H51" s="155">
        <v>6371.0994185242944</v>
      </c>
      <c r="I51" s="156">
        <v>7580.1207114296121</v>
      </c>
      <c r="J51" s="281"/>
      <c r="K51" s="541">
        <f t="shared" si="82"/>
        <v>8188.5361488038152</v>
      </c>
      <c r="L51" s="542">
        <f t="shared" si="83"/>
        <v>7410.1248441824819</v>
      </c>
      <c r="M51" s="542">
        <f t="shared" si="84"/>
        <v>7868.4784412116878</v>
      </c>
      <c r="N51" s="542">
        <f t="shared" si="85"/>
        <v>6842.7177800713889</v>
      </c>
      <c r="O51" s="542">
        <f t="shared" si="86"/>
        <v>7188.412660333257</v>
      </c>
      <c r="P51" s="531">
        <f>IF(ISERROR(P95/P42)=TRUE,0,ROUND(P95/P42*1000,0))</f>
        <v>6610</v>
      </c>
      <c r="Q51" s="542">
        <f>'2010'!AU51</f>
        <v>4651</v>
      </c>
      <c r="R51" s="531">
        <f>IF(ISERROR(R95/R42)=TRUE,0,ROUND(R95/R42*1000,0))</f>
        <v>6581</v>
      </c>
      <c r="S51" s="542">
        <f t="shared" si="87"/>
        <v>6142.0875254022749</v>
      </c>
      <c r="T51" s="542">
        <f t="shared" si="88"/>
        <v>8185.2120646770036</v>
      </c>
      <c r="U51" s="554">
        <f t="shared" si="88"/>
        <v>7566.8407834414948</v>
      </c>
      <c r="V51" s="531">
        <f>IF(ISERROR(V95/V42)=TRUE,0,ROUND(V95/V42*1000,0))</f>
        <v>2676</v>
      </c>
      <c r="W51" s="542">
        <f t="shared" si="89"/>
        <v>7151.0228036241742</v>
      </c>
      <c r="X51" s="531">
        <f>IF(ISERROR(X95/X42)=TRUE,0,ROUND(X95/X42*1000,0))</f>
        <v>3441</v>
      </c>
      <c r="Y51" s="531">
        <f>IF(ISERROR(Y95/Y42)=TRUE,0,ROUND(Y95/Y42*1000,0))</f>
        <v>5664</v>
      </c>
      <c r="Z51" s="542">
        <f t="shared" si="90"/>
        <v>8010.2882056716289</v>
      </c>
      <c r="AA51" s="531">
        <f>IF(ISERROR(AA95/AA42)=TRUE,0,ROUND(AA95/AA42*1000,0))</f>
        <v>5212</v>
      </c>
      <c r="AB51" s="554">
        <f t="shared" si="91"/>
        <v>7335.5233821181246</v>
      </c>
      <c r="AC51" s="542">
        <f t="shared" si="92"/>
        <v>6685.0141976386376</v>
      </c>
      <c r="AD51" s="542" t="str">
        <f t="shared" si="93"/>
        <v>*</v>
      </c>
      <c r="AE51" s="531">
        <f>IF(ISERROR(AE95/AE42)=TRUE,0,ROUND(AE95/AE42*1000,0))</f>
        <v>4408</v>
      </c>
      <c r="AF51" s="542">
        <f t="shared" si="94"/>
        <v>5316.4026577757968</v>
      </c>
      <c r="AG51" s="542">
        <f t="shared" si="95"/>
        <v>5327.548230387908</v>
      </c>
      <c r="AH51" s="542">
        <f t="shared" si="96"/>
        <v>7585.3937206242272</v>
      </c>
      <c r="AI51" s="542">
        <f t="shared" si="97"/>
        <v>6178.0807917305056</v>
      </c>
      <c r="AJ51" s="542">
        <f t="shared" si="98"/>
        <v>7814.4713815460864</v>
      </c>
      <c r="AK51" s="554">
        <f t="shared" si="99"/>
        <v>7418.9909777112407</v>
      </c>
      <c r="AL51" s="542">
        <f t="shared" si="100"/>
        <v>8093.3251839587037</v>
      </c>
      <c r="AM51" s="542">
        <f t="shared" si="101"/>
        <v>7601.4492703355882</v>
      </c>
      <c r="AN51" s="542">
        <f t="shared" si="102"/>
        <v>7519.6044439363995</v>
      </c>
      <c r="AO51" s="542">
        <f t="shared" si="103"/>
        <v>7637.3083202211574</v>
      </c>
      <c r="AP51" s="542">
        <f t="shared" si="103"/>
        <v>7907.9613361034808</v>
      </c>
      <c r="AQ51" s="542">
        <f t="shared" si="104"/>
        <v>7841.5803737736032</v>
      </c>
      <c r="AR51" s="542">
        <f t="shared" si="105"/>
        <v>7205.3080279962205</v>
      </c>
      <c r="AS51" s="532">
        <f>IF(ISERROR(AS95/AS42)=TRUE,0,ROUND(AS95/AS42*1000,0))</f>
        <v>6272</v>
      </c>
      <c r="AT51" s="542" t="s">
        <v>233</v>
      </c>
      <c r="AU51" s="542">
        <v>7502.8779911359088</v>
      </c>
      <c r="AV51" s="542">
        <v>6142.0875254022749</v>
      </c>
      <c r="AW51" s="542">
        <v>6842.7177800713889</v>
      </c>
      <c r="AX51" s="542">
        <v>7614.6010096995142</v>
      </c>
      <c r="AY51" s="542">
        <v>7410.1248441824819</v>
      </c>
      <c r="AZ51" s="542" t="s">
        <v>233</v>
      </c>
      <c r="BA51" s="542">
        <v>7328.6235988667886</v>
      </c>
      <c r="BB51" s="542">
        <v>8185.2120646770036</v>
      </c>
      <c r="BC51" s="542">
        <v>7566.8407834414948</v>
      </c>
      <c r="BD51" s="542">
        <v>7868.4784412116878</v>
      </c>
      <c r="BE51" s="542">
        <v>7188.412660333257</v>
      </c>
      <c r="BF51" s="562">
        <v>8188.5361488038152</v>
      </c>
      <c r="BG51" s="542" t="s">
        <v>233</v>
      </c>
      <c r="BH51" s="542" t="s">
        <v>233</v>
      </c>
      <c r="BI51" s="542">
        <v>7415.5199430860312</v>
      </c>
      <c r="BJ51" s="542">
        <v>2808.6429509677878</v>
      </c>
      <c r="BK51" s="542" t="s">
        <v>233</v>
      </c>
      <c r="BL51" s="542" t="s">
        <v>233</v>
      </c>
      <c r="BM51" s="542">
        <v>8010.2882056716289</v>
      </c>
      <c r="BN51" s="542">
        <v>8703.2696088453849</v>
      </c>
      <c r="BO51" s="542" t="s">
        <v>233</v>
      </c>
      <c r="BP51" s="542">
        <v>7335.5233821181246</v>
      </c>
      <c r="BQ51" s="542">
        <v>7170.1373064712197</v>
      </c>
      <c r="BR51" s="562">
        <v>7151.0228036241742</v>
      </c>
      <c r="BS51" s="542" t="s">
        <v>233</v>
      </c>
      <c r="BT51" s="542">
        <v>5791.8339443376226</v>
      </c>
      <c r="BU51" s="542" t="s">
        <v>233</v>
      </c>
      <c r="BV51" s="542">
        <v>5327.548230387908</v>
      </c>
      <c r="BW51" s="542">
        <v>6178.0807917305056</v>
      </c>
      <c r="BX51" s="542">
        <v>6685.0141976386376</v>
      </c>
      <c r="BY51" s="542">
        <v>7814.4713815460864</v>
      </c>
      <c r="BZ51" s="542">
        <v>7585.3937206242272</v>
      </c>
      <c r="CA51" s="542">
        <v>5316.4026577757968</v>
      </c>
      <c r="CB51" s="562">
        <v>7418.9909777112407</v>
      </c>
      <c r="CC51" s="542">
        <v>7637.3083202211574</v>
      </c>
      <c r="CD51" s="542">
        <v>7907.9613361034808</v>
      </c>
      <c r="CE51" s="542">
        <v>8093.3251839587037</v>
      </c>
      <c r="CF51" s="542">
        <v>9070.4599979158538</v>
      </c>
      <c r="CG51" s="542">
        <v>7505.5559724866171</v>
      </c>
      <c r="CH51" s="542">
        <v>7601.4492703355882</v>
      </c>
      <c r="CI51" s="542">
        <v>7205.3080279962205</v>
      </c>
      <c r="CJ51" s="542">
        <v>7519.6044439363995</v>
      </c>
      <c r="CK51" s="543">
        <v>7841.5803737736032</v>
      </c>
      <c r="CL51" s="553">
        <v>7510.6815771502115</v>
      </c>
    </row>
    <row r="52" spans="1:90">
      <c r="A52" s="80">
        <f>ROWS($A$3:A50)</f>
        <v>48</v>
      </c>
      <c r="B52" s="388" t="s">
        <v>357</v>
      </c>
      <c r="C52" s="586">
        <v>2020</v>
      </c>
      <c r="D52" s="259" t="s">
        <v>358</v>
      </c>
      <c r="E52" s="719">
        <v>44475</v>
      </c>
      <c r="F52" s="154">
        <v>710.928795443328</v>
      </c>
      <c r="G52" s="155">
        <v>166.12342225324284</v>
      </c>
      <c r="H52" s="155">
        <v>394.79154656827643</v>
      </c>
      <c r="I52" s="156">
        <v>1121.2287152725337</v>
      </c>
      <c r="J52" s="281"/>
      <c r="K52" s="536">
        <f t="shared" si="82"/>
        <v>193.65887991921022</v>
      </c>
      <c r="L52" s="537">
        <f t="shared" si="83"/>
        <v>49.714527579620267</v>
      </c>
      <c r="M52" s="537">
        <f t="shared" si="84"/>
        <v>48.454090240981571</v>
      </c>
      <c r="N52" s="537">
        <f t="shared" si="85"/>
        <v>73.388148191265643</v>
      </c>
      <c r="O52" s="537">
        <f t="shared" si="86"/>
        <v>46.868450545372838</v>
      </c>
      <c r="P52" s="537">
        <f>BA52</f>
        <v>24.866019870955014</v>
      </c>
      <c r="Q52" s="537">
        <f>'2009'!AU52</f>
        <v>18.2</v>
      </c>
      <c r="R52" s="537">
        <f>+AX52</f>
        <v>30.953353104428526</v>
      </c>
      <c r="S52" s="537">
        <f t="shared" si="87"/>
        <v>13.015083466327422</v>
      </c>
      <c r="T52" s="537">
        <f t="shared" si="88"/>
        <v>61.307238364430752</v>
      </c>
      <c r="U52" s="561">
        <f t="shared" si="88"/>
        <v>146.54700545291143</v>
      </c>
      <c r="V52" s="537">
        <f>BJ52</f>
        <v>0.53083351773291187</v>
      </c>
      <c r="W52" s="537">
        <f t="shared" si="89"/>
        <v>28.48967484963871</v>
      </c>
      <c r="X52" s="537">
        <f>BI52</f>
        <v>8.6390807336952253</v>
      </c>
      <c r="Y52" s="537">
        <f>BN52</f>
        <v>25.048009934257013</v>
      </c>
      <c r="Z52" s="537">
        <f t="shared" si="90"/>
        <v>54.950577090907366</v>
      </c>
      <c r="AA52" s="537">
        <f>BQ52</f>
        <v>19.524283885521132</v>
      </c>
      <c r="AB52" s="561">
        <f t="shared" si="91"/>
        <v>28.755251657903049</v>
      </c>
      <c r="AC52" s="537">
        <f t="shared" si="92"/>
        <v>80.97557697599683</v>
      </c>
      <c r="AD52" s="537" t="str">
        <f t="shared" si="93"/>
        <v>*</v>
      </c>
      <c r="AE52" s="537">
        <f>BT52</f>
        <v>52.282885015535719</v>
      </c>
      <c r="AF52" s="537">
        <f t="shared" si="94"/>
        <v>15.369720083629828</v>
      </c>
      <c r="AG52" s="537">
        <f t="shared" si="95"/>
        <v>33.302503988154811</v>
      </c>
      <c r="AH52" s="537">
        <f t="shared" si="96"/>
        <v>63.284939811167924</v>
      </c>
      <c r="AI52" s="537">
        <f t="shared" si="97"/>
        <v>26.380404980689256</v>
      </c>
      <c r="AJ52" s="537">
        <f t="shared" si="98"/>
        <v>46.386702120857571</v>
      </c>
      <c r="AK52" s="561">
        <f t="shared" si="99"/>
        <v>76.808813592244476</v>
      </c>
      <c r="AL52" s="537">
        <f t="shared" si="100"/>
        <v>27.072172740341866</v>
      </c>
      <c r="AM52" s="537">
        <f t="shared" si="101"/>
        <v>238.03178245128859</v>
      </c>
      <c r="AN52" s="537">
        <f t="shared" si="102"/>
        <v>490.40604302020023</v>
      </c>
      <c r="AO52" s="537">
        <f t="shared" si="103"/>
        <v>57.065967768692481</v>
      </c>
      <c r="AP52" s="537">
        <f t="shared" si="103"/>
        <v>11.434912092005632</v>
      </c>
      <c r="AQ52" s="537">
        <f t="shared" si="104"/>
        <v>101.65040638522723</v>
      </c>
      <c r="AR52" s="537">
        <f t="shared" si="105"/>
        <v>57.649669531997766</v>
      </c>
      <c r="AS52" s="538">
        <f>CG52</f>
        <v>128.50262380494337</v>
      </c>
      <c r="AT52" s="537" t="s">
        <v>233</v>
      </c>
      <c r="AU52" s="537">
        <v>22.155998707824338</v>
      </c>
      <c r="AV52" s="537">
        <v>13.015083466327422</v>
      </c>
      <c r="AW52" s="537">
        <v>73.388148191265643</v>
      </c>
      <c r="AX52" s="537">
        <v>30.953353104428526</v>
      </c>
      <c r="AY52" s="537">
        <v>49.714527579620267</v>
      </c>
      <c r="AZ52" s="537" t="s">
        <v>233</v>
      </c>
      <c r="BA52" s="537">
        <v>24.866019870955014</v>
      </c>
      <c r="BB52" s="537">
        <v>61.307238364430752</v>
      </c>
      <c r="BC52" s="537">
        <v>146.54700545291143</v>
      </c>
      <c r="BD52" s="537">
        <v>48.454090240981571</v>
      </c>
      <c r="BE52" s="537">
        <v>46.868450545372838</v>
      </c>
      <c r="BF52" s="563">
        <v>193.65887991921022</v>
      </c>
      <c r="BG52" s="537" t="s">
        <v>233</v>
      </c>
      <c r="BH52" s="537" t="s">
        <v>233</v>
      </c>
      <c r="BI52" s="537">
        <v>8.6390807336952253</v>
      </c>
      <c r="BJ52" s="537">
        <v>0.53083351773291187</v>
      </c>
      <c r="BK52" s="537">
        <v>0.18571058358741718</v>
      </c>
      <c r="BL52" s="537" t="s">
        <v>233</v>
      </c>
      <c r="BM52" s="537">
        <v>54.950577090907366</v>
      </c>
      <c r="BN52" s="537">
        <v>25.048009934257013</v>
      </c>
      <c r="BO52" s="537" t="s">
        <v>233</v>
      </c>
      <c r="BP52" s="537">
        <v>28.755251657903049</v>
      </c>
      <c r="BQ52" s="537">
        <v>19.524283885521132</v>
      </c>
      <c r="BR52" s="563">
        <v>28.48967484963871</v>
      </c>
      <c r="BS52" s="537" t="s">
        <v>233</v>
      </c>
      <c r="BT52" s="537">
        <v>52.282885015535719</v>
      </c>
      <c r="BU52" s="537" t="s">
        <v>233</v>
      </c>
      <c r="BV52" s="537">
        <v>33.302503988154811</v>
      </c>
      <c r="BW52" s="537">
        <v>26.380404980689256</v>
      </c>
      <c r="BX52" s="537">
        <v>80.97557697599683</v>
      </c>
      <c r="BY52" s="537">
        <v>46.386702120857571</v>
      </c>
      <c r="BZ52" s="537">
        <v>63.284939811167924</v>
      </c>
      <c r="CA52" s="537">
        <v>15.369720083629828</v>
      </c>
      <c r="CB52" s="563">
        <v>76.808813592244476</v>
      </c>
      <c r="CC52" s="537">
        <v>57.065967768692481</v>
      </c>
      <c r="CD52" s="537">
        <v>11.434912092005632</v>
      </c>
      <c r="CE52" s="537">
        <v>27.072172740341866</v>
      </c>
      <c r="CF52" s="537">
        <v>9.4151374778366552</v>
      </c>
      <c r="CG52" s="537">
        <v>128.50262380494337</v>
      </c>
      <c r="CH52" s="537">
        <v>238.03178245128859</v>
      </c>
      <c r="CI52" s="537">
        <v>57.649669531997766</v>
      </c>
      <c r="CJ52" s="537">
        <v>490.40604302020023</v>
      </c>
      <c r="CK52" s="538">
        <v>101.65040638522723</v>
      </c>
      <c r="CL52" s="564">
        <v>2410.0234759999998</v>
      </c>
    </row>
    <row r="53" spans="1:90">
      <c r="A53" s="80">
        <f>ROWS($A$3:A51)</f>
        <v>49</v>
      </c>
      <c r="B53" s="498" t="str">
        <f>"Änderung der Milcherzeugung "&amp;C51&amp;"/"&amp;"2010"</f>
        <v>Änderung der Milcherzeugung 2020/2010</v>
      </c>
      <c r="C53" s="587">
        <v>2020</v>
      </c>
      <c r="D53" s="259" t="s">
        <v>3</v>
      </c>
      <c r="E53" s="719">
        <v>44475</v>
      </c>
      <c r="F53" s="539">
        <f>F52/'2010'!F52%-100</f>
        <v>9.8468472563856579</v>
      </c>
      <c r="G53" s="521">
        <f>G52/'2010'!G52%-100</f>
        <v>10.970889948726011</v>
      </c>
      <c r="H53" s="521">
        <f>H52/'2010'!H52%-100</f>
        <v>1.6717863940964293</v>
      </c>
      <c r="I53" s="540">
        <f>I52/'2010'!I52%-100</f>
        <v>6.4693490905454212</v>
      </c>
      <c r="J53" s="382"/>
      <c r="K53" s="536">
        <f>K52/'2010'!K52%-100</f>
        <v>11.42628303752025</v>
      </c>
      <c r="L53" s="537">
        <f>L52/'2010'!L52%-100</f>
        <v>12.987562680955151</v>
      </c>
      <c r="M53" s="537">
        <f>M52/'2010'!M52%-100</f>
        <v>10.373781870117469</v>
      </c>
      <c r="N53" s="537">
        <f>N52/'2010'!N52%-100</f>
        <v>21.705055043558289</v>
      </c>
      <c r="O53" s="537">
        <f>O52/'2010'!O52%-100</f>
        <v>1.6669209227176509</v>
      </c>
      <c r="P53" s="521">
        <f>P52/'2010'!P52%-100</f>
        <v>-13.358815780644548</v>
      </c>
      <c r="Q53" s="537">
        <f>Q52/'2010'!Q52%-100</f>
        <v>0</v>
      </c>
      <c r="R53" s="521">
        <f>R52/'2010'!R52%-100</f>
        <v>-4.4649595542329479</v>
      </c>
      <c r="S53" s="537">
        <f>S52/'2010'!S52%-100</f>
        <v>0.89211989401101732</v>
      </c>
      <c r="T53" s="537">
        <f>T52/'2010'!T52%-100</f>
        <v>35.336067029648461</v>
      </c>
      <c r="U53" s="561">
        <f>U52/'2010'!U52%-100</f>
        <v>3.4206107642282717</v>
      </c>
      <c r="V53" s="521">
        <f>V52/'2010'!V52%-100</f>
        <v>-73.458324113354408</v>
      </c>
      <c r="W53" s="537">
        <f>W52/'2010'!W52%-100</f>
        <v>18.214418463231155</v>
      </c>
      <c r="X53" s="521">
        <f>X52/'2010'!X52%-100</f>
        <v>28.941503487988427</v>
      </c>
      <c r="Y53" s="521">
        <f>Y52/'2010'!Y52%-100</f>
        <v>0.19203973702805399</v>
      </c>
      <c r="Z53" s="537">
        <f>Z52/'2010'!Z52%-100</f>
        <v>9.2456801012074834</v>
      </c>
      <c r="AA53" s="521">
        <f>AA52/'2010'!AA52%-100</f>
        <v>-49.937733626868891</v>
      </c>
      <c r="AB53" s="561">
        <f>AB52/'2010'!AB52%-100</f>
        <v>30.114260895488911</v>
      </c>
      <c r="AC53" s="537">
        <f>AC52/'2010'!AC52%-100</f>
        <v>18.906867806162751</v>
      </c>
      <c r="AD53" s="537" t="e">
        <f>AD52/'2010'!AD52%-100</f>
        <v>#VALUE!</v>
      </c>
      <c r="AE53" s="521">
        <f>AE52/'2010'!AE52%-100</f>
        <v>-11.384940651634366</v>
      </c>
      <c r="AF53" s="537">
        <f>AF52/'2010'!AF52%-100</f>
        <v>-18.246169767926446</v>
      </c>
      <c r="AG53" s="537">
        <f>AG52/'2010'!AG52%-100</f>
        <v>-18.175665876769514</v>
      </c>
      <c r="AH53" s="537">
        <f>AH52/'2010'!AH52%-100</f>
        <v>6.9002361675133699</v>
      </c>
      <c r="AI53" s="537">
        <f>AI52/'2010'!AI52%-100</f>
        <v>-6.4524646074848988</v>
      </c>
      <c r="AJ53" s="537">
        <f>AJ52/'2010'!AJ52%-100</f>
        <v>34.454209045963978</v>
      </c>
      <c r="AK53" s="561">
        <f>AK52/'2010'!AK52%-100</f>
        <v>26.33028551356</v>
      </c>
      <c r="AL53" s="537">
        <f>AL52/'2010'!AL52%-100</f>
        <v>21.94672405559399</v>
      </c>
      <c r="AM53" s="537">
        <f>AM52/'2010'!AM52%-100</f>
        <v>4.5833842053113472</v>
      </c>
      <c r="AN53" s="537">
        <f>AN52/'2010'!AN52%-100</f>
        <v>5.3956679604986419</v>
      </c>
      <c r="AO53" s="537">
        <f>AO52/'2010'!AO52%-100</f>
        <v>9.3217773346599273</v>
      </c>
      <c r="AP53" s="537">
        <f>AP52/'2010'!AP52%-100</f>
        <v>19.113667625058667</v>
      </c>
      <c r="AQ53" s="537">
        <f>AQ52/'2010'!AQ52%-100</f>
        <v>24.267000470937944</v>
      </c>
      <c r="AR53" s="537">
        <f>AR52/'2010'!AR52%-100</f>
        <v>-11.171541553162157</v>
      </c>
      <c r="AS53" s="540">
        <f>AS52/'2010'!AS52%-100</f>
        <v>-0.77017466799739509</v>
      </c>
      <c r="AT53" s="521" t="s">
        <v>233</v>
      </c>
      <c r="AU53" s="521">
        <f>AU52/'2010'!AU52%-100</f>
        <v>23.088881710135212</v>
      </c>
      <c r="AV53" s="521">
        <f>AV52/'2010'!AV52%-100</f>
        <v>0.89211989401101732</v>
      </c>
      <c r="AW53" s="521">
        <f>AW52/'2010'!AW52%-100</f>
        <v>21.705055043558289</v>
      </c>
      <c r="AX53" s="521">
        <f>AX52/'2010'!AX52%-100</f>
        <v>2.4945467034057174</v>
      </c>
      <c r="AY53" s="521">
        <f>AY52/'2010'!AY52%-100</f>
        <v>12.987562680955151</v>
      </c>
      <c r="AZ53" s="521" t="s">
        <v>233</v>
      </c>
      <c r="BA53" s="521">
        <f>BA52/'2010'!BA52%-100</f>
        <v>-13.358815780644548</v>
      </c>
      <c r="BB53" s="521">
        <f>BB52/'2010'!BB52%-100</f>
        <v>35.336067029648461</v>
      </c>
      <c r="BC53" s="521">
        <f>BC52/'2010'!BC52%-100</f>
        <v>3.4206107642282717</v>
      </c>
      <c r="BD53" s="521">
        <f>BD52/'2010'!BD52%-100</f>
        <v>10.373781870117469</v>
      </c>
      <c r="BE53" s="521">
        <f>BE52/'2010'!BE52%-100</f>
        <v>1.6669209227176509</v>
      </c>
      <c r="BF53" s="559">
        <f>BF52/'2010'!BF52%-100</f>
        <v>11.42628303752025</v>
      </c>
      <c r="BG53" s="521" t="s">
        <v>233</v>
      </c>
      <c r="BH53" s="521" t="s">
        <v>233</v>
      </c>
      <c r="BI53" s="521">
        <f>BI52/'2010'!BI52%-100</f>
        <v>28.941503487988427</v>
      </c>
      <c r="BJ53" s="521">
        <f>BJ52/'2010'!BJ52%-100</f>
        <v>-73.458324113354408</v>
      </c>
      <c r="BK53" s="521" t="s">
        <v>233</v>
      </c>
      <c r="BL53" s="521" t="s">
        <v>233</v>
      </c>
      <c r="BM53" s="521">
        <f>BM52/'2010'!BM52%-100</f>
        <v>9.2456801012074834</v>
      </c>
      <c r="BN53" s="521">
        <f>BN52/'2010'!BN52%-100</f>
        <v>0.19203973702805399</v>
      </c>
      <c r="BO53" s="521" t="s">
        <v>233</v>
      </c>
      <c r="BP53" s="521">
        <f>BP52/'2010'!BP52%-100</f>
        <v>30.114260895488911</v>
      </c>
      <c r="BQ53" s="521">
        <f>BQ52/'2010'!BQ52%-100</f>
        <v>0.12453274626221855</v>
      </c>
      <c r="BR53" s="559">
        <f>BR52/'2010'!BR52%-100</f>
        <v>18.214418463231155</v>
      </c>
      <c r="BS53" s="521" t="s">
        <v>233</v>
      </c>
      <c r="BT53" s="521">
        <f>BT52/'2010'!BT52%-100</f>
        <v>-11.384940651634366</v>
      </c>
      <c r="BU53" s="521" t="e">
        <f>BU52/'2010'!BU52%-100</f>
        <v>#VALUE!</v>
      </c>
      <c r="BV53" s="521">
        <f>BV52/'2010'!BV52%-100</f>
        <v>-18.175665876769514</v>
      </c>
      <c r="BW53" s="521">
        <f>BW52/'2010'!BW52%-100</f>
        <v>-6.4524646074848988</v>
      </c>
      <c r="BX53" s="521">
        <f>BX52/'2010'!BX52%-100</f>
        <v>18.906867806162751</v>
      </c>
      <c r="BY53" s="521">
        <f>BY52/'2010'!BY52%-100</f>
        <v>34.454209045963978</v>
      </c>
      <c r="BZ53" s="521">
        <f>BZ52/'2010'!BZ52%-100</f>
        <v>6.9002361675133699</v>
      </c>
      <c r="CA53" s="521">
        <f>CA52/'2010'!CA52%-100</f>
        <v>-18.246169767926446</v>
      </c>
      <c r="CB53" s="559">
        <f>CB52/'2010'!CB52%-100</f>
        <v>26.33028551356</v>
      </c>
      <c r="CC53" s="521">
        <f>CC52/'2010'!CC52%-100</f>
        <v>9.3217773346599273</v>
      </c>
      <c r="CD53" s="521">
        <f>CD52/'2010'!CD52%-100</f>
        <v>19.113667625058667</v>
      </c>
      <c r="CE53" s="521">
        <f>CE52/'2010'!CE52%-100</f>
        <v>21.94672405559399</v>
      </c>
      <c r="CF53" s="521" t="s">
        <v>233</v>
      </c>
      <c r="CG53" s="521">
        <f>CG52/'2010'!CG52%-100</f>
        <v>-0.77017466799739509</v>
      </c>
      <c r="CH53" s="521">
        <f>CH52/'2010'!CH52%-100</f>
        <v>4.5833842053113472</v>
      </c>
      <c r="CI53" s="521">
        <f>CI52/'2010'!CI52%-100</f>
        <v>-11.171541553162157</v>
      </c>
      <c r="CJ53" s="521">
        <f>CJ52/'2010'!CJ52%-100</f>
        <v>5.3956679604986419</v>
      </c>
      <c r="CK53" s="540">
        <f>CK52/'2010'!CK52%-100</f>
        <v>24.267000470937944</v>
      </c>
      <c r="CL53" s="560">
        <f>CL52/'2010'!CL52%-100</f>
        <v>8.0001557696616459</v>
      </c>
    </row>
    <row r="54" spans="1:90">
      <c r="A54" s="80">
        <f>ROWS($A$3:A52)</f>
        <v>50</v>
      </c>
      <c r="B54" s="499" t="str">
        <f>"Änderung der Milchkühe "&amp;C51&amp;"/"&amp;C97</f>
        <v>Änderung der Milchkühe 2020/2001</v>
      </c>
      <c r="C54" s="588">
        <v>2020</v>
      </c>
      <c r="D54" s="262" t="s">
        <v>3</v>
      </c>
      <c r="E54" s="719">
        <v>44475</v>
      </c>
      <c r="F54" s="544">
        <f>IF(ISERROR(F42/F97)=FALSE,ROUND((F42-F97)/F97%,3)," -")</f>
        <v>-12.433</v>
      </c>
      <c r="G54" s="545">
        <f>IF(ISERROR(G42/G97)=FALSE,ROUND((G42-G97)/G97%,3)," -")</f>
        <v>-6.2439999999999998</v>
      </c>
      <c r="H54" s="545">
        <f>IF(ISERROR(H42/H97)=FALSE,ROUND((H42-H97)/H97%,3)," -")</f>
        <v>0.35399999999999998</v>
      </c>
      <c r="I54" s="546">
        <f>IF(ISERROR(I42/I97)=FALSE,ROUND((I42-I97)/I97%,3)," -")</f>
        <v>-14.109</v>
      </c>
      <c r="J54" s="597"/>
      <c r="K54" s="565">
        <f t="shared" si="82"/>
        <v>-6.9109999999999996</v>
      </c>
      <c r="L54" s="566">
        <f t="shared" si="83"/>
        <v>-7.3230000000000004</v>
      </c>
      <c r="M54" s="566">
        <f t="shared" si="84"/>
        <v>-27.376000000000001</v>
      </c>
      <c r="N54" s="566">
        <f t="shared" si="85"/>
        <v>0.79</v>
      </c>
      <c r="O54" s="566">
        <f t="shared" si="86"/>
        <v>-21.818999999999999</v>
      </c>
      <c r="P54" s="545">
        <f>IF(ISERROR(P42/P97)=FALSE,ROUND((P42-P97)/P97%,3)," -")</f>
        <v>-38.593000000000004</v>
      </c>
      <c r="Q54" s="566">
        <f>'2010'!AU54</f>
        <v>2.2530000000000001</v>
      </c>
      <c r="R54" s="545">
        <f>IF(ISERROR(R42/R97)=FALSE,ROUND((R42-R97)/R97%,3)," -")</f>
        <v>-31.184000000000001</v>
      </c>
      <c r="S54" s="566">
        <f t="shared" si="87"/>
        <v>-16.513999999999999</v>
      </c>
      <c r="T54" s="566">
        <f t="shared" si="88"/>
        <v>-3.2050000000000001</v>
      </c>
      <c r="U54" s="567">
        <f t="shared" si="88"/>
        <v>-12.707000000000001</v>
      </c>
      <c r="V54" s="545">
        <f>IF(ISERROR(V42/V97)=FALSE,ROUND((V42-V97)/V97%,3)," -")</f>
        <v>-3.1379999999999999</v>
      </c>
      <c r="W54" s="566">
        <f t="shared" si="89"/>
        <v>-0.65300000000000002</v>
      </c>
      <c r="X54" s="545">
        <f>IF(ISERROR(X42/X97)=FALSE,ROUND((X42-X97)/X97%,3)," -")</f>
        <v>-11.513</v>
      </c>
      <c r="Y54" s="545">
        <f>IF(ISERROR(Y42/Y97)=FALSE,ROUND((Y42-Y97)/Y97%,3)," -")</f>
        <v>-22.550999999999998</v>
      </c>
      <c r="Z54" s="566">
        <f t="shared" si="90"/>
        <v>-18.13</v>
      </c>
      <c r="AA54" s="545">
        <f>IF(ISERROR(AA42/AA97)=FALSE,ROUND((AA42-AA97)/AA97%,3)," -")</f>
        <v>8.0860000000000003</v>
      </c>
      <c r="AB54" s="567">
        <f t="shared" si="91"/>
        <v>17.248000000000001</v>
      </c>
      <c r="AC54" s="566">
        <f t="shared" si="92"/>
        <v>2.5960000000000001</v>
      </c>
      <c r="AD54" s="566">
        <f t="shared" si="93"/>
        <v>-3.6920000000000002</v>
      </c>
      <c r="AE54" s="545">
        <f>IF(ISERROR(AE42/AE97)=FALSE,ROUND((AE42-AE97)/AE97%,3)," -")</f>
        <v>1.5669999999999999</v>
      </c>
      <c r="AF54" s="566">
        <f t="shared" si="94"/>
        <v>8.6039999999999992</v>
      </c>
      <c r="AG54" s="566">
        <f t="shared" si="95"/>
        <v>-11.321999999999999</v>
      </c>
      <c r="AH54" s="566">
        <f t="shared" si="96"/>
        <v>-7.9020000000000001</v>
      </c>
      <c r="AI54" s="566">
        <f t="shared" si="97"/>
        <v>-19.222000000000001</v>
      </c>
      <c r="AJ54" s="566">
        <f t="shared" si="98"/>
        <v>19.914999999999999</v>
      </c>
      <c r="AK54" s="567">
        <f t="shared" si="99"/>
        <v>15.026</v>
      </c>
      <c r="AL54" s="566">
        <f t="shared" si="100"/>
        <v>49.158000000000001</v>
      </c>
      <c r="AM54" s="566">
        <f t="shared" si="101"/>
        <v>-17.004999999999999</v>
      </c>
      <c r="AN54" s="566">
        <f t="shared" si="102"/>
        <v>-13.292</v>
      </c>
      <c r="AO54" s="566">
        <f t="shared" si="103"/>
        <v>-15.923</v>
      </c>
      <c r="AP54" s="566">
        <f t="shared" si="103"/>
        <v>-3.6560000000000001</v>
      </c>
      <c r="AQ54" s="566">
        <f t="shared" si="104"/>
        <v>-9.0839999999999996</v>
      </c>
      <c r="AR54" s="566">
        <f t="shared" si="105"/>
        <v>-31.863</v>
      </c>
      <c r="AS54" s="546">
        <f t="shared" ref="AS54:CL54" si="110">IF(ISERROR(AS42/AS97)=FALSE,ROUND((AS42-AS97)/AS97%,3)," -")</f>
        <v>-15.404999999999999</v>
      </c>
      <c r="AT54" s="545" t="str">
        <f t="shared" si="110"/>
        <v xml:space="preserve"> -</v>
      </c>
      <c r="AU54" s="545">
        <f t="shared" si="110"/>
        <v>0.83399999999999996</v>
      </c>
      <c r="AV54" s="545">
        <f t="shared" si="110"/>
        <v>-16.513999999999999</v>
      </c>
      <c r="AW54" s="545">
        <f t="shared" si="110"/>
        <v>0.79</v>
      </c>
      <c r="AX54" s="545">
        <f t="shared" si="110"/>
        <v>-25.463999999999999</v>
      </c>
      <c r="AY54" s="545">
        <f t="shared" si="110"/>
        <v>-7.3230000000000004</v>
      </c>
      <c r="AZ54" s="545" t="str">
        <f t="shared" si="110"/>
        <v xml:space="preserve"> -</v>
      </c>
      <c r="BA54" s="545">
        <f t="shared" si="110"/>
        <v>-36.073</v>
      </c>
      <c r="BB54" s="545">
        <f t="shared" si="110"/>
        <v>-3.2050000000000001</v>
      </c>
      <c r="BC54" s="545">
        <f t="shared" si="110"/>
        <v>-12.707000000000001</v>
      </c>
      <c r="BD54" s="545">
        <f t="shared" si="110"/>
        <v>-27.376000000000001</v>
      </c>
      <c r="BE54" s="545">
        <f t="shared" si="110"/>
        <v>-21.818999999999999</v>
      </c>
      <c r="BF54" s="568">
        <f t="shared" si="110"/>
        <v>-6.9109999999999996</v>
      </c>
      <c r="BG54" s="545" t="str">
        <f t="shared" si="110"/>
        <v xml:space="preserve"> -</v>
      </c>
      <c r="BH54" s="545" t="str">
        <f t="shared" si="110"/>
        <v xml:space="preserve"> -</v>
      </c>
      <c r="BI54" s="545">
        <f t="shared" si="110"/>
        <v>-6.4859999999999998</v>
      </c>
      <c r="BJ54" s="545">
        <f t="shared" si="110"/>
        <v>-3.1379999999999999</v>
      </c>
      <c r="BK54" s="545" t="str">
        <f t="shared" si="110"/>
        <v xml:space="preserve"> -</v>
      </c>
      <c r="BL54" s="545" t="str">
        <f t="shared" si="110"/>
        <v xml:space="preserve"> -</v>
      </c>
      <c r="BM54" s="545">
        <f t="shared" si="110"/>
        <v>-18.13</v>
      </c>
      <c r="BN54" s="545">
        <f t="shared" si="110"/>
        <v>-17.869</v>
      </c>
      <c r="BO54" s="545" t="str">
        <f t="shared" si="110"/>
        <v xml:space="preserve"> -</v>
      </c>
      <c r="BP54" s="545">
        <f t="shared" si="110"/>
        <v>17.248000000000001</v>
      </c>
      <c r="BQ54" s="545">
        <f t="shared" si="110"/>
        <v>11.916</v>
      </c>
      <c r="BR54" s="568">
        <f t="shared" si="110"/>
        <v>-0.65300000000000002</v>
      </c>
      <c r="BS54" s="545" t="str">
        <f t="shared" si="110"/>
        <v xml:space="preserve"> -</v>
      </c>
      <c r="BT54" s="545">
        <f t="shared" si="110"/>
        <v>0.45300000000000001</v>
      </c>
      <c r="BU54" s="545">
        <f t="shared" si="110"/>
        <v>-3.6920000000000002</v>
      </c>
      <c r="BV54" s="545">
        <f t="shared" si="110"/>
        <v>-11.321999999999999</v>
      </c>
      <c r="BW54" s="545">
        <f t="shared" si="110"/>
        <v>-19.222000000000001</v>
      </c>
      <c r="BX54" s="545">
        <f t="shared" si="110"/>
        <v>2.5960000000000001</v>
      </c>
      <c r="BY54" s="545">
        <f t="shared" si="110"/>
        <v>19.914999999999999</v>
      </c>
      <c r="BZ54" s="545">
        <f t="shared" si="110"/>
        <v>-7.9020000000000001</v>
      </c>
      <c r="CA54" s="545">
        <f t="shared" si="110"/>
        <v>8.6039999999999992</v>
      </c>
      <c r="CB54" s="568">
        <f t="shared" si="110"/>
        <v>15.026</v>
      </c>
      <c r="CC54" s="545">
        <f t="shared" si="110"/>
        <v>-15.923</v>
      </c>
      <c r="CD54" s="545">
        <f t="shared" si="110"/>
        <v>-3.6560000000000001</v>
      </c>
      <c r="CE54" s="545">
        <f t="shared" si="110"/>
        <v>49.158000000000001</v>
      </c>
      <c r="CF54" s="545">
        <f t="shared" si="110"/>
        <v>6.3869999999999996</v>
      </c>
      <c r="CG54" s="545">
        <f t="shared" si="110"/>
        <v>-16.385000000000002</v>
      </c>
      <c r="CH54" s="545">
        <f t="shared" si="110"/>
        <v>-17.004999999999999</v>
      </c>
      <c r="CI54" s="545">
        <f t="shared" si="110"/>
        <v>-31.863</v>
      </c>
      <c r="CJ54" s="545">
        <f t="shared" si="110"/>
        <v>-13.292</v>
      </c>
      <c r="CK54" s="546">
        <f t="shared" si="110"/>
        <v>-9.0839999999999996</v>
      </c>
      <c r="CL54" s="569">
        <f t="shared" si="110"/>
        <v>-10.244</v>
      </c>
    </row>
    <row r="55" spans="1:90" ht="14.25">
      <c r="A55" s="80">
        <f>ROWS($A$3:A53)</f>
        <v>51</v>
      </c>
      <c r="B55" s="59" t="s">
        <v>208</v>
      </c>
      <c r="C55" s="203">
        <v>0</v>
      </c>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c r="A56" s="80">
        <f>ROWS($A$3:A54)</f>
        <v>52</v>
      </c>
      <c r="B56" s="92" t="s">
        <v>54</v>
      </c>
      <c r="C56" s="584">
        <v>2021</v>
      </c>
      <c r="D56" s="259" t="s">
        <v>13</v>
      </c>
      <c r="E56" s="706">
        <v>44427</v>
      </c>
      <c r="F56" s="154">
        <v>15641.38</v>
      </c>
      <c r="G56" s="155">
        <v>18956.47</v>
      </c>
      <c r="H56" s="155">
        <v>32209.38</v>
      </c>
      <c r="I56" s="156">
        <v>19982.77</v>
      </c>
      <c r="J56" s="281"/>
      <c r="K56" s="154">
        <f t="shared" ref="K56:K63" si="111">BF56</f>
        <v>42</v>
      </c>
      <c r="L56" s="155">
        <f t="shared" ref="L56:L63" si="112">AY56</f>
        <v>26</v>
      </c>
      <c r="M56" s="155">
        <f t="shared" ref="M56:M63" si="113">BD56</f>
        <v>36</v>
      </c>
      <c r="N56" s="155">
        <f t="shared" ref="N56:N63" si="114">AW56</f>
        <v>20</v>
      </c>
      <c r="O56" s="155">
        <f t="shared" ref="O56:O63" si="115">BE56</f>
        <v>15</v>
      </c>
      <c r="P56" s="155">
        <f>AZ56+BA56</f>
        <v>25</v>
      </c>
      <c r="Q56" s="155">
        <f>AU56</f>
        <v>20</v>
      </c>
      <c r="R56" s="155">
        <f t="shared" ref="R56:R63" si="116">AT56+AX56</f>
        <v>27</v>
      </c>
      <c r="S56" s="155">
        <f t="shared" ref="S56:S63" si="117">AV56</f>
        <v>29</v>
      </c>
      <c r="T56" s="155">
        <f t="shared" ref="T56:U63" si="118">BB56</f>
        <v>21</v>
      </c>
      <c r="U56" s="552">
        <f t="shared" si="118"/>
        <v>18</v>
      </c>
      <c r="V56" s="155">
        <f t="shared" ref="V56:V63" si="119">BG56+BJ56</f>
        <v>36</v>
      </c>
      <c r="W56" s="155">
        <f t="shared" ref="W56:W63" si="120">BR56</f>
        <v>18</v>
      </c>
      <c r="X56" s="155">
        <f t="shared" ref="X56:X63" si="121">BH56+BI56</f>
        <v>51</v>
      </c>
      <c r="Y56" s="155">
        <f t="shared" ref="Y56:Y63" si="122">BK56+BL56+BN56</f>
        <v>65</v>
      </c>
      <c r="Z56" s="155">
        <f t="shared" ref="Z56:Z63" si="123">BM56</f>
        <v>27</v>
      </c>
      <c r="AA56" s="155">
        <f t="shared" ref="AA56:AA63" si="124">BO56+BQ56</f>
        <v>34</v>
      </c>
      <c r="AB56" s="552">
        <f t="shared" ref="AB56:AB63" si="125">BP56</f>
        <v>26</v>
      </c>
      <c r="AC56" s="155">
        <f t="shared" ref="AC56:AC63" si="126">BX56</f>
        <v>26</v>
      </c>
      <c r="AD56" s="155">
        <f t="shared" ref="AD56:AD63" si="127">BU56</f>
        <v>19</v>
      </c>
      <c r="AE56" s="155">
        <f t="shared" ref="AE56:AE63" si="128">BS56+BT56</f>
        <v>56</v>
      </c>
      <c r="AF56" s="155">
        <f t="shared" ref="AF56:AF63" si="129">CA56</f>
        <v>26</v>
      </c>
      <c r="AG56" s="155">
        <f t="shared" ref="AG56:AG63" si="130">BV56</f>
        <v>23</v>
      </c>
      <c r="AH56" s="155">
        <f t="shared" ref="AH56:AH63" si="131">BZ56</f>
        <v>66</v>
      </c>
      <c r="AI56" s="155">
        <f t="shared" ref="AI56:AI63" si="132">BW56</f>
        <v>10</v>
      </c>
      <c r="AJ56" s="155">
        <f t="shared" ref="AJ56:AJ63" si="133">BY56</f>
        <v>26</v>
      </c>
      <c r="AK56" s="552">
        <f t="shared" ref="AK56:AK63" si="134">CB56</f>
        <v>37</v>
      </c>
      <c r="AL56" s="155">
        <f t="shared" ref="AL56:AL63" si="135">CE56</f>
        <v>53</v>
      </c>
      <c r="AM56" s="155">
        <f t="shared" ref="AM56:AM63" si="136">CH56</f>
        <v>31</v>
      </c>
      <c r="AN56" s="155">
        <f t="shared" ref="AN56:AN63" si="137">CJ56</f>
        <v>75</v>
      </c>
      <c r="AO56" s="155">
        <f t="shared" ref="AO56:AP63" si="138">CC56</f>
        <v>42</v>
      </c>
      <c r="AP56" s="155">
        <f t="shared" si="138"/>
        <v>22</v>
      </c>
      <c r="AQ56" s="155">
        <f t="shared" ref="AQ56:AQ63" si="139">CK56</f>
        <v>24</v>
      </c>
      <c r="AR56" s="155">
        <f t="shared" ref="AR56:AR63" si="140">CI56</f>
        <v>33</v>
      </c>
      <c r="AS56" s="156">
        <f t="shared" ref="AS56:AS63" si="141">CF56+CG56</f>
        <v>35</v>
      </c>
      <c r="AT56" s="155">
        <v>7</v>
      </c>
      <c r="AU56" s="155">
        <v>20</v>
      </c>
      <c r="AV56" s="155">
        <v>29</v>
      </c>
      <c r="AW56" s="155">
        <v>20</v>
      </c>
      <c r="AX56" s="155">
        <v>20</v>
      </c>
      <c r="AY56" s="155">
        <v>26</v>
      </c>
      <c r="AZ56" s="155">
        <v>5</v>
      </c>
      <c r="BA56" s="155">
        <v>20</v>
      </c>
      <c r="BB56" s="155">
        <v>21</v>
      </c>
      <c r="BC56" s="155">
        <v>18</v>
      </c>
      <c r="BD56" s="155">
        <v>36</v>
      </c>
      <c r="BE56" s="155">
        <v>15</v>
      </c>
      <c r="BF56" s="552">
        <v>42</v>
      </c>
      <c r="BG56" s="155">
        <v>7</v>
      </c>
      <c r="BH56" s="155">
        <v>9</v>
      </c>
      <c r="BI56" s="155">
        <v>42</v>
      </c>
      <c r="BJ56" s="155">
        <v>29</v>
      </c>
      <c r="BK56" s="155">
        <v>5</v>
      </c>
      <c r="BL56" s="155">
        <v>9</v>
      </c>
      <c r="BM56" s="155">
        <v>27</v>
      </c>
      <c r="BN56" s="155">
        <v>51</v>
      </c>
      <c r="BO56" s="155">
        <v>3</v>
      </c>
      <c r="BP56" s="155">
        <v>26</v>
      </c>
      <c r="BQ56" s="155">
        <v>31</v>
      </c>
      <c r="BR56" s="552">
        <v>18</v>
      </c>
      <c r="BS56" s="155">
        <v>7</v>
      </c>
      <c r="BT56" s="155">
        <v>49</v>
      </c>
      <c r="BU56" s="155">
        <v>19</v>
      </c>
      <c r="BV56" s="155">
        <v>23</v>
      </c>
      <c r="BW56" s="155">
        <v>10</v>
      </c>
      <c r="BX56" s="155">
        <v>26</v>
      </c>
      <c r="BY56" s="155">
        <v>26</v>
      </c>
      <c r="BZ56" s="155">
        <v>66</v>
      </c>
      <c r="CA56" s="155">
        <v>26</v>
      </c>
      <c r="CB56" s="552">
        <v>37</v>
      </c>
      <c r="CC56" s="155">
        <v>42</v>
      </c>
      <c r="CD56" s="155">
        <v>22</v>
      </c>
      <c r="CE56" s="155">
        <v>53</v>
      </c>
      <c r="CF56" s="155">
        <v>2</v>
      </c>
      <c r="CG56" s="155">
        <v>33</v>
      </c>
      <c r="CH56" s="155">
        <v>31</v>
      </c>
      <c r="CI56" s="155">
        <v>33</v>
      </c>
      <c r="CJ56" s="155">
        <v>75</v>
      </c>
      <c r="CK56" s="156">
        <v>24</v>
      </c>
      <c r="CL56" s="320">
        <v>1140</v>
      </c>
    </row>
    <row r="57" spans="1:90">
      <c r="A57" s="80">
        <f>ROWS($A$3:A55)</f>
        <v>53</v>
      </c>
      <c r="B57" s="92"/>
      <c r="C57" s="203"/>
      <c r="D57" s="259" t="s">
        <v>1</v>
      </c>
      <c r="E57" s="706">
        <v>44427</v>
      </c>
      <c r="F57" s="154">
        <v>259</v>
      </c>
      <c r="G57" s="155">
        <v>230</v>
      </c>
      <c r="H57" s="155">
        <v>269</v>
      </c>
      <c r="I57" s="156">
        <v>300</v>
      </c>
      <c r="J57" s="281"/>
      <c r="K57" s="154">
        <f t="shared" si="111"/>
        <v>2049.35</v>
      </c>
      <c r="L57" s="155">
        <f t="shared" si="112"/>
        <v>833.36</v>
      </c>
      <c r="M57" s="155">
        <f t="shared" si="113"/>
        <v>1093.8499999999999</v>
      </c>
      <c r="N57" s="155">
        <f t="shared" si="114"/>
        <v>2887.55</v>
      </c>
      <c r="O57" s="155">
        <f t="shared" si="115"/>
        <v>1364.82</v>
      </c>
      <c r="P57" s="155">
        <f>AZ57+BA57</f>
        <v>489.16999999999996</v>
      </c>
      <c r="Q57" s="155">
        <f t="shared" ref="Q57:Q63" si="142">AU57</f>
        <v>733.65</v>
      </c>
      <c r="R57" s="155">
        <f t="shared" si="116"/>
        <v>1999.5900000000001</v>
      </c>
      <c r="S57" s="155">
        <f t="shared" si="117"/>
        <v>2320.5700000000002</v>
      </c>
      <c r="T57" s="155">
        <f t="shared" si="118"/>
        <v>486.16</v>
      </c>
      <c r="U57" s="552">
        <f t="shared" si="118"/>
        <v>1383.29</v>
      </c>
      <c r="V57" s="155">
        <f t="shared" si="119"/>
        <v>4719.07</v>
      </c>
      <c r="W57" s="155">
        <f t="shared" si="120"/>
        <v>1205.5999999999999</v>
      </c>
      <c r="X57" s="155">
        <f t="shared" si="121"/>
        <v>3946.0600000000004</v>
      </c>
      <c r="Y57" s="155">
        <f>BK57+BL57+BN57</f>
        <v>3851</v>
      </c>
      <c r="Z57" s="155">
        <f t="shared" si="123"/>
        <v>1069.8900000000001</v>
      </c>
      <c r="AA57" s="155">
        <f t="shared" si="124"/>
        <v>1932.94</v>
      </c>
      <c r="AB57" s="552">
        <f t="shared" si="125"/>
        <v>2231.92</v>
      </c>
      <c r="AC57" s="155">
        <f t="shared" si="126"/>
        <v>2085.39</v>
      </c>
      <c r="AD57" s="155">
        <f t="shared" si="127"/>
        <v>3872.7</v>
      </c>
      <c r="AE57" s="155">
        <f t="shared" si="128"/>
        <v>6678.9699999999993</v>
      </c>
      <c r="AF57" s="155">
        <f t="shared" si="129"/>
        <v>6162.82</v>
      </c>
      <c r="AG57" s="155">
        <f t="shared" si="130"/>
        <v>3109.84</v>
      </c>
      <c r="AH57" s="155">
        <f t="shared" si="131"/>
        <v>3685.29</v>
      </c>
      <c r="AI57" s="155">
        <f t="shared" si="132"/>
        <v>437.31</v>
      </c>
      <c r="AJ57" s="155">
        <f t="shared" si="133"/>
        <v>2527.09</v>
      </c>
      <c r="AK57" s="552">
        <f t="shared" si="134"/>
        <v>3649.96</v>
      </c>
      <c r="AL57" s="155">
        <f t="shared" si="135"/>
        <v>1561.57</v>
      </c>
      <c r="AM57" s="155">
        <f t="shared" si="136"/>
        <v>3592.83</v>
      </c>
      <c r="AN57" s="155">
        <f t="shared" si="137"/>
        <v>6340.95</v>
      </c>
      <c r="AO57" s="155">
        <f t="shared" si="138"/>
        <v>1973.33</v>
      </c>
      <c r="AP57" s="155">
        <f t="shared" si="138"/>
        <v>1193.76</v>
      </c>
      <c r="AQ57" s="155">
        <f t="shared" si="139"/>
        <v>2215.06</v>
      </c>
      <c r="AR57" s="155">
        <f t="shared" si="140"/>
        <v>1204.5</v>
      </c>
      <c r="AS57" s="156">
        <f t="shared" si="141"/>
        <v>1900.77</v>
      </c>
      <c r="AT57" s="155">
        <v>1353.19</v>
      </c>
      <c r="AU57" s="155">
        <v>733.65</v>
      </c>
      <c r="AV57" s="155">
        <v>2320.5700000000002</v>
      </c>
      <c r="AW57" s="155">
        <v>2887.55</v>
      </c>
      <c r="AX57" s="155">
        <v>646.4</v>
      </c>
      <c r="AY57" s="155">
        <v>833.36</v>
      </c>
      <c r="AZ57" s="155">
        <v>97.85</v>
      </c>
      <c r="BA57" s="155">
        <v>391.32</v>
      </c>
      <c r="BB57" s="155">
        <v>486.16</v>
      </c>
      <c r="BC57" s="155">
        <v>1383.29</v>
      </c>
      <c r="BD57" s="155">
        <v>1093.8499999999999</v>
      </c>
      <c r="BE57" s="155">
        <v>1364.82</v>
      </c>
      <c r="BF57" s="552">
        <v>2049.35</v>
      </c>
      <c r="BG57" s="155">
        <v>692.79</v>
      </c>
      <c r="BH57" s="155">
        <v>728.74</v>
      </c>
      <c r="BI57" s="155">
        <v>3217.32</v>
      </c>
      <c r="BJ57" s="155">
        <v>4026.28</v>
      </c>
      <c r="BK57" s="155">
        <v>85.43</v>
      </c>
      <c r="BL57" s="155">
        <v>699.57</v>
      </c>
      <c r="BM57" s="155">
        <v>1069.8900000000001</v>
      </c>
      <c r="BN57" s="155">
        <v>3066</v>
      </c>
      <c r="BO57" s="155">
        <v>196.8</v>
      </c>
      <c r="BP57" s="155">
        <v>2231.92</v>
      </c>
      <c r="BQ57" s="155">
        <v>1736.14</v>
      </c>
      <c r="BR57" s="552">
        <v>1205.5999999999999</v>
      </c>
      <c r="BS57" s="155">
        <v>683.11</v>
      </c>
      <c r="BT57" s="155">
        <v>5995.86</v>
      </c>
      <c r="BU57" s="155">
        <v>3872.7</v>
      </c>
      <c r="BV57" s="155">
        <v>3109.84</v>
      </c>
      <c r="BW57" s="155">
        <v>437.31</v>
      </c>
      <c r="BX57" s="155">
        <v>2085.39</v>
      </c>
      <c r="BY57" s="155">
        <v>2527.09</v>
      </c>
      <c r="BZ57" s="155">
        <v>3685.29</v>
      </c>
      <c r="CA57" s="155">
        <v>6162.82</v>
      </c>
      <c r="CB57" s="552">
        <v>3649.96</v>
      </c>
      <c r="CC57" s="155">
        <v>1973.33</v>
      </c>
      <c r="CD57" s="155">
        <v>1193.76</v>
      </c>
      <c r="CE57" s="155">
        <v>1561.57</v>
      </c>
      <c r="CF57" s="155">
        <v>137.05000000000001</v>
      </c>
      <c r="CG57" s="155">
        <v>1763.72</v>
      </c>
      <c r="CH57" s="155">
        <v>3592.83</v>
      </c>
      <c r="CI57" s="155">
        <v>1204.5</v>
      </c>
      <c r="CJ57" s="155">
        <v>6340.95</v>
      </c>
      <c r="CK57" s="156">
        <v>2215.06</v>
      </c>
      <c r="CL57" s="320">
        <v>86789.979999999981</v>
      </c>
    </row>
    <row r="58" spans="1:90">
      <c r="A58" s="80">
        <f>ROWS($A$3:A56)</f>
        <v>54</v>
      </c>
      <c r="B58" s="92" t="s">
        <v>231</v>
      </c>
      <c r="C58" s="584">
        <v>2021</v>
      </c>
      <c r="D58" s="259" t="s">
        <v>13</v>
      </c>
      <c r="E58" s="706">
        <v>44427</v>
      </c>
      <c r="F58" s="154">
        <v>93048.61</v>
      </c>
      <c r="G58" s="155">
        <v>97804.2</v>
      </c>
      <c r="H58" s="155">
        <v>132519.88</v>
      </c>
      <c r="I58" s="156">
        <v>94581.15</v>
      </c>
      <c r="J58" s="281"/>
      <c r="K58" s="154">
        <f t="shared" si="111"/>
        <v>14</v>
      </c>
      <c r="L58" s="155">
        <f t="shared" si="112"/>
        <v>5</v>
      </c>
      <c r="M58" s="155">
        <f t="shared" si="113"/>
        <v>10</v>
      </c>
      <c r="N58" s="155">
        <f t="shared" si="114"/>
        <v>8</v>
      </c>
      <c r="O58" s="155">
        <f t="shared" si="115"/>
        <v>6</v>
      </c>
      <c r="P58" s="155">
        <f>AZ58+BA58</f>
        <v>12</v>
      </c>
      <c r="Q58" s="155">
        <f t="shared" si="142"/>
        <v>5</v>
      </c>
      <c r="R58" s="155">
        <f t="shared" si="116"/>
        <v>9</v>
      </c>
      <c r="S58" s="155">
        <f t="shared" si="117"/>
        <v>7</v>
      </c>
      <c r="T58" s="155">
        <f t="shared" si="118"/>
        <v>6</v>
      </c>
      <c r="U58" s="552">
        <f t="shared" si="118"/>
        <v>13</v>
      </c>
      <c r="V58" s="155">
        <f t="shared" si="119"/>
        <v>18</v>
      </c>
      <c r="W58" s="155">
        <f t="shared" si="120"/>
        <v>7</v>
      </c>
      <c r="X58" s="155">
        <f t="shared" si="121"/>
        <v>25</v>
      </c>
      <c r="Y58" s="155">
        <f t="shared" si="122"/>
        <v>18</v>
      </c>
      <c r="Z58" s="155">
        <f t="shared" si="123"/>
        <v>8</v>
      </c>
      <c r="AA58" s="155">
        <f t="shared" si="124"/>
        <v>12</v>
      </c>
      <c r="AB58" s="552">
        <f t="shared" si="125"/>
        <v>8</v>
      </c>
      <c r="AC58" s="155">
        <f t="shared" si="126"/>
        <v>8</v>
      </c>
      <c r="AD58" s="155">
        <f t="shared" si="127"/>
        <v>8</v>
      </c>
      <c r="AE58" s="155">
        <f t="shared" si="128"/>
        <v>21</v>
      </c>
      <c r="AF58" s="155">
        <f t="shared" si="129"/>
        <v>9</v>
      </c>
      <c r="AG58" s="155">
        <f t="shared" si="130"/>
        <v>14</v>
      </c>
      <c r="AH58" s="155">
        <f t="shared" si="131"/>
        <v>9</v>
      </c>
      <c r="AI58" s="155">
        <f t="shared" si="132"/>
        <v>8</v>
      </c>
      <c r="AJ58" s="155">
        <f t="shared" si="133"/>
        <v>8</v>
      </c>
      <c r="AK58" s="552">
        <f t="shared" si="134"/>
        <v>13</v>
      </c>
      <c r="AL58" s="155">
        <f t="shared" si="135"/>
        <v>17</v>
      </c>
      <c r="AM58" s="155">
        <f t="shared" si="136"/>
        <v>9</v>
      </c>
      <c r="AN58" s="155">
        <f t="shared" si="137"/>
        <v>16</v>
      </c>
      <c r="AO58" s="155">
        <f t="shared" si="138"/>
        <v>14</v>
      </c>
      <c r="AP58" s="155">
        <f t="shared" si="138"/>
        <v>6</v>
      </c>
      <c r="AQ58" s="155">
        <f t="shared" si="139"/>
        <v>12</v>
      </c>
      <c r="AR58" s="155">
        <f t="shared" si="140"/>
        <v>9</v>
      </c>
      <c r="AS58" s="156">
        <f t="shared" si="141"/>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384</v>
      </c>
    </row>
    <row r="59" spans="1:90">
      <c r="A59" s="80">
        <f>ROWS($A$3:A57)</f>
        <v>55</v>
      </c>
      <c r="B59" s="92"/>
      <c r="C59" s="203"/>
      <c r="D59" s="259" t="s">
        <v>1</v>
      </c>
      <c r="E59" s="706">
        <v>44427</v>
      </c>
      <c r="F59" s="154">
        <v>56</v>
      </c>
      <c r="G59" s="155">
        <v>53</v>
      </c>
      <c r="H59" s="155">
        <v>67</v>
      </c>
      <c r="I59" s="156">
        <v>62</v>
      </c>
      <c r="J59" s="281"/>
      <c r="K59" s="154">
        <f t="shared" si="111"/>
        <v>10672.53</v>
      </c>
      <c r="L59" s="155">
        <f t="shared" si="112"/>
        <v>3129.65</v>
      </c>
      <c r="M59" s="155">
        <f t="shared" si="113"/>
        <v>8345.65</v>
      </c>
      <c r="N59" s="155">
        <f t="shared" si="114"/>
        <v>9512.31</v>
      </c>
      <c r="O59" s="155">
        <f t="shared" si="115"/>
        <v>7320.3</v>
      </c>
      <c r="P59" s="155">
        <f>AZ59+BA59</f>
        <v>11693.300000000001</v>
      </c>
      <c r="Q59" s="155">
        <f t="shared" si="142"/>
        <v>6968.23</v>
      </c>
      <c r="R59" s="155">
        <f t="shared" si="116"/>
        <v>10380.52</v>
      </c>
      <c r="S59" s="155">
        <f t="shared" si="117"/>
        <v>9004.48</v>
      </c>
      <c r="T59" s="155">
        <f t="shared" si="118"/>
        <v>8654.1299999999992</v>
      </c>
      <c r="U59" s="552">
        <f t="shared" si="118"/>
        <v>7367.52</v>
      </c>
      <c r="V59" s="155">
        <f t="shared" si="119"/>
        <v>14852.68</v>
      </c>
      <c r="W59" s="155">
        <f t="shared" si="120"/>
        <v>5795.21</v>
      </c>
      <c r="X59" s="155">
        <f t="shared" si="121"/>
        <v>30194.800000000003</v>
      </c>
      <c r="Y59" s="155">
        <f t="shared" si="122"/>
        <v>19870.919999999998</v>
      </c>
      <c r="Z59" s="155">
        <f t="shared" si="123"/>
        <v>9713.0400000000009</v>
      </c>
      <c r="AA59" s="155">
        <f t="shared" si="124"/>
        <v>11902.8</v>
      </c>
      <c r="AB59" s="552">
        <f t="shared" si="125"/>
        <v>5474.77</v>
      </c>
      <c r="AC59" s="155">
        <f t="shared" si="126"/>
        <v>8463.31</v>
      </c>
      <c r="AD59" s="155">
        <f t="shared" si="127"/>
        <v>10471.969999999999</v>
      </c>
      <c r="AE59" s="155">
        <f t="shared" si="128"/>
        <v>23006.15</v>
      </c>
      <c r="AF59" s="155">
        <f t="shared" si="129"/>
        <v>16168.5</v>
      </c>
      <c r="AG59" s="155">
        <f t="shared" si="130"/>
        <v>18712.52</v>
      </c>
      <c r="AH59" s="155">
        <f t="shared" si="131"/>
        <v>14590.58</v>
      </c>
      <c r="AI59" s="155">
        <f t="shared" si="132"/>
        <v>6020.15</v>
      </c>
      <c r="AJ59" s="155">
        <f t="shared" si="133"/>
        <v>12388.04</v>
      </c>
      <c r="AK59" s="552">
        <f t="shared" si="134"/>
        <v>22698.65</v>
      </c>
      <c r="AL59" s="155">
        <f t="shared" si="135"/>
        <v>12361.67</v>
      </c>
      <c r="AM59" s="155">
        <f t="shared" si="136"/>
        <v>8293.2900000000009</v>
      </c>
      <c r="AN59" s="155">
        <f t="shared" si="137"/>
        <v>12823.6</v>
      </c>
      <c r="AO59" s="155">
        <f t="shared" si="138"/>
        <v>22552.34</v>
      </c>
      <c r="AP59" s="155">
        <f t="shared" si="138"/>
        <v>12979.59</v>
      </c>
      <c r="AQ59" s="155">
        <f t="shared" si="139"/>
        <v>9901.57</v>
      </c>
      <c r="AR59" s="155">
        <f t="shared" si="140"/>
        <v>4021.54</v>
      </c>
      <c r="AS59" s="156">
        <f t="shared" si="141"/>
        <v>11647.560000000001</v>
      </c>
      <c r="AT59" s="155">
        <v>2327.62</v>
      </c>
      <c r="AU59" s="155">
        <v>6968.23</v>
      </c>
      <c r="AV59" s="155">
        <v>9004.48</v>
      </c>
      <c r="AW59" s="155">
        <v>9512.31</v>
      </c>
      <c r="AX59" s="155">
        <v>8052.9</v>
      </c>
      <c r="AY59" s="155">
        <v>3129.65</v>
      </c>
      <c r="AZ59" s="155">
        <v>1059.26</v>
      </c>
      <c r="BA59" s="155">
        <v>10634.04</v>
      </c>
      <c r="BB59" s="155">
        <v>8654.1299999999992</v>
      </c>
      <c r="BC59" s="155">
        <v>7367.52</v>
      </c>
      <c r="BD59" s="155">
        <v>8345.65</v>
      </c>
      <c r="BE59" s="155">
        <v>7320.3</v>
      </c>
      <c r="BF59" s="552">
        <v>10672.53</v>
      </c>
      <c r="BG59" s="155">
        <v>1507</v>
      </c>
      <c r="BH59" s="155">
        <v>4343.0600000000004</v>
      </c>
      <c r="BI59" s="155">
        <v>25851.74</v>
      </c>
      <c r="BJ59" s="155">
        <v>13345.68</v>
      </c>
      <c r="BK59" s="155">
        <v>2366.7600000000002</v>
      </c>
      <c r="BL59" s="155">
        <v>1719.25</v>
      </c>
      <c r="BM59" s="155">
        <v>9713.0400000000009</v>
      </c>
      <c r="BN59" s="155">
        <v>15784.91</v>
      </c>
      <c r="BO59" s="155">
        <v>1452.84</v>
      </c>
      <c r="BP59" s="155">
        <v>5474.77</v>
      </c>
      <c r="BQ59" s="155">
        <v>10449.959999999999</v>
      </c>
      <c r="BR59" s="552">
        <v>5795.21</v>
      </c>
      <c r="BS59" s="155">
        <v>3366.29</v>
      </c>
      <c r="BT59" s="155">
        <v>19639.86</v>
      </c>
      <c r="BU59" s="155">
        <v>10471.969999999999</v>
      </c>
      <c r="BV59" s="155">
        <v>18712.52</v>
      </c>
      <c r="BW59" s="155">
        <v>6020.15</v>
      </c>
      <c r="BX59" s="155">
        <v>8463.31</v>
      </c>
      <c r="BY59" s="155">
        <v>12388.04</v>
      </c>
      <c r="BZ59" s="155">
        <v>14590.58</v>
      </c>
      <c r="CA59" s="155">
        <v>16168.5</v>
      </c>
      <c r="CB59" s="552">
        <v>22698.65</v>
      </c>
      <c r="CC59" s="155">
        <v>22552.34</v>
      </c>
      <c r="CD59" s="155">
        <v>12979.59</v>
      </c>
      <c r="CE59" s="155">
        <v>12361.67</v>
      </c>
      <c r="CF59" s="155">
        <v>539.45000000000005</v>
      </c>
      <c r="CG59" s="155">
        <v>11108.11</v>
      </c>
      <c r="CH59" s="155">
        <v>8293.2900000000009</v>
      </c>
      <c r="CI59" s="155">
        <v>4021.54</v>
      </c>
      <c r="CJ59" s="155">
        <v>12823.6</v>
      </c>
      <c r="CK59" s="156">
        <v>9901.57</v>
      </c>
      <c r="CL59" s="320">
        <v>417953.87</v>
      </c>
    </row>
    <row r="60" spans="1:90">
      <c r="A60" s="80">
        <f>ROWS($A$3:A58)</f>
        <v>56</v>
      </c>
      <c r="B60" s="92" t="s">
        <v>232</v>
      </c>
      <c r="C60" s="584">
        <v>2021</v>
      </c>
      <c r="D60" s="259" t="s">
        <v>13</v>
      </c>
      <c r="E60" s="706">
        <v>44427</v>
      </c>
      <c r="F60" s="154">
        <v>68891.14</v>
      </c>
      <c r="G60" s="281">
        <v>56091.88</v>
      </c>
      <c r="H60" s="281">
        <v>182455.92</v>
      </c>
      <c r="I60" s="156">
        <v>84327.33</v>
      </c>
      <c r="J60" s="281"/>
      <c r="K60" s="154">
        <f t="shared" si="111"/>
        <v>6</v>
      </c>
      <c r="L60" s="155">
        <f t="shared" si="112"/>
        <v>2</v>
      </c>
      <c r="M60" s="155">
        <f t="shared" si="113"/>
        <v>2</v>
      </c>
      <c r="N60" s="155">
        <f t="shared" si="114"/>
        <v>3</v>
      </c>
      <c r="O60" s="155">
        <f t="shared" si="115"/>
        <v>3</v>
      </c>
      <c r="P60" s="155">
        <f>BA60</f>
        <v>3</v>
      </c>
      <c r="Q60" s="155">
        <f t="shared" si="142"/>
        <v>1</v>
      </c>
      <c r="R60" s="155">
        <f t="shared" si="116"/>
        <v>5</v>
      </c>
      <c r="S60" s="155">
        <f t="shared" si="117"/>
        <v>4</v>
      </c>
      <c r="T60" s="155">
        <f t="shared" si="118"/>
        <v>2</v>
      </c>
      <c r="U60" s="552">
        <f t="shared" si="118"/>
        <v>3</v>
      </c>
      <c r="V60" s="155">
        <f t="shared" si="119"/>
        <v>6</v>
      </c>
      <c r="W60" s="155">
        <f t="shared" si="120"/>
        <v>1</v>
      </c>
      <c r="X60" s="155">
        <f t="shared" si="121"/>
        <v>9</v>
      </c>
      <c r="Y60" s="155">
        <f t="shared" si="122"/>
        <v>9</v>
      </c>
      <c r="Z60" s="155">
        <f t="shared" si="123"/>
        <v>3</v>
      </c>
      <c r="AA60" s="155">
        <f>BQ60</f>
        <v>3</v>
      </c>
      <c r="AB60" s="552">
        <f t="shared" si="125"/>
        <v>2</v>
      </c>
      <c r="AC60" s="155">
        <f t="shared" si="126"/>
        <v>3</v>
      </c>
      <c r="AD60" s="155">
        <f t="shared" si="127"/>
        <v>7</v>
      </c>
      <c r="AE60" s="155">
        <f t="shared" si="128"/>
        <v>14</v>
      </c>
      <c r="AF60" s="155">
        <f t="shared" si="129"/>
        <v>3</v>
      </c>
      <c r="AG60" s="155">
        <f t="shared" si="130"/>
        <v>12</v>
      </c>
      <c r="AH60" s="155">
        <f t="shared" si="131"/>
        <v>6</v>
      </c>
      <c r="AI60" s="155">
        <f t="shared" si="132"/>
        <v>5</v>
      </c>
      <c r="AJ60" s="155">
        <f t="shared" si="133"/>
        <v>3</v>
      </c>
      <c r="AK60" s="552">
        <f t="shared" si="134"/>
        <v>2</v>
      </c>
      <c r="AL60" s="155">
        <f t="shared" si="135"/>
        <v>3</v>
      </c>
      <c r="AM60" s="155">
        <f t="shared" si="136"/>
        <v>2</v>
      </c>
      <c r="AN60" s="155">
        <f t="shared" si="137"/>
        <v>7</v>
      </c>
      <c r="AO60" s="155">
        <f t="shared" si="138"/>
        <v>3</v>
      </c>
      <c r="AP60" s="155">
        <f t="shared" si="138"/>
        <v>5</v>
      </c>
      <c r="AQ60" s="155">
        <f t="shared" si="139"/>
        <v>3</v>
      </c>
      <c r="AR60" s="155">
        <f t="shared" si="140"/>
        <v>3</v>
      </c>
      <c r="AS60" s="156">
        <f t="shared" si="141"/>
        <v>5</v>
      </c>
      <c r="AT60" s="155">
        <v>1</v>
      </c>
      <c r="AU60" s="281">
        <v>1</v>
      </c>
      <c r="AV60" s="281">
        <v>4</v>
      </c>
      <c r="AW60" s="281">
        <v>3</v>
      </c>
      <c r="AX60" s="281">
        <v>4</v>
      </c>
      <c r="AY60" s="281">
        <v>2</v>
      </c>
      <c r="AZ60" s="281" t="s">
        <v>233</v>
      </c>
      <c r="BA60" s="281">
        <v>3</v>
      </c>
      <c r="BB60" s="281">
        <v>2</v>
      </c>
      <c r="BC60" s="281">
        <v>3</v>
      </c>
      <c r="BD60" s="281">
        <v>2</v>
      </c>
      <c r="BE60" s="281">
        <v>3</v>
      </c>
      <c r="BF60" s="552">
        <v>6</v>
      </c>
      <c r="BG60" s="281">
        <v>1</v>
      </c>
      <c r="BH60" s="281">
        <v>3</v>
      </c>
      <c r="BI60" s="281">
        <v>6</v>
      </c>
      <c r="BJ60" s="281">
        <v>5</v>
      </c>
      <c r="BK60" s="281">
        <v>1</v>
      </c>
      <c r="BL60" s="281">
        <v>1</v>
      </c>
      <c r="BM60" s="281">
        <v>3</v>
      </c>
      <c r="BN60" s="281">
        <v>7</v>
      </c>
      <c r="BO60" s="281" t="s">
        <v>233</v>
      </c>
      <c r="BP60" s="281">
        <v>2</v>
      </c>
      <c r="BQ60" s="281">
        <v>3</v>
      </c>
      <c r="BR60" s="552">
        <v>1</v>
      </c>
      <c r="BS60" s="281">
        <v>3</v>
      </c>
      <c r="BT60" s="281">
        <v>11</v>
      </c>
      <c r="BU60" s="281">
        <v>7</v>
      </c>
      <c r="BV60" s="281">
        <v>12</v>
      </c>
      <c r="BW60" s="281">
        <v>5</v>
      </c>
      <c r="BX60" s="281">
        <v>3</v>
      </c>
      <c r="BY60" s="281">
        <v>3</v>
      </c>
      <c r="BZ60" s="281">
        <v>6</v>
      </c>
      <c r="CA60" s="281">
        <v>3</v>
      </c>
      <c r="CB60" s="552">
        <v>2</v>
      </c>
      <c r="CC60" s="281">
        <v>3</v>
      </c>
      <c r="CD60" s="281">
        <v>5</v>
      </c>
      <c r="CE60" s="281">
        <v>3</v>
      </c>
      <c r="CF60" s="281">
        <v>1</v>
      </c>
      <c r="CG60" s="281">
        <v>4</v>
      </c>
      <c r="CH60" s="281">
        <v>2</v>
      </c>
      <c r="CI60" s="281">
        <v>3</v>
      </c>
      <c r="CJ60" s="281">
        <v>7</v>
      </c>
      <c r="CK60" s="156">
        <v>3</v>
      </c>
      <c r="CL60" s="320">
        <v>153</v>
      </c>
    </row>
    <row r="61" spans="1:90">
      <c r="A61" s="80">
        <f>ROWS($A$3:A59)</f>
        <v>57</v>
      </c>
      <c r="B61" s="52"/>
      <c r="C61" s="203"/>
      <c r="D61" s="259" t="s">
        <v>1</v>
      </c>
      <c r="E61" s="706">
        <v>44427</v>
      </c>
      <c r="F61" s="154">
        <v>21</v>
      </c>
      <c r="G61" s="155">
        <v>23</v>
      </c>
      <c r="H61" s="155">
        <v>34</v>
      </c>
      <c r="I61" s="156">
        <v>23</v>
      </c>
      <c r="J61" s="281"/>
      <c r="K61" s="154">
        <f t="shared" si="111"/>
        <v>3634.42</v>
      </c>
      <c r="L61" s="155">
        <f t="shared" si="112"/>
        <v>2443.54</v>
      </c>
      <c r="M61" s="155">
        <f t="shared" si="113"/>
        <v>2641.61</v>
      </c>
      <c r="N61" s="155">
        <f t="shared" si="114"/>
        <v>19363.93</v>
      </c>
      <c r="O61" s="155">
        <f t="shared" si="115"/>
        <v>7564.35</v>
      </c>
      <c r="P61" s="155">
        <f>BA61</f>
        <v>2388.2199999999998</v>
      </c>
      <c r="Q61" s="155">
        <f t="shared" si="142"/>
        <v>5376.71</v>
      </c>
      <c r="R61" s="155">
        <f t="shared" si="116"/>
        <v>6533.71</v>
      </c>
      <c r="S61" s="155">
        <f t="shared" si="117"/>
        <v>17053.38</v>
      </c>
      <c r="T61" s="155">
        <f t="shared" si="118"/>
        <v>688.8</v>
      </c>
      <c r="U61" s="552">
        <f t="shared" si="118"/>
        <v>1202.48</v>
      </c>
      <c r="V61" s="155">
        <f t="shared" si="119"/>
        <v>14584.45</v>
      </c>
      <c r="W61" s="155">
        <f t="shared" si="120"/>
        <v>17301.650000000001</v>
      </c>
      <c r="X61" s="155">
        <f t="shared" si="121"/>
        <v>12587.51</v>
      </c>
      <c r="Y61" s="155">
        <f t="shared" si="122"/>
        <v>6428.2</v>
      </c>
      <c r="Z61" s="155">
        <f t="shared" si="123"/>
        <v>213.7</v>
      </c>
      <c r="AA61" s="155">
        <f>BQ61</f>
        <v>2397.67</v>
      </c>
      <c r="AB61" s="552">
        <f t="shared" si="125"/>
        <v>2578.6999999999998</v>
      </c>
      <c r="AC61" s="155">
        <f t="shared" si="126"/>
        <v>49856.34</v>
      </c>
      <c r="AD61" s="155">
        <f t="shared" si="127"/>
        <v>12424.61</v>
      </c>
      <c r="AE61" s="155">
        <f t="shared" si="128"/>
        <v>30539.51</v>
      </c>
      <c r="AF61" s="155">
        <f t="shared" si="129"/>
        <v>10872.16</v>
      </c>
      <c r="AG61" s="155">
        <f t="shared" si="130"/>
        <v>27067.919999999998</v>
      </c>
      <c r="AH61" s="155">
        <f t="shared" si="131"/>
        <v>9510.5499999999993</v>
      </c>
      <c r="AI61" s="155">
        <f t="shared" si="132"/>
        <v>3033.91</v>
      </c>
      <c r="AJ61" s="155">
        <f t="shared" si="133"/>
        <v>21433.61</v>
      </c>
      <c r="AK61" s="552">
        <f t="shared" si="134"/>
        <v>17717.32</v>
      </c>
      <c r="AL61" s="155">
        <f t="shared" si="135"/>
        <v>20299.060000000001</v>
      </c>
      <c r="AM61" s="155">
        <f t="shared" si="136"/>
        <v>2946.88</v>
      </c>
      <c r="AN61" s="155">
        <f t="shared" si="137"/>
        <v>8770.92</v>
      </c>
      <c r="AO61" s="155">
        <f t="shared" si="138"/>
        <v>22418.87</v>
      </c>
      <c r="AP61" s="155">
        <f t="shared" si="138"/>
        <v>13819.81</v>
      </c>
      <c r="AQ61" s="155">
        <f t="shared" si="139"/>
        <v>8215.6299999999992</v>
      </c>
      <c r="AR61" s="155">
        <f t="shared" si="140"/>
        <v>877</v>
      </c>
      <c r="AS61" s="156">
        <f t="shared" si="141"/>
        <v>6979.1500000000005</v>
      </c>
      <c r="AT61" s="155">
        <v>3.01</v>
      </c>
      <c r="AU61" s="155">
        <v>5376.71</v>
      </c>
      <c r="AV61" s="155">
        <v>17053.38</v>
      </c>
      <c r="AW61" s="155">
        <v>19363.93</v>
      </c>
      <c r="AX61" s="155">
        <v>6530.7</v>
      </c>
      <c r="AY61" s="155">
        <v>2443.54</v>
      </c>
      <c r="AZ61" s="155" t="s">
        <v>233</v>
      </c>
      <c r="BA61" s="155">
        <v>2388.2199999999998</v>
      </c>
      <c r="BB61" s="155">
        <v>688.8</v>
      </c>
      <c r="BC61" s="155">
        <v>1202.48</v>
      </c>
      <c r="BD61" s="155">
        <v>2641.61</v>
      </c>
      <c r="BE61" s="155">
        <v>7564.35</v>
      </c>
      <c r="BF61" s="552">
        <v>3634.42</v>
      </c>
      <c r="BG61" s="155">
        <v>360.45</v>
      </c>
      <c r="BH61" s="155">
        <v>2915.73</v>
      </c>
      <c r="BI61" s="155">
        <v>9671.7800000000007</v>
      </c>
      <c r="BJ61" s="155">
        <v>14224</v>
      </c>
      <c r="BK61" s="155">
        <v>3.96</v>
      </c>
      <c r="BL61" s="155">
        <v>400.67</v>
      </c>
      <c r="BM61" s="155">
        <v>213.7</v>
      </c>
      <c r="BN61" s="155">
        <v>6023.57</v>
      </c>
      <c r="BO61" s="155" t="s">
        <v>233</v>
      </c>
      <c r="BP61" s="155">
        <v>2578.6999999999998</v>
      </c>
      <c r="BQ61" s="155">
        <v>2397.67</v>
      </c>
      <c r="BR61" s="552">
        <v>17301.650000000001</v>
      </c>
      <c r="BS61" s="155">
        <v>3003.57</v>
      </c>
      <c r="BT61" s="155">
        <v>27535.94</v>
      </c>
      <c r="BU61" s="155">
        <v>12424.61</v>
      </c>
      <c r="BV61" s="155">
        <v>27067.919999999998</v>
      </c>
      <c r="BW61" s="155">
        <v>3033.91</v>
      </c>
      <c r="BX61" s="155">
        <v>49856.34</v>
      </c>
      <c r="BY61" s="155">
        <v>21433.61</v>
      </c>
      <c r="BZ61" s="155">
        <v>9510.5499999999993</v>
      </c>
      <c r="CA61" s="155">
        <v>10872.16</v>
      </c>
      <c r="CB61" s="552">
        <v>17717.32</v>
      </c>
      <c r="CC61" s="155">
        <v>22418.87</v>
      </c>
      <c r="CD61" s="155">
        <v>13819.81</v>
      </c>
      <c r="CE61" s="155">
        <v>20299.060000000001</v>
      </c>
      <c r="CF61" s="155">
        <v>113.85</v>
      </c>
      <c r="CG61" s="155">
        <v>6865.3</v>
      </c>
      <c r="CH61" s="155">
        <v>2946.88</v>
      </c>
      <c r="CI61" s="155">
        <v>877</v>
      </c>
      <c r="CJ61" s="155">
        <v>8770.92</v>
      </c>
      <c r="CK61" s="156">
        <v>8215.6299999999992</v>
      </c>
      <c r="CL61" s="320">
        <v>391766.28000000009</v>
      </c>
    </row>
    <row r="62" spans="1:90">
      <c r="A62" s="80">
        <f>ROWS($A$3:A60)</f>
        <v>58</v>
      </c>
      <c r="B62" s="92" t="s">
        <v>56</v>
      </c>
      <c r="C62" s="584">
        <v>2020</v>
      </c>
      <c r="D62" s="259" t="s">
        <v>13</v>
      </c>
      <c r="E62" s="706">
        <v>44428</v>
      </c>
      <c r="F62" s="154">
        <v>771</v>
      </c>
      <c r="G62" s="155">
        <v>405</v>
      </c>
      <c r="H62" s="155">
        <v>969</v>
      </c>
      <c r="I62" s="156">
        <v>375</v>
      </c>
      <c r="J62" s="281"/>
      <c r="K62" s="154">
        <f t="shared" si="111"/>
        <v>81</v>
      </c>
      <c r="L62" s="155">
        <f t="shared" si="112"/>
        <v>180</v>
      </c>
      <c r="M62" s="155">
        <f t="shared" si="113"/>
        <v>48</v>
      </c>
      <c r="N62" s="155">
        <f t="shared" si="114"/>
        <v>42</v>
      </c>
      <c r="O62" s="155">
        <f t="shared" si="115"/>
        <v>18</v>
      </c>
      <c r="P62" s="155">
        <f>AZ62+BA62</f>
        <v>118</v>
      </c>
      <c r="Q62" s="155">
        <f t="shared" si="142"/>
        <v>32</v>
      </c>
      <c r="R62" s="155">
        <f t="shared" si="116"/>
        <v>49</v>
      </c>
      <c r="S62" s="155">
        <f t="shared" si="117"/>
        <v>42</v>
      </c>
      <c r="T62" s="155">
        <f t="shared" si="118"/>
        <v>69</v>
      </c>
      <c r="U62" s="552">
        <f t="shared" si="118"/>
        <v>92</v>
      </c>
      <c r="V62" s="155">
        <f t="shared" si="119"/>
        <v>81</v>
      </c>
      <c r="W62" s="155">
        <f t="shared" si="120"/>
        <v>47</v>
      </c>
      <c r="X62" s="155">
        <f t="shared" si="121"/>
        <v>57</v>
      </c>
      <c r="Y62" s="155">
        <f t="shared" si="122"/>
        <v>68</v>
      </c>
      <c r="Z62" s="155">
        <f t="shared" si="123"/>
        <v>41</v>
      </c>
      <c r="AA62" s="155">
        <f t="shared" si="124"/>
        <v>48</v>
      </c>
      <c r="AB62" s="552">
        <f t="shared" si="125"/>
        <v>63</v>
      </c>
      <c r="AC62" s="155">
        <f t="shared" si="126"/>
        <v>125</v>
      </c>
      <c r="AD62" s="155">
        <f t="shared" si="127"/>
        <v>71</v>
      </c>
      <c r="AE62" s="155">
        <f t="shared" si="128"/>
        <v>134</v>
      </c>
      <c r="AF62" s="155">
        <f t="shared" si="129"/>
        <v>134</v>
      </c>
      <c r="AG62" s="155">
        <f t="shared" si="130"/>
        <v>138</v>
      </c>
      <c r="AH62" s="155">
        <f t="shared" si="131"/>
        <v>100</v>
      </c>
      <c r="AI62" s="155">
        <f t="shared" si="132"/>
        <v>42</v>
      </c>
      <c r="AJ62" s="155">
        <f t="shared" si="133"/>
        <v>46</v>
      </c>
      <c r="AK62" s="552">
        <f t="shared" si="134"/>
        <v>179</v>
      </c>
      <c r="AL62" s="155">
        <f t="shared" si="135"/>
        <v>41</v>
      </c>
      <c r="AM62" s="155">
        <f t="shared" si="136"/>
        <v>48</v>
      </c>
      <c r="AN62" s="155">
        <f t="shared" si="137"/>
        <v>78</v>
      </c>
      <c r="AO62" s="155">
        <f t="shared" si="138"/>
        <v>44</v>
      </c>
      <c r="AP62" s="155">
        <f t="shared" si="138"/>
        <v>16</v>
      </c>
      <c r="AQ62" s="155">
        <f t="shared" si="139"/>
        <v>65</v>
      </c>
      <c r="AR62" s="155">
        <f t="shared" si="140"/>
        <v>42</v>
      </c>
      <c r="AS62" s="156">
        <f t="shared" si="141"/>
        <v>41</v>
      </c>
      <c r="AT62" s="155">
        <v>3</v>
      </c>
      <c r="AU62" s="281">
        <v>32</v>
      </c>
      <c r="AV62" s="281">
        <v>42</v>
      </c>
      <c r="AW62" s="281">
        <v>42</v>
      </c>
      <c r="AX62" s="281">
        <v>46</v>
      </c>
      <c r="AY62" s="281">
        <v>180</v>
      </c>
      <c r="AZ62" s="281">
        <v>10</v>
      </c>
      <c r="BA62" s="281">
        <v>108</v>
      </c>
      <c r="BB62" s="281">
        <v>69</v>
      </c>
      <c r="BC62" s="281">
        <v>92</v>
      </c>
      <c r="BD62" s="281">
        <v>48</v>
      </c>
      <c r="BE62" s="281">
        <v>18</v>
      </c>
      <c r="BF62" s="552">
        <v>81</v>
      </c>
      <c r="BG62" s="281">
        <v>10</v>
      </c>
      <c r="BH62" s="281">
        <v>5</v>
      </c>
      <c r="BI62" s="281">
        <v>52</v>
      </c>
      <c r="BJ62" s="281">
        <v>71</v>
      </c>
      <c r="BK62" s="281">
        <v>9</v>
      </c>
      <c r="BL62" s="281">
        <v>3</v>
      </c>
      <c r="BM62" s="281">
        <v>41</v>
      </c>
      <c r="BN62" s="281">
        <v>56</v>
      </c>
      <c r="BO62" s="281">
        <v>7</v>
      </c>
      <c r="BP62" s="281">
        <v>63</v>
      </c>
      <c r="BQ62" s="281">
        <v>41</v>
      </c>
      <c r="BR62" s="552">
        <v>47</v>
      </c>
      <c r="BS62" s="281">
        <v>10</v>
      </c>
      <c r="BT62" s="281">
        <v>124</v>
      </c>
      <c r="BU62" s="281">
        <v>71</v>
      </c>
      <c r="BV62" s="281">
        <v>138</v>
      </c>
      <c r="BW62" s="281">
        <v>42</v>
      </c>
      <c r="BX62" s="281">
        <v>125</v>
      </c>
      <c r="BY62" s="281">
        <v>46</v>
      </c>
      <c r="BZ62" s="281">
        <v>100</v>
      </c>
      <c r="CA62" s="281">
        <v>134</v>
      </c>
      <c r="CB62" s="552">
        <v>179</v>
      </c>
      <c r="CC62" s="281">
        <v>44</v>
      </c>
      <c r="CD62" s="281">
        <v>16</v>
      </c>
      <c r="CE62" s="281">
        <v>41</v>
      </c>
      <c r="CF62" s="281">
        <v>3</v>
      </c>
      <c r="CG62" s="281">
        <v>38</v>
      </c>
      <c r="CH62" s="281">
        <v>48</v>
      </c>
      <c r="CI62" s="281">
        <v>42</v>
      </c>
      <c r="CJ62" s="281">
        <v>78</v>
      </c>
      <c r="CK62" s="156">
        <v>65</v>
      </c>
      <c r="CL62" s="320">
        <v>2520</v>
      </c>
    </row>
    <row r="63" spans="1:90">
      <c r="A63" s="80">
        <f>ROWS($A$3:A61)</f>
        <v>59</v>
      </c>
      <c r="B63" s="92"/>
      <c r="C63" s="203"/>
      <c r="D63" s="259" t="s">
        <v>1</v>
      </c>
      <c r="E63" s="706">
        <v>44428</v>
      </c>
      <c r="F63" s="154">
        <v>280990</v>
      </c>
      <c r="G63" s="155">
        <v>204270</v>
      </c>
      <c r="H63" s="155">
        <v>161562</v>
      </c>
      <c r="I63" s="156">
        <v>310485</v>
      </c>
      <c r="J63" s="281"/>
      <c r="K63" s="154">
        <f t="shared" si="111"/>
        <v>42080</v>
      </c>
      <c r="L63" s="155">
        <f t="shared" si="112"/>
        <v>9235</v>
      </c>
      <c r="M63" s="155">
        <f t="shared" si="113"/>
        <v>50159</v>
      </c>
      <c r="N63" s="155">
        <f t="shared" si="114"/>
        <v>21150</v>
      </c>
      <c r="O63" s="155">
        <f t="shared" si="115"/>
        <v>57769</v>
      </c>
      <c r="P63" s="155">
        <f>AZ63+BA63</f>
        <v>27494</v>
      </c>
      <c r="Q63" s="155">
        <f t="shared" si="142"/>
        <v>26994</v>
      </c>
      <c r="R63" s="155">
        <f t="shared" si="116"/>
        <v>16283</v>
      </c>
      <c r="S63" s="155">
        <f t="shared" si="117"/>
        <v>9237</v>
      </c>
      <c r="T63" s="155">
        <f t="shared" si="118"/>
        <v>13379</v>
      </c>
      <c r="U63" s="552">
        <f t="shared" si="118"/>
        <v>7210</v>
      </c>
      <c r="V63" s="155">
        <f t="shared" si="119"/>
        <v>21119</v>
      </c>
      <c r="W63" s="155">
        <f t="shared" si="120"/>
        <v>15222</v>
      </c>
      <c r="X63" s="155">
        <f t="shared" si="121"/>
        <v>43035</v>
      </c>
      <c r="Y63" s="155">
        <f t="shared" si="122"/>
        <v>39912</v>
      </c>
      <c r="Z63" s="155">
        <f t="shared" si="123"/>
        <v>29126</v>
      </c>
      <c r="AA63" s="155">
        <f t="shared" si="124"/>
        <v>27163</v>
      </c>
      <c r="AB63" s="552">
        <f t="shared" si="125"/>
        <v>28694</v>
      </c>
      <c r="AC63" s="155">
        <f t="shared" si="126"/>
        <v>21036</v>
      </c>
      <c r="AD63" s="155">
        <f t="shared" si="127"/>
        <v>9083</v>
      </c>
      <c r="AE63" s="155">
        <f t="shared" si="128"/>
        <v>22521</v>
      </c>
      <c r="AF63" s="155">
        <f t="shared" si="129"/>
        <v>10107</v>
      </c>
      <c r="AG63" s="155">
        <f t="shared" si="130"/>
        <v>19348</v>
      </c>
      <c r="AH63" s="155">
        <f t="shared" si="131"/>
        <v>23278</v>
      </c>
      <c r="AI63" s="155">
        <f t="shared" si="132"/>
        <v>17848</v>
      </c>
      <c r="AJ63" s="155">
        <f t="shared" si="133"/>
        <v>17065</v>
      </c>
      <c r="AK63" s="552">
        <f t="shared" si="134"/>
        <v>21277</v>
      </c>
      <c r="AL63" s="155">
        <f t="shared" si="135"/>
        <v>30644</v>
      </c>
      <c r="AM63" s="155">
        <f t="shared" si="136"/>
        <v>30633</v>
      </c>
      <c r="AN63" s="155">
        <f t="shared" si="137"/>
        <v>23581</v>
      </c>
      <c r="AO63" s="155">
        <f t="shared" si="138"/>
        <v>65506</v>
      </c>
      <c r="AP63" s="155">
        <f t="shared" si="138"/>
        <v>12293</v>
      </c>
      <c r="AQ63" s="155">
        <f t="shared" si="139"/>
        <v>43916</v>
      </c>
      <c r="AR63" s="155">
        <f t="shared" si="140"/>
        <v>8775</v>
      </c>
      <c r="AS63" s="156">
        <f t="shared" si="141"/>
        <v>95138</v>
      </c>
      <c r="AT63" s="155">
        <v>1242</v>
      </c>
      <c r="AU63" s="155">
        <v>26994</v>
      </c>
      <c r="AV63" s="155">
        <v>9237</v>
      </c>
      <c r="AW63" s="155">
        <v>21150</v>
      </c>
      <c r="AX63" s="155">
        <v>15041</v>
      </c>
      <c r="AY63" s="155">
        <v>9235</v>
      </c>
      <c r="AZ63" s="155">
        <v>2865</v>
      </c>
      <c r="BA63" s="155">
        <v>24629</v>
      </c>
      <c r="BB63" s="155">
        <v>13379</v>
      </c>
      <c r="BC63" s="155">
        <v>7210</v>
      </c>
      <c r="BD63" s="155">
        <v>50159</v>
      </c>
      <c r="BE63" s="155">
        <v>57769</v>
      </c>
      <c r="BF63" s="552">
        <v>42080</v>
      </c>
      <c r="BG63" s="155">
        <v>3657</v>
      </c>
      <c r="BH63" s="155">
        <v>6736</v>
      </c>
      <c r="BI63" s="155">
        <v>36299</v>
      </c>
      <c r="BJ63" s="155">
        <v>17462</v>
      </c>
      <c r="BK63" s="155">
        <v>3735</v>
      </c>
      <c r="BL63" s="155">
        <v>1624</v>
      </c>
      <c r="BM63" s="155">
        <v>29126</v>
      </c>
      <c r="BN63" s="155">
        <v>34553</v>
      </c>
      <c r="BO63" s="155">
        <v>3966</v>
      </c>
      <c r="BP63" s="155">
        <v>28694</v>
      </c>
      <c r="BQ63" s="155">
        <v>23197</v>
      </c>
      <c r="BR63" s="552">
        <v>15222</v>
      </c>
      <c r="BS63" s="155">
        <v>1941</v>
      </c>
      <c r="BT63" s="155">
        <v>20580</v>
      </c>
      <c r="BU63" s="155">
        <v>9083</v>
      </c>
      <c r="BV63" s="155">
        <v>19348</v>
      </c>
      <c r="BW63" s="155">
        <v>17848</v>
      </c>
      <c r="BX63" s="155">
        <v>21036</v>
      </c>
      <c r="BY63" s="155">
        <v>17065</v>
      </c>
      <c r="BZ63" s="155">
        <v>23278</v>
      </c>
      <c r="CA63" s="155">
        <v>10107</v>
      </c>
      <c r="CB63" s="552">
        <v>21277</v>
      </c>
      <c r="CC63" s="155">
        <v>65506</v>
      </c>
      <c r="CD63" s="155">
        <v>12293</v>
      </c>
      <c r="CE63" s="155">
        <v>30644</v>
      </c>
      <c r="CF63" s="155">
        <v>834</v>
      </c>
      <c r="CG63" s="155">
        <v>94304</v>
      </c>
      <c r="CH63" s="155">
        <v>30633</v>
      </c>
      <c r="CI63" s="155">
        <v>8775</v>
      </c>
      <c r="CJ63" s="155">
        <v>23581</v>
      </c>
      <c r="CK63" s="156">
        <v>43916</v>
      </c>
      <c r="CL63" s="320">
        <v>957307</v>
      </c>
    </row>
    <row r="64" spans="1:90">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c r="A65" s="80">
        <f>ROWS($A$3:A63)</f>
        <v>61</v>
      </c>
      <c r="B65" s="53" t="str">
        <f>'Stand der Daten'!B66</f>
        <v>Gebietskulisse</v>
      </c>
      <c r="C65" s="202">
        <v>2019</v>
      </c>
      <c r="D65" s="259" t="s">
        <v>59</v>
      </c>
      <c r="E65" s="706">
        <v>44427</v>
      </c>
      <c r="F65" s="530">
        <f>SUM(AT65:BF65)</f>
        <v>192827</v>
      </c>
      <c r="G65" s="531">
        <f>SUM(BG65:BR65)</f>
        <v>101270</v>
      </c>
      <c r="H65" s="531">
        <f>SUM(BS65:CB65)</f>
        <v>234357</v>
      </c>
      <c r="I65" s="532">
        <f>SUM(CC65:CK65)</f>
        <v>265433</v>
      </c>
      <c r="J65" s="281"/>
      <c r="K65" s="541">
        <f>BF65</f>
        <v>34070</v>
      </c>
      <c r="L65" s="542">
        <f>AY65</f>
        <v>17769</v>
      </c>
      <c r="M65" s="542">
        <f>BD65</f>
        <v>38212</v>
      </c>
      <c r="N65" s="542">
        <f>AW65</f>
        <v>24689</v>
      </c>
      <c r="O65" s="542">
        <f>BE65</f>
        <v>12206</v>
      </c>
      <c r="P65" s="542">
        <f>'2020'!AZ65+'2020'!BA65</f>
        <v>3840</v>
      </c>
      <c r="Q65" s="542">
        <f>'2020'!AU65</f>
        <v>12496</v>
      </c>
      <c r="R65" s="542">
        <f>AT65+AX65</f>
        <v>6896</v>
      </c>
      <c r="S65" s="542">
        <f>AV65</f>
        <v>16400</v>
      </c>
      <c r="T65" s="542">
        <f t="shared" ref="T65:U66" si="143">BB65</f>
        <v>9524</v>
      </c>
      <c r="U65" s="554">
        <f t="shared" si="143"/>
        <v>16725</v>
      </c>
      <c r="V65" s="542">
        <f>BG65+BJ65</f>
        <v>5956</v>
      </c>
      <c r="W65" s="542">
        <f>BR65</f>
        <v>20777</v>
      </c>
      <c r="X65" s="542">
        <f>BH65+BI65</f>
        <v>5768</v>
      </c>
      <c r="Y65" s="542">
        <f>BK65+BL65+BN65</f>
        <v>11527</v>
      </c>
      <c r="Z65" s="542">
        <f>BM65</f>
        <v>24225</v>
      </c>
      <c r="AA65" s="542">
        <f>BO65+BQ65</f>
        <v>13196</v>
      </c>
      <c r="AB65" s="554">
        <f>BP65</f>
        <v>19821</v>
      </c>
      <c r="AC65" s="542">
        <f>BX65</f>
        <v>41771</v>
      </c>
      <c r="AD65" s="542">
        <f>BU65</f>
        <v>11620</v>
      </c>
      <c r="AE65" s="542">
        <f>BS65+BT65</f>
        <v>29964</v>
      </c>
      <c r="AF65" s="542">
        <f>CA65</f>
        <v>16899</v>
      </c>
      <c r="AG65" s="542">
        <f>BV65</f>
        <v>22356</v>
      </c>
      <c r="AH65" s="542">
        <f>BZ65</f>
        <v>15982</v>
      </c>
      <c r="AI65" s="542">
        <f>BW65</f>
        <v>31624</v>
      </c>
      <c r="AJ65" s="542">
        <f>BY65</f>
        <v>27338</v>
      </c>
      <c r="AK65" s="554">
        <f>CB65</f>
        <v>36803</v>
      </c>
      <c r="AL65" s="542">
        <f>CE65</f>
        <v>33847</v>
      </c>
      <c r="AM65" s="542">
        <f>CH65</f>
        <v>22959</v>
      </c>
      <c r="AN65" s="542">
        <f>CJ65</f>
        <v>63471</v>
      </c>
      <c r="AO65" s="542">
        <f t="shared" ref="AO65:AP66" si="144">CC65</f>
        <v>48198</v>
      </c>
      <c r="AP65" s="542">
        <f t="shared" si="144"/>
        <v>7545</v>
      </c>
      <c r="AQ65" s="542">
        <f>CK65</f>
        <v>45777</v>
      </c>
      <c r="AR65" s="542">
        <f>CI65</f>
        <v>7894</v>
      </c>
      <c r="AS65" s="543">
        <f>CF65+CG65</f>
        <v>35742</v>
      </c>
      <c r="AT65" s="155">
        <v>354</v>
      </c>
      <c r="AU65" s="155">
        <v>12496</v>
      </c>
      <c r="AV65" s="155">
        <v>16400</v>
      </c>
      <c r="AW65" s="155">
        <v>24689</v>
      </c>
      <c r="AX65" s="155">
        <v>6542</v>
      </c>
      <c r="AY65" s="155">
        <v>17769</v>
      </c>
      <c r="AZ65" s="155"/>
      <c r="BA65" s="155">
        <v>3840</v>
      </c>
      <c r="BB65" s="155">
        <v>9524</v>
      </c>
      <c r="BC65" s="155">
        <v>16725</v>
      </c>
      <c r="BD65" s="155">
        <v>38212</v>
      </c>
      <c r="BE65" s="155">
        <v>12206</v>
      </c>
      <c r="BF65" s="552">
        <v>34070</v>
      </c>
      <c r="BG65" s="155">
        <v>1312</v>
      </c>
      <c r="BH65" s="155"/>
      <c r="BI65" s="155">
        <v>5768</v>
      </c>
      <c r="BJ65" s="155">
        <v>4644</v>
      </c>
      <c r="BK65" s="155"/>
      <c r="BL65" s="155"/>
      <c r="BM65" s="155">
        <v>24225</v>
      </c>
      <c r="BN65" s="155">
        <v>11527</v>
      </c>
      <c r="BO65" s="155">
        <v>1295</v>
      </c>
      <c r="BP65" s="155">
        <v>19821</v>
      </c>
      <c r="BQ65" s="155">
        <v>11901</v>
      </c>
      <c r="BR65" s="552">
        <v>20777</v>
      </c>
      <c r="BS65" s="155">
        <v>226</v>
      </c>
      <c r="BT65" s="155">
        <v>29738</v>
      </c>
      <c r="BU65" s="155">
        <v>11620</v>
      </c>
      <c r="BV65" s="155">
        <v>22356</v>
      </c>
      <c r="BW65" s="155">
        <v>31624</v>
      </c>
      <c r="BX65" s="155">
        <v>41771</v>
      </c>
      <c r="BY65" s="155">
        <v>27338</v>
      </c>
      <c r="BZ65" s="155">
        <v>15982</v>
      </c>
      <c r="CA65" s="155">
        <v>16899</v>
      </c>
      <c r="CB65" s="552">
        <v>36803</v>
      </c>
      <c r="CC65" s="155">
        <v>48198</v>
      </c>
      <c r="CD65" s="155">
        <v>7545</v>
      </c>
      <c r="CE65" s="155">
        <v>33847</v>
      </c>
      <c r="CF65" s="155"/>
      <c r="CG65" s="155">
        <v>35742</v>
      </c>
      <c r="CH65" s="155">
        <v>22959</v>
      </c>
      <c r="CI65" s="155">
        <v>7894</v>
      </c>
      <c r="CJ65" s="155">
        <v>63471</v>
      </c>
      <c r="CK65" s="156">
        <v>45777</v>
      </c>
      <c r="CL65" s="301">
        <v>793887</v>
      </c>
    </row>
    <row r="66" spans="1:90">
      <c r="A66" s="80">
        <f>ROWS($A$3:A64)</f>
        <v>62</v>
      </c>
      <c r="B66" s="92" t="s">
        <v>364</v>
      </c>
      <c r="C66" s="203">
        <v>2019</v>
      </c>
      <c r="D66" s="259" t="s">
        <v>59</v>
      </c>
      <c r="E66" s="706">
        <v>44427</v>
      </c>
      <c r="F66" s="530">
        <f>SUM(AT66:BF66)</f>
        <v>7437</v>
      </c>
      <c r="G66" s="531">
        <f>SUM(BG66:BR66)</f>
        <v>3766</v>
      </c>
      <c r="H66" s="531">
        <f>SUM(BS66:CB66)</f>
        <v>77865</v>
      </c>
      <c r="I66" s="532">
        <f>SUM(CC66:CK66)</f>
        <v>22790</v>
      </c>
      <c r="J66" s="281"/>
      <c r="K66" s="154">
        <f>BF66</f>
        <v>416</v>
      </c>
      <c r="L66" s="155">
        <f>AY66</f>
        <v>0</v>
      </c>
      <c r="M66" s="155">
        <f>BD66</f>
        <v>0</v>
      </c>
      <c r="N66" s="155">
        <f>AW66</f>
        <v>5858</v>
      </c>
      <c r="O66" s="155">
        <f>BE66</f>
        <v>0</v>
      </c>
      <c r="P66" s="155">
        <f>'2020'!AZ66+'2020'!BA66</f>
        <v>0</v>
      </c>
      <c r="Q66" s="155">
        <f>'2020'!AU66</f>
        <v>0</v>
      </c>
      <c r="R66" s="155">
        <f>AT66+AX66</f>
        <v>0</v>
      </c>
      <c r="S66" s="155">
        <f>AV66</f>
        <v>1163</v>
      </c>
      <c r="T66" s="155">
        <f t="shared" si="143"/>
        <v>0</v>
      </c>
      <c r="U66" s="552">
        <f t="shared" si="143"/>
        <v>0</v>
      </c>
      <c r="V66" s="155">
        <f>BG66+BJ66</f>
        <v>669</v>
      </c>
      <c r="W66" s="155">
        <f>BR66</f>
        <v>2289</v>
      </c>
      <c r="X66" s="155">
        <f>BH66+BI66</f>
        <v>0</v>
      </c>
      <c r="Y66" s="155">
        <f>BK66+BL66+BN66</f>
        <v>0</v>
      </c>
      <c r="Z66" s="155">
        <f>BM66</f>
        <v>0</v>
      </c>
      <c r="AA66" s="155">
        <f>BO66+BQ66</f>
        <v>0</v>
      </c>
      <c r="AB66" s="552">
        <f>BP66</f>
        <v>808</v>
      </c>
      <c r="AC66" s="155">
        <f>BX66</f>
        <v>14517</v>
      </c>
      <c r="AD66" s="155">
        <f>BU66</f>
        <v>2623</v>
      </c>
      <c r="AE66" s="155">
        <f>BS66+BT66</f>
        <v>20377</v>
      </c>
      <c r="AF66" s="155">
        <f>CA66</f>
        <v>9391</v>
      </c>
      <c r="AG66" s="155">
        <f>BV66</f>
        <v>2964</v>
      </c>
      <c r="AH66" s="155">
        <f>BZ66</f>
        <v>0</v>
      </c>
      <c r="AI66" s="155">
        <f>BW66</f>
        <v>2426</v>
      </c>
      <c r="AJ66" s="155">
        <f>BY66</f>
        <v>10802</v>
      </c>
      <c r="AK66" s="552">
        <f>CB66</f>
        <v>14765</v>
      </c>
      <c r="AL66" s="155">
        <f>CE66</f>
        <v>15108</v>
      </c>
      <c r="AM66" s="155">
        <f>CH66</f>
        <v>0</v>
      </c>
      <c r="AN66" s="155">
        <f>CJ66</f>
        <v>1466</v>
      </c>
      <c r="AO66" s="155">
        <f t="shared" si="144"/>
        <v>1458</v>
      </c>
      <c r="AP66" s="155">
        <f t="shared" si="144"/>
        <v>0</v>
      </c>
      <c r="AQ66" s="155">
        <f>CK66</f>
        <v>2935</v>
      </c>
      <c r="AR66" s="155">
        <f>CI66</f>
        <v>401</v>
      </c>
      <c r="AS66" s="156">
        <f>CF66+CG66</f>
        <v>1422</v>
      </c>
      <c r="AT66" s="155"/>
      <c r="AU66" s="155"/>
      <c r="AV66" s="155">
        <v>1163</v>
      </c>
      <c r="AW66" s="155">
        <v>5858</v>
      </c>
      <c r="AX66" s="155"/>
      <c r="AY66" s="155"/>
      <c r="AZ66" s="155"/>
      <c r="BA66" s="155"/>
      <c r="BB66" s="155"/>
      <c r="BC66" s="155"/>
      <c r="BD66" s="155"/>
      <c r="BE66" s="155"/>
      <c r="BF66" s="552">
        <v>416</v>
      </c>
      <c r="BG66" s="155"/>
      <c r="BH66" s="155"/>
      <c r="BI66" s="155"/>
      <c r="BJ66" s="155">
        <v>669</v>
      </c>
      <c r="BK66" s="155"/>
      <c r="BL66" s="155"/>
      <c r="BM66" s="155"/>
      <c r="BN66" s="155"/>
      <c r="BO66" s="155"/>
      <c r="BP66" s="155">
        <v>808</v>
      </c>
      <c r="BQ66" s="155"/>
      <c r="BR66" s="552">
        <v>2289</v>
      </c>
      <c r="BS66" s="155"/>
      <c r="BT66" s="155">
        <v>20377</v>
      </c>
      <c r="BU66" s="155">
        <v>2623</v>
      </c>
      <c r="BV66" s="155">
        <v>2964</v>
      </c>
      <c r="BW66" s="155">
        <v>2426</v>
      </c>
      <c r="BX66" s="155">
        <v>14517</v>
      </c>
      <c r="BY66" s="155">
        <v>10802</v>
      </c>
      <c r="BZ66" s="155"/>
      <c r="CA66" s="155">
        <v>9391</v>
      </c>
      <c r="CB66" s="552">
        <v>14765</v>
      </c>
      <c r="CC66" s="155">
        <v>1458</v>
      </c>
      <c r="CD66" s="155"/>
      <c r="CE66" s="155">
        <v>15108</v>
      </c>
      <c r="CF66" s="155"/>
      <c r="CG66" s="155">
        <v>1422</v>
      </c>
      <c r="CH66" s="155"/>
      <c r="CI66" s="155">
        <v>401</v>
      </c>
      <c r="CJ66" s="155">
        <v>1466</v>
      </c>
      <c r="CK66" s="156">
        <v>2935</v>
      </c>
      <c r="CL66" s="320">
        <v>111858</v>
      </c>
    </row>
    <row r="67" spans="1:90">
      <c r="A67" s="80">
        <f>ROWS($A$3:A65)</f>
        <v>63</v>
      </c>
      <c r="B67" s="92" t="s">
        <v>363</v>
      </c>
      <c r="C67" s="202">
        <v>2019</v>
      </c>
      <c r="D67" s="259" t="s">
        <v>3</v>
      </c>
      <c r="E67" s="706">
        <v>44427</v>
      </c>
      <c r="F67" s="154">
        <f>IF(F65/F35%&gt;100,100,F65/F35%)</f>
        <v>41.63722814351604</v>
      </c>
      <c r="G67" s="155">
        <f>IF(G65/G35%&gt;100,100,G65/G35%)</f>
        <v>49.94895115587407</v>
      </c>
      <c r="H67" s="155">
        <f>IF(H65/H35%&gt;100,100,H65/H35%)</f>
        <v>74.118807935709754</v>
      </c>
      <c r="I67" s="156">
        <f>IF(I65/I35%&gt;100,100,I65/I35%)</f>
        <v>62.306168341885474</v>
      </c>
      <c r="J67" s="281"/>
      <c r="K67" s="154">
        <f t="shared" ref="K67:AP67" si="145">IF(K65/K35%&gt;100,100,K65/K35%)</f>
        <v>53.733932655153382</v>
      </c>
      <c r="L67" s="155">
        <f t="shared" si="145"/>
        <v>70.136175251628188</v>
      </c>
      <c r="M67" s="155">
        <f t="shared" si="145"/>
        <v>56.593601895734594</v>
      </c>
      <c r="N67" s="155">
        <f t="shared" si="145"/>
        <v>88.313778795249675</v>
      </c>
      <c r="O67" s="155">
        <f t="shared" si="145"/>
        <v>46.659021406727824</v>
      </c>
      <c r="P67" s="155">
        <f t="shared" si="145"/>
        <v>6.6444033014378912</v>
      </c>
      <c r="Q67" s="155">
        <f t="shared" si="145"/>
        <v>55.579771382822571</v>
      </c>
      <c r="R67" s="155">
        <f t="shared" si="145"/>
        <v>19.808123168840122</v>
      </c>
      <c r="S67" s="155">
        <f t="shared" si="145"/>
        <v>81.539302938398052</v>
      </c>
      <c r="T67" s="155">
        <f t="shared" si="145"/>
        <v>22.766171057034949</v>
      </c>
      <c r="U67" s="552">
        <f t="shared" si="145"/>
        <v>22.094375016512984</v>
      </c>
      <c r="V67" s="155">
        <f t="shared" si="145"/>
        <v>37.097477421364061</v>
      </c>
      <c r="W67" s="155">
        <f t="shared" si="145"/>
        <v>100</v>
      </c>
      <c r="X67" s="155">
        <f t="shared" si="145"/>
        <v>14.190120055107261</v>
      </c>
      <c r="Y67" s="155">
        <f t="shared" si="145"/>
        <v>26.550119771512804</v>
      </c>
      <c r="Z67" s="155">
        <f t="shared" si="145"/>
        <v>53.211351755041079</v>
      </c>
      <c r="AA67" s="155">
        <f t="shared" si="145"/>
        <v>64.189123455589055</v>
      </c>
      <c r="AB67" s="552">
        <f t="shared" si="145"/>
        <v>100</v>
      </c>
      <c r="AC67" s="155">
        <f t="shared" si="145"/>
        <v>100</v>
      </c>
      <c r="AD67" s="155">
        <f t="shared" si="145"/>
        <v>52.271704903283847</v>
      </c>
      <c r="AE67" s="155">
        <f t="shared" si="145"/>
        <v>57.457334611697028</v>
      </c>
      <c r="AF67" s="155">
        <f t="shared" si="145"/>
        <v>74.28131868131868</v>
      </c>
      <c r="AG67" s="155">
        <f t="shared" si="145"/>
        <v>39.982830775834316</v>
      </c>
      <c r="AH67" s="155">
        <f t="shared" si="145"/>
        <v>48.425900675696155</v>
      </c>
      <c r="AI67" s="155">
        <f t="shared" si="145"/>
        <v>100</v>
      </c>
      <c r="AJ67" s="155">
        <f t="shared" si="145"/>
        <v>100</v>
      </c>
      <c r="AK67" s="552">
        <f t="shared" si="145"/>
        <v>96.694779433015412</v>
      </c>
      <c r="AL67" s="155">
        <f t="shared" si="145"/>
        <v>98.223976319684269</v>
      </c>
      <c r="AM67" s="155">
        <f t="shared" si="145"/>
        <v>30.528555282228577</v>
      </c>
      <c r="AN67" s="155">
        <f t="shared" si="145"/>
        <v>73.841267625296666</v>
      </c>
      <c r="AO67" s="155">
        <f t="shared" si="145"/>
        <v>100</v>
      </c>
      <c r="AP67" s="155">
        <f t="shared" si="145"/>
        <v>37.666616744046728</v>
      </c>
      <c r="AQ67" s="155">
        <f t="shared" ref="AQ67:BV67" si="146">IF(AQ65/AQ35%&gt;100,100,AQ65/AQ35%)</f>
        <v>83.811494168695873</v>
      </c>
      <c r="AR67" s="155">
        <f t="shared" si="146"/>
        <v>23.877797943133693</v>
      </c>
      <c r="AS67" s="156">
        <f t="shared" si="146"/>
        <v>45.552680881434561</v>
      </c>
      <c r="AT67" s="155">
        <f t="shared" si="146"/>
        <v>14.303030303030303</v>
      </c>
      <c r="AU67" s="155">
        <f t="shared" si="146"/>
        <v>55.579771382822571</v>
      </c>
      <c r="AV67" s="155">
        <f t="shared" si="146"/>
        <v>81.539302938398052</v>
      </c>
      <c r="AW67" s="155">
        <f t="shared" si="146"/>
        <v>88.313778795249675</v>
      </c>
      <c r="AX67" s="155">
        <f t="shared" si="146"/>
        <v>20.229444324190606</v>
      </c>
      <c r="AY67" s="155">
        <f t="shared" si="146"/>
        <v>70.136175251628188</v>
      </c>
      <c r="AZ67" s="155">
        <f t="shared" si="146"/>
        <v>0</v>
      </c>
      <c r="BA67" s="155">
        <f t="shared" si="146"/>
        <v>7.143122884035864</v>
      </c>
      <c r="BB67" s="155">
        <f t="shared" si="146"/>
        <v>22.766171057034949</v>
      </c>
      <c r="BC67" s="155">
        <f t="shared" si="146"/>
        <v>22.094375016512984</v>
      </c>
      <c r="BD67" s="155">
        <f t="shared" si="146"/>
        <v>56.593601895734594</v>
      </c>
      <c r="BE67" s="155">
        <f t="shared" si="146"/>
        <v>46.659021406727824</v>
      </c>
      <c r="BF67" s="552">
        <f t="shared" si="146"/>
        <v>53.733932655153382</v>
      </c>
      <c r="BG67" s="155">
        <f t="shared" si="146"/>
        <v>90.607734806629836</v>
      </c>
      <c r="BH67" s="155">
        <f t="shared" si="146"/>
        <v>0</v>
      </c>
      <c r="BI67" s="155">
        <f t="shared" si="146"/>
        <v>15.152231591667324</v>
      </c>
      <c r="BJ67" s="155">
        <f t="shared" si="146"/>
        <v>31.79297597042514</v>
      </c>
      <c r="BK67" s="155">
        <f t="shared" si="146"/>
        <v>0</v>
      </c>
      <c r="BL67" s="155">
        <f t="shared" si="146"/>
        <v>0</v>
      </c>
      <c r="BM67" s="155">
        <f t="shared" si="146"/>
        <v>53.211351755041079</v>
      </c>
      <c r="BN67" s="155">
        <f t="shared" si="146"/>
        <v>29.800930713547054</v>
      </c>
      <c r="BO67" s="155">
        <f t="shared" si="146"/>
        <v>100</v>
      </c>
      <c r="BP67" s="155">
        <f t="shared" si="146"/>
        <v>100</v>
      </c>
      <c r="BQ67" s="155">
        <f t="shared" si="146"/>
        <v>60.831118380699245</v>
      </c>
      <c r="BR67" s="552">
        <f t="shared" si="146"/>
        <v>100</v>
      </c>
      <c r="BS67" s="155">
        <f t="shared" si="146"/>
        <v>6.5355696934644305</v>
      </c>
      <c r="BT67" s="155">
        <f t="shared" si="146"/>
        <v>61.073687669432346</v>
      </c>
      <c r="BU67" s="155">
        <f t="shared" si="146"/>
        <v>52.271704903283847</v>
      </c>
      <c r="BV67" s="155">
        <f t="shared" si="146"/>
        <v>39.982830775834316</v>
      </c>
      <c r="BW67" s="155">
        <f t="shared" ref="BW67:CL67" si="147">IF(BW65/BW35%&gt;100,100,BW65/BW35%)</f>
        <v>100</v>
      </c>
      <c r="BX67" s="155">
        <f t="shared" si="147"/>
        <v>100</v>
      </c>
      <c r="BY67" s="155">
        <f t="shared" si="147"/>
        <v>100</v>
      </c>
      <c r="BZ67" s="155">
        <f t="shared" si="147"/>
        <v>48.425900675696155</v>
      </c>
      <c r="CA67" s="155">
        <f t="shared" si="147"/>
        <v>74.28131868131868</v>
      </c>
      <c r="CB67" s="552">
        <f t="shared" si="147"/>
        <v>96.694779433015412</v>
      </c>
      <c r="CC67" s="155">
        <f t="shared" si="147"/>
        <v>100</v>
      </c>
      <c r="CD67" s="155">
        <f t="shared" si="147"/>
        <v>37.666616744046728</v>
      </c>
      <c r="CE67" s="155">
        <f t="shared" si="147"/>
        <v>98.223976319684269</v>
      </c>
      <c r="CF67" s="155">
        <f t="shared" si="147"/>
        <v>0</v>
      </c>
      <c r="CG67" s="155">
        <f t="shared" si="147"/>
        <v>48.434832100170745</v>
      </c>
      <c r="CH67" s="155">
        <f t="shared" si="147"/>
        <v>30.528555282228577</v>
      </c>
      <c r="CI67" s="155">
        <f t="shared" si="147"/>
        <v>23.877797943133693</v>
      </c>
      <c r="CJ67" s="155">
        <f t="shared" si="147"/>
        <v>73.841267625296666</v>
      </c>
      <c r="CK67" s="156">
        <f t="shared" si="147"/>
        <v>83.811494168695873</v>
      </c>
      <c r="CL67" s="320">
        <f t="shared" si="147"/>
        <v>56.381497134716277</v>
      </c>
    </row>
    <row r="68" spans="1:90">
      <c r="A68" s="80">
        <f>ROWS($A$3:A66)</f>
        <v>64</v>
      </c>
      <c r="B68" s="59" t="s">
        <v>81</v>
      </c>
      <c r="C68" s="252"/>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c r="A69" s="80">
        <f>ROWS($A$3:A67)</f>
        <v>65</v>
      </c>
      <c r="B69" s="92" t="s">
        <v>265</v>
      </c>
      <c r="C69" s="252">
        <v>2020</v>
      </c>
      <c r="D69" s="259" t="s">
        <v>13</v>
      </c>
      <c r="E69" s="706">
        <v>44497</v>
      </c>
      <c r="F69" s="530">
        <f>SUM(AT69:BF69)</f>
        <v>984</v>
      </c>
      <c r="G69" s="531">
        <f>SUM(BG69:BR69)</f>
        <v>339</v>
      </c>
      <c r="H69" s="531">
        <f>SUM(BS69:CB69)</f>
        <v>1244</v>
      </c>
      <c r="I69" s="532">
        <f>SUM(CC69:CK69)</f>
        <v>1200</v>
      </c>
      <c r="J69" s="382"/>
      <c r="K69" s="154">
        <f>BF69</f>
        <v>144</v>
      </c>
      <c r="L69" s="155">
        <f>AY69</f>
        <v>97</v>
      </c>
      <c r="M69" s="155">
        <f>BD69</f>
        <v>172</v>
      </c>
      <c r="N69" s="155">
        <f>AW69</f>
        <v>60</v>
      </c>
      <c r="O69" s="155">
        <f>BE69</f>
        <v>63</v>
      </c>
      <c r="P69" s="155">
        <f>SUM(AZ69,BA69)</f>
        <v>77</v>
      </c>
      <c r="Q69" s="155">
        <f>'2010'!AU69</f>
        <v>29</v>
      </c>
      <c r="R69" s="155">
        <f>SUM(AT69+AX69)</f>
        <v>47</v>
      </c>
      <c r="S69" s="155">
        <f>AV69</f>
        <v>46</v>
      </c>
      <c r="T69" s="155">
        <f>BB69</f>
        <v>71</v>
      </c>
      <c r="U69" s="552">
        <f>BC69</f>
        <v>166</v>
      </c>
      <c r="V69" s="155">
        <f>SUM(BG69,BJ69)</f>
        <v>21</v>
      </c>
      <c r="W69" s="155">
        <f>BR69</f>
        <v>49</v>
      </c>
      <c r="X69" s="155">
        <f>SUM(BH69,BI69)</f>
        <v>60</v>
      </c>
      <c r="Y69" s="155">
        <f>SUM(BK69,BL69,BN69)</f>
        <v>49</v>
      </c>
      <c r="Z69" s="155">
        <f>BM69</f>
        <v>58</v>
      </c>
      <c r="AA69" s="155">
        <f>SUM(BO69,BQ69)</f>
        <v>58</v>
      </c>
      <c r="AB69" s="552">
        <f>BP69</f>
        <v>44</v>
      </c>
      <c r="AC69" s="155">
        <f>BX69</f>
        <v>167</v>
      </c>
      <c r="AD69" s="155">
        <f>BU69</f>
        <v>75</v>
      </c>
      <c r="AE69" s="155">
        <f>SUM(BS69+BT69)</f>
        <v>301</v>
      </c>
      <c r="AF69" s="155">
        <f>CA69</f>
        <v>101</v>
      </c>
      <c r="AG69" s="155">
        <f>BV69</f>
        <v>159</v>
      </c>
      <c r="AH69" s="155">
        <f>BZ69</f>
        <v>105</v>
      </c>
      <c r="AI69" s="155">
        <f>BW69</f>
        <v>87</v>
      </c>
      <c r="AJ69" s="155">
        <f>BY69</f>
        <v>57</v>
      </c>
      <c r="AK69" s="552">
        <f>CB69</f>
        <v>192</v>
      </c>
      <c r="AL69" s="155">
        <f>CE69</f>
        <v>106</v>
      </c>
      <c r="AM69" s="155">
        <f>CH69</f>
        <v>107</v>
      </c>
      <c r="AN69" s="155">
        <f>CJ69</f>
        <v>387</v>
      </c>
      <c r="AO69" s="155">
        <f>CC69</f>
        <v>148</v>
      </c>
      <c r="AP69" s="155">
        <f>CD69</f>
        <v>68</v>
      </c>
      <c r="AQ69" s="155">
        <f>CK69</f>
        <v>115</v>
      </c>
      <c r="AR69" s="155">
        <f>CI69</f>
        <v>139</v>
      </c>
      <c r="AS69" s="156">
        <f>SUM(CF69:CG69)</f>
        <v>130</v>
      </c>
      <c r="AT69" s="155">
        <v>7</v>
      </c>
      <c r="AU69" s="155">
        <v>41</v>
      </c>
      <c r="AV69" s="155">
        <v>46</v>
      </c>
      <c r="AW69" s="155">
        <v>60</v>
      </c>
      <c r="AX69" s="155">
        <v>40</v>
      </c>
      <c r="AY69" s="155">
        <v>97</v>
      </c>
      <c r="AZ69" s="155">
        <v>5</v>
      </c>
      <c r="BA69" s="155">
        <v>72</v>
      </c>
      <c r="BB69" s="155">
        <v>71</v>
      </c>
      <c r="BC69" s="155">
        <v>166</v>
      </c>
      <c r="BD69" s="155">
        <v>172</v>
      </c>
      <c r="BE69" s="155">
        <v>63</v>
      </c>
      <c r="BF69" s="552">
        <v>144</v>
      </c>
      <c r="BG69" s="155">
        <v>6</v>
      </c>
      <c r="BH69" s="155">
        <v>7</v>
      </c>
      <c r="BI69" s="155">
        <v>53</v>
      </c>
      <c r="BJ69" s="155">
        <v>15</v>
      </c>
      <c r="BK69" s="155">
        <v>4</v>
      </c>
      <c r="BL69" s="155"/>
      <c r="BM69" s="155">
        <v>58</v>
      </c>
      <c r="BN69" s="155">
        <v>45</v>
      </c>
      <c r="BO69" s="155">
        <v>1</v>
      </c>
      <c r="BP69" s="155">
        <v>44</v>
      </c>
      <c r="BQ69" s="155">
        <v>57</v>
      </c>
      <c r="BR69" s="552">
        <v>49</v>
      </c>
      <c r="BS69" s="155">
        <v>13</v>
      </c>
      <c r="BT69" s="155">
        <v>288</v>
      </c>
      <c r="BU69" s="155">
        <v>75</v>
      </c>
      <c r="BV69" s="155">
        <v>159</v>
      </c>
      <c r="BW69" s="155">
        <v>87</v>
      </c>
      <c r="BX69" s="155">
        <v>167</v>
      </c>
      <c r="BY69" s="155">
        <v>57</v>
      </c>
      <c r="BZ69" s="155">
        <v>105</v>
      </c>
      <c r="CA69" s="155">
        <v>101</v>
      </c>
      <c r="CB69" s="552">
        <v>192</v>
      </c>
      <c r="CC69" s="155">
        <v>148</v>
      </c>
      <c r="CD69" s="155">
        <v>68</v>
      </c>
      <c r="CE69" s="155">
        <v>106</v>
      </c>
      <c r="CF69" s="155">
        <v>2</v>
      </c>
      <c r="CG69" s="155">
        <v>128</v>
      </c>
      <c r="CH69" s="155">
        <v>107</v>
      </c>
      <c r="CI69" s="155">
        <v>139</v>
      </c>
      <c r="CJ69" s="155">
        <v>387</v>
      </c>
      <c r="CK69" s="156">
        <v>115</v>
      </c>
      <c r="CL69" s="320">
        <v>3767</v>
      </c>
    </row>
    <row r="70" spans="1:90">
      <c r="A70" s="80">
        <f>ROWS($A$3:A68)</f>
        <v>66</v>
      </c>
      <c r="B70" s="92" t="s">
        <v>70</v>
      </c>
      <c r="C70" s="203"/>
      <c r="D70" s="259" t="s">
        <v>1</v>
      </c>
      <c r="E70" s="706">
        <v>44497</v>
      </c>
      <c r="F70" s="530">
        <f>SUM(AT70:BF70)</f>
        <v>46693.890800000001</v>
      </c>
      <c r="G70" s="531">
        <f>SUM(BG70:BR70)</f>
        <v>19277.153399999999</v>
      </c>
      <c r="H70" s="531">
        <f>SUM(BS70:CB70)</f>
        <v>48691.466899999992</v>
      </c>
      <c r="I70" s="532">
        <f>SUM(CC70:CK70)</f>
        <v>58273.080000000009</v>
      </c>
      <c r="J70" s="281"/>
      <c r="K70" s="154">
        <f>BF70</f>
        <v>6421.2904000000026</v>
      </c>
      <c r="L70" s="155">
        <f>AY70</f>
        <v>3392.1747000000009</v>
      </c>
      <c r="M70" s="155">
        <f>BD70</f>
        <v>10185.789899999994</v>
      </c>
      <c r="N70" s="155">
        <f>AW70</f>
        <v>2994.678800000001</v>
      </c>
      <c r="O70" s="155">
        <f>BE70</f>
        <v>3482.8952999999992</v>
      </c>
      <c r="P70" s="155">
        <f>SUM(AZ70,BA70)</f>
        <v>3452.2359999999994</v>
      </c>
      <c r="Q70" s="155">
        <f>'2010'!AU70</f>
        <v>1115</v>
      </c>
      <c r="R70" s="155">
        <f>SUM(AT70+AX70)</f>
        <v>2090.3839000000003</v>
      </c>
      <c r="S70" s="155">
        <f>AV70</f>
        <v>1868.9952000000001</v>
      </c>
      <c r="T70" s="155">
        <f>BB70</f>
        <v>3891.824599999999</v>
      </c>
      <c r="U70" s="552">
        <f>BC70</f>
        <v>6995.6447000000007</v>
      </c>
      <c r="V70" s="155">
        <f>SUM(BG70,BJ70)</f>
        <v>1050.2181</v>
      </c>
      <c r="W70" s="155">
        <f>BR70</f>
        <v>2342.3515999999995</v>
      </c>
      <c r="X70" s="155">
        <f>SUM(BH70,BI70)</f>
        <v>3802.4661000000006</v>
      </c>
      <c r="Y70" s="155">
        <f>SUM(BK70,BL70,BN70)</f>
        <v>2588.3956000000003</v>
      </c>
      <c r="Z70" s="155">
        <f>BM70</f>
        <v>3580.5371</v>
      </c>
      <c r="AA70" s="155">
        <f>SUM(BO70,BQ70)</f>
        <v>3983.3707000000009</v>
      </c>
      <c r="AB70" s="552">
        <f>BP70</f>
        <v>1929.8141999999998</v>
      </c>
      <c r="AC70" s="155">
        <f>BX70</f>
        <v>6723.938000000001</v>
      </c>
      <c r="AD70" s="155">
        <f>BU70</f>
        <v>2157.2524999999996</v>
      </c>
      <c r="AE70" s="155">
        <f>SUM(BS70+BT70)</f>
        <v>9518.7097999999914</v>
      </c>
      <c r="AF70" s="155">
        <f>CA70</f>
        <v>3457.4740999999999</v>
      </c>
      <c r="AG70" s="155">
        <f>BV70</f>
        <v>5360.7672999999995</v>
      </c>
      <c r="AH70" s="155">
        <f>BZ70</f>
        <v>5376.085399999999</v>
      </c>
      <c r="AI70" s="155">
        <f>BW70</f>
        <v>4009.8952000000004</v>
      </c>
      <c r="AJ70" s="155">
        <f>BY70</f>
        <v>3513.8108000000016</v>
      </c>
      <c r="AK70" s="552">
        <f>CB70</f>
        <v>8573.5337999999956</v>
      </c>
      <c r="AL70" s="155">
        <f>CE70</f>
        <v>6906.668300000003</v>
      </c>
      <c r="AM70" s="155">
        <f>CH70</f>
        <v>6077.1094000000003</v>
      </c>
      <c r="AN70" s="155">
        <f>CJ70</f>
        <v>16220.071300000005</v>
      </c>
      <c r="AO70" s="155">
        <f>CC70</f>
        <v>6743.3626999999969</v>
      </c>
      <c r="AP70" s="155">
        <f>CD70</f>
        <v>4680.8015000000005</v>
      </c>
      <c r="AQ70" s="155">
        <f>CK70</f>
        <v>6190.9645000000037</v>
      </c>
      <c r="AR70" s="155">
        <f>CI70</f>
        <v>5204.8300999999992</v>
      </c>
      <c r="AS70" s="156">
        <f>SUM(CF70:CG70)</f>
        <v>6249.2722000000022</v>
      </c>
      <c r="AT70" s="155">
        <v>200.1353</v>
      </c>
      <c r="AU70" s="155">
        <v>1917.9772999999996</v>
      </c>
      <c r="AV70" s="155">
        <v>1868.9952000000001</v>
      </c>
      <c r="AW70" s="155">
        <v>2994.678800000001</v>
      </c>
      <c r="AX70" s="155">
        <v>1890.2486000000004</v>
      </c>
      <c r="AY70" s="155">
        <v>3392.1747000000009</v>
      </c>
      <c r="AZ70" s="155">
        <v>129.42339999999999</v>
      </c>
      <c r="BA70" s="155">
        <v>3322.8125999999993</v>
      </c>
      <c r="BB70" s="155">
        <v>3891.824599999999</v>
      </c>
      <c r="BC70" s="155">
        <v>6995.6447000000007</v>
      </c>
      <c r="BD70" s="155">
        <v>10185.789899999994</v>
      </c>
      <c r="BE70" s="155">
        <v>3482.8952999999992</v>
      </c>
      <c r="BF70" s="552">
        <v>6421.2904000000026</v>
      </c>
      <c r="BG70" s="155">
        <v>267.20499999999998</v>
      </c>
      <c r="BH70" s="155">
        <v>191.03959999999998</v>
      </c>
      <c r="BI70" s="155">
        <v>3611.4265000000005</v>
      </c>
      <c r="BJ70" s="155">
        <v>783.01310000000001</v>
      </c>
      <c r="BK70" s="155">
        <v>95.343099999999993</v>
      </c>
      <c r="BL70" s="155"/>
      <c r="BM70" s="155">
        <v>3580.5371</v>
      </c>
      <c r="BN70" s="155">
        <v>2493.0525000000002</v>
      </c>
      <c r="BO70" s="155">
        <v>90.197599999999994</v>
      </c>
      <c r="BP70" s="155">
        <v>1929.8141999999998</v>
      </c>
      <c r="BQ70" s="155">
        <v>3893.1731000000009</v>
      </c>
      <c r="BR70" s="552">
        <v>2342.3515999999995</v>
      </c>
      <c r="BS70" s="155">
        <v>509.22959999999995</v>
      </c>
      <c r="BT70" s="155">
        <v>9009.4801999999909</v>
      </c>
      <c r="BU70" s="155">
        <v>2157.2524999999996</v>
      </c>
      <c r="BV70" s="155">
        <v>5360.7672999999995</v>
      </c>
      <c r="BW70" s="155">
        <v>4009.8952000000004</v>
      </c>
      <c r="BX70" s="155">
        <v>6723.938000000001</v>
      </c>
      <c r="BY70" s="155">
        <v>3513.8108000000016</v>
      </c>
      <c r="BZ70" s="155">
        <v>5376.085399999999</v>
      </c>
      <c r="CA70" s="155">
        <v>3457.4740999999999</v>
      </c>
      <c r="CB70" s="552">
        <v>8573.5337999999956</v>
      </c>
      <c r="CC70" s="155">
        <v>6743.3626999999969</v>
      </c>
      <c r="CD70" s="155">
        <v>4680.8015000000005</v>
      </c>
      <c r="CE70" s="155">
        <v>6906.668300000003</v>
      </c>
      <c r="CF70" s="155">
        <v>141.25829999999999</v>
      </c>
      <c r="CG70" s="155">
        <v>6108.0139000000017</v>
      </c>
      <c r="CH70" s="155">
        <v>6077.1094000000003</v>
      </c>
      <c r="CI70" s="155">
        <v>5204.8300999999992</v>
      </c>
      <c r="CJ70" s="155">
        <v>16220.071300000005</v>
      </c>
      <c r="CK70" s="156">
        <v>6190.9645000000037</v>
      </c>
      <c r="CL70" s="320">
        <v>172935.59109999979</v>
      </c>
    </row>
    <row r="71" spans="1:90">
      <c r="A71" s="80">
        <f>ROWS($A$3:A69)</f>
        <v>67</v>
      </c>
      <c r="B71" s="54" t="s">
        <v>266</v>
      </c>
      <c r="C71" s="202"/>
      <c r="D71" s="259" t="s">
        <v>1</v>
      </c>
      <c r="E71" s="706">
        <v>44497</v>
      </c>
      <c r="F71" s="539">
        <f>IF(ISERROR(F70/F69)=FALSE,F70/F69," -")</f>
        <v>47.453141056910567</v>
      </c>
      <c r="G71" s="521">
        <f>IF(ISERROR(G70/G69)=FALSE,G70/G69," -")</f>
        <v>56.864759292035394</v>
      </c>
      <c r="H71" s="521">
        <f>IF(ISERROR(H70/H69)=FALSE,H70/H69," -")</f>
        <v>39.141050562700961</v>
      </c>
      <c r="I71" s="540">
        <f>IF(ISERROR(I70/I69)=FALSE,I70/I69," -")</f>
        <v>48.560900000000011</v>
      </c>
      <c r="J71" s="281"/>
      <c r="K71" s="154">
        <f t="shared" ref="K71:BV71" si="148">IF(ISERROR(K70/K69)=FALSE,K70/K69," -")</f>
        <v>44.592294444444462</v>
      </c>
      <c r="L71" s="155">
        <f t="shared" si="148"/>
        <v>34.970873195876301</v>
      </c>
      <c r="M71" s="155">
        <f t="shared" si="148"/>
        <v>59.2197087209302</v>
      </c>
      <c r="N71" s="155">
        <f t="shared" si="148"/>
        <v>49.911313333333354</v>
      </c>
      <c r="O71" s="155">
        <f t="shared" si="148"/>
        <v>55.284052380952367</v>
      </c>
      <c r="P71" s="155">
        <f t="shared" si="148"/>
        <v>44.834233766233758</v>
      </c>
      <c r="Q71" s="155">
        <f t="shared" si="148"/>
        <v>38.448275862068968</v>
      </c>
      <c r="R71" s="155">
        <f t="shared" si="148"/>
        <v>44.47625319148937</v>
      </c>
      <c r="S71" s="155">
        <f t="shared" si="148"/>
        <v>40.630330434782607</v>
      </c>
      <c r="T71" s="155">
        <f t="shared" si="148"/>
        <v>54.814430985915479</v>
      </c>
      <c r="U71" s="552">
        <f t="shared" si="148"/>
        <v>42.142437951807231</v>
      </c>
      <c r="V71" s="155">
        <f t="shared" si="148"/>
        <v>50.010385714285718</v>
      </c>
      <c r="W71" s="155">
        <f t="shared" si="148"/>
        <v>47.803093877551014</v>
      </c>
      <c r="X71" s="155">
        <f t="shared" si="148"/>
        <v>63.374435000000013</v>
      </c>
      <c r="Y71" s="155">
        <f t="shared" si="148"/>
        <v>52.824400000000004</v>
      </c>
      <c r="Z71" s="155">
        <f t="shared" si="148"/>
        <v>61.733398275862072</v>
      </c>
      <c r="AA71" s="155">
        <f t="shared" si="148"/>
        <v>68.678805172413803</v>
      </c>
      <c r="AB71" s="552">
        <f t="shared" si="148"/>
        <v>43.859413636363634</v>
      </c>
      <c r="AC71" s="155">
        <f t="shared" si="148"/>
        <v>40.263101796407192</v>
      </c>
      <c r="AD71" s="155">
        <f t="shared" si="148"/>
        <v>28.763366666666663</v>
      </c>
      <c r="AE71" s="155">
        <f t="shared" si="148"/>
        <v>31.623620598006617</v>
      </c>
      <c r="AF71" s="155">
        <f t="shared" si="148"/>
        <v>34.232416831683167</v>
      </c>
      <c r="AG71" s="155">
        <f t="shared" si="148"/>
        <v>33.715517610062889</v>
      </c>
      <c r="AH71" s="155">
        <f t="shared" si="148"/>
        <v>51.200813333333322</v>
      </c>
      <c r="AI71" s="155">
        <f t="shared" si="148"/>
        <v>46.090749425287363</v>
      </c>
      <c r="AJ71" s="155">
        <f t="shared" si="148"/>
        <v>61.645803508771955</v>
      </c>
      <c r="AK71" s="552">
        <f t="shared" si="148"/>
        <v>44.653821874999977</v>
      </c>
      <c r="AL71" s="155">
        <f t="shared" si="148"/>
        <v>65.157248113207572</v>
      </c>
      <c r="AM71" s="155">
        <f t="shared" si="148"/>
        <v>56.795414953271028</v>
      </c>
      <c r="AN71" s="155">
        <f t="shared" si="148"/>
        <v>41.912328940568486</v>
      </c>
      <c r="AO71" s="155">
        <f t="shared" si="148"/>
        <v>45.563261486486468</v>
      </c>
      <c r="AP71" s="155">
        <f t="shared" si="148"/>
        <v>68.835316176470599</v>
      </c>
      <c r="AQ71" s="155">
        <f t="shared" si="148"/>
        <v>53.83447391304351</v>
      </c>
      <c r="AR71" s="155">
        <f t="shared" si="148"/>
        <v>37.444820863309346</v>
      </c>
      <c r="AS71" s="156">
        <f t="shared" si="148"/>
        <v>48.071324615384633</v>
      </c>
      <c r="AT71" s="155">
        <f t="shared" si="148"/>
        <v>28.590757142857143</v>
      </c>
      <c r="AU71" s="155">
        <f t="shared" si="148"/>
        <v>46.779934146341454</v>
      </c>
      <c r="AV71" s="155">
        <f t="shared" si="148"/>
        <v>40.630330434782607</v>
      </c>
      <c r="AW71" s="155">
        <f t="shared" si="148"/>
        <v>49.911313333333354</v>
      </c>
      <c r="AX71" s="155">
        <f t="shared" si="148"/>
        <v>47.256215000000012</v>
      </c>
      <c r="AY71" s="155">
        <f t="shared" si="148"/>
        <v>34.970873195876301</v>
      </c>
      <c r="AZ71" s="155">
        <f t="shared" si="148"/>
        <v>25.884679999999996</v>
      </c>
      <c r="BA71" s="155">
        <f t="shared" si="148"/>
        <v>46.15017499999999</v>
      </c>
      <c r="BB71" s="155">
        <f t="shared" si="148"/>
        <v>54.814430985915479</v>
      </c>
      <c r="BC71" s="155">
        <f t="shared" si="148"/>
        <v>42.142437951807231</v>
      </c>
      <c r="BD71" s="155">
        <f t="shared" si="148"/>
        <v>59.2197087209302</v>
      </c>
      <c r="BE71" s="155">
        <f t="shared" si="148"/>
        <v>55.284052380952367</v>
      </c>
      <c r="BF71" s="552">
        <f t="shared" si="148"/>
        <v>44.592294444444462</v>
      </c>
      <c r="BG71" s="155">
        <f t="shared" si="148"/>
        <v>44.534166666666664</v>
      </c>
      <c r="BH71" s="155">
        <f t="shared" si="148"/>
        <v>27.291371428571427</v>
      </c>
      <c r="BI71" s="155">
        <f t="shared" si="148"/>
        <v>68.14012264150945</v>
      </c>
      <c r="BJ71" s="155">
        <f t="shared" si="148"/>
        <v>52.200873333333334</v>
      </c>
      <c r="BK71" s="155">
        <f t="shared" si="148"/>
        <v>23.835774999999998</v>
      </c>
      <c r="BL71" s="155" t="str">
        <f t="shared" si="148"/>
        <v xml:space="preserve"> -</v>
      </c>
      <c r="BM71" s="155">
        <f t="shared" si="148"/>
        <v>61.733398275862072</v>
      </c>
      <c r="BN71" s="155">
        <f t="shared" si="148"/>
        <v>55.401166666666668</v>
      </c>
      <c r="BO71" s="155">
        <f t="shared" si="148"/>
        <v>90.197599999999994</v>
      </c>
      <c r="BP71" s="155">
        <f t="shared" si="148"/>
        <v>43.859413636363634</v>
      </c>
      <c r="BQ71" s="155">
        <f t="shared" si="148"/>
        <v>68.30128245614037</v>
      </c>
      <c r="BR71" s="552">
        <f t="shared" si="148"/>
        <v>47.803093877551014</v>
      </c>
      <c r="BS71" s="155">
        <f t="shared" si="148"/>
        <v>39.171507692307685</v>
      </c>
      <c r="BT71" s="155">
        <f t="shared" si="148"/>
        <v>31.282917361111078</v>
      </c>
      <c r="BU71" s="155">
        <f t="shared" si="148"/>
        <v>28.763366666666663</v>
      </c>
      <c r="BV71" s="155">
        <f t="shared" si="148"/>
        <v>33.715517610062889</v>
      </c>
      <c r="BW71" s="155">
        <f t="shared" ref="BW71:CK71" si="149">IF(ISERROR(BW70/BW69)=FALSE,BW70/BW69," -")</f>
        <v>46.090749425287363</v>
      </c>
      <c r="BX71" s="155">
        <f t="shared" si="149"/>
        <v>40.263101796407192</v>
      </c>
      <c r="BY71" s="155">
        <f t="shared" si="149"/>
        <v>61.645803508771955</v>
      </c>
      <c r="BZ71" s="155">
        <f t="shared" si="149"/>
        <v>51.200813333333322</v>
      </c>
      <c r="CA71" s="155">
        <f t="shared" si="149"/>
        <v>34.232416831683167</v>
      </c>
      <c r="CB71" s="552">
        <f t="shared" si="149"/>
        <v>44.653821874999977</v>
      </c>
      <c r="CC71" s="155">
        <f t="shared" si="149"/>
        <v>45.563261486486468</v>
      </c>
      <c r="CD71" s="155">
        <f t="shared" si="149"/>
        <v>68.835316176470599</v>
      </c>
      <c r="CE71" s="155">
        <f t="shared" si="149"/>
        <v>65.157248113207572</v>
      </c>
      <c r="CF71" s="155">
        <f t="shared" si="149"/>
        <v>70.629149999999996</v>
      </c>
      <c r="CG71" s="155">
        <f t="shared" si="149"/>
        <v>47.718858593750014</v>
      </c>
      <c r="CH71" s="155">
        <f t="shared" si="149"/>
        <v>56.795414953271028</v>
      </c>
      <c r="CI71" s="155">
        <f t="shared" si="149"/>
        <v>37.444820863309346</v>
      </c>
      <c r="CJ71" s="155">
        <f t="shared" si="149"/>
        <v>41.912328940568486</v>
      </c>
      <c r="CK71" s="156">
        <f t="shared" si="149"/>
        <v>53.83447391304351</v>
      </c>
      <c r="CL71" s="320">
        <f>IF(OR(CL69&lt;0.1,CL70&lt;0.1),0,CL70/CL69)</f>
        <v>45.908041173347435</v>
      </c>
    </row>
    <row r="72" spans="1:90">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c r="A73" s="80">
        <f>ROWS($A$3:A71)</f>
        <v>69</v>
      </c>
      <c r="B73" s="92" t="s">
        <v>84</v>
      </c>
      <c r="C73" s="203">
        <v>2020</v>
      </c>
      <c r="D73" s="259" t="s">
        <v>13</v>
      </c>
      <c r="E73" s="706">
        <v>44483</v>
      </c>
      <c r="F73" s="154">
        <v>3479</v>
      </c>
      <c r="G73" s="155">
        <v>1699</v>
      </c>
      <c r="H73" s="155">
        <v>2427</v>
      </c>
      <c r="I73" s="156">
        <v>3167</v>
      </c>
      <c r="J73" s="281"/>
      <c r="K73" s="154">
        <f t="shared" ref="K73:K78" si="150">BF73</f>
        <v>397</v>
      </c>
      <c r="L73" s="155">
        <f t="shared" ref="L73:L78" si="151">AY73</f>
        <v>153</v>
      </c>
      <c r="M73" s="155">
        <f t="shared" ref="M73:M78" si="152">BD73</f>
        <v>663</v>
      </c>
      <c r="N73" s="155">
        <f t="shared" ref="N73:N78" si="153">AW73</f>
        <v>144</v>
      </c>
      <c r="O73" s="155">
        <f t="shared" ref="O73:O78" si="154">BE73</f>
        <v>186</v>
      </c>
      <c r="P73" s="155">
        <f t="shared" ref="P73:P78" si="155">SUM(AZ73,BA73)</f>
        <v>477</v>
      </c>
      <c r="Q73" s="155">
        <f>'2010'!AU73</f>
        <v>256</v>
      </c>
      <c r="R73" s="155">
        <f t="shared" ref="R73:R78" si="156">SUM(AT73,AX73)</f>
        <v>321</v>
      </c>
      <c r="S73" s="155">
        <f t="shared" ref="S73:S78" si="157">AV73</f>
        <v>174</v>
      </c>
      <c r="T73" s="155">
        <f t="shared" ref="T73:U78" si="158">BB73</f>
        <v>248</v>
      </c>
      <c r="U73" s="552">
        <f t="shared" si="158"/>
        <v>444</v>
      </c>
      <c r="V73" s="155">
        <f t="shared" ref="V73:V78" si="159">SUM(BG73,BJ73)</f>
        <v>134</v>
      </c>
      <c r="W73" s="155">
        <f t="shared" ref="W73:W78" si="160">BR73</f>
        <v>177</v>
      </c>
      <c r="X73" s="155">
        <f t="shared" ref="X73:X78" si="161">SUM(BH73,BI73)</f>
        <v>344</v>
      </c>
      <c r="Y73" s="155">
        <f t="shared" ref="Y73:Y78" si="162">SUM(BK73,BL73,BN73)</f>
        <v>434</v>
      </c>
      <c r="Z73" s="155">
        <f t="shared" ref="Z73:Z78" si="163">BM73</f>
        <v>369</v>
      </c>
      <c r="AA73" s="155">
        <f t="shared" ref="AA73:AA78" si="164">SUM(BO73,BQ73)</f>
        <v>132</v>
      </c>
      <c r="AB73" s="552">
        <f t="shared" ref="AB73:AB78" si="165">BP73</f>
        <v>109</v>
      </c>
      <c r="AC73" s="155">
        <f t="shared" ref="AC73:AC78" si="166">BX73</f>
        <v>269</v>
      </c>
      <c r="AD73" s="155">
        <f t="shared" ref="AD73:AD78" si="167">BU73</f>
        <v>170</v>
      </c>
      <c r="AE73" s="155">
        <f t="shared" ref="AE73:AE78" si="168">SUM(BS73,BT73)</f>
        <v>374</v>
      </c>
      <c r="AF73" s="155">
        <f t="shared" ref="AF73:AF78" si="169">CA73</f>
        <v>149</v>
      </c>
      <c r="AG73" s="155">
        <f t="shared" ref="AG73:AG78" si="170">BV73</f>
        <v>504</v>
      </c>
      <c r="AH73" s="155">
        <f t="shared" ref="AH73:AH78" si="171">BZ73</f>
        <v>226</v>
      </c>
      <c r="AI73" s="155">
        <f t="shared" ref="AI73:AI78" si="172">BW73</f>
        <v>267</v>
      </c>
      <c r="AJ73" s="155">
        <f t="shared" ref="AJ73:AJ78" si="173">BY73</f>
        <v>170</v>
      </c>
      <c r="AK73" s="552">
        <f t="shared" ref="AK73:AK78" si="174">CB73</f>
        <v>298</v>
      </c>
      <c r="AL73" s="155">
        <f t="shared" ref="AL73:AL78" si="175">CE73</f>
        <v>324</v>
      </c>
      <c r="AM73" s="155">
        <f t="shared" ref="AM73:AM78" si="176">CH73</f>
        <v>499</v>
      </c>
      <c r="AN73" s="155">
        <f t="shared" ref="AN73:AN78" si="177">CJ73</f>
        <v>356</v>
      </c>
      <c r="AO73" s="155">
        <f t="shared" ref="AO73:AP78" si="178">CC73</f>
        <v>403</v>
      </c>
      <c r="AP73" s="155">
        <f t="shared" si="178"/>
        <v>187</v>
      </c>
      <c r="AQ73" s="155">
        <f t="shared" ref="AQ73:AQ78" si="179">CK73</f>
        <v>459</v>
      </c>
      <c r="AR73" s="155">
        <f t="shared" ref="AR73:AR78" si="180">CI73</f>
        <v>230</v>
      </c>
      <c r="AS73" s="156">
        <f t="shared" ref="AS73:AS78" si="181">SUM(CF73,CG73)</f>
        <v>709</v>
      </c>
      <c r="AT73" s="155">
        <v>29</v>
      </c>
      <c r="AU73" s="155">
        <v>272</v>
      </c>
      <c r="AV73" s="281">
        <v>174</v>
      </c>
      <c r="AW73" s="281">
        <v>144</v>
      </c>
      <c r="AX73" s="281">
        <v>292</v>
      </c>
      <c r="AY73" s="281">
        <v>153</v>
      </c>
      <c r="AZ73" s="281">
        <v>50</v>
      </c>
      <c r="BA73" s="281">
        <v>427</v>
      </c>
      <c r="BB73" s="281">
        <v>248</v>
      </c>
      <c r="BC73" s="281">
        <v>444</v>
      </c>
      <c r="BD73" s="281">
        <v>663</v>
      </c>
      <c r="BE73" s="281">
        <v>186</v>
      </c>
      <c r="BF73" s="552">
        <v>397</v>
      </c>
      <c r="BG73" s="281">
        <v>5</v>
      </c>
      <c r="BH73" s="281">
        <v>31</v>
      </c>
      <c r="BI73" s="281">
        <v>313</v>
      </c>
      <c r="BJ73" s="281">
        <v>129</v>
      </c>
      <c r="BK73" s="281">
        <v>27</v>
      </c>
      <c r="BL73" s="281">
        <v>32</v>
      </c>
      <c r="BM73" s="281">
        <v>369</v>
      </c>
      <c r="BN73" s="281">
        <v>375</v>
      </c>
      <c r="BO73" s="281">
        <v>6</v>
      </c>
      <c r="BP73" s="281">
        <v>109</v>
      </c>
      <c r="BQ73" s="281">
        <v>126</v>
      </c>
      <c r="BR73" s="552">
        <v>177</v>
      </c>
      <c r="BS73" s="281">
        <v>20</v>
      </c>
      <c r="BT73" s="281">
        <v>354</v>
      </c>
      <c r="BU73" s="281">
        <v>170</v>
      </c>
      <c r="BV73" s="281">
        <v>504</v>
      </c>
      <c r="BW73" s="281">
        <v>267</v>
      </c>
      <c r="BX73" s="281">
        <v>269</v>
      </c>
      <c r="BY73" s="281">
        <v>170</v>
      </c>
      <c r="BZ73" s="281">
        <v>226</v>
      </c>
      <c r="CA73" s="281">
        <v>149</v>
      </c>
      <c r="CB73" s="552">
        <v>298</v>
      </c>
      <c r="CC73" s="281">
        <v>403</v>
      </c>
      <c r="CD73" s="281">
        <v>187</v>
      </c>
      <c r="CE73" s="281">
        <v>324</v>
      </c>
      <c r="CF73" s="281">
        <v>54</v>
      </c>
      <c r="CG73" s="281">
        <v>655</v>
      </c>
      <c r="CH73" s="281">
        <v>499</v>
      </c>
      <c r="CI73" s="281">
        <v>230</v>
      </c>
      <c r="CJ73" s="281">
        <v>356</v>
      </c>
      <c r="CK73" s="156">
        <v>459</v>
      </c>
      <c r="CL73" s="320">
        <v>10772</v>
      </c>
    </row>
    <row r="74" spans="1:90">
      <c r="A74" s="80">
        <f>ROWS($A$3:A72)</f>
        <v>70</v>
      </c>
      <c r="B74" s="92" t="s">
        <v>85</v>
      </c>
      <c r="C74" s="203"/>
      <c r="D74" s="259" t="s">
        <v>13</v>
      </c>
      <c r="E74" s="451"/>
      <c r="F74" s="154">
        <v>346</v>
      </c>
      <c r="G74" s="155">
        <v>151</v>
      </c>
      <c r="H74" s="155">
        <v>228</v>
      </c>
      <c r="I74" s="156">
        <v>139</v>
      </c>
      <c r="J74" s="281"/>
      <c r="K74" s="154">
        <f t="shared" si="150"/>
        <v>29</v>
      </c>
      <c r="L74" s="155">
        <f t="shared" si="151"/>
        <v>58</v>
      </c>
      <c r="M74" s="155">
        <f t="shared" si="152"/>
        <v>9</v>
      </c>
      <c r="N74" s="155">
        <f t="shared" si="153"/>
        <v>20</v>
      </c>
      <c r="O74" s="155">
        <f t="shared" si="154"/>
        <v>7</v>
      </c>
      <c r="P74" s="155">
        <f t="shared" si="155"/>
        <v>43</v>
      </c>
      <c r="Q74" s="155">
        <f>'2010'!AU74</f>
        <v>20</v>
      </c>
      <c r="R74" s="155">
        <f t="shared" si="156"/>
        <v>98</v>
      </c>
      <c r="S74" s="155">
        <f t="shared" si="157"/>
        <v>44</v>
      </c>
      <c r="T74" s="155">
        <f t="shared" si="158"/>
        <v>10</v>
      </c>
      <c r="U74" s="552">
        <f t="shared" si="158"/>
        <v>13</v>
      </c>
      <c r="V74" s="155">
        <f t="shared" si="159"/>
        <v>14</v>
      </c>
      <c r="W74" s="155">
        <f t="shared" si="160"/>
        <v>7</v>
      </c>
      <c r="X74" s="155">
        <f t="shared" si="161"/>
        <v>36</v>
      </c>
      <c r="Y74" s="155">
        <f t="shared" si="162"/>
        <v>53</v>
      </c>
      <c r="Z74" s="155">
        <f t="shared" si="163"/>
        <v>7</v>
      </c>
      <c r="AA74" s="155">
        <f t="shared" si="164"/>
        <v>20</v>
      </c>
      <c r="AB74" s="552">
        <f t="shared" si="165"/>
        <v>14</v>
      </c>
      <c r="AC74" s="155">
        <f t="shared" si="166"/>
        <v>7</v>
      </c>
      <c r="AD74" s="155">
        <f t="shared" si="167"/>
        <v>21</v>
      </c>
      <c r="AE74" s="155">
        <f t="shared" si="168"/>
        <v>36</v>
      </c>
      <c r="AF74" s="155">
        <f t="shared" si="169"/>
        <v>16</v>
      </c>
      <c r="AG74" s="155">
        <f t="shared" si="170"/>
        <v>59</v>
      </c>
      <c r="AH74" s="155">
        <f t="shared" si="171"/>
        <v>69</v>
      </c>
      <c r="AI74" s="155">
        <f t="shared" si="172"/>
        <v>7</v>
      </c>
      <c r="AJ74" s="155">
        <f t="shared" si="173"/>
        <v>4</v>
      </c>
      <c r="AK74" s="552">
        <f t="shared" si="174"/>
        <v>9</v>
      </c>
      <c r="AL74" s="155">
        <f t="shared" si="175"/>
        <v>8</v>
      </c>
      <c r="AM74" s="155">
        <f t="shared" si="176"/>
        <v>20</v>
      </c>
      <c r="AN74" s="155">
        <f t="shared" si="177"/>
        <v>26</v>
      </c>
      <c r="AO74" s="155">
        <f t="shared" si="178"/>
        <v>19</v>
      </c>
      <c r="AP74" s="155">
        <f t="shared" si="178"/>
        <v>15</v>
      </c>
      <c r="AQ74" s="155">
        <f t="shared" si="179"/>
        <v>9</v>
      </c>
      <c r="AR74" s="155">
        <f t="shared" si="180"/>
        <v>18</v>
      </c>
      <c r="AS74" s="156">
        <f t="shared" si="181"/>
        <v>24</v>
      </c>
      <c r="AT74" s="155">
        <v>28</v>
      </c>
      <c r="AU74" s="155">
        <v>15</v>
      </c>
      <c r="AV74" s="155">
        <v>44</v>
      </c>
      <c r="AW74" s="155">
        <v>20</v>
      </c>
      <c r="AX74" s="155">
        <v>70</v>
      </c>
      <c r="AY74" s="155">
        <v>58</v>
      </c>
      <c r="AZ74" s="155">
        <v>10</v>
      </c>
      <c r="BA74" s="155">
        <v>33</v>
      </c>
      <c r="BB74" s="155">
        <v>10</v>
      </c>
      <c r="BC74" s="155">
        <v>13</v>
      </c>
      <c r="BD74" s="155">
        <v>9</v>
      </c>
      <c r="BE74" s="155">
        <v>7</v>
      </c>
      <c r="BF74" s="552">
        <v>29</v>
      </c>
      <c r="BG74" s="155">
        <v>3</v>
      </c>
      <c r="BH74" s="155">
        <v>9</v>
      </c>
      <c r="BI74" s="155">
        <v>27</v>
      </c>
      <c r="BJ74" s="155">
        <v>11</v>
      </c>
      <c r="BK74" s="155">
        <v>15</v>
      </c>
      <c r="BL74" s="155">
        <v>9</v>
      </c>
      <c r="BM74" s="155">
        <v>7</v>
      </c>
      <c r="BN74" s="155">
        <v>29</v>
      </c>
      <c r="BO74" s="155">
        <v>7</v>
      </c>
      <c r="BP74" s="155">
        <v>14</v>
      </c>
      <c r="BQ74" s="155">
        <v>13</v>
      </c>
      <c r="BR74" s="552">
        <v>7</v>
      </c>
      <c r="BS74" s="155">
        <v>5</v>
      </c>
      <c r="BT74" s="155">
        <v>31</v>
      </c>
      <c r="BU74" s="155">
        <v>21</v>
      </c>
      <c r="BV74" s="155">
        <v>59</v>
      </c>
      <c r="BW74" s="155">
        <v>7</v>
      </c>
      <c r="BX74" s="155">
        <v>7</v>
      </c>
      <c r="BY74" s="155">
        <v>4</v>
      </c>
      <c r="BZ74" s="155">
        <v>69</v>
      </c>
      <c r="CA74" s="155">
        <v>16</v>
      </c>
      <c r="CB74" s="552">
        <v>9</v>
      </c>
      <c r="CC74" s="155">
        <v>19</v>
      </c>
      <c r="CD74" s="155">
        <v>15</v>
      </c>
      <c r="CE74" s="155">
        <v>8</v>
      </c>
      <c r="CF74" s="155">
        <v>9</v>
      </c>
      <c r="CG74" s="155">
        <v>15</v>
      </c>
      <c r="CH74" s="155">
        <v>20</v>
      </c>
      <c r="CI74" s="155">
        <v>18</v>
      </c>
      <c r="CJ74" s="155">
        <v>26</v>
      </c>
      <c r="CK74" s="156">
        <v>9</v>
      </c>
      <c r="CL74" s="320">
        <v>864</v>
      </c>
    </row>
    <row r="75" spans="1:90">
      <c r="A75" s="80">
        <f>ROWS($A$3:A73)</f>
        <v>71</v>
      </c>
      <c r="B75" s="92" t="s">
        <v>86</v>
      </c>
      <c r="C75" s="203"/>
      <c r="D75" s="259" t="s">
        <v>13</v>
      </c>
      <c r="E75" s="451"/>
      <c r="F75" s="154">
        <v>2424</v>
      </c>
      <c r="G75" s="281">
        <v>635</v>
      </c>
      <c r="H75" s="281">
        <v>3565</v>
      </c>
      <c r="I75" s="156">
        <v>899</v>
      </c>
      <c r="J75" s="281"/>
      <c r="K75" s="154">
        <f t="shared" si="150"/>
        <v>13</v>
      </c>
      <c r="L75" s="155">
        <f t="shared" si="151"/>
        <v>338</v>
      </c>
      <c r="M75" s="155">
        <f t="shared" si="152"/>
        <v>159</v>
      </c>
      <c r="N75" s="155">
        <f t="shared" si="153"/>
        <v>23</v>
      </c>
      <c r="O75" s="155">
        <f t="shared" si="154"/>
        <v>3</v>
      </c>
      <c r="P75" s="155">
        <f t="shared" si="155"/>
        <v>1032</v>
      </c>
      <c r="Q75" s="155">
        <f>'2010'!AU75</f>
        <v>31</v>
      </c>
      <c r="R75" s="155">
        <f t="shared" si="156"/>
        <v>506</v>
      </c>
      <c r="S75" s="155">
        <f t="shared" si="157"/>
        <v>68</v>
      </c>
      <c r="T75" s="155">
        <f t="shared" si="158"/>
        <v>256</v>
      </c>
      <c r="U75" s="552">
        <f t="shared" si="158"/>
        <v>8</v>
      </c>
      <c r="V75" s="155">
        <f t="shared" si="159"/>
        <v>224</v>
      </c>
      <c r="W75" s="155">
        <f t="shared" si="160"/>
        <v>3</v>
      </c>
      <c r="X75" s="155">
        <f t="shared" si="161"/>
        <v>131</v>
      </c>
      <c r="Y75" s="155">
        <f t="shared" si="162"/>
        <v>163</v>
      </c>
      <c r="Z75" s="155">
        <f t="shared" si="163"/>
        <v>57</v>
      </c>
      <c r="AA75" s="155">
        <f t="shared" si="164"/>
        <v>54</v>
      </c>
      <c r="AB75" s="552">
        <f t="shared" si="165"/>
        <v>3</v>
      </c>
      <c r="AC75" s="155">
        <f t="shared" si="166"/>
        <v>2</v>
      </c>
      <c r="AD75" s="155">
        <f t="shared" si="167"/>
        <v>448</v>
      </c>
      <c r="AE75" s="155">
        <f t="shared" si="168"/>
        <v>1305</v>
      </c>
      <c r="AF75" s="155">
        <f t="shared" si="169"/>
        <v>191</v>
      </c>
      <c r="AG75" s="155">
        <f t="shared" si="170"/>
        <v>1492</v>
      </c>
      <c r="AH75" s="155">
        <f t="shared" si="171"/>
        <v>93</v>
      </c>
      <c r="AI75" s="155">
        <f t="shared" si="172"/>
        <v>4</v>
      </c>
      <c r="AJ75" s="155" t="str">
        <f t="shared" si="173"/>
        <v>–</v>
      </c>
      <c r="AK75" s="552">
        <f t="shared" si="174"/>
        <v>30</v>
      </c>
      <c r="AL75" s="155">
        <f t="shared" si="175"/>
        <v>6</v>
      </c>
      <c r="AM75" s="155">
        <f t="shared" si="176"/>
        <v>8</v>
      </c>
      <c r="AN75" s="155">
        <f t="shared" si="177"/>
        <v>117</v>
      </c>
      <c r="AO75" s="155">
        <f t="shared" si="178"/>
        <v>24</v>
      </c>
      <c r="AP75" s="155">
        <f t="shared" si="178"/>
        <v>14</v>
      </c>
      <c r="AQ75" s="155">
        <f t="shared" si="179"/>
        <v>11</v>
      </c>
      <c r="AR75" s="155">
        <f t="shared" si="180"/>
        <v>708</v>
      </c>
      <c r="AS75" s="156">
        <f t="shared" si="181"/>
        <v>11</v>
      </c>
      <c r="AT75" s="155">
        <v>100</v>
      </c>
      <c r="AU75" s="281">
        <v>18</v>
      </c>
      <c r="AV75" s="281">
        <v>68</v>
      </c>
      <c r="AW75" s="281">
        <v>23</v>
      </c>
      <c r="AX75" s="281">
        <v>406</v>
      </c>
      <c r="AY75" s="281">
        <v>338</v>
      </c>
      <c r="AZ75" s="281">
        <v>84</v>
      </c>
      <c r="BA75" s="281">
        <v>948</v>
      </c>
      <c r="BB75" s="281">
        <v>256</v>
      </c>
      <c r="BC75" s="281">
        <v>8</v>
      </c>
      <c r="BD75" s="281">
        <v>159</v>
      </c>
      <c r="BE75" s="281">
        <v>3</v>
      </c>
      <c r="BF75" s="552">
        <v>13</v>
      </c>
      <c r="BG75" s="281">
        <v>60</v>
      </c>
      <c r="BH75" s="281">
        <v>5</v>
      </c>
      <c r="BI75" s="281">
        <v>126</v>
      </c>
      <c r="BJ75" s="281">
        <v>164</v>
      </c>
      <c r="BK75" s="281">
        <v>9</v>
      </c>
      <c r="BL75" s="281" t="s">
        <v>41</v>
      </c>
      <c r="BM75" s="281">
        <v>57</v>
      </c>
      <c r="BN75" s="281">
        <v>154</v>
      </c>
      <c r="BO75" s="281" t="s">
        <v>41</v>
      </c>
      <c r="BP75" s="281">
        <v>3</v>
      </c>
      <c r="BQ75" s="281">
        <v>54</v>
      </c>
      <c r="BR75" s="552">
        <v>3</v>
      </c>
      <c r="BS75" s="281">
        <v>118</v>
      </c>
      <c r="BT75" s="281">
        <v>1187</v>
      </c>
      <c r="BU75" s="281">
        <v>448</v>
      </c>
      <c r="BV75" s="281">
        <v>1492</v>
      </c>
      <c r="BW75" s="281">
        <v>4</v>
      </c>
      <c r="BX75" s="281">
        <v>2</v>
      </c>
      <c r="BY75" s="281" t="s">
        <v>41</v>
      </c>
      <c r="BZ75" s="281">
        <v>93</v>
      </c>
      <c r="CA75" s="281">
        <v>191</v>
      </c>
      <c r="CB75" s="552">
        <v>30</v>
      </c>
      <c r="CC75" s="281">
        <v>24</v>
      </c>
      <c r="CD75" s="281">
        <v>14</v>
      </c>
      <c r="CE75" s="281">
        <v>6</v>
      </c>
      <c r="CF75" s="281">
        <v>1</v>
      </c>
      <c r="CG75" s="281">
        <v>10</v>
      </c>
      <c r="CH75" s="281">
        <v>8</v>
      </c>
      <c r="CI75" s="281">
        <v>708</v>
      </c>
      <c r="CJ75" s="281">
        <v>117</v>
      </c>
      <c r="CK75" s="156">
        <v>11</v>
      </c>
      <c r="CL75" s="320">
        <v>7523</v>
      </c>
    </row>
    <row r="76" spans="1:90">
      <c r="A76" s="80">
        <f>ROWS($A$3:A74)</f>
        <v>72</v>
      </c>
      <c r="B76" s="92" t="s">
        <v>87</v>
      </c>
      <c r="C76" s="203"/>
      <c r="D76" s="259" t="s">
        <v>13</v>
      </c>
      <c r="E76" s="451"/>
      <c r="F76" s="154">
        <v>3638</v>
      </c>
      <c r="G76" s="155">
        <v>1200</v>
      </c>
      <c r="H76" s="155">
        <v>4530</v>
      </c>
      <c r="I76" s="156">
        <v>4371</v>
      </c>
      <c r="J76" s="281"/>
      <c r="K76" s="154">
        <f t="shared" si="150"/>
        <v>918</v>
      </c>
      <c r="L76" s="155">
        <f t="shared" si="151"/>
        <v>375</v>
      </c>
      <c r="M76" s="155">
        <f t="shared" si="152"/>
        <v>171</v>
      </c>
      <c r="N76" s="155">
        <f t="shared" si="153"/>
        <v>423</v>
      </c>
      <c r="O76" s="155">
        <f t="shared" si="154"/>
        <v>193</v>
      </c>
      <c r="P76" s="155">
        <f t="shared" si="155"/>
        <v>127</v>
      </c>
      <c r="Q76" s="155">
        <f>'2010'!AU76</f>
        <v>122</v>
      </c>
      <c r="R76" s="155">
        <f t="shared" si="156"/>
        <v>120</v>
      </c>
      <c r="S76" s="155">
        <f t="shared" si="157"/>
        <v>214</v>
      </c>
      <c r="T76" s="155">
        <f t="shared" si="158"/>
        <v>225</v>
      </c>
      <c r="U76" s="552">
        <f t="shared" si="158"/>
        <v>744</v>
      </c>
      <c r="V76" s="155">
        <f t="shared" si="159"/>
        <v>106</v>
      </c>
      <c r="W76" s="155">
        <f t="shared" si="160"/>
        <v>221</v>
      </c>
      <c r="X76" s="155">
        <f t="shared" si="161"/>
        <v>141</v>
      </c>
      <c r="Y76" s="155">
        <f t="shared" si="162"/>
        <v>164</v>
      </c>
      <c r="Z76" s="155">
        <f t="shared" si="163"/>
        <v>213</v>
      </c>
      <c r="AA76" s="155">
        <f t="shared" si="164"/>
        <v>121</v>
      </c>
      <c r="AB76" s="552">
        <f t="shared" si="165"/>
        <v>234</v>
      </c>
      <c r="AC76" s="155">
        <f t="shared" si="166"/>
        <v>577</v>
      </c>
      <c r="AD76" s="155">
        <f t="shared" si="167"/>
        <v>447</v>
      </c>
      <c r="AE76" s="155">
        <f t="shared" si="168"/>
        <v>806</v>
      </c>
      <c r="AF76" s="155">
        <f t="shared" si="169"/>
        <v>482</v>
      </c>
      <c r="AG76" s="155">
        <f t="shared" si="170"/>
        <v>758</v>
      </c>
      <c r="AH76" s="155">
        <f t="shared" si="171"/>
        <v>294</v>
      </c>
      <c r="AI76" s="155">
        <f t="shared" si="172"/>
        <v>324</v>
      </c>
      <c r="AJ76" s="155">
        <f t="shared" si="173"/>
        <v>192</v>
      </c>
      <c r="AK76" s="552">
        <f t="shared" si="174"/>
        <v>650</v>
      </c>
      <c r="AL76" s="155">
        <f t="shared" si="175"/>
        <v>308</v>
      </c>
      <c r="AM76" s="155">
        <f t="shared" si="176"/>
        <v>793</v>
      </c>
      <c r="AN76" s="155">
        <f t="shared" si="177"/>
        <v>1592</v>
      </c>
      <c r="AO76" s="155">
        <f t="shared" si="178"/>
        <v>387</v>
      </c>
      <c r="AP76" s="155">
        <f t="shared" si="178"/>
        <v>91</v>
      </c>
      <c r="AQ76" s="155">
        <f t="shared" si="179"/>
        <v>408</v>
      </c>
      <c r="AR76" s="155">
        <f t="shared" si="180"/>
        <v>266</v>
      </c>
      <c r="AS76" s="156">
        <f t="shared" si="181"/>
        <v>526</v>
      </c>
      <c r="AT76" s="155">
        <v>9</v>
      </c>
      <c r="AU76" s="155">
        <v>128</v>
      </c>
      <c r="AV76" s="155">
        <v>214</v>
      </c>
      <c r="AW76" s="155">
        <v>423</v>
      </c>
      <c r="AX76" s="155">
        <v>111</v>
      </c>
      <c r="AY76" s="155">
        <v>375</v>
      </c>
      <c r="AZ76" s="155">
        <v>1</v>
      </c>
      <c r="BA76" s="155">
        <v>126</v>
      </c>
      <c r="BB76" s="155">
        <v>225</v>
      </c>
      <c r="BC76" s="155">
        <v>744</v>
      </c>
      <c r="BD76" s="155">
        <v>171</v>
      </c>
      <c r="BE76" s="155">
        <v>193</v>
      </c>
      <c r="BF76" s="552">
        <v>918</v>
      </c>
      <c r="BG76" s="155">
        <v>13</v>
      </c>
      <c r="BH76" s="155">
        <v>9</v>
      </c>
      <c r="BI76" s="155">
        <v>132</v>
      </c>
      <c r="BJ76" s="155">
        <v>93</v>
      </c>
      <c r="BK76" s="155">
        <v>3</v>
      </c>
      <c r="BL76" s="155">
        <v>7</v>
      </c>
      <c r="BM76" s="155">
        <v>213</v>
      </c>
      <c r="BN76" s="155">
        <v>154</v>
      </c>
      <c r="BO76" s="155">
        <v>6</v>
      </c>
      <c r="BP76" s="155">
        <v>234</v>
      </c>
      <c r="BQ76" s="155">
        <v>115</v>
      </c>
      <c r="BR76" s="552">
        <v>221</v>
      </c>
      <c r="BS76" s="155">
        <v>16</v>
      </c>
      <c r="BT76" s="155">
        <v>790</v>
      </c>
      <c r="BU76" s="155">
        <v>447</v>
      </c>
      <c r="BV76" s="155">
        <v>758</v>
      </c>
      <c r="BW76" s="155">
        <v>324</v>
      </c>
      <c r="BX76" s="155">
        <v>577</v>
      </c>
      <c r="BY76" s="155">
        <v>192</v>
      </c>
      <c r="BZ76" s="155">
        <v>294</v>
      </c>
      <c r="CA76" s="155">
        <v>482</v>
      </c>
      <c r="CB76" s="552">
        <v>650</v>
      </c>
      <c r="CC76" s="155">
        <v>387</v>
      </c>
      <c r="CD76" s="155">
        <v>91</v>
      </c>
      <c r="CE76" s="155">
        <v>308</v>
      </c>
      <c r="CF76" s="155">
        <v>22</v>
      </c>
      <c r="CG76" s="155">
        <v>504</v>
      </c>
      <c r="CH76" s="155">
        <v>793</v>
      </c>
      <c r="CI76" s="155">
        <v>266</v>
      </c>
      <c r="CJ76" s="155">
        <v>1592</v>
      </c>
      <c r="CK76" s="156">
        <v>408</v>
      </c>
      <c r="CL76" s="320">
        <v>13739</v>
      </c>
    </row>
    <row r="77" spans="1:90">
      <c r="A77" s="80">
        <f>ROWS($A$3:A75)</f>
        <v>73</v>
      </c>
      <c r="B77" s="92" t="s">
        <v>88</v>
      </c>
      <c r="C77" s="614"/>
      <c r="D77" s="259" t="s">
        <v>13</v>
      </c>
      <c r="E77" s="451"/>
      <c r="F77" s="154">
        <v>806</v>
      </c>
      <c r="G77" s="155">
        <v>59</v>
      </c>
      <c r="H77" s="155">
        <v>117</v>
      </c>
      <c r="I77" s="156">
        <v>464</v>
      </c>
      <c r="J77" s="281"/>
      <c r="K77" s="154">
        <f t="shared" si="150"/>
        <v>104</v>
      </c>
      <c r="L77" s="155">
        <f t="shared" si="151"/>
        <v>11</v>
      </c>
      <c r="M77" s="155">
        <f t="shared" si="152"/>
        <v>85</v>
      </c>
      <c r="N77" s="155">
        <f t="shared" si="153"/>
        <v>20</v>
      </c>
      <c r="O77" s="155">
        <f t="shared" si="154"/>
        <v>31</v>
      </c>
      <c r="P77" s="155">
        <f t="shared" si="155"/>
        <v>21</v>
      </c>
      <c r="Q77" s="155">
        <f>'2010'!AU77</f>
        <v>14</v>
      </c>
      <c r="R77" s="155">
        <f t="shared" si="156"/>
        <v>28</v>
      </c>
      <c r="S77" s="155">
        <f t="shared" si="157"/>
        <v>8</v>
      </c>
      <c r="T77" s="155">
        <f t="shared" si="158"/>
        <v>114</v>
      </c>
      <c r="U77" s="552">
        <f t="shared" si="158"/>
        <v>374</v>
      </c>
      <c r="V77" s="155">
        <f t="shared" si="159"/>
        <v>5</v>
      </c>
      <c r="W77" s="155">
        <f t="shared" si="160"/>
        <v>7</v>
      </c>
      <c r="X77" s="155">
        <f t="shared" si="161"/>
        <v>2</v>
      </c>
      <c r="Y77" s="155">
        <f t="shared" si="162"/>
        <v>15</v>
      </c>
      <c r="Z77" s="155">
        <f t="shared" si="163"/>
        <v>23</v>
      </c>
      <c r="AA77" s="155">
        <f t="shared" si="164"/>
        <v>4</v>
      </c>
      <c r="AB77" s="552">
        <f t="shared" si="165"/>
        <v>3</v>
      </c>
      <c r="AC77" s="155">
        <f t="shared" si="166"/>
        <v>14</v>
      </c>
      <c r="AD77" s="155">
        <f t="shared" si="167"/>
        <v>6</v>
      </c>
      <c r="AE77" s="155">
        <f t="shared" si="168"/>
        <v>10</v>
      </c>
      <c r="AF77" s="155">
        <f t="shared" si="169"/>
        <v>2</v>
      </c>
      <c r="AG77" s="155">
        <f t="shared" si="170"/>
        <v>26</v>
      </c>
      <c r="AH77" s="155">
        <f t="shared" si="171"/>
        <v>12</v>
      </c>
      <c r="AI77" s="155">
        <f t="shared" si="172"/>
        <v>25</v>
      </c>
      <c r="AJ77" s="155">
        <f t="shared" si="173"/>
        <v>9</v>
      </c>
      <c r="AK77" s="552">
        <f t="shared" si="174"/>
        <v>13</v>
      </c>
      <c r="AL77" s="155">
        <f t="shared" si="175"/>
        <v>8</v>
      </c>
      <c r="AM77" s="155">
        <f t="shared" si="176"/>
        <v>102</v>
      </c>
      <c r="AN77" s="155">
        <f t="shared" si="177"/>
        <v>41</v>
      </c>
      <c r="AO77" s="155">
        <f t="shared" si="178"/>
        <v>20</v>
      </c>
      <c r="AP77" s="155">
        <f t="shared" si="178"/>
        <v>6</v>
      </c>
      <c r="AQ77" s="155">
        <f t="shared" si="179"/>
        <v>76</v>
      </c>
      <c r="AR77" s="155">
        <f t="shared" si="180"/>
        <v>12</v>
      </c>
      <c r="AS77" s="156">
        <f t="shared" si="181"/>
        <v>199</v>
      </c>
      <c r="AT77" s="155">
        <v>1</v>
      </c>
      <c r="AU77" s="155">
        <v>10</v>
      </c>
      <c r="AV77" s="155">
        <v>8</v>
      </c>
      <c r="AW77" s="155">
        <v>20</v>
      </c>
      <c r="AX77" s="155">
        <v>27</v>
      </c>
      <c r="AY77" s="155">
        <v>11</v>
      </c>
      <c r="AZ77" s="155" t="s">
        <v>41</v>
      </c>
      <c r="BA77" s="155">
        <v>21</v>
      </c>
      <c r="BB77" s="155">
        <v>114</v>
      </c>
      <c r="BC77" s="155">
        <v>374</v>
      </c>
      <c r="BD77" s="155">
        <v>85</v>
      </c>
      <c r="BE77" s="155">
        <v>31</v>
      </c>
      <c r="BF77" s="552">
        <v>104</v>
      </c>
      <c r="BG77" s="155" t="s">
        <v>41</v>
      </c>
      <c r="BH77" s="155" t="s">
        <v>41</v>
      </c>
      <c r="BI77" s="155">
        <v>2</v>
      </c>
      <c r="BJ77" s="155">
        <v>5</v>
      </c>
      <c r="BK77" s="155">
        <v>1</v>
      </c>
      <c r="BL77" s="155" t="s">
        <v>41</v>
      </c>
      <c r="BM77" s="155">
        <v>23</v>
      </c>
      <c r="BN77" s="155">
        <v>14</v>
      </c>
      <c r="BO77" s="155" t="s">
        <v>41</v>
      </c>
      <c r="BP77" s="155">
        <v>3</v>
      </c>
      <c r="BQ77" s="155">
        <v>4</v>
      </c>
      <c r="BR77" s="552">
        <v>7</v>
      </c>
      <c r="BS77" s="155">
        <v>1</v>
      </c>
      <c r="BT77" s="155">
        <v>9</v>
      </c>
      <c r="BU77" s="155">
        <v>6</v>
      </c>
      <c r="BV77" s="155">
        <v>26</v>
      </c>
      <c r="BW77" s="155">
        <v>25</v>
      </c>
      <c r="BX77" s="155">
        <v>14</v>
      </c>
      <c r="BY77" s="155">
        <v>9</v>
      </c>
      <c r="BZ77" s="155">
        <v>12</v>
      </c>
      <c r="CA77" s="155">
        <v>2</v>
      </c>
      <c r="CB77" s="552">
        <v>13</v>
      </c>
      <c r="CC77" s="281">
        <v>20</v>
      </c>
      <c r="CD77" s="281">
        <v>6</v>
      </c>
      <c r="CE77" s="281">
        <v>8</v>
      </c>
      <c r="CF77" s="281">
        <v>7</v>
      </c>
      <c r="CG77" s="281">
        <v>192</v>
      </c>
      <c r="CH77" s="281">
        <v>102</v>
      </c>
      <c r="CI77" s="281">
        <v>12</v>
      </c>
      <c r="CJ77" s="281">
        <v>41</v>
      </c>
      <c r="CK77" s="156">
        <v>76</v>
      </c>
      <c r="CL77" s="320">
        <v>1446</v>
      </c>
    </row>
    <row r="78" spans="1:90">
      <c r="A78" s="80">
        <f>ROWS($A$3:A76)</f>
        <v>74</v>
      </c>
      <c r="B78" s="92" t="s">
        <v>89</v>
      </c>
      <c r="C78" s="591"/>
      <c r="D78" s="259" t="s">
        <v>13</v>
      </c>
      <c r="E78" s="451"/>
      <c r="F78" s="154">
        <v>1736</v>
      </c>
      <c r="G78" s="155">
        <v>662</v>
      </c>
      <c r="H78" s="155">
        <v>1121</v>
      </c>
      <c r="I78" s="156">
        <v>1222</v>
      </c>
      <c r="J78" s="281"/>
      <c r="K78" s="154">
        <f t="shared" si="150"/>
        <v>167</v>
      </c>
      <c r="L78" s="155">
        <f t="shared" si="151"/>
        <v>123</v>
      </c>
      <c r="M78" s="155">
        <f t="shared" si="152"/>
        <v>181</v>
      </c>
      <c r="N78" s="155">
        <f t="shared" si="153"/>
        <v>76</v>
      </c>
      <c r="O78" s="155">
        <f t="shared" si="154"/>
        <v>95</v>
      </c>
      <c r="P78" s="155">
        <f t="shared" si="155"/>
        <v>222</v>
      </c>
      <c r="Q78" s="155">
        <f>'2010'!AU78</f>
        <v>161</v>
      </c>
      <c r="R78" s="155">
        <f t="shared" si="156"/>
        <v>230</v>
      </c>
      <c r="S78" s="155">
        <f t="shared" si="157"/>
        <v>121</v>
      </c>
      <c r="T78" s="155">
        <f t="shared" si="158"/>
        <v>189</v>
      </c>
      <c r="U78" s="552">
        <f t="shared" si="158"/>
        <v>220</v>
      </c>
      <c r="V78" s="155">
        <f t="shared" si="159"/>
        <v>56</v>
      </c>
      <c r="W78" s="155">
        <f t="shared" si="160"/>
        <v>55</v>
      </c>
      <c r="X78" s="155">
        <f t="shared" si="161"/>
        <v>114</v>
      </c>
      <c r="Y78" s="155">
        <f t="shared" si="162"/>
        <v>134</v>
      </c>
      <c r="Z78" s="155">
        <f t="shared" si="163"/>
        <v>133</v>
      </c>
      <c r="AA78" s="155">
        <f t="shared" si="164"/>
        <v>102</v>
      </c>
      <c r="AB78" s="552">
        <f t="shared" si="165"/>
        <v>68</v>
      </c>
      <c r="AC78" s="155">
        <f t="shared" si="166"/>
        <v>85</v>
      </c>
      <c r="AD78" s="155">
        <f t="shared" si="167"/>
        <v>94</v>
      </c>
      <c r="AE78" s="155">
        <f t="shared" si="168"/>
        <v>175</v>
      </c>
      <c r="AF78" s="155">
        <f t="shared" si="169"/>
        <v>106</v>
      </c>
      <c r="AG78" s="155">
        <f t="shared" si="170"/>
        <v>322</v>
      </c>
      <c r="AH78" s="155">
        <f t="shared" si="171"/>
        <v>97</v>
      </c>
      <c r="AI78" s="155">
        <f t="shared" si="172"/>
        <v>107</v>
      </c>
      <c r="AJ78" s="155">
        <f t="shared" si="173"/>
        <v>41</v>
      </c>
      <c r="AK78" s="552">
        <f t="shared" si="174"/>
        <v>94</v>
      </c>
      <c r="AL78" s="155">
        <f t="shared" si="175"/>
        <v>46</v>
      </c>
      <c r="AM78" s="155">
        <f t="shared" si="176"/>
        <v>211</v>
      </c>
      <c r="AN78" s="155">
        <f t="shared" si="177"/>
        <v>118</v>
      </c>
      <c r="AO78" s="155">
        <f t="shared" si="178"/>
        <v>144</v>
      </c>
      <c r="AP78" s="155">
        <f t="shared" si="178"/>
        <v>64</v>
      </c>
      <c r="AQ78" s="155">
        <f t="shared" si="179"/>
        <v>172</v>
      </c>
      <c r="AR78" s="155">
        <f t="shared" si="180"/>
        <v>178</v>
      </c>
      <c r="AS78" s="156">
        <f t="shared" si="181"/>
        <v>289</v>
      </c>
      <c r="AT78" s="281">
        <v>15</v>
      </c>
      <c r="AU78" s="281">
        <v>112</v>
      </c>
      <c r="AV78" s="281">
        <v>121</v>
      </c>
      <c r="AW78" s="281">
        <v>76</v>
      </c>
      <c r="AX78" s="281">
        <v>215</v>
      </c>
      <c r="AY78" s="281">
        <v>123</v>
      </c>
      <c r="AZ78" s="281">
        <v>13</v>
      </c>
      <c r="BA78" s="281">
        <v>209</v>
      </c>
      <c r="BB78" s="281">
        <v>189</v>
      </c>
      <c r="BC78" s="281">
        <v>220</v>
      </c>
      <c r="BD78" s="281">
        <v>181</v>
      </c>
      <c r="BE78" s="281">
        <v>95</v>
      </c>
      <c r="BF78" s="299">
        <v>167</v>
      </c>
      <c r="BG78" s="281">
        <v>3</v>
      </c>
      <c r="BH78" s="281">
        <v>12</v>
      </c>
      <c r="BI78" s="281">
        <v>102</v>
      </c>
      <c r="BJ78" s="281">
        <v>53</v>
      </c>
      <c r="BK78" s="281">
        <v>11</v>
      </c>
      <c r="BL78" s="281">
        <v>7</v>
      </c>
      <c r="BM78" s="281">
        <v>133</v>
      </c>
      <c r="BN78" s="281">
        <v>116</v>
      </c>
      <c r="BO78" s="281">
        <v>4</v>
      </c>
      <c r="BP78" s="281">
        <v>68</v>
      </c>
      <c r="BQ78" s="281">
        <v>98</v>
      </c>
      <c r="BR78" s="299">
        <v>55</v>
      </c>
      <c r="BS78" s="281">
        <v>18</v>
      </c>
      <c r="BT78" s="281">
        <v>157</v>
      </c>
      <c r="BU78" s="281">
        <v>94</v>
      </c>
      <c r="BV78" s="281">
        <v>322</v>
      </c>
      <c r="BW78" s="281">
        <v>107</v>
      </c>
      <c r="BX78" s="281">
        <v>85</v>
      </c>
      <c r="BY78" s="281">
        <v>41</v>
      </c>
      <c r="BZ78" s="281">
        <v>97</v>
      </c>
      <c r="CA78" s="281">
        <v>106</v>
      </c>
      <c r="CB78" s="299">
        <v>94</v>
      </c>
      <c r="CC78" s="281">
        <v>144</v>
      </c>
      <c r="CD78" s="281">
        <v>64</v>
      </c>
      <c r="CE78" s="281">
        <v>46</v>
      </c>
      <c r="CF78" s="155">
        <v>14</v>
      </c>
      <c r="CG78" s="281">
        <v>275</v>
      </c>
      <c r="CH78" s="281">
        <v>211</v>
      </c>
      <c r="CI78" s="281">
        <v>178</v>
      </c>
      <c r="CJ78" s="281">
        <v>118</v>
      </c>
      <c r="CK78" s="300">
        <v>172</v>
      </c>
      <c r="CL78" s="553">
        <v>4741</v>
      </c>
    </row>
    <row r="79" spans="1:90">
      <c r="A79" s="80">
        <f>ROWS($A$3:A77)</f>
        <v>75</v>
      </c>
      <c r="B79" s="59" t="s">
        <v>79</v>
      </c>
      <c r="C79" s="591"/>
      <c r="D79" s="254"/>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553" t="s">
        <v>57</v>
      </c>
    </row>
    <row r="80" spans="1:90">
      <c r="A80" s="80">
        <f>ROWS($A$3:A78)</f>
        <v>76</v>
      </c>
      <c r="B80" s="800" t="s">
        <v>90</v>
      </c>
      <c r="C80" s="695">
        <v>2020</v>
      </c>
      <c r="D80" s="254" t="s">
        <v>13</v>
      </c>
      <c r="E80" s="706">
        <v>44497</v>
      </c>
      <c r="F80" s="530">
        <f>SUM(AT80:BF80)</f>
        <v>14404</v>
      </c>
      <c r="G80" s="531">
        <f>SUM(BG80:BR80)</f>
        <v>4857</v>
      </c>
      <c r="H80" s="531">
        <f>SUM(BS80:CB80)</f>
        <v>12349</v>
      </c>
      <c r="I80" s="532">
        <f>SUM(CC80:CK80)</f>
        <v>12034</v>
      </c>
      <c r="J80" s="281"/>
      <c r="K80" s="530">
        <f>BF80</f>
        <v>2175</v>
      </c>
      <c r="L80" s="531">
        <f>AY80</f>
        <v>998</v>
      </c>
      <c r="M80" s="531">
        <f>BD80</f>
        <v>1698</v>
      </c>
      <c r="N80" s="531">
        <f>AW80</f>
        <v>786</v>
      </c>
      <c r="O80" s="531">
        <f>BE80</f>
        <v>629</v>
      </c>
      <c r="P80" s="531">
        <f>AZ80+BA80</f>
        <v>1825</v>
      </c>
      <c r="Q80" s="531">
        <f>AU80</f>
        <v>623</v>
      </c>
      <c r="R80" s="531">
        <f>AT80+AX80</f>
        <v>1380</v>
      </c>
      <c r="S80" s="531">
        <f>AV80</f>
        <v>607</v>
      </c>
      <c r="T80" s="531">
        <f t="shared" ref="T80:U83" si="182">BB80</f>
        <v>1371</v>
      </c>
      <c r="U80" s="555">
        <f t="shared" si="182"/>
        <v>2312</v>
      </c>
      <c r="V80" s="531">
        <f>BG80+BJ80</f>
        <v>538</v>
      </c>
      <c r="W80" s="531">
        <f>BR80</f>
        <v>631</v>
      </c>
      <c r="X80" s="531">
        <f>BH80+BI80</f>
        <v>782</v>
      </c>
      <c r="Y80" s="531">
        <f>BK80+BL80+BN80</f>
        <v>931</v>
      </c>
      <c r="Z80" s="531">
        <f>BM80</f>
        <v>993</v>
      </c>
      <c r="AA80" s="531">
        <f>BO80+BQ80</f>
        <v>467</v>
      </c>
      <c r="AB80" s="555">
        <f>BP80</f>
        <v>515</v>
      </c>
      <c r="AC80" s="531">
        <f>BX80</f>
        <v>1174</v>
      </c>
      <c r="AD80" s="531">
        <f>BU80</f>
        <v>1103</v>
      </c>
      <c r="AE80" s="531">
        <f>BS80+BT80</f>
        <v>2272</v>
      </c>
      <c r="AF80" s="531">
        <f>CA80</f>
        <v>992</v>
      </c>
      <c r="AG80" s="531">
        <f>BV80</f>
        <v>3144</v>
      </c>
      <c r="AH80" s="531">
        <f>BZ80</f>
        <v>925</v>
      </c>
      <c r="AI80" s="531">
        <f>BW80</f>
        <v>926</v>
      </c>
      <c r="AJ80" s="531">
        <f>BY80</f>
        <v>479</v>
      </c>
      <c r="AK80" s="555">
        <f>CB80</f>
        <v>1334</v>
      </c>
      <c r="AL80" s="531">
        <f>CE80</f>
        <v>826</v>
      </c>
      <c r="AM80" s="531">
        <f>CH80</f>
        <v>1891</v>
      </c>
      <c r="AN80" s="531">
        <f>CJ80</f>
        <v>2860</v>
      </c>
      <c r="AO80" s="531">
        <f t="shared" ref="AO80:AP83" si="183">CC80</f>
        <v>1139</v>
      </c>
      <c r="AP80" s="531">
        <f t="shared" si="183"/>
        <v>412</v>
      </c>
      <c r="AQ80" s="531">
        <f>CK80</f>
        <v>1386</v>
      </c>
      <c r="AR80" s="531">
        <f>CI80</f>
        <v>1451</v>
      </c>
      <c r="AS80" s="532">
        <f>CF80+CG80</f>
        <v>2069</v>
      </c>
      <c r="AT80" s="796">
        <v>162</v>
      </c>
      <c r="AU80" s="796">
        <v>623</v>
      </c>
      <c r="AV80" s="796">
        <v>607</v>
      </c>
      <c r="AW80" s="796">
        <v>786</v>
      </c>
      <c r="AX80" s="796">
        <v>1218</v>
      </c>
      <c r="AY80" s="796">
        <v>998</v>
      </c>
      <c r="AZ80" s="796">
        <v>151</v>
      </c>
      <c r="BA80" s="796">
        <v>1674</v>
      </c>
      <c r="BB80" s="796">
        <v>1371</v>
      </c>
      <c r="BC80" s="796">
        <v>2312</v>
      </c>
      <c r="BD80" s="796">
        <v>1698</v>
      </c>
      <c r="BE80" s="796">
        <v>629</v>
      </c>
      <c r="BF80" s="797">
        <v>2175</v>
      </c>
      <c r="BG80" s="796">
        <v>71</v>
      </c>
      <c r="BH80" s="796">
        <v>51</v>
      </c>
      <c r="BI80" s="796">
        <v>731</v>
      </c>
      <c r="BJ80" s="796">
        <v>467</v>
      </c>
      <c r="BK80" s="796">
        <v>57</v>
      </c>
      <c r="BL80" s="796">
        <v>52</v>
      </c>
      <c r="BM80" s="796">
        <v>993</v>
      </c>
      <c r="BN80" s="796">
        <v>822</v>
      </c>
      <c r="BO80" s="796">
        <v>16</v>
      </c>
      <c r="BP80" s="796">
        <v>515</v>
      </c>
      <c r="BQ80" s="796">
        <v>451</v>
      </c>
      <c r="BR80" s="797">
        <v>631</v>
      </c>
      <c r="BS80" s="796">
        <v>137</v>
      </c>
      <c r="BT80" s="796">
        <v>2135</v>
      </c>
      <c r="BU80" s="796">
        <v>1103</v>
      </c>
      <c r="BV80" s="796">
        <v>3144</v>
      </c>
      <c r="BW80" s="796">
        <v>926</v>
      </c>
      <c r="BX80" s="796">
        <v>1174</v>
      </c>
      <c r="BY80" s="796">
        <v>479</v>
      </c>
      <c r="BZ80" s="796">
        <v>925</v>
      </c>
      <c r="CA80" s="796">
        <v>992</v>
      </c>
      <c r="CB80" s="797">
        <v>1334</v>
      </c>
      <c r="CC80" s="796">
        <v>1139</v>
      </c>
      <c r="CD80" s="796">
        <v>412</v>
      </c>
      <c r="CE80" s="796">
        <v>826</v>
      </c>
      <c r="CF80" s="796">
        <v>113</v>
      </c>
      <c r="CG80" s="796">
        <v>1956</v>
      </c>
      <c r="CH80" s="796">
        <v>1891</v>
      </c>
      <c r="CI80" s="796">
        <v>1451</v>
      </c>
      <c r="CJ80" s="796">
        <v>2860</v>
      </c>
      <c r="CK80" s="798">
        <v>1386</v>
      </c>
      <c r="CL80" s="799">
        <v>43644</v>
      </c>
    </row>
    <row r="81" spans="1:94">
      <c r="A81" s="80">
        <f>ROWS($A$3:A79)</f>
        <v>77</v>
      </c>
      <c r="B81" s="602" t="s">
        <v>365</v>
      </c>
      <c r="C81" s="591">
        <v>2018</v>
      </c>
      <c r="D81" s="254" t="s">
        <v>13</v>
      </c>
      <c r="E81" s="447">
        <v>43556</v>
      </c>
      <c r="F81" s="154">
        <f>SUM(AT81:BF81)</f>
        <v>1051934</v>
      </c>
      <c r="G81" s="155">
        <f>SUM(BG81:BR81)</f>
        <v>683020</v>
      </c>
      <c r="H81" s="155">
        <f>SUM(BS81:CB81)</f>
        <v>686923</v>
      </c>
      <c r="I81" s="156">
        <f>SUM(CC81:CK81)</f>
        <v>605541</v>
      </c>
      <c r="J81" s="598"/>
      <c r="K81" s="154">
        <f>BF81</f>
        <v>80307</v>
      </c>
      <c r="L81" s="155">
        <f>AY81</f>
        <v>126309</v>
      </c>
      <c r="M81" s="155">
        <f>BD81</f>
        <v>102788</v>
      </c>
      <c r="N81" s="155">
        <f>AW81</f>
        <v>54520</v>
      </c>
      <c r="O81" s="155">
        <f>BE81</f>
        <v>30671</v>
      </c>
      <c r="P81" s="155">
        <f>AZ81+BA81</f>
        <v>156058</v>
      </c>
      <c r="Q81" s="155">
        <f>AU81</f>
        <v>103910</v>
      </c>
      <c r="R81" s="155">
        <f>AT81+AX81</f>
        <v>149663</v>
      </c>
      <c r="S81" s="155">
        <f>AV81</f>
        <v>109933</v>
      </c>
      <c r="T81" s="155">
        <f t="shared" si="182"/>
        <v>52348</v>
      </c>
      <c r="U81" s="552">
        <f t="shared" si="182"/>
        <v>85427</v>
      </c>
      <c r="V81" s="155">
        <f>BG81+BJ81</f>
        <v>94413</v>
      </c>
      <c r="W81" s="155">
        <f>BR81</f>
        <v>51818</v>
      </c>
      <c r="X81" s="155">
        <f>BH81+BI81</f>
        <v>177344</v>
      </c>
      <c r="Y81" s="155">
        <f>BK81+BL81+BN81</f>
        <v>103639</v>
      </c>
      <c r="Z81" s="155">
        <f>BM81</f>
        <v>80827</v>
      </c>
      <c r="AA81" s="155">
        <f>BO81+BQ81</f>
        <v>115545</v>
      </c>
      <c r="AB81" s="552">
        <f>BP81</f>
        <v>59434</v>
      </c>
      <c r="AC81" s="155">
        <f>BX81</f>
        <v>38990</v>
      </c>
      <c r="AD81" s="155">
        <f>BU81</f>
        <v>57907</v>
      </c>
      <c r="AE81" s="155">
        <f>BS81+BT81</f>
        <v>106778</v>
      </c>
      <c r="AF81" s="155">
        <f>CA81</f>
        <v>74549</v>
      </c>
      <c r="AG81" s="155">
        <f>BV81</f>
        <v>143880</v>
      </c>
      <c r="AH81" s="155">
        <f>BZ81</f>
        <v>61673</v>
      </c>
      <c r="AI81" s="155">
        <f>BW81</f>
        <v>62398</v>
      </c>
      <c r="AJ81" s="155">
        <f>BY81</f>
        <v>75614</v>
      </c>
      <c r="AK81" s="552">
        <f>CB81</f>
        <v>65134</v>
      </c>
      <c r="AL81" s="155">
        <f>CE81</f>
        <v>105903</v>
      </c>
      <c r="AM81" s="155">
        <f>CH81</f>
        <v>75723</v>
      </c>
      <c r="AN81" s="155">
        <f>CJ81</f>
        <v>63231</v>
      </c>
      <c r="AO81" s="155">
        <f t="shared" si="183"/>
        <v>82105</v>
      </c>
      <c r="AP81" s="155">
        <f t="shared" si="183"/>
        <v>95467</v>
      </c>
      <c r="AQ81" s="155">
        <f>CK81</f>
        <v>71902</v>
      </c>
      <c r="AR81" s="155">
        <f>CI81</f>
        <v>34652</v>
      </c>
      <c r="AS81" s="156">
        <f>CF81+CG81</f>
        <v>76558</v>
      </c>
      <c r="AT81" s="155">
        <v>12790</v>
      </c>
      <c r="AU81" s="155">
        <v>103910</v>
      </c>
      <c r="AV81" s="155">
        <v>109933</v>
      </c>
      <c r="AW81" s="155">
        <v>54520</v>
      </c>
      <c r="AX81" s="155">
        <v>136873</v>
      </c>
      <c r="AY81" s="155">
        <v>126309</v>
      </c>
      <c r="AZ81" s="155">
        <v>15863</v>
      </c>
      <c r="BA81" s="155">
        <v>140195</v>
      </c>
      <c r="BB81" s="155">
        <v>52348</v>
      </c>
      <c r="BC81" s="155">
        <v>85427</v>
      </c>
      <c r="BD81" s="155">
        <v>102788</v>
      </c>
      <c r="BE81" s="155">
        <v>30671</v>
      </c>
      <c r="BF81" s="552">
        <v>80307</v>
      </c>
      <c r="BG81" s="155">
        <v>12179</v>
      </c>
      <c r="BH81" s="155">
        <v>10620</v>
      </c>
      <c r="BI81" s="155">
        <v>166724</v>
      </c>
      <c r="BJ81" s="155">
        <v>82234</v>
      </c>
      <c r="BK81" s="155">
        <v>3770</v>
      </c>
      <c r="BL81" s="155">
        <v>5418</v>
      </c>
      <c r="BM81" s="155">
        <v>80827</v>
      </c>
      <c r="BN81" s="155">
        <v>94451</v>
      </c>
      <c r="BO81" s="155">
        <v>4816</v>
      </c>
      <c r="BP81" s="155">
        <v>59434</v>
      </c>
      <c r="BQ81" s="155">
        <v>110729</v>
      </c>
      <c r="BR81" s="552">
        <v>51818</v>
      </c>
      <c r="BS81" s="155">
        <v>9346</v>
      </c>
      <c r="BT81" s="155">
        <v>97432</v>
      </c>
      <c r="BU81" s="155">
        <v>57907</v>
      </c>
      <c r="BV81" s="155">
        <v>143880</v>
      </c>
      <c r="BW81" s="155">
        <v>62398</v>
      </c>
      <c r="BX81" s="155">
        <v>38990</v>
      </c>
      <c r="BY81" s="155">
        <v>75614</v>
      </c>
      <c r="BZ81" s="155">
        <v>61673</v>
      </c>
      <c r="CA81" s="155">
        <v>74549</v>
      </c>
      <c r="CB81" s="552">
        <v>65134</v>
      </c>
      <c r="CC81" s="155">
        <v>82105</v>
      </c>
      <c r="CD81" s="155">
        <v>95467</v>
      </c>
      <c r="CE81" s="155">
        <v>105903</v>
      </c>
      <c r="CF81" s="155">
        <v>5866</v>
      </c>
      <c r="CG81" s="155">
        <v>70692</v>
      </c>
      <c r="CH81" s="155">
        <v>75723</v>
      </c>
      <c r="CI81" s="155">
        <v>34652</v>
      </c>
      <c r="CJ81" s="155">
        <v>63231</v>
      </c>
      <c r="CK81" s="156">
        <v>71902</v>
      </c>
      <c r="CL81" s="320">
        <f>SUM(AT81:CK81)</f>
        <v>3027418</v>
      </c>
    </row>
    <row r="82" spans="1:94">
      <c r="A82" s="80">
        <f>ROWS($A$3:A80)</f>
        <v>78</v>
      </c>
      <c r="B82" s="610" t="s">
        <v>367</v>
      </c>
      <c r="C82" s="591">
        <v>2018</v>
      </c>
      <c r="D82" s="254" t="s">
        <v>13</v>
      </c>
      <c r="E82" s="447">
        <v>43556</v>
      </c>
      <c r="F82" s="530">
        <f t="shared" ref="F82:AQ82" si="184">F81/F80</f>
        <v>73.030685920577611</v>
      </c>
      <c r="G82" s="531">
        <f t="shared" si="184"/>
        <v>140.62590076178711</v>
      </c>
      <c r="H82" s="531">
        <f t="shared" si="184"/>
        <v>55.625799659891491</v>
      </c>
      <c r="I82" s="532">
        <f t="shared" si="184"/>
        <v>50.31917899285358</v>
      </c>
      <c r="J82" s="598"/>
      <c r="K82" s="530">
        <f t="shared" si="184"/>
        <v>36.922758620689656</v>
      </c>
      <c r="L82" s="531">
        <f t="shared" si="184"/>
        <v>126.562124248497</v>
      </c>
      <c r="M82" s="531">
        <f t="shared" si="184"/>
        <v>60.534746760895167</v>
      </c>
      <c r="N82" s="531">
        <f t="shared" si="184"/>
        <v>69.363867684478365</v>
      </c>
      <c r="O82" s="531">
        <f t="shared" si="184"/>
        <v>48.76152623211447</v>
      </c>
      <c r="P82" s="531">
        <f>P81/P80</f>
        <v>85.511232876712327</v>
      </c>
      <c r="Q82" s="531">
        <f t="shared" si="184"/>
        <v>166.78972712680579</v>
      </c>
      <c r="R82" s="531">
        <f t="shared" si="184"/>
        <v>108.45144927536232</v>
      </c>
      <c r="S82" s="531">
        <f t="shared" si="184"/>
        <v>181.10873146622734</v>
      </c>
      <c r="T82" s="531">
        <f t="shared" si="184"/>
        <v>38.182348650619986</v>
      </c>
      <c r="U82" s="555">
        <f t="shared" si="184"/>
        <v>36.949394463667822</v>
      </c>
      <c r="V82" s="531">
        <f t="shared" si="184"/>
        <v>175.48884758364312</v>
      </c>
      <c r="W82" s="531">
        <f t="shared" si="184"/>
        <v>82.120443740095084</v>
      </c>
      <c r="X82" s="531">
        <f t="shared" si="184"/>
        <v>226.78260869565219</v>
      </c>
      <c r="Y82" s="531">
        <f t="shared" si="184"/>
        <v>111.32008592910849</v>
      </c>
      <c r="Z82" s="531">
        <f t="shared" si="184"/>
        <v>81.39677744209466</v>
      </c>
      <c r="AA82" s="531">
        <f t="shared" si="184"/>
        <v>247.41970021413277</v>
      </c>
      <c r="AB82" s="555">
        <f t="shared" si="184"/>
        <v>115.40582524271845</v>
      </c>
      <c r="AC82" s="531">
        <f t="shared" si="184"/>
        <v>33.211243611584329</v>
      </c>
      <c r="AD82" s="531">
        <f t="shared" si="184"/>
        <v>52.499546690843154</v>
      </c>
      <c r="AE82" s="531">
        <f t="shared" si="184"/>
        <v>46.997359154929576</v>
      </c>
      <c r="AF82" s="531">
        <f t="shared" si="184"/>
        <v>75.150201612903231</v>
      </c>
      <c r="AG82" s="531">
        <f t="shared" si="184"/>
        <v>45.763358778625957</v>
      </c>
      <c r="AH82" s="531">
        <f t="shared" si="184"/>
        <v>66.673513513513512</v>
      </c>
      <c r="AI82" s="531">
        <f t="shared" si="184"/>
        <v>67.384449244060477</v>
      </c>
      <c r="AJ82" s="531">
        <f t="shared" si="184"/>
        <v>157.8580375782881</v>
      </c>
      <c r="AK82" s="555">
        <f t="shared" si="184"/>
        <v>48.826086956521742</v>
      </c>
      <c r="AL82" s="531">
        <f t="shared" si="184"/>
        <v>128.21186440677965</v>
      </c>
      <c r="AM82" s="531">
        <f t="shared" si="184"/>
        <v>40.04389212057113</v>
      </c>
      <c r="AN82" s="531">
        <f t="shared" si="184"/>
        <v>22.108741258741258</v>
      </c>
      <c r="AO82" s="531">
        <f t="shared" si="184"/>
        <v>72.085162423178232</v>
      </c>
      <c r="AP82" s="531">
        <f t="shared" si="184"/>
        <v>231.71601941747574</v>
      </c>
      <c r="AQ82" s="531">
        <f t="shared" si="184"/>
        <v>51.877344877344875</v>
      </c>
      <c r="AR82" s="531">
        <f>AR81/AR80</f>
        <v>23.88146106133701</v>
      </c>
      <c r="AS82" s="532">
        <f>AS81/AS80</f>
        <v>37.002416626389561</v>
      </c>
      <c r="AT82" s="531">
        <f>IF(OR(AT80&lt;0.1,AT81&lt;0.1),0,AT81/AT80)</f>
        <v>78.950617283950621</v>
      </c>
      <c r="AU82" s="531">
        <f>IF(OR(AU80&lt;0.1,AU81&lt;0.1),0,AU81/AU80)</f>
        <v>166.78972712680579</v>
      </c>
      <c r="AV82" s="531">
        <f t="shared" ref="AV82:CK82" si="185">IF(OR(AV80&lt;0.1,AV81&lt;0.1),0,AV81/AV80)</f>
        <v>181.10873146622734</v>
      </c>
      <c r="AW82" s="531">
        <f t="shared" si="185"/>
        <v>69.363867684478365</v>
      </c>
      <c r="AX82" s="531">
        <f>IF(OR(AX80&lt;0.1,AX81&lt;0.1),0,AX81/AX80)</f>
        <v>112.37520525451561</v>
      </c>
      <c r="AY82" s="531">
        <f t="shared" si="185"/>
        <v>126.562124248497</v>
      </c>
      <c r="AZ82" s="531">
        <f t="shared" si="185"/>
        <v>105.05298013245033</v>
      </c>
      <c r="BA82" s="531">
        <f t="shared" si="185"/>
        <v>83.748506571087219</v>
      </c>
      <c r="BB82" s="531">
        <f t="shared" si="185"/>
        <v>38.182348650619986</v>
      </c>
      <c r="BC82" s="531">
        <f t="shared" si="185"/>
        <v>36.949394463667822</v>
      </c>
      <c r="BD82" s="531">
        <f t="shared" si="185"/>
        <v>60.534746760895167</v>
      </c>
      <c r="BE82" s="531">
        <f t="shared" si="185"/>
        <v>48.76152623211447</v>
      </c>
      <c r="BF82" s="555">
        <f t="shared" si="185"/>
        <v>36.922758620689656</v>
      </c>
      <c r="BG82" s="531">
        <f t="shared" si="185"/>
        <v>171.53521126760563</v>
      </c>
      <c r="BH82" s="531">
        <f>IF(OR(BH80&lt;0.1,BH81&lt;0.1),0,BH81/BH80)</f>
        <v>208.23529411764707</v>
      </c>
      <c r="BI82" s="531">
        <f>IF(OR(BI80&lt;0.1,BI81&lt;0.1),0,BI81/BI80)</f>
        <v>228.07660738714091</v>
      </c>
      <c r="BJ82" s="531">
        <f>IF(OR(BJ80&lt;0.1,BJ81&lt;0.1),0,BJ81/BJ80)</f>
        <v>176.0899357601713</v>
      </c>
      <c r="BK82" s="531">
        <f t="shared" si="185"/>
        <v>66.140350877192986</v>
      </c>
      <c r="BL82" s="531">
        <f t="shared" si="185"/>
        <v>104.19230769230769</v>
      </c>
      <c r="BM82" s="531">
        <f>IF(OR(BM80&lt;0.1,BM81&lt;0.1),0,BM81/BM80)</f>
        <v>81.39677744209466</v>
      </c>
      <c r="BN82" s="531">
        <f t="shared" si="185"/>
        <v>114.90389294403893</v>
      </c>
      <c r="BO82" s="531">
        <f t="shared" si="185"/>
        <v>301</v>
      </c>
      <c r="BP82" s="531">
        <f t="shared" si="185"/>
        <v>115.40582524271845</v>
      </c>
      <c r="BQ82" s="531">
        <f>IF(OR(BQ80&lt;0.1,BQ81&lt;0.1),0,BQ81/BQ80)</f>
        <v>245.5188470066519</v>
      </c>
      <c r="BR82" s="555">
        <f t="shared" si="185"/>
        <v>82.120443740095084</v>
      </c>
      <c r="BS82" s="531">
        <f t="shared" si="185"/>
        <v>68.21897810218978</v>
      </c>
      <c r="BT82" s="531">
        <f t="shared" si="185"/>
        <v>45.635597189695552</v>
      </c>
      <c r="BU82" s="531">
        <f t="shared" si="185"/>
        <v>52.499546690843154</v>
      </c>
      <c r="BV82" s="531">
        <f t="shared" si="185"/>
        <v>45.763358778625957</v>
      </c>
      <c r="BW82" s="531">
        <f t="shared" si="185"/>
        <v>67.384449244060477</v>
      </c>
      <c r="BX82" s="531">
        <f t="shared" si="185"/>
        <v>33.211243611584329</v>
      </c>
      <c r="BY82" s="531">
        <f t="shared" si="185"/>
        <v>157.8580375782881</v>
      </c>
      <c r="BZ82" s="531">
        <f t="shared" si="185"/>
        <v>66.673513513513512</v>
      </c>
      <c r="CA82" s="531">
        <f t="shared" si="185"/>
        <v>75.150201612903231</v>
      </c>
      <c r="CB82" s="555">
        <f t="shared" si="185"/>
        <v>48.826086956521742</v>
      </c>
      <c r="CC82" s="531">
        <f t="shared" si="185"/>
        <v>72.085162423178232</v>
      </c>
      <c r="CD82" s="531">
        <f t="shared" si="185"/>
        <v>231.71601941747574</v>
      </c>
      <c r="CE82" s="531">
        <f t="shared" si="185"/>
        <v>128.21186440677965</v>
      </c>
      <c r="CF82" s="531">
        <f t="shared" si="185"/>
        <v>51.911504424778762</v>
      </c>
      <c r="CG82" s="531">
        <f t="shared" si="185"/>
        <v>36.141104294478531</v>
      </c>
      <c r="CH82" s="531">
        <f t="shared" si="185"/>
        <v>40.04389212057113</v>
      </c>
      <c r="CI82" s="531">
        <f t="shared" si="185"/>
        <v>23.88146106133701</v>
      </c>
      <c r="CJ82" s="531">
        <f t="shared" si="185"/>
        <v>22.108741258741258</v>
      </c>
      <c r="CK82" s="532">
        <f t="shared" si="185"/>
        <v>51.877344877344875</v>
      </c>
      <c r="CL82" s="556">
        <f>IF(OR(CL80&lt;0.1,CL81&lt;0.1),0,CL81/CL80)</f>
        <v>69.366190083402074</v>
      </c>
    </row>
    <row r="83" spans="1:94">
      <c r="A83" s="80">
        <f>ROWS($A$3:A81)</f>
        <v>79</v>
      </c>
      <c r="B83" s="92" t="s">
        <v>366</v>
      </c>
      <c r="C83" s="203">
        <v>2020</v>
      </c>
      <c r="D83" s="259" t="s">
        <v>13</v>
      </c>
      <c r="E83" s="706">
        <v>44497</v>
      </c>
      <c r="F83" s="154">
        <f>SUM(AT83:BF83)</f>
        <v>1316201</v>
      </c>
      <c r="G83" s="155">
        <f>SUM(BG83:BR83)</f>
        <v>813039</v>
      </c>
      <c r="H83" s="155">
        <f>SUM(BS83:CB83)</f>
        <v>903625</v>
      </c>
      <c r="I83" s="156">
        <f>SUM(CC83:CK83)</f>
        <v>800082</v>
      </c>
      <c r="J83" s="598"/>
      <c r="K83" s="547">
        <f>BF83</f>
        <v>114258</v>
      </c>
      <c r="L83" s="548">
        <f>AY83</f>
        <v>145813</v>
      </c>
      <c r="M83" s="548">
        <f>BD83</f>
        <v>136869</v>
      </c>
      <c r="N83" s="548">
        <f>AW83</f>
        <v>71800</v>
      </c>
      <c r="O83" s="548">
        <f>BE83</f>
        <v>43592</v>
      </c>
      <c r="P83" s="548">
        <f>AZ83+BA83</f>
        <v>187248</v>
      </c>
      <c r="Q83" s="548">
        <f>AU83</f>
        <v>118294</v>
      </c>
      <c r="R83" s="548">
        <f>AT83+AX83</f>
        <v>177816</v>
      </c>
      <c r="S83" s="548">
        <f>AV83</f>
        <v>125944</v>
      </c>
      <c r="T83" s="548">
        <f t="shared" si="182"/>
        <v>69817</v>
      </c>
      <c r="U83" s="570">
        <f t="shared" si="182"/>
        <v>124750</v>
      </c>
      <c r="V83" s="548">
        <f>BG83+BJ83</f>
        <v>109612</v>
      </c>
      <c r="W83" s="548">
        <f>BR83</f>
        <v>63680</v>
      </c>
      <c r="X83" s="548">
        <f>BH83+BI83</f>
        <v>203814</v>
      </c>
      <c r="Y83" s="548">
        <f>BK83+BL83+BN83</f>
        <v>129496</v>
      </c>
      <c r="Z83" s="548">
        <f>BM83</f>
        <v>106288</v>
      </c>
      <c r="AA83" s="548">
        <f>BO83+BQ83</f>
        <v>131207</v>
      </c>
      <c r="AB83" s="570">
        <f>BP83</f>
        <v>68942</v>
      </c>
      <c r="AC83" s="548">
        <f>BX83</f>
        <v>64715</v>
      </c>
      <c r="AD83" s="548">
        <f>BU83</f>
        <v>70223</v>
      </c>
      <c r="AE83" s="548">
        <f>BS83+BT83</f>
        <v>135370</v>
      </c>
      <c r="AF83" s="548">
        <f>CA83</f>
        <v>91854</v>
      </c>
      <c r="AG83" s="548">
        <f>BV83</f>
        <v>200064</v>
      </c>
      <c r="AH83" s="548">
        <f>BZ83</f>
        <v>85425</v>
      </c>
      <c r="AI83" s="548">
        <f>BW83</f>
        <v>82258</v>
      </c>
      <c r="AJ83" s="548">
        <f>BY83</f>
        <v>87802</v>
      </c>
      <c r="AK83" s="570">
        <f>CB83</f>
        <v>85914</v>
      </c>
      <c r="AL83" s="548">
        <f>CE83</f>
        <v>122655</v>
      </c>
      <c r="AM83" s="548">
        <f>CH83</f>
        <v>99296</v>
      </c>
      <c r="AN83" s="548">
        <f>CJ83</f>
        <v>108063</v>
      </c>
      <c r="AO83" s="548">
        <f t="shared" si="183"/>
        <v>100825</v>
      </c>
      <c r="AP83" s="548">
        <f t="shared" si="183"/>
        <v>108641</v>
      </c>
      <c r="AQ83" s="548">
        <f>CK83</f>
        <v>97112</v>
      </c>
      <c r="AR83" s="548">
        <f>CI83</f>
        <v>55223</v>
      </c>
      <c r="AS83" s="549">
        <f>CF83+CG83</f>
        <v>108267</v>
      </c>
      <c r="AT83" s="155">
        <v>14628</v>
      </c>
      <c r="AU83" s="155">
        <v>118294</v>
      </c>
      <c r="AV83" s="155">
        <v>125944</v>
      </c>
      <c r="AW83" s="155">
        <v>71800</v>
      </c>
      <c r="AX83" s="155">
        <v>163188</v>
      </c>
      <c r="AY83" s="155">
        <v>145813</v>
      </c>
      <c r="AZ83" s="155">
        <v>21400</v>
      </c>
      <c r="BA83" s="155">
        <v>165848</v>
      </c>
      <c r="BB83" s="155">
        <v>69817</v>
      </c>
      <c r="BC83" s="155">
        <v>124750</v>
      </c>
      <c r="BD83" s="155">
        <v>136869</v>
      </c>
      <c r="BE83" s="155">
        <v>43592</v>
      </c>
      <c r="BF83" s="552">
        <v>114258</v>
      </c>
      <c r="BG83" s="155">
        <v>12156</v>
      </c>
      <c r="BH83" s="155">
        <v>13106</v>
      </c>
      <c r="BI83" s="155">
        <v>190708</v>
      </c>
      <c r="BJ83" s="155">
        <v>97456</v>
      </c>
      <c r="BK83" s="155">
        <v>4787</v>
      </c>
      <c r="BL83" s="155">
        <v>8776</v>
      </c>
      <c r="BM83" s="155">
        <v>106288</v>
      </c>
      <c r="BN83" s="155">
        <v>115933</v>
      </c>
      <c r="BO83" s="155">
        <v>5096</v>
      </c>
      <c r="BP83" s="155">
        <v>68942</v>
      </c>
      <c r="BQ83" s="155">
        <v>126111</v>
      </c>
      <c r="BR83" s="552">
        <v>63680</v>
      </c>
      <c r="BS83" s="155">
        <v>11383</v>
      </c>
      <c r="BT83" s="155">
        <v>123987</v>
      </c>
      <c r="BU83" s="155">
        <v>70223</v>
      </c>
      <c r="BV83" s="155">
        <v>200064</v>
      </c>
      <c r="BW83" s="155">
        <v>82258</v>
      </c>
      <c r="BX83" s="155">
        <v>64715</v>
      </c>
      <c r="BY83" s="155">
        <v>87802</v>
      </c>
      <c r="BZ83" s="155">
        <v>85425</v>
      </c>
      <c r="CA83" s="155">
        <v>91854</v>
      </c>
      <c r="CB83" s="552">
        <v>85914</v>
      </c>
      <c r="CC83" s="155">
        <v>100825</v>
      </c>
      <c r="CD83" s="155">
        <v>108641</v>
      </c>
      <c r="CE83" s="155">
        <v>122655</v>
      </c>
      <c r="CF83" s="155">
        <v>7528</v>
      </c>
      <c r="CG83" s="155">
        <v>100739</v>
      </c>
      <c r="CH83" s="155">
        <v>99296</v>
      </c>
      <c r="CI83" s="155">
        <v>55223</v>
      </c>
      <c r="CJ83" s="155">
        <v>108063</v>
      </c>
      <c r="CK83" s="156">
        <v>97112</v>
      </c>
      <c r="CL83" s="320">
        <v>3832947</v>
      </c>
    </row>
    <row r="84" spans="1:94">
      <c r="A84" s="80">
        <f>ROWS($A$3:A82)</f>
        <v>80</v>
      </c>
      <c r="B84" s="92" t="s">
        <v>368</v>
      </c>
      <c r="C84" s="202">
        <v>2020</v>
      </c>
      <c r="D84" s="259" t="s">
        <v>13</v>
      </c>
      <c r="E84" s="706">
        <v>44497</v>
      </c>
      <c r="F84" s="154">
        <f>F83/F80</f>
        <v>91.377464593168568</v>
      </c>
      <c r="G84" s="155">
        <f>G83/G80</f>
        <v>167.39530574428659</v>
      </c>
      <c r="H84" s="155">
        <f>H83/H80</f>
        <v>73.173941209814558</v>
      </c>
      <c r="I84" s="156">
        <f>I83/I80</f>
        <v>66.485125477812858</v>
      </c>
      <c r="J84" s="281"/>
      <c r="K84" s="154">
        <f t="shared" ref="K84:BV84" si="186">K83/K80</f>
        <v>52.532413793103451</v>
      </c>
      <c r="L84" s="155">
        <f t="shared" si="186"/>
        <v>146.10521042084167</v>
      </c>
      <c r="M84" s="155">
        <f t="shared" si="186"/>
        <v>80.60600706713781</v>
      </c>
      <c r="N84" s="155">
        <f t="shared" si="186"/>
        <v>91.348600508905847</v>
      </c>
      <c r="O84" s="155">
        <f t="shared" si="186"/>
        <v>69.30365659777425</v>
      </c>
      <c r="P84" s="155">
        <f t="shared" si="186"/>
        <v>102.60164383561644</v>
      </c>
      <c r="Q84" s="155">
        <f t="shared" si="186"/>
        <v>189.87800963081861</v>
      </c>
      <c r="R84" s="155">
        <f t="shared" si="186"/>
        <v>128.85217391304349</v>
      </c>
      <c r="S84" s="155">
        <f t="shared" si="186"/>
        <v>207.48599670510708</v>
      </c>
      <c r="T84" s="155">
        <f t="shared" si="186"/>
        <v>50.924142961342085</v>
      </c>
      <c r="U84" s="552">
        <f t="shared" si="186"/>
        <v>53.957612456747405</v>
      </c>
      <c r="V84" s="155">
        <f t="shared" si="186"/>
        <v>203.73977695167287</v>
      </c>
      <c r="W84" s="155">
        <f t="shared" si="186"/>
        <v>100.91917591125198</v>
      </c>
      <c r="X84" s="155">
        <f t="shared" si="186"/>
        <v>260.63171355498719</v>
      </c>
      <c r="Y84" s="155">
        <f t="shared" si="186"/>
        <v>139.09344790547797</v>
      </c>
      <c r="Z84" s="155">
        <f t="shared" si="186"/>
        <v>107.03726082578046</v>
      </c>
      <c r="AA84" s="155">
        <f t="shared" si="186"/>
        <v>280.95717344753746</v>
      </c>
      <c r="AB84" s="552">
        <f t="shared" si="186"/>
        <v>133.86796116504854</v>
      </c>
      <c r="AC84" s="155">
        <f t="shared" si="186"/>
        <v>55.12350936967632</v>
      </c>
      <c r="AD84" s="155">
        <f t="shared" si="186"/>
        <v>63.665457842248415</v>
      </c>
      <c r="AE84" s="155">
        <f t="shared" si="186"/>
        <v>59.581866197183096</v>
      </c>
      <c r="AF84" s="155">
        <f t="shared" si="186"/>
        <v>92.594758064516128</v>
      </c>
      <c r="AG84" s="155">
        <f t="shared" si="186"/>
        <v>63.63358778625954</v>
      </c>
      <c r="AH84" s="155">
        <f t="shared" si="186"/>
        <v>92.351351351351354</v>
      </c>
      <c r="AI84" s="155">
        <f t="shared" si="186"/>
        <v>88.831533477321813</v>
      </c>
      <c r="AJ84" s="155">
        <f t="shared" si="186"/>
        <v>183.30271398747391</v>
      </c>
      <c r="AK84" s="552">
        <f t="shared" si="186"/>
        <v>64.403298350824585</v>
      </c>
      <c r="AL84" s="155">
        <f t="shared" si="186"/>
        <v>148.49273607748185</v>
      </c>
      <c r="AM84" s="155">
        <f t="shared" si="186"/>
        <v>52.509783183500794</v>
      </c>
      <c r="AN84" s="155">
        <f t="shared" si="186"/>
        <v>37.784265734265738</v>
      </c>
      <c r="AO84" s="155">
        <f t="shared" si="186"/>
        <v>88.520632133450391</v>
      </c>
      <c r="AP84" s="155">
        <f t="shared" si="186"/>
        <v>263.69174757281553</v>
      </c>
      <c r="AQ84" s="155">
        <f t="shared" si="186"/>
        <v>70.066378066378064</v>
      </c>
      <c r="AR84" s="155">
        <f t="shared" si="186"/>
        <v>38.058580289455548</v>
      </c>
      <c r="AS84" s="156">
        <f t="shared" si="186"/>
        <v>52.328177863702273</v>
      </c>
      <c r="AT84" s="801">
        <f t="shared" si="186"/>
        <v>90.296296296296291</v>
      </c>
      <c r="AU84" s="801">
        <f t="shared" si="186"/>
        <v>189.87800963081861</v>
      </c>
      <c r="AV84" s="801">
        <f t="shared" si="186"/>
        <v>207.48599670510708</v>
      </c>
      <c r="AW84" s="801">
        <f t="shared" si="186"/>
        <v>91.348600508905847</v>
      </c>
      <c r="AX84" s="801">
        <f t="shared" si="186"/>
        <v>133.98029556650246</v>
      </c>
      <c r="AY84" s="801">
        <f t="shared" si="186"/>
        <v>146.10521042084167</v>
      </c>
      <c r="AZ84" s="801">
        <f t="shared" si="186"/>
        <v>141.72185430463577</v>
      </c>
      <c r="BA84" s="801">
        <f t="shared" si="186"/>
        <v>99.072879330943849</v>
      </c>
      <c r="BB84" s="801">
        <f t="shared" si="186"/>
        <v>50.924142961342085</v>
      </c>
      <c r="BC84" s="801">
        <f t="shared" si="186"/>
        <v>53.957612456747405</v>
      </c>
      <c r="BD84" s="801">
        <f t="shared" si="186"/>
        <v>80.60600706713781</v>
      </c>
      <c r="BE84" s="801">
        <f t="shared" si="186"/>
        <v>69.30365659777425</v>
      </c>
      <c r="BF84" s="802">
        <f t="shared" si="186"/>
        <v>52.532413793103451</v>
      </c>
      <c r="BG84" s="801">
        <f t="shared" si="186"/>
        <v>171.21126760563379</v>
      </c>
      <c r="BH84" s="801">
        <f t="shared" si="186"/>
        <v>256.98039215686276</v>
      </c>
      <c r="BI84" s="801">
        <f t="shared" si="186"/>
        <v>260.88645690834471</v>
      </c>
      <c r="BJ84" s="801">
        <f t="shared" si="186"/>
        <v>208.68522483940043</v>
      </c>
      <c r="BK84" s="801">
        <f t="shared" si="186"/>
        <v>83.982456140350877</v>
      </c>
      <c r="BL84" s="801">
        <f t="shared" si="186"/>
        <v>168.76923076923077</v>
      </c>
      <c r="BM84" s="801">
        <f t="shared" si="186"/>
        <v>107.03726082578046</v>
      </c>
      <c r="BN84" s="801">
        <f t="shared" si="186"/>
        <v>141.03771289537713</v>
      </c>
      <c r="BO84" s="801">
        <f t="shared" si="186"/>
        <v>318.5</v>
      </c>
      <c r="BP84" s="801">
        <f t="shared" si="186"/>
        <v>133.86796116504854</v>
      </c>
      <c r="BQ84" s="801">
        <f t="shared" si="186"/>
        <v>279.62527716186253</v>
      </c>
      <c r="BR84" s="802">
        <f t="shared" si="186"/>
        <v>100.91917591125198</v>
      </c>
      <c r="BS84" s="801">
        <f t="shared" si="186"/>
        <v>83.087591240875909</v>
      </c>
      <c r="BT84" s="801">
        <f t="shared" si="186"/>
        <v>58.073536299765806</v>
      </c>
      <c r="BU84" s="801">
        <f t="shared" si="186"/>
        <v>63.665457842248415</v>
      </c>
      <c r="BV84" s="801">
        <f t="shared" si="186"/>
        <v>63.63358778625954</v>
      </c>
      <c r="BW84" s="801">
        <f t="shared" ref="BW84:CL84" si="187">BW83/BW80</f>
        <v>88.831533477321813</v>
      </c>
      <c r="BX84" s="801">
        <f t="shared" si="187"/>
        <v>55.12350936967632</v>
      </c>
      <c r="BY84" s="801">
        <f t="shared" si="187"/>
        <v>183.30271398747391</v>
      </c>
      <c r="BZ84" s="801">
        <f t="shared" si="187"/>
        <v>92.351351351351354</v>
      </c>
      <c r="CA84" s="801">
        <f t="shared" si="187"/>
        <v>92.594758064516128</v>
      </c>
      <c r="CB84" s="802">
        <f t="shared" si="187"/>
        <v>64.403298350824585</v>
      </c>
      <c r="CC84" s="801">
        <f t="shared" si="187"/>
        <v>88.520632133450391</v>
      </c>
      <c r="CD84" s="801">
        <f t="shared" si="187"/>
        <v>263.69174757281553</v>
      </c>
      <c r="CE84" s="801">
        <f t="shared" si="187"/>
        <v>148.49273607748185</v>
      </c>
      <c r="CF84" s="801">
        <f t="shared" si="187"/>
        <v>66.619469026548671</v>
      </c>
      <c r="CG84" s="801">
        <f t="shared" si="187"/>
        <v>51.502556237218812</v>
      </c>
      <c r="CH84" s="801">
        <f t="shared" si="187"/>
        <v>52.509783183500794</v>
      </c>
      <c r="CI84" s="801">
        <f t="shared" si="187"/>
        <v>38.058580289455548</v>
      </c>
      <c r="CJ84" s="801">
        <f t="shared" si="187"/>
        <v>37.784265734265738</v>
      </c>
      <c r="CK84" s="803">
        <f t="shared" si="187"/>
        <v>70.066378066378064</v>
      </c>
      <c r="CL84" s="615">
        <f t="shared" si="187"/>
        <v>87.82299972504812</v>
      </c>
    </row>
    <row r="85" spans="1:94">
      <c r="A85" s="80">
        <f>ROWS($A$3:A83)</f>
        <v>81</v>
      </c>
      <c r="B85" s="54"/>
      <c r="C85" s="266"/>
      <c r="D85" s="259"/>
      <c r="E85" s="451"/>
      <c r="F85" s="550"/>
      <c r="G85" s="550"/>
      <c r="H85" s="550"/>
      <c r="I85" s="551"/>
      <c r="J85" s="599"/>
      <c r="K85" s="154"/>
      <c r="L85" s="155"/>
      <c r="M85" s="155"/>
      <c r="N85" s="155"/>
      <c r="O85" s="155"/>
      <c r="P85" s="531"/>
      <c r="Q85" s="155"/>
      <c r="R85" s="531"/>
      <c r="S85" s="155"/>
      <c r="T85" s="155"/>
      <c r="U85" s="552"/>
      <c r="V85" s="531"/>
      <c r="W85" s="155"/>
      <c r="X85" s="531"/>
      <c r="Y85" s="531"/>
      <c r="Z85" s="155"/>
      <c r="AA85" s="531"/>
      <c r="AB85" s="552"/>
      <c r="AC85" s="155"/>
      <c r="AD85" s="155"/>
      <c r="AE85" s="531"/>
      <c r="AF85" s="155"/>
      <c r="AG85" s="155"/>
      <c r="AH85" s="155"/>
      <c r="AI85" s="155"/>
      <c r="AJ85" s="155"/>
      <c r="AK85" s="552"/>
      <c r="AL85" s="155"/>
      <c r="AM85" s="155"/>
      <c r="AN85" s="155"/>
      <c r="AO85" s="155"/>
      <c r="AP85" s="155"/>
      <c r="AQ85" s="155"/>
      <c r="AR85" s="155"/>
      <c r="AS85" s="532"/>
      <c r="AT85" s="155"/>
      <c r="AU85" s="550"/>
      <c r="AV85" s="550"/>
      <c r="AW85" s="550"/>
      <c r="AX85" s="550"/>
      <c r="AY85" s="550"/>
      <c r="AZ85" s="550"/>
      <c r="BA85" s="550"/>
      <c r="BB85" s="550"/>
      <c r="BC85" s="550"/>
      <c r="BD85" s="550"/>
      <c r="BE85" s="550"/>
      <c r="BF85" s="572"/>
      <c r="BG85" s="550"/>
      <c r="BH85" s="550"/>
      <c r="BI85" s="550"/>
      <c r="BJ85" s="550"/>
      <c r="BK85" s="550"/>
      <c r="BL85" s="550"/>
      <c r="BM85" s="550"/>
      <c r="BN85" s="550"/>
      <c r="BO85" s="550"/>
      <c r="BP85" s="550"/>
      <c r="BQ85" s="550"/>
      <c r="BR85" s="572"/>
      <c r="BS85" s="550"/>
      <c r="BT85" s="550"/>
      <c r="BU85" s="550"/>
      <c r="BV85" s="550"/>
      <c r="BW85" s="550"/>
      <c r="BX85" s="550"/>
      <c r="BY85" s="550"/>
      <c r="BZ85" s="550"/>
      <c r="CA85" s="550"/>
      <c r="CB85" s="572"/>
      <c r="CC85" s="550"/>
      <c r="CD85" s="550"/>
      <c r="CE85" s="550"/>
      <c r="CF85" s="550"/>
      <c r="CG85" s="550"/>
      <c r="CH85" s="550"/>
      <c r="CI85" s="550"/>
      <c r="CJ85" s="550"/>
      <c r="CK85" s="550"/>
      <c r="CL85" s="320"/>
    </row>
    <row r="86" spans="1:94">
      <c r="A86" s="80">
        <f>ROWS($A$3:A84)</f>
        <v>82</v>
      </c>
      <c r="B86" s="59" t="s">
        <v>189</v>
      </c>
      <c r="C86" s="586">
        <v>2019</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4" ht="12.75" customHeight="1">
      <c r="A87" s="80">
        <f>ROWS($A$3:A85)</f>
        <v>83</v>
      </c>
      <c r="B87" s="388" t="s">
        <v>292</v>
      </c>
      <c r="C87" s="205"/>
      <c r="D87" s="259" t="s">
        <v>188</v>
      </c>
      <c r="E87" s="706">
        <v>44427</v>
      </c>
      <c r="F87" s="154">
        <v>29491</v>
      </c>
      <c r="G87" s="281">
        <v>20208</v>
      </c>
      <c r="H87" s="281">
        <v>17936</v>
      </c>
      <c r="I87" s="156">
        <v>32722</v>
      </c>
      <c r="J87" s="382"/>
      <c r="K87" s="381">
        <f>BF87</f>
        <v>35569</v>
      </c>
      <c r="L87" s="384">
        <f>AY87</f>
        <v>25929</v>
      </c>
      <c r="M87" s="384">
        <f>BD87</f>
        <v>18312</v>
      </c>
      <c r="N87" s="384">
        <f>AW87</f>
        <v>25335</v>
      </c>
      <c r="O87" s="384">
        <f>BE87</f>
        <v>38709</v>
      </c>
      <c r="P87" s="384">
        <f>BA87</f>
        <v>28139</v>
      </c>
      <c r="Q87" s="384">
        <f>'2008'!AU87</f>
        <v>31866</v>
      </c>
      <c r="R87" s="384">
        <f>AX87</f>
        <v>43506</v>
      </c>
      <c r="S87" s="384">
        <f>AV87</f>
        <v>46793</v>
      </c>
      <c r="T87" s="384">
        <f>BB87</f>
        <v>32447</v>
      </c>
      <c r="U87" s="385">
        <f>BC87</f>
        <v>35579</v>
      </c>
      <c r="V87" s="384">
        <f>BJ87</f>
        <v>16214</v>
      </c>
      <c r="W87" s="384">
        <f>BR87</f>
        <v>16180</v>
      </c>
      <c r="X87" s="384">
        <f>BI87</f>
        <v>23770</v>
      </c>
      <c r="Y87" s="384">
        <f>BN87</f>
        <v>32668</v>
      </c>
      <c r="Z87" s="384">
        <f>BM87</f>
        <v>14122</v>
      </c>
      <c r="AA87" s="384">
        <f>BQ87</f>
        <v>25129</v>
      </c>
      <c r="AB87" s="385">
        <f>BP87</f>
        <v>18094</v>
      </c>
      <c r="AC87" s="384">
        <f>BX87</f>
        <v>20360</v>
      </c>
      <c r="AD87" s="384">
        <f>BU87</f>
        <v>32095</v>
      </c>
      <c r="AE87" s="384">
        <f>BT87</f>
        <v>25189</v>
      </c>
      <c r="AF87" s="384">
        <f>CA87</f>
        <v>22452</v>
      </c>
      <c r="AG87" s="384">
        <f>BV87</f>
        <v>25300</v>
      </c>
      <c r="AH87" s="384">
        <f>BZ87</f>
        <v>23246</v>
      </c>
      <c r="AI87" s="384">
        <f>BW87</f>
        <v>15691</v>
      </c>
      <c r="AJ87" s="384">
        <f>BY87</f>
        <v>17637</v>
      </c>
      <c r="AK87" s="385">
        <f>CB87</f>
        <v>21064</v>
      </c>
      <c r="AL87" s="384">
        <f>CE87</f>
        <v>16141</v>
      </c>
      <c r="AM87" s="384">
        <f>CH87</f>
        <v>39487</v>
      </c>
      <c r="AN87" s="384">
        <f>CJ87</f>
        <v>33934</v>
      </c>
      <c r="AO87" s="384">
        <f>CC87</f>
        <v>23491</v>
      </c>
      <c r="AP87" s="384">
        <f>CD87</f>
        <v>23129</v>
      </c>
      <c r="AQ87" s="384">
        <f>CK87</f>
        <v>23665</v>
      </c>
      <c r="AR87" s="384">
        <f>CI87</f>
        <v>37451</v>
      </c>
      <c r="AS87" s="383">
        <f>(CG100*CG87)/(CG100)</f>
        <v>39618</v>
      </c>
      <c r="AT87" s="384" t="s">
        <v>304</v>
      </c>
      <c r="AU87" s="382">
        <v>34524</v>
      </c>
      <c r="AV87" s="382">
        <v>46793</v>
      </c>
      <c r="AW87" s="382">
        <v>25335</v>
      </c>
      <c r="AX87" s="382">
        <v>43506</v>
      </c>
      <c r="AY87" s="382">
        <v>25929</v>
      </c>
      <c r="AZ87" s="384" t="s">
        <v>304</v>
      </c>
      <c r="BA87" s="382">
        <v>28139</v>
      </c>
      <c r="BB87" s="382">
        <v>32447</v>
      </c>
      <c r="BC87" s="382">
        <v>35579</v>
      </c>
      <c r="BD87" s="382">
        <v>18312</v>
      </c>
      <c r="BE87" s="382">
        <v>38709</v>
      </c>
      <c r="BF87" s="385">
        <v>35569</v>
      </c>
      <c r="BG87" s="384" t="s">
        <v>304</v>
      </c>
      <c r="BH87" s="384" t="s">
        <v>304</v>
      </c>
      <c r="BI87" s="382">
        <v>23770</v>
      </c>
      <c r="BJ87" s="382">
        <v>16214</v>
      </c>
      <c r="BK87" s="384" t="s">
        <v>304</v>
      </c>
      <c r="BL87" s="382" t="s">
        <v>304</v>
      </c>
      <c r="BM87" s="382">
        <v>14122</v>
      </c>
      <c r="BN87" s="382">
        <v>32668</v>
      </c>
      <c r="BO87" s="384" t="s">
        <v>304</v>
      </c>
      <c r="BP87" s="382">
        <v>18094</v>
      </c>
      <c r="BQ87" s="382">
        <v>25129</v>
      </c>
      <c r="BR87" s="385">
        <v>16180</v>
      </c>
      <c r="BS87" s="384" t="s">
        <v>304</v>
      </c>
      <c r="BT87" s="382">
        <v>25189</v>
      </c>
      <c r="BU87" s="382">
        <v>32095</v>
      </c>
      <c r="BV87" s="382">
        <v>25300</v>
      </c>
      <c r="BW87" s="382">
        <v>15691</v>
      </c>
      <c r="BX87" s="382">
        <v>20360</v>
      </c>
      <c r="BY87" s="382">
        <v>17637</v>
      </c>
      <c r="BZ87" s="382">
        <v>23246</v>
      </c>
      <c r="CA87" s="382">
        <v>22452</v>
      </c>
      <c r="CB87" s="385">
        <v>21064</v>
      </c>
      <c r="CC87" s="382">
        <v>23491</v>
      </c>
      <c r="CD87" s="382">
        <v>23129</v>
      </c>
      <c r="CE87" s="382">
        <v>16141</v>
      </c>
      <c r="CF87" s="384" t="s">
        <v>304</v>
      </c>
      <c r="CG87" s="382">
        <v>39618</v>
      </c>
      <c r="CH87" s="382">
        <v>39487</v>
      </c>
      <c r="CI87" s="384">
        <v>37451</v>
      </c>
      <c r="CJ87" s="382">
        <v>33934</v>
      </c>
      <c r="CK87" s="383">
        <v>23665</v>
      </c>
      <c r="CL87" s="319">
        <v>28259</v>
      </c>
    </row>
    <row r="88" spans="1:94">
      <c r="A88" s="80">
        <f>ROWS($A$3:A86)</f>
        <v>84</v>
      </c>
      <c r="B88" s="59" t="s">
        <v>190</v>
      </c>
      <c r="C88" s="203">
        <v>2020</v>
      </c>
      <c r="D88" s="259"/>
      <c r="E88" s="451"/>
      <c r="F88" s="381"/>
      <c r="G88" s="382"/>
      <c r="H88" s="384"/>
      <c r="I88" s="383"/>
      <c r="J88" s="382"/>
      <c r="K88" s="381"/>
      <c r="L88" s="384"/>
      <c r="M88" s="384"/>
      <c r="N88" s="384"/>
      <c r="O88" s="384"/>
      <c r="P88" s="384"/>
      <c r="Q88" s="384"/>
      <c r="R88" s="384"/>
      <c r="S88" s="384"/>
      <c r="T88" s="384"/>
      <c r="U88" s="385"/>
      <c r="V88" s="384"/>
      <c r="W88" s="384"/>
      <c r="X88" s="384"/>
      <c r="Y88" s="384"/>
      <c r="Z88" s="384"/>
      <c r="AA88" s="384"/>
      <c r="AB88" s="385"/>
      <c r="AC88" s="384"/>
      <c r="AD88" s="384"/>
      <c r="AE88" s="384"/>
      <c r="AF88" s="384"/>
      <c r="AG88" s="384"/>
      <c r="AH88" s="384"/>
      <c r="AI88" s="384"/>
      <c r="AJ88" s="384"/>
      <c r="AK88" s="385"/>
      <c r="AL88" s="384"/>
      <c r="AM88" s="384"/>
      <c r="AN88" s="384"/>
      <c r="AO88" s="384"/>
      <c r="AP88" s="384"/>
      <c r="AQ88" s="384"/>
      <c r="AR88" s="384"/>
      <c r="AS88" s="383"/>
      <c r="AT88" s="384"/>
      <c r="AU88" s="683"/>
      <c r="AV88" s="384"/>
      <c r="AW88" s="382"/>
      <c r="AX88" s="382"/>
      <c r="AY88" s="384"/>
      <c r="AZ88" s="384"/>
      <c r="BA88" s="382"/>
      <c r="BB88" s="382"/>
      <c r="BC88" s="382"/>
      <c r="BD88" s="382"/>
      <c r="BE88" s="384"/>
      <c r="BF88" s="385"/>
      <c r="BG88" s="384"/>
      <c r="BH88" s="384"/>
      <c r="BI88" s="382"/>
      <c r="BJ88" s="382"/>
      <c r="BK88" s="382"/>
      <c r="BL88" s="382"/>
      <c r="BM88" s="382"/>
      <c r="BN88" s="382"/>
      <c r="BO88" s="384"/>
      <c r="BP88" s="384"/>
      <c r="BQ88" s="384"/>
      <c r="BR88" s="385"/>
      <c r="BS88" s="384"/>
      <c r="BT88" s="382"/>
      <c r="BU88" s="382"/>
      <c r="BV88" s="382"/>
      <c r="BW88" s="382"/>
      <c r="BX88" s="382"/>
      <c r="BY88" s="382"/>
      <c r="BZ88" s="382"/>
      <c r="CA88" s="382"/>
      <c r="CB88" s="385"/>
      <c r="CC88" s="382"/>
      <c r="CD88" s="382"/>
      <c r="CE88" s="382"/>
      <c r="CF88" s="384"/>
      <c r="CG88" s="384"/>
      <c r="CH88" s="384"/>
      <c r="CI88" s="384"/>
      <c r="CJ88" s="382"/>
      <c r="CK88" s="383"/>
      <c r="CL88" s="386"/>
    </row>
    <row r="89" spans="1:94">
      <c r="A89" s="80">
        <f>ROWS($A$3:A87)</f>
        <v>85</v>
      </c>
      <c r="B89" s="92" t="s">
        <v>284</v>
      </c>
      <c r="C89" s="203"/>
      <c r="D89" s="259" t="s">
        <v>192</v>
      </c>
      <c r="E89" s="706">
        <v>44427</v>
      </c>
      <c r="F89" s="381">
        <v>78.5</v>
      </c>
      <c r="G89" s="384">
        <v>76.3</v>
      </c>
      <c r="H89" s="384">
        <v>83.3</v>
      </c>
      <c r="I89" s="383">
        <v>85.8</v>
      </c>
      <c r="J89" s="382"/>
      <c r="K89" s="381">
        <f>BF89</f>
        <v>82.9</v>
      </c>
      <c r="L89" s="384">
        <f>AY89</f>
        <v>71.5</v>
      </c>
      <c r="M89" s="384">
        <f>BD89</f>
        <v>69.5</v>
      </c>
      <c r="N89" s="384">
        <f>AW89</f>
        <v>81.8</v>
      </c>
      <c r="O89" s="384">
        <f>BE89</f>
        <v>69</v>
      </c>
      <c r="P89" s="384">
        <f>'2020'!BA89</f>
        <v>81.7</v>
      </c>
      <c r="Q89" s="384">
        <f>'2020'!AU89</f>
        <v>85.6</v>
      </c>
      <c r="R89" s="384">
        <f>AX89</f>
        <v>75.099999999999994</v>
      </c>
      <c r="S89" s="384">
        <f>AV89</f>
        <v>86.4</v>
      </c>
      <c r="T89" s="384">
        <f t="shared" ref="T89:U93" si="188">BB89</f>
        <v>75.5</v>
      </c>
      <c r="U89" s="385">
        <f t="shared" si="188"/>
        <v>88.8</v>
      </c>
      <c r="V89" s="384">
        <f>BJ89</f>
        <v>73.8</v>
      </c>
      <c r="W89" s="384">
        <f>BR89</f>
        <v>86.7</v>
      </c>
      <c r="X89" s="384">
        <f>BI89</f>
        <v>69</v>
      </c>
      <c r="Y89" s="384">
        <f>BN89</f>
        <v>82.8</v>
      </c>
      <c r="Z89" s="384">
        <f>BM89</f>
        <v>68.599999999999994</v>
      </c>
      <c r="AA89" s="384">
        <f>BQ89</f>
        <v>83.7</v>
      </c>
      <c r="AB89" s="385">
        <f>BP89</f>
        <v>92.1</v>
      </c>
      <c r="AC89" s="384">
        <f>BX89</f>
        <v>88.1</v>
      </c>
      <c r="AD89" s="384">
        <f>BU89</f>
        <v>78.900000000000006</v>
      </c>
      <c r="AE89" s="384">
        <f>BT89</f>
        <v>98.2</v>
      </c>
      <c r="AF89" s="384" t="str">
        <f>CA89</f>
        <v>/</v>
      </c>
      <c r="AG89" s="384">
        <f>BV89</f>
        <v>83.4</v>
      </c>
      <c r="AH89" s="384">
        <f>BZ89</f>
        <v>68.7</v>
      </c>
      <c r="AI89" s="384">
        <f>BW89</f>
        <v>82.3</v>
      </c>
      <c r="AJ89" s="384">
        <f>BY89</f>
        <v>78.599999999999994</v>
      </c>
      <c r="AK89" s="385">
        <f>CB89</f>
        <v>87.5</v>
      </c>
      <c r="AL89" s="384">
        <f>CE89</f>
        <v>63.1</v>
      </c>
      <c r="AM89" s="384">
        <f>CH89</f>
        <v>92.7</v>
      </c>
      <c r="AN89" s="384">
        <f>CJ89</f>
        <v>92.6</v>
      </c>
      <c r="AO89" s="384">
        <f t="shared" ref="AO89:AP93" si="189">CC89</f>
        <v>69.400000000000006</v>
      </c>
      <c r="AP89" s="384">
        <f t="shared" si="189"/>
        <v>80.7</v>
      </c>
      <c r="AQ89" s="384">
        <f>CK89</f>
        <v>91.2</v>
      </c>
      <c r="AR89" s="384">
        <f>CI89</f>
        <v>91.6</v>
      </c>
      <c r="AS89" s="383">
        <f>CG89</f>
        <v>85.7</v>
      </c>
      <c r="AT89" s="384" t="s">
        <v>388</v>
      </c>
      <c r="AU89" s="384">
        <v>85.6</v>
      </c>
      <c r="AV89" s="384">
        <v>86.4</v>
      </c>
      <c r="AW89" s="382">
        <v>81.8</v>
      </c>
      <c r="AX89" s="382">
        <v>75.099999999999994</v>
      </c>
      <c r="AY89" s="382">
        <v>71.5</v>
      </c>
      <c r="AZ89" s="384" t="s">
        <v>388</v>
      </c>
      <c r="BA89" s="382">
        <v>81.7</v>
      </c>
      <c r="BB89" s="382">
        <v>75.5</v>
      </c>
      <c r="BC89" s="382">
        <v>88.8</v>
      </c>
      <c r="BD89" s="382">
        <v>69.5</v>
      </c>
      <c r="BE89" s="382">
        <v>69</v>
      </c>
      <c r="BF89" s="385">
        <v>82.9</v>
      </c>
      <c r="BG89" s="384" t="s">
        <v>388</v>
      </c>
      <c r="BH89" s="384" t="s">
        <v>388</v>
      </c>
      <c r="BI89" s="382">
        <v>69</v>
      </c>
      <c r="BJ89" s="382">
        <v>73.8</v>
      </c>
      <c r="BK89" s="382" t="s">
        <v>388</v>
      </c>
      <c r="BL89" s="382" t="s">
        <v>388</v>
      </c>
      <c r="BM89" s="384">
        <v>68.599999999999994</v>
      </c>
      <c r="BN89" s="384">
        <v>82.8</v>
      </c>
      <c r="BO89" s="384" t="s">
        <v>388</v>
      </c>
      <c r="BP89" s="382">
        <v>92.1</v>
      </c>
      <c r="BQ89" s="384">
        <v>83.7</v>
      </c>
      <c r="BR89" s="385">
        <v>86.7</v>
      </c>
      <c r="BS89" s="384" t="s">
        <v>388</v>
      </c>
      <c r="BT89" s="382">
        <v>98.2</v>
      </c>
      <c r="BU89" s="382">
        <v>78.900000000000006</v>
      </c>
      <c r="BV89" s="382">
        <v>83.4</v>
      </c>
      <c r="BW89" s="382">
        <v>82.3</v>
      </c>
      <c r="BX89" s="382">
        <v>88.1</v>
      </c>
      <c r="BY89" s="382">
        <v>78.599999999999994</v>
      </c>
      <c r="BZ89" s="382">
        <v>68.7</v>
      </c>
      <c r="CA89" s="382" t="s">
        <v>388</v>
      </c>
      <c r="CB89" s="385">
        <v>87.5</v>
      </c>
      <c r="CC89" s="382">
        <v>69.400000000000006</v>
      </c>
      <c r="CD89" s="382">
        <v>80.7</v>
      </c>
      <c r="CE89" s="382">
        <v>63.1</v>
      </c>
      <c r="CF89" s="384" t="s">
        <v>388</v>
      </c>
      <c r="CG89" s="382">
        <v>85.7</v>
      </c>
      <c r="CH89" s="382">
        <v>92.7</v>
      </c>
      <c r="CI89" s="384">
        <v>91.6</v>
      </c>
      <c r="CJ89" s="382">
        <v>92.6</v>
      </c>
      <c r="CK89" s="383">
        <v>91.2</v>
      </c>
      <c r="CL89" s="386">
        <v>80.7</v>
      </c>
    </row>
    <row r="90" spans="1:94">
      <c r="A90" s="80">
        <f>ROWS($A$3:A88)</f>
        <v>86</v>
      </c>
      <c r="B90" s="92" t="s">
        <v>193</v>
      </c>
      <c r="C90" s="203"/>
      <c r="D90" s="259" t="s">
        <v>192</v>
      </c>
      <c r="E90" s="706">
        <v>44427</v>
      </c>
      <c r="F90" s="381">
        <v>685.1</v>
      </c>
      <c r="G90" s="382">
        <v>690.2</v>
      </c>
      <c r="H90" s="382" t="s">
        <v>233</v>
      </c>
      <c r="I90" s="383">
        <v>798.5</v>
      </c>
      <c r="J90" s="382"/>
      <c r="K90" s="381" t="str">
        <f>BF90</f>
        <v>/</v>
      </c>
      <c r="L90" s="384">
        <f>AY90</f>
        <v>590.70000000000005</v>
      </c>
      <c r="M90" s="384">
        <f>BD90</f>
        <v>732.1</v>
      </c>
      <c r="N90" s="384" t="str">
        <f>AW90</f>
        <v>/</v>
      </c>
      <c r="O90" s="384" t="str">
        <f>BE90</f>
        <v>/</v>
      </c>
      <c r="P90" s="384">
        <f>'2020'!BA90</f>
        <v>630.6</v>
      </c>
      <c r="Q90" s="384" t="str">
        <f>'2020'!AU90</f>
        <v>/</v>
      </c>
      <c r="R90" s="384">
        <f>AX90</f>
        <v>645.9</v>
      </c>
      <c r="S90" s="384" t="str">
        <f>AV90</f>
        <v>/</v>
      </c>
      <c r="T90" s="384">
        <f t="shared" si="188"/>
        <v>674.1</v>
      </c>
      <c r="U90" s="385" t="str">
        <f t="shared" si="188"/>
        <v>/</v>
      </c>
      <c r="V90" s="384" t="str">
        <f>BJ90</f>
        <v>/</v>
      </c>
      <c r="W90" s="384" t="str">
        <f>BR90</f>
        <v>-</v>
      </c>
      <c r="X90" s="384">
        <f>BI90</f>
        <v>563.70000000000005</v>
      </c>
      <c r="Y90" s="384">
        <f>BN90</f>
        <v>769.4</v>
      </c>
      <c r="Z90" s="384">
        <f>BM90</f>
        <v>714.9</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89"/>
        <v>/</v>
      </c>
      <c r="AP90" s="384" t="str">
        <f t="shared" si="189"/>
        <v>/</v>
      </c>
      <c r="AQ90" s="384" t="str">
        <f>CK90</f>
        <v>/</v>
      </c>
      <c r="AR90" s="384" t="str">
        <f>CI90</f>
        <v>/</v>
      </c>
      <c r="AS90" s="383">
        <f>CG90</f>
        <v>804.6</v>
      </c>
      <c r="AT90" s="384">
        <v>654.6</v>
      </c>
      <c r="AU90" s="384" t="s">
        <v>388</v>
      </c>
      <c r="AV90" s="382" t="s">
        <v>388</v>
      </c>
      <c r="AW90" s="382" t="s">
        <v>388</v>
      </c>
      <c r="AX90" s="382">
        <v>645.9</v>
      </c>
      <c r="AY90" s="382">
        <v>590.70000000000005</v>
      </c>
      <c r="AZ90" s="384" t="s">
        <v>388</v>
      </c>
      <c r="BA90" s="382">
        <v>630.6</v>
      </c>
      <c r="BB90" s="382">
        <v>674.1</v>
      </c>
      <c r="BC90" s="382" t="s">
        <v>388</v>
      </c>
      <c r="BD90" s="382">
        <v>732.1</v>
      </c>
      <c r="BE90" s="382" t="s">
        <v>388</v>
      </c>
      <c r="BF90" s="385" t="s">
        <v>388</v>
      </c>
      <c r="BG90" s="384" t="s">
        <v>58</v>
      </c>
      <c r="BH90" s="384" t="s">
        <v>388</v>
      </c>
      <c r="BI90" s="382">
        <v>563.70000000000005</v>
      </c>
      <c r="BJ90" s="382" t="s">
        <v>388</v>
      </c>
      <c r="BK90" s="382" t="s">
        <v>388</v>
      </c>
      <c r="BL90" s="382" t="s">
        <v>388</v>
      </c>
      <c r="BM90" s="382">
        <v>714.9</v>
      </c>
      <c r="BN90" s="382">
        <v>769.4</v>
      </c>
      <c r="BO90" s="384" t="s">
        <v>58</v>
      </c>
      <c r="BP90" s="382" t="s">
        <v>388</v>
      </c>
      <c r="BQ90" s="683" t="s">
        <v>388</v>
      </c>
      <c r="BR90" s="385" t="s">
        <v>58</v>
      </c>
      <c r="BS90" s="384" t="s">
        <v>58</v>
      </c>
      <c r="BT90" s="382" t="s">
        <v>388</v>
      </c>
      <c r="BU90" s="382" t="s">
        <v>388</v>
      </c>
      <c r="BV90" s="382" t="s">
        <v>388</v>
      </c>
      <c r="BW90" s="382" t="s">
        <v>388</v>
      </c>
      <c r="BX90" s="382" t="s">
        <v>388</v>
      </c>
      <c r="BY90" s="382" t="s">
        <v>388</v>
      </c>
      <c r="BZ90" s="382" t="s">
        <v>388</v>
      </c>
      <c r="CA90" s="382" t="s">
        <v>388</v>
      </c>
      <c r="CB90" s="385" t="s">
        <v>388</v>
      </c>
      <c r="CC90" s="382" t="s">
        <v>388</v>
      </c>
      <c r="CD90" s="382" t="s">
        <v>388</v>
      </c>
      <c r="CE90" s="382" t="s">
        <v>58</v>
      </c>
      <c r="CF90" s="384" t="s">
        <v>388</v>
      </c>
      <c r="CG90" s="382">
        <v>804.6</v>
      </c>
      <c r="CH90" s="382" t="s">
        <v>388</v>
      </c>
      <c r="CI90" s="384" t="s">
        <v>388</v>
      </c>
      <c r="CJ90" s="382" t="s">
        <v>388</v>
      </c>
      <c r="CK90" s="383" t="s">
        <v>388</v>
      </c>
      <c r="CL90" s="386">
        <v>691.9</v>
      </c>
    </row>
    <row r="91" spans="1:94">
      <c r="A91" s="80">
        <f>ROWS($A$3:A89)</f>
        <v>87</v>
      </c>
      <c r="B91" s="54" t="s">
        <v>194</v>
      </c>
      <c r="C91" s="252"/>
      <c r="D91" s="259" t="s">
        <v>192</v>
      </c>
      <c r="E91" s="706">
        <v>44427</v>
      </c>
      <c r="F91" s="547">
        <v>43.1</v>
      </c>
      <c r="G91" s="548">
        <v>40.1</v>
      </c>
      <c r="H91" s="548">
        <v>40.200000000000003</v>
      </c>
      <c r="I91" s="549">
        <v>42.5</v>
      </c>
      <c r="J91" s="598"/>
      <c r="K91" s="547">
        <f>BF91</f>
        <v>41.5</v>
      </c>
      <c r="L91" s="548" t="str">
        <f>AY91</f>
        <v>/</v>
      </c>
      <c r="M91" s="548">
        <f>BD91</f>
        <v>41.2</v>
      </c>
      <c r="N91" s="548" t="str">
        <f>AW91</f>
        <v>/</v>
      </c>
      <c r="O91" s="548" t="str">
        <f>BE91</f>
        <v>/</v>
      </c>
      <c r="P91" s="573">
        <f>'2020'!BA91</f>
        <v>45.4</v>
      </c>
      <c r="Q91" s="548">
        <f>'2020'!AU91</f>
        <v>44.6</v>
      </c>
      <c r="R91" s="573" t="str">
        <f>AX91</f>
        <v>/</v>
      </c>
      <c r="S91" s="548" t="str">
        <f>AV91</f>
        <v>/</v>
      </c>
      <c r="T91" s="548">
        <f t="shared" si="188"/>
        <v>41.6</v>
      </c>
      <c r="U91" s="570">
        <f t="shared" si="188"/>
        <v>44.1</v>
      </c>
      <c r="V91" s="573" t="str">
        <f>BJ91</f>
        <v>/</v>
      </c>
      <c r="W91" s="548">
        <f>BR91</f>
        <v>52.7</v>
      </c>
      <c r="X91" s="573">
        <f>BI91</f>
        <v>31.6</v>
      </c>
      <c r="Y91" s="573">
        <f>BN91</f>
        <v>36.700000000000003</v>
      </c>
      <c r="Z91" s="548">
        <f>BM91</f>
        <v>39.200000000000003</v>
      </c>
      <c r="AA91" s="573">
        <f>BQ91</f>
        <v>39.200000000000003</v>
      </c>
      <c r="AB91" s="570" t="str">
        <f>BP91</f>
        <v>/</v>
      </c>
      <c r="AC91" s="548" t="str">
        <f>BX91</f>
        <v>/</v>
      </c>
      <c r="AD91" s="548" t="str">
        <f>BU91</f>
        <v>/</v>
      </c>
      <c r="AE91" s="573">
        <f>BT91</f>
        <v>46.1</v>
      </c>
      <c r="AF91" s="548" t="str">
        <f>CA91</f>
        <v>/</v>
      </c>
      <c r="AG91" s="548" t="str">
        <f>BV91</f>
        <v>/</v>
      </c>
      <c r="AH91" s="548" t="str">
        <f>BZ91</f>
        <v>/</v>
      </c>
      <c r="AI91" s="548">
        <f>BW91</f>
        <v>43.6</v>
      </c>
      <c r="AJ91" s="548" t="str">
        <f>BY91</f>
        <v>/</v>
      </c>
      <c r="AK91" s="570" t="str">
        <f>CB91</f>
        <v>/</v>
      </c>
      <c r="AL91" s="548" t="str">
        <f>CE91</f>
        <v>/</v>
      </c>
      <c r="AM91" s="548">
        <f>CH91</f>
        <v>45.8</v>
      </c>
      <c r="AN91" s="548" t="str">
        <f>CJ91</f>
        <v>/</v>
      </c>
      <c r="AO91" s="548">
        <f t="shared" si="189"/>
        <v>36.9</v>
      </c>
      <c r="AP91" s="548">
        <f t="shared" si="189"/>
        <v>45.1</v>
      </c>
      <c r="AQ91" s="548">
        <f>CK91</f>
        <v>39.5</v>
      </c>
      <c r="AR91" s="548" t="str">
        <f>CI91</f>
        <v>/</v>
      </c>
      <c r="AS91" s="574">
        <f>CG91</f>
        <v>44.2</v>
      </c>
      <c r="AT91" s="548" t="s">
        <v>388</v>
      </c>
      <c r="AU91" s="548">
        <v>44.6</v>
      </c>
      <c r="AV91" s="548" t="s">
        <v>388</v>
      </c>
      <c r="AW91" s="548" t="s">
        <v>388</v>
      </c>
      <c r="AX91" s="548" t="s">
        <v>388</v>
      </c>
      <c r="AY91" s="548" t="s">
        <v>388</v>
      </c>
      <c r="AZ91" s="548" t="s">
        <v>388</v>
      </c>
      <c r="BA91" s="548">
        <v>45.4</v>
      </c>
      <c r="BB91" s="548">
        <v>41.6</v>
      </c>
      <c r="BC91" s="548">
        <v>44.1</v>
      </c>
      <c r="BD91" s="548">
        <v>41.2</v>
      </c>
      <c r="BE91" s="548" t="s">
        <v>388</v>
      </c>
      <c r="BF91" s="570">
        <v>41.5</v>
      </c>
      <c r="BG91" s="548" t="s">
        <v>58</v>
      </c>
      <c r="BH91" s="548" t="s">
        <v>58</v>
      </c>
      <c r="BI91" s="548">
        <v>31.6</v>
      </c>
      <c r="BJ91" s="548" t="s">
        <v>388</v>
      </c>
      <c r="BK91" s="575" t="s">
        <v>388</v>
      </c>
      <c r="BL91" s="548" t="s">
        <v>388</v>
      </c>
      <c r="BM91" s="548">
        <v>39.200000000000003</v>
      </c>
      <c r="BN91" s="548">
        <v>36.700000000000003</v>
      </c>
      <c r="BO91" s="548" t="s">
        <v>58</v>
      </c>
      <c r="BP91" s="548" t="s">
        <v>388</v>
      </c>
      <c r="BQ91" s="548">
        <v>39.200000000000003</v>
      </c>
      <c r="BR91" s="570">
        <v>52.7</v>
      </c>
      <c r="BS91" s="548" t="s">
        <v>388</v>
      </c>
      <c r="BT91" s="548">
        <v>46.1</v>
      </c>
      <c r="BU91" s="548" t="s">
        <v>388</v>
      </c>
      <c r="BV91" s="548" t="s">
        <v>388</v>
      </c>
      <c r="BW91" s="548">
        <v>43.6</v>
      </c>
      <c r="BX91" s="548" t="s">
        <v>388</v>
      </c>
      <c r="BY91" s="548" t="s">
        <v>388</v>
      </c>
      <c r="BZ91" s="548" t="s">
        <v>388</v>
      </c>
      <c r="CA91" s="548" t="s">
        <v>388</v>
      </c>
      <c r="CB91" s="570" t="s">
        <v>388</v>
      </c>
      <c r="CC91" s="548">
        <v>36.9</v>
      </c>
      <c r="CD91" s="548">
        <v>45.1</v>
      </c>
      <c r="CE91" s="548" t="s">
        <v>388</v>
      </c>
      <c r="CF91" s="548" t="s">
        <v>388</v>
      </c>
      <c r="CG91" s="548">
        <v>44.2</v>
      </c>
      <c r="CH91" s="548">
        <v>45.8</v>
      </c>
      <c r="CI91" s="548" t="s">
        <v>388</v>
      </c>
      <c r="CJ91" s="548" t="s">
        <v>388</v>
      </c>
      <c r="CK91" s="549">
        <v>39.5</v>
      </c>
      <c r="CL91" s="571">
        <v>42</v>
      </c>
    </row>
    <row r="92" spans="1:94">
      <c r="A92" s="80">
        <f>ROWS($A$3:A90)</f>
        <v>88</v>
      </c>
      <c r="B92" s="92" t="s">
        <v>195</v>
      </c>
      <c r="C92" s="203"/>
      <c r="D92" s="259" t="s">
        <v>192</v>
      </c>
      <c r="E92" s="706">
        <v>44427</v>
      </c>
      <c r="F92" s="154">
        <v>457.6</v>
      </c>
      <c r="G92" s="155">
        <v>391.5</v>
      </c>
      <c r="H92" s="155">
        <v>404.1</v>
      </c>
      <c r="I92" s="156">
        <v>471.2</v>
      </c>
      <c r="J92" s="281"/>
      <c r="K92" s="154">
        <f>BF92</f>
        <v>519.6</v>
      </c>
      <c r="L92" s="155">
        <f>AY92</f>
        <v>465.8</v>
      </c>
      <c r="M92" s="155">
        <f>BD92</f>
        <v>386.5</v>
      </c>
      <c r="N92" s="155">
        <f>AW92</f>
        <v>431.4</v>
      </c>
      <c r="O92" s="155">
        <f>BE92</f>
        <v>505.5</v>
      </c>
      <c r="P92" s="155">
        <f>'2020'!BA92</f>
        <v>394.2</v>
      </c>
      <c r="Q92" s="155" t="str">
        <f>'2020'!AU92</f>
        <v>/</v>
      </c>
      <c r="R92" s="155">
        <f>AX92</f>
        <v>416.1</v>
      </c>
      <c r="S92" s="155">
        <f>AV92</f>
        <v>417</v>
      </c>
      <c r="T92" s="155">
        <f t="shared" si="188"/>
        <v>395.4</v>
      </c>
      <c r="U92" s="552">
        <f t="shared" si="188"/>
        <v>495.2</v>
      </c>
      <c r="V92" s="155" t="str">
        <f>BJ92</f>
        <v>/</v>
      </c>
      <c r="W92" s="155" t="str">
        <f>BR92</f>
        <v>/</v>
      </c>
      <c r="X92" s="155" t="str">
        <f>BI92</f>
        <v>/</v>
      </c>
      <c r="Y92" s="155">
        <f>BN92</f>
        <v>505.7</v>
      </c>
      <c r="Z92" s="155">
        <f>BM92</f>
        <v>391.7</v>
      </c>
      <c r="AA92" s="155">
        <f>BQ92</f>
        <v>308.89999999999998</v>
      </c>
      <c r="AB92" s="552" t="str">
        <f>BP92</f>
        <v>/</v>
      </c>
      <c r="AC92" s="155">
        <f>BX92</f>
        <v>343.2</v>
      </c>
      <c r="AD92" s="155" t="str">
        <f>BU92</f>
        <v>/</v>
      </c>
      <c r="AE92" s="155">
        <f>BT92</f>
        <v>249.6</v>
      </c>
      <c r="AF92" s="155" t="str">
        <f>CA92</f>
        <v>/</v>
      </c>
      <c r="AG92" s="155" t="str">
        <f>BV92</f>
        <v>/</v>
      </c>
      <c r="AH92" s="155">
        <f>BZ92</f>
        <v>406</v>
      </c>
      <c r="AI92" s="155">
        <f>BW92</f>
        <v>453.6</v>
      </c>
      <c r="AJ92" s="155">
        <f>BY92</f>
        <v>438.4</v>
      </c>
      <c r="AK92" s="552">
        <f>CB92</f>
        <v>455</v>
      </c>
      <c r="AL92" s="155">
        <f>CE92</f>
        <v>434.1</v>
      </c>
      <c r="AM92" s="155">
        <f>CH92</f>
        <v>524.29999999999995</v>
      </c>
      <c r="AN92" s="155">
        <f>CJ92</f>
        <v>478.2</v>
      </c>
      <c r="AO92" s="155">
        <f t="shared" si="189"/>
        <v>350.3</v>
      </c>
      <c r="AP92" s="155" t="str">
        <f t="shared" si="189"/>
        <v>/</v>
      </c>
      <c r="AQ92" s="155">
        <f>CK92</f>
        <v>455</v>
      </c>
      <c r="AR92" s="155" t="str">
        <f>CI92</f>
        <v>/</v>
      </c>
      <c r="AS92" s="156">
        <f>CG92</f>
        <v>469.5</v>
      </c>
      <c r="AT92" s="155" t="s">
        <v>388</v>
      </c>
      <c r="AU92" s="155" t="s">
        <v>388</v>
      </c>
      <c r="AV92" s="155">
        <v>417</v>
      </c>
      <c r="AW92" s="155">
        <v>431.4</v>
      </c>
      <c r="AX92" s="155">
        <v>416.1</v>
      </c>
      <c r="AY92" s="155">
        <v>465.8</v>
      </c>
      <c r="AZ92" s="155" t="s">
        <v>388</v>
      </c>
      <c r="BA92" s="155">
        <v>394.2</v>
      </c>
      <c r="BB92" s="155">
        <v>395.4</v>
      </c>
      <c r="BC92" s="155">
        <v>495.2</v>
      </c>
      <c r="BD92" s="155">
        <v>386.5</v>
      </c>
      <c r="BE92" s="155">
        <v>505.5</v>
      </c>
      <c r="BF92" s="552">
        <v>519.6</v>
      </c>
      <c r="BG92" s="155" t="s">
        <v>388</v>
      </c>
      <c r="BH92" s="155" t="s">
        <v>388</v>
      </c>
      <c r="BI92" s="155" t="s">
        <v>388</v>
      </c>
      <c r="BJ92" s="155" t="s">
        <v>388</v>
      </c>
      <c r="BK92" s="155" t="s">
        <v>388</v>
      </c>
      <c r="BL92" s="155" t="s">
        <v>388</v>
      </c>
      <c r="BM92" s="155">
        <v>391.7</v>
      </c>
      <c r="BN92" s="155">
        <v>505.7</v>
      </c>
      <c r="BO92" s="155" t="s">
        <v>388</v>
      </c>
      <c r="BP92" s="155" t="s">
        <v>388</v>
      </c>
      <c r="BQ92" s="155">
        <v>308.89999999999998</v>
      </c>
      <c r="BR92" s="552" t="s">
        <v>388</v>
      </c>
      <c r="BS92" s="155" t="s">
        <v>388</v>
      </c>
      <c r="BT92" s="155">
        <v>249.6</v>
      </c>
      <c r="BU92" s="155" t="s">
        <v>388</v>
      </c>
      <c r="BV92" s="155" t="s">
        <v>388</v>
      </c>
      <c r="BW92" s="155">
        <v>453.6</v>
      </c>
      <c r="BX92" s="155">
        <v>343.2</v>
      </c>
      <c r="BY92" s="155">
        <v>438.4</v>
      </c>
      <c r="BZ92" s="155">
        <v>406</v>
      </c>
      <c r="CA92" s="155" t="s">
        <v>388</v>
      </c>
      <c r="CB92" s="552">
        <v>455</v>
      </c>
      <c r="CC92" s="155">
        <v>350.3</v>
      </c>
      <c r="CD92" s="155" t="s">
        <v>388</v>
      </c>
      <c r="CE92" s="155">
        <v>434.1</v>
      </c>
      <c r="CF92" s="155" t="s">
        <v>388</v>
      </c>
      <c r="CG92" s="155">
        <v>469.5</v>
      </c>
      <c r="CH92" s="155">
        <v>524.29999999999995</v>
      </c>
      <c r="CI92" s="155" t="s">
        <v>388</v>
      </c>
      <c r="CJ92" s="155">
        <v>478.2</v>
      </c>
      <c r="CK92" s="156">
        <v>455</v>
      </c>
      <c r="CL92" s="320">
        <v>449.2</v>
      </c>
    </row>
    <row r="93" spans="1:94" s="792" customFormat="1">
      <c r="A93" s="778">
        <f>ROWS($A$3:A91)</f>
        <v>89</v>
      </c>
      <c r="B93" s="779" t="s">
        <v>94</v>
      </c>
      <c r="C93" s="780"/>
      <c r="D93" s="781" t="s">
        <v>3</v>
      </c>
      <c r="E93" s="782"/>
      <c r="F93" s="783">
        <v>0.37</v>
      </c>
      <c r="G93" s="784">
        <v>0.37</v>
      </c>
      <c r="H93" s="784">
        <v>0.69</v>
      </c>
      <c r="I93" s="785">
        <v>0.54</v>
      </c>
      <c r="J93" s="786"/>
      <c r="K93" s="783">
        <f>BF93</f>
        <v>0.99</v>
      </c>
      <c r="L93" s="784">
        <f>AY93</f>
        <v>0.69</v>
      </c>
      <c r="M93" s="784">
        <f>BD93</f>
        <v>0.7</v>
      </c>
      <c r="N93" s="784">
        <f>AW93</f>
        <v>0.74</v>
      </c>
      <c r="O93" s="784">
        <f>BE93</f>
        <v>0.6</v>
      </c>
      <c r="P93" s="784">
        <f>(AZ35*AZ93+BA35*BA93)/P35</f>
        <v>0.12092364127143426</v>
      </c>
      <c r="Q93" s="784">
        <f>'2020'!AU93</f>
        <v>0.48</v>
      </c>
      <c r="R93" s="784">
        <f>(AT35*AT93+AX35*AX93)/R35</f>
        <v>1.7109208938932613E-2</v>
      </c>
      <c r="S93" s="784">
        <f>AV93</f>
        <v>0.56999999999999995</v>
      </c>
      <c r="T93" s="784">
        <f t="shared" si="188"/>
        <v>0.56999999999999995</v>
      </c>
      <c r="U93" s="787">
        <f t="shared" si="188"/>
        <v>0.97</v>
      </c>
      <c r="V93" s="784">
        <f>(BG35*BG93+BJ35*BJ93)/V35</f>
        <v>0.31764247897851139</v>
      </c>
      <c r="W93" s="784">
        <f>BR93</f>
        <v>0.82</v>
      </c>
      <c r="X93" s="784">
        <f>(BH35*BH93+BI35*BI93)/X35</f>
        <v>6.5555254871088375E-2</v>
      </c>
      <c r="Y93" s="784">
        <f>(BK35*BK93+BL35*BL93+BN35*BN93)/Y35</f>
        <v>0.10733116823290952</v>
      </c>
      <c r="Z93" s="784">
        <f>BM93</f>
        <v>0.7</v>
      </c>
      <c r="AA93" s="784">
        <f>(BO35*BO93+BQ35*BQ93)/AA35</f>
        <v>0.4608133086876155</v>
      </c>
      <c r="AB93" s="787">
        <f>BP93</f>
        <v>0.78</v>
      </c>
      <c r="AC93" s="784">
        <f>BX93</f>
        <v>0.65</v>
      </c>
      <c r="AD93" s="784">
        <f>BU93</f>
        <v>0.36</v>
      </c>
      <c r="AE93" s="784">
        <f>(BS35*BS93+BT35*BT93)/AE35</f>
        <v>0.11602147651006711</v>
      </c>
      <c r="AF93" s="784">
        <f>CA93</f>
        <v>0.28999999999999998</v>
      </c>
      <c r="AG93" s="784">
        <f>BV93</f>
        <v>0.34</v>
      </c>
      <c r="AH93" s="784">
        <f>BZ93</f>
        <v>0.65</v>
      </c>
      <c r="AI93" s="784">
        <f>BW93</f>
        <v>0.96</v>
      </c>
      <c r="AJ93" s="784">
        <f>BY93</f>
        <v>0.63</v>
      </c>
      <c r="AK93" s="787">
        <f>CB93</f>
        <v>0.71</v>
      </c>
      <c r="AL93" s="784">
        <f>CE93</f>
        <v>0.61</v>
      </c>
      <c r="AM93" s="784">
        <f>CH93</f>
        <v>0.2</v>
      </c>
      <c r="AN93" s="784">
        <f>CJ93</f>
        <v>0.57999999999999996</v>
      </c>
      <c r="AO93" s="784">
        <f t="shared" si="189"/>
        <v>1</v>
      </c>
      <c r="AP93" s="784">
        <f t="shared" si="189"/>
        <v>0.61</v>
      </c>
      <c r="AQ93" s="784">
        <f>CK93</f>
        <v>0.72</v>
      </c>
      <c r="AR93" s="784">
        <f>CI93</f>
        <v>0.24</v>
      </c>
      <c r="AS93" s="785">
        <f>(CF35*CF93+CG35*CG93)/AS35</f>
        <v>0.45047907931126768</v>
      </c>
      <c r="AT93" s="788">
        <v>0.11</v>
      </c>
      <c r="AU93" s="788">
        <v>0.48</v>
      </c>
      <c r="AV93" s="788">
        <v>0.56999999999999995</v>
      </c>
      <c r="AW93" s="788">
        <v>0.74</v>
      </c>
      <c r="AX93" s="788">
        <v>0.01</v>
      </c>
      <c r="AY93" s="788">
        <v>0.69</v>
      </c>
      <c r="AZ93" s="788">
        <v>0</v>
      </c>
      <c r="BA93" s="788">
        <v>0.13</v>
      </c>
      <c r="BB93" s="788">
        <v>0.56999999999999995</v>
      </c>
      <c r="BC93" s="788">
        <v>0.97</v>
      </c>
      <c r="BD93" s="788">
        <v>0.7</v>
      </c>
      <c r="BE93" s="788">
        <v>0.6</v>
      </c>
      <c r="BF93" s="789">
        <v>0.99</v>
      </c>
      <c r="BG93" s="788">
        <v>1</v>
      </c>
      <c r="BH93" s="788">
        <v>0</v>
      </c>
      <c r="BI93" s="788">
        <v>7.0000000000000007E-2</v>
      </c>
      <c r="BJ93" s="788">
        <v>0.25</v>
      </c>
      <c r="BK93" s="788">
        <v>0.01</v>
      </c>
      <c r="BL93" s="788">
        <v>0</v>
      </c>
      <c r="BM93" s="788">
        <v>0.7</v>
      </c>
      <c r="BN93" s="788">
        <v>0.12</v>
      </c>
      <c r="BO93" s="788">
        <v>0.28000000000000003</v>
      </c>
      <c r="BP93" s="788">
        <v>0.78</v>
      </c>
      <c r="BQ93" s="788">
        <v>0.47</v>
      </c>
      <c r="BR93" s="789">
        <v>0.82</v>
      </c>
      <c r="BS93" s="788">
        <v>0.06</v>
      </c>
      <c r="BT93" s="788">
        <v>0.12</v>
      </c>
      <c r="BU93" s="788">
        <v>0.36</v>
      </c>
      <c r="BV93" s="788">
        <v>0.34</v>
      </c>
      <c r="BW93" s="788">
        <v>0.96</v>
      </c>
      <c r="BX93" s="788">
        <v>0.65</v>
      </c>
      <c r="BY93" s="788">
        <v>0.63</v>
      </c>
      <c r="BZ93" s="788">
        <v>0.65</v>
      </c>
      <c r="CA93" s="788">
        <v>0.28999999999999998</v>
      </c>
      <c r="CB93" s="789">
        <v>0.71</v>
      </c>
      <c r="CC93" s="788">
        <v>1</v>
      </c>
      <c r="CD93" s="788">
        <v>0.61</v>
      </c>
      <c r="CE93" s="788">
        <v>0.61</v>
      </c>
      <c r="CF93" s="788">
        <v>0.3</v>
      </c>
      <c r="CG93" s="788">
        <v>0.46</v>
      </c>
      <c r="CH93" s="788">
        <v>0.2</v>
      </c>
      <c r="CI93" s="788">
        <v>0.24</v>
      </c>
      <c r="CJ93" s="788">
        <v>0.57999999999999996</v>
      </c>
      <c r="CK93" s="790">
        <v>0.72</v>
      </c>
      <c r="CL93" s="791">
        <v>0.54</v>
      </c>
      <c r="CM93"/>
      <c r="CN93"/>
      <c r="CO93"/>
      <c r="CP93"/>
    </row>
    <row r="94" spans="1:94">
      <c r="A94" s="80">
        <f>ROWS($A$3:A92)</f>
        <v>90</v>
      </c>
      <c r="B94" s="59" t="s">
        <v>247</v>
      </c>
      <c r="C94" s="396"/>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281"/>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4">
      <c r="A95" s="80">
        <f>ROWS($A$3:A93)</f>
        <v>91</v>
      </c>
      <c r="B95" s="236" t="s">
        <v>95</v>
      </c>
      <c r="C95" s="202">
        <v>2010</v>
      </c>
      <c r="D95" s="259" t="s">
        <v>10</v>
      </c>
      <c r="E95" s="447">
        <v>40441</v>
      </c>
      <c r="F95" s="154">
        <f>SUM(AT95:BF95)</f>
        <v>617300</v>
      </c>
      <c r="G95" s="155">
        <f>SUM(BG95:BR95)</f>
        <v>141500</v>
      </c>
      <c r="H95" s="155">
        <f>SUM(BS95:CB95)</f>
        <v>370400</v>
      </c>
      <c r="I95" s="156">
        <f>SUM(CC95:CK95)</f>
        <v>1004800</v>
      </c>
      <c r="J95" s="281"/>
      <c r="K95" s="157">
        <f>BF95</f>
        <v>165800</v>
      </c>
      <c r="L95" s="113">
        <f>AY95</f>
        <v>42000</v>
      </c>
      <c r="M95" s="113">
        <f>BD95</f>
        <v>41900</v>
      </c>
      <c r="N95" s="113">
        <f>AW95</f>
        <v>57600</v>
      </c>
      <c r="O95" s="113">
        <f>BE95</f>
        <v>44000</v>
      </c>
      <c r="P95" s="113">
        <f>'2020'!BA95</f>
        <v>27400</v>
      </c>
      <c r="Q95" s="113">
        <f>'2020'!AU95</f>
        <v>17100</v>
      </c>
      <c r="R95" s="113">
        <f>AX95</f>
        <v>28800</v>
      </c>
      <c r="S95" s="113">
        <f>AV95</f>
        <v>12300</v>
      </c>
      <c r="T95" s="113">
        <f t="shared" ref="T95:U98" si="190">BB95</f>
        <v>43200</v>
      </c>
      <c r="U95" s="112">
        <f t="shared" si="190"/>
        <v>135100</v>
      </c>
      <c r="V95" s="113">
        <f>BJ95</f>
        <v>1900</v>
      </c>
      <c r="W95" s="113">
        <f>BR95</f>
        <v>23000</v>
      </c>
      <c r="X95" s="113">
        <f>BI95</f>
        <v>6400</v>
      </c>
      <c r="Y95" s="113">
        <f>BN95</f>
        <v>22700</v>
      </c>
      <c r="Z95" s="113">
        <f>BM95</f>
        <v>47900</v>
      </c>
      <c r="AA95" s="113">
        <f>BQ95</f>
        <v>18600</v>
      </c>
      <c r="AB95" s="112">
        <f>BP95</f>
        <v>21000</v>
      </c>
      <c r="AC95" s="113">
        <f>BX95</f>
        <v>64900</v>
      </c>
      <c r="AD95" s="113">
        <f>BU95</f>
        <v>18300</v>
      </c>
      <c r="AE95" s="113">
        <f>BT95</f>
        <v>56300</v>
      </c>
      <c r="AF95" s="113">
        <f>CA95</f>
        <v>17900</v>
      </c>
      <c r="AG95" s="113">
        <f>BV95</f>
        <v>38800</v>
      </c>
      <c r="AH95" s="113">
        <f>BZ95</f>
        <v>56400</v>
      </c>
      <c r="AI95" s="113">
        <f>BW95</f>
        <v>26900</v>
      </c>
      <c r="AJ95" s="113">
        <f>BY95</f>
        <v>32900</v>
      </c>
      <c r="AK95" s="112">
        <f>CB95</f>
        <v>58000</v>
      </c>
      <c r="AL95" s="113">
        <f>CE95</f>
        <v>21200</v>
      </c>
      <c r="AM95" s="113">
        <f>CH95</f>
        <v>217100</v>
      </c>
      <c r="AN95" s="113">
        <f>CJ95</f>
        <v>443900</v>
      </c>
      <c r="AO95" s="113">
        <f t="shared" ref="AO95:AP98" si="191">CC95</f>
        <v>49800</v>
      </c>
      <c r="AP95" s="113">
        <f t="shared" si="191"/>
        <v>9200</v>
      </c>
      <c r="AQ95" s="113">
        <f>CK95</f>
        <v>78000</v>
      </c>
      <c r="AR95" s="113">
        <f>CI95</f>
        <v>62000</v>
      </c>
      <c r="AS95" s="158">
        <f>CG95</f>
        <v>123600</v>
      </c>
      <c r="AT95" s="113">
        <v>2100</v>
      </c>
      <c r="AU95" s="113">
        <v>17100</v>
      </c>
      <c r="AV95" s="113">
        <v>12300</v>
      </c>
      <c r="AW95" s="113">
        <v>57600</v>
      </c>
      <c r="AX95" s="113">
        <v>28800</v>
      </c>
      <c r="AY95" s="113">
        <v>42000</v>
      </c>
      <c r="AZ95" s="113">
        <v>0</v>
      </c>
      <c r="BA95" s="113">
        <v>27400</v>
      </c>
      <c r="BB95" s="113">
        <v>43200</v>
      </c>
      <c r="BC95" s="113">
        <v>135100</v>
      </c>
      <c r="BD95" s="113">
        <v>41900</v>
      </c>
      <c r="BE95" s="113">
        <v>44000</v>
      </c>
      <c r="BF95" s="112">
        <v>165800</v>
      </c>
      <c r="BG95" s="159">
        <v>0</v>
      </c>
      <c r="BH95" s="113">
        <v>0</v>
      </c>
      <c r="BI95" s="113">
        <v>6400</v>
      </c>
      <c r="BJ95" s="113">
        <v>1900</v>
      </c>
      <c r="BK95" s="113">
        <v>0</v>
      </c>
      <c r="BL95" s="113">
        <v>0</v>
      </c>
      <c r="BM95" s="113">
        <v>47900</v>
      </c>
      <c r="BN95" s="113">
        <v>22700</v>
      </c>
      <c r="BO95" s="159">
        <v>0</v>
      </c>
      <c r="BP95" s="113">
        <v>21000</v>
      </c>
      <c r="BQ95" s="113">
        <v>18600</v>
      </c>
      <c r="BR95" s="112">
        <v>23000</v>
      </c>
      <c r="BS95" s="159">
        <v>0</v>
      </c>
      <c r="BT95" s="113">
        <v>56300</v>
      </c>
      <c r="BU95" s="113">
        <v>18300</v>
      </c>
      <c r="BV95" s="113">
        <v>38800</v>
      </c>
      <c r="BW95" s="113">
        <v>26900</v>
      </c>
      <c r="BX95" s="113">
        <v>64900</v>
      </c>
      <c r="BY95" s="113">
        <v>32900</v>
      </c>
      <c r="BZ95" s="113">
        <v>56400</v>
      </c>
      <c r="CA95" s="113">
        <v>17900</v>
      </c>
      <c r="CB95" s="112">
        <v>58000</v>
      </c>
      <c r="CC95" s="113">
        <v>49800</v>
      </c>
      <c r="CD95" s="113">
        <v>9200</v>
      </c>
      <c r="CE95" s="113">
        <v>21200</v>
      </c>
      <c r="CF95" s="113">
        <v>0</v>
      </c>
      <c r="CG95" s="113">
        <v>123600</v>
      </c>
      <c r="CH95" s="113">
        <v>217100</v>
      </c>
      <c r="CI95" s="113">
        <v>62000</v>
      </c>
      <c r="CJ95" s="113">
        <v>443900</v>
      </c>
      <c r="CK95" s="158">
        <v>78000</v>
      </c>
      <c r="CL95" s="123">
        <v>2232162</v>
      </c>
      <c r="CM95" s="792"/>
    </row>
    <row r="96" spans="1:94">
      <c r="A96" s="80">
        <f>ROWS($A$3:A94)</f>
        <v>92</v>
      </c>
      <c r="B96" s="55" t="s">
        <v>96</v>
      </c>
      <c r="C96" s="205">
        <v>2010</v>
      </c>
      <c r="D96" s="259" t="s">
        <v>10</v>
      </c>
      <c r="E96" s="447">
        <v>40441</v>
      </c>
      <c r="F96" s="154">
        <f>SUM(AT96:BF96)</f>
        <v>617399</v>
      </c>
      <c r="G96" s="155">
        <f>SUM(BG96:BR96)</f>
        <v>142781</v>
      </c>
      <c r="H96" s="155">
        <f>SUM(BS96:CB96)</f>
        <v>370424</v>
      </c>
      <c r="I96" s="156">
        <f>SUM(CC96:CK96)</f>
        <v>1004630</v>
      </c>
      <c r="J96" s="281"/>
      <c r="K96" s="157">
        <f>BF96</f>
        <v>165837</v>
      </c>
      <c r="L96" s="113">
        <f>AY96</f>
        <v>41990</v>
      </c>
      <c r="M96" s="113">
        <f>BD96</f>
        <v>41892</v>
      </c>
      <c r="N96" s="113">
        <f>AW96</f>
        <v>57563</v>
      </c>
      <c r="O96" s="113">
        <f>BE96</f>
        <v>44020</v>
      </c>
      <c r="P96" s="113">
        <f>'2020'!BA96</f>
        <v>26046</v>
      </c>
      <c r="Q96" s="113">
        <f>'2020'!AU96</f>
        <v>17142</v>
      </c>
      <c r="R96" s="113">
        <f>AX96</f>
        <v>28784</v>
      </c>
      <c r="S96" s="113">
        <f>AV96</f>
        <v>12315</v>
      </c>
      <c r="T96" s="113">
        <f>BB96</f>
        <v>43221</v>
      </c>
      <c r="U96" s="112">
        <f>BC96</f>
        <v>135140</v>
      </c>
      <c r="V96" s="113">
        <f>BJ96</f>
        <v>1905</v>
      </c>
      <c r="W96" s="113">
        <f>BR96</f>
        <v>23030</v>
      </c>
      <c r="X96" s="113">
        <f>BI96</f>
        <v>6427</v>
      </c>
      <c r="Y96" s="113">
        <f>BN96</f>
        <v>22732</v>
      </c>
      <c r="Z96" s="113">
        <f>BM96</f>
        <v>47945</v>
      </c>
      <c r="AA96" s="113">
        <f>BQ96</f>
        <v>18389</v>
      </c>
      <c r="AB96" s="112">
        <f>BP96</f>
        <v>21039</v>
      </c>
      <c r="AC96" s="113">
        <f>BX96</f>
        <v>64945</v>
      </c>
      <c r="AD96" s="113">
        <f>BU96</f>
        <v>18303</v>
      </c>
      <c r="AE96" s="113">
        <f>BT96</f>
        <v>56256</v>
      </c>
      <c r="AF96" s="113">
        <f>CA96</f>
        <v>17921</v>
      </c>
      <c r="AG96" s="113">
        <f>BV96</f>
        <v>38783</v>
      </c>
      <c r="AH96" s="113">
        <f>BZ96</f>
        <v>56430</v>
      </c>
      <c r="AI96" s="113">
        <f>BW96</f>
        <v>26870</v>
      </c>
      <c r="AJ96" s="113">
        <f>BY96</f>
        <v>32882</v>
      </c>
      <c r="AK96" s="112">
        <f>CB96</f>
        <v>58034</v>
      </c>
      <c r="AL96" s="113">
        <f>CE96</f>
        <v>21184</v>
      </c>
      <c r="AM96" s="113">
        <f>CH96</f>
        <v>217098</v>
      </c>
      <c r="AN96" s="113">
        <f>CJ96</f>
        <v>443864</v>
      </c>
      <c r="AO96" s="113">
        <f>CC96</f>
        <v>49804</v>
      </c>
      <c r="AP96" s="113">
        <f>CD96</f>
        <v>9156</v>
      </c>
      <c r="AQ96" s="113">
        <f>CK96</f>
        <v>78000</v>
      </c>
      <c r="AR96" s="113">
        <f>CI96</f>
        <v>61951</v>
      </c>
      <c r="AS96" s="158">
        <f>CG96</f>
        <v>117483</v>
      </c>
      <c r="AT96" s="113">
        <v>2097</v>
      </c>
      <c r="AU96" s="113">
        <v>17142</v>
      </c>
      <c r="AV96" s="113">
        <v>12315</v>
      </c>
      <c r="AW96" s="113">
        <v>57563</v>
      </c>
      <c r="AX96" s="113">
        <v>28784</v>
      </c>
      <c r="AY96" s="113">
        <v>41990</v>
      </c>
      <c r="AZ96" s="113">
        <v>1352</v>
      </c>
      <c r="BA96" s="113">
        <v>26046</v>
      </c>
      <c r="BB96" s="113">
        <v>43221</v>
      </c>
      <c r="BC96" s="113">
        <v>135140</v>
      </c>
      <c r="BD96" s="113">
        <v>41892</v>
      </c>
      <c r="BE96" s="113">
        <v>44020</v>
      </c>
      <c r="BF96" s="112">
        <v>165837</v>
      </c>
      <c r="BG96" s="159">
        <v>0</v>
      </c>
      <c r="BH96" s="113">
        <v>0</v>
      </c>
      <c r="BI96" s="113">
        <v>6427</v>
      </c>
      <c r="BJ96" s="113">
        <v>1905</v>
      </c>
      <c r="BK96" s="113">
        <v>1079</v>
      </c>
      <c r="BL96" s="113">
        <v>54</v>
      </c>
      <c r="BM96" s="113">
        <v>47945</v>
      </c>
      <c r="BN96" s="113">
        <v>22732</v>
      </c>
      <c r="BO96" s="159">
        <v>181</v>
      </c>
      <c r="BP96" s="113">
        <v>21039</v>
      </c>
      <c r="BQ96" s="113">
        <v>18389</v>
      </c>
      <c r="BR96" s="112">
        <v>23030</v>
      </c>
      <c r="BS96" s="159">
        <v>0</v>
      </c>
      <c r="BT96" s="113">
        <v>56256</v>
      </c>
      <c r="BU96" s="113">
        <v>18303</v>
      </c>
      <c r="BV96" s="113">
        <v>38783</v>
      </c>
      <c r="BW96" s="113">
        <v>26870</v>
      </c>
      <c r="BX96" s="113">
        <v>64945</v>
      </c>
      <c r="BY96" s="113">
        <v>32882</v>
      </c>
      <c r="BZ96" s="113">
        <v>56430</v>
      </c>
      <c r="CA96" s="113">
        <v>17921</v>
      </c>
      <c r="CB96" s="112">
        <v>58034</v>
      </c>
      <c r="CC96" s="113">
        <v>49804</v>
      </c>
      <c r="CD96" s="113">
        <v>9156</v>
      </c>
      <c r="CE96" s="113">
        <v>21184</v>
      </c>
      <c r="CF96" s="113">
        <v>6090</v>
      </c>
      <c r="CG96" s="113">
        <v>117483</v>
      </c>
      <c r="CH96" s="113">
        <v>217098</v>
      </c>
      <c r="CI96" s="113">
        <v>61951</v>
      </c>
      <c r="CJ96" s="113">
        <v>443864</v>
      </c>
      <c r="CK96" s="158">
        <v>78000</v>
      </c>
      <c r="CL96" s="123">
        <v>2128830</v>
      </c>
      <c r="CN96" s="792"/>
      <c r="CO96" s="792"/>
      <c r="CP96" s="792"/>
    </row>
    <row r="97" spans="1:102">
      <c r="A97" s="80">
        <f>ROWS($A$3:A95)</f>
        <v>93</v>
      </c>
      <c r="B97" s="55" t="s">
        <v>77</v>
      </c>
      <c r="C97" s="203">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'2020'!AZ97+'2020'!BA97</f>
        <v>6750</v>
      </c>
      <c r="Q97" s="113">
        <f>'2020'!AU97</f>
        <v>3596</v>
      </c>
      <c r="R97" s="113">
        <f>AT97+AX97</f>
        <v>6359</v>
      </c>
      <c r="S97" s="113">
        <f>AV97</f>
        <v>3597</v>
      </c>
      <c r="T97" s="113">
        <f t="shared" si="190"/>
        <v>9048</v>
      </c>
      <c r="U97" s="112">
        <f t="shared" si="190"/>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91"/>
        <v>10463</v>
      </c>
      <c r="AP97" s="113">
        <f t="shared" si="191"/>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c r="A98" s="80">
        <f>ROWS($A$3:A96)</f>
        <v>94</v>
      </c>
      <c r="B98" s="55" t="s">
        <v>96</v>
      </c>
      <c r="C98" s="203">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'2020'!AZ98+'2020'!BA98</f>
        <v>34324</v>
      </c>
      <c r="Q98" s="113">
        <f>'2020'!AU98</f>
        <v>18437</v>
      </c>
      <c r="R98" s="113">
        <f>AT98+AX98</f>
        <v>31700</v>
      </c>
      <c r="S98" s="113">
        <f>AV98</f>
        <v>14642</v>
      </c>
      <c r="T98" s="113">
        <f t="shared" si="190"/>
        <v>45007</v>
      </c>
      <c r="U98" s="112">
        <f t="shared" si="190"/>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91"/>
        <v>51966</v>
      </c>
      <c r="AP98" s="113">
        <f t="shared" si="191"/>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c r="A99" s="80">
        <f>ROWS($A$3:A97)</f>
        <v>95</v>
      </c>
      <c r="B99" s="602"/>
      <c r="C99" s="203"/>
      <c r="D99" s="254"/>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c r="A100" s="80">
        <f>ROWS($A$3:A98)</f>
        <v>96</v>
      </c>
      <c r="B100" s="602" t="s">
        <v>255</v>
      </c>
      <c r="C100" s="203">
        <v>2019</v>
      </c>
      <c r="D100" s="254" t="s">
        <v>13</v>
      </c>
      <c r="E100" s="706">
        <v>44427</v>
      </c>
      <c r="F100" s="154">
        <f>SUM(AT100:BF100)</f>
        <v>1841</v>
      </c>
      <c r="G100" s="155">
        <f>SUM(BG100:BR100)</f>
        <v>787</v>
      </c>
      <c r="H100" s="155">
        <f>SUM(BS100:CB100)</f>
        <v>934</v>
      </c>
      <c r="I100" s="156">
        <f>SUM(CC100:CK100)</f>
        <v>584</v>
      </c>
      <c r="J100" s="281"/>
      <c r="K100" s="157">
        <f>BF100</f>
        <v>72</v>
      </c>
      <c r="L100" s="113">
        <f>AY100</f>
        <v>136</v>
      </c>
      <c r="M100" s="113">
        <f>BD100</f>
        <v>200</v>
      </c>
      <c r="N100" s="113">
        <f>AW100</f>
        <v>58</v>
      </c>
      <c r="O100" s="113">
        <f>BE100</f>
        <v>71</v>
      </c>
      <c r="P100" s="605">
        <f>AZ100+BA100</f>
        <v>352</v>
      </c>
      <c r="Q100" s="113">
        <f>AU100</f>
        <v>134</v>
      </c>
      <c r="R100" s="113">
        <f>AX100</f>
        <v>307</v>
      </c>
      <c r="S100" s="113">
        <f>AV100</f>
        <v>312</v>
      </c>
      <c r="T100" s="113">
        <f>BB100</f>
        <v>87</v>
      </c>
      <c r="U100" s="112">
        <f>BC100</f>
        <v>112</v>
      </c>
      <c r="V100" s="113">
        <f>BJ100</f>
        <v>33</v>
      </c>
      <c r="W100" s="113">
        <f>BR100</f>
        <v>22</v>
      </c>
      <c r="X100" s="113">
        <f>BI100</f>
        <v>276</v>
      </c>
      <c r="Y100" s="113">
        <f>BN100</f>
        <v>172</v>
      </c>
      <c r="Z100" s="113">
        <f>BM100</f>
        <v>127</v>
      </c>
      <c r="AA100" s="113">
        <f>BQ100</f>
        <v>149</v>
      </c>
      <c r="AB100" s="112">
        <f>BP100</f>
        <v>8</v>
      </c>
      <c r="AC100" s="113">
        <f>BX100</f>
        <v>28</v>
      </c>
      <c r="AD100" s="113">
        <f>BU100</f>
        <v>92</v>
      </c>
      <c r="AE100" s="113">
        <f>BT100</f>
        <v>172</v>
      </c>
      <c r="AF100" s="113">
        <f>CA100</f>
        <v>83</v>
      </c>
      <c r="AG100" s="113">
        <f>BV100</f>
        <v>242</v>
      </c>
      <c r="AH100" s="113">
        <f>BZ100</f>
        <v>105</v>
      </c>
      <c r="AI100" s="113">
        <f>BW100</f>
        <v>74</v>
      </c>
      <c r="AJ100" s="113">
        <f>BY100</f>
        <v>61</v>
      </c>
      <c r="AK100" s="112">
        <f>CB100</f>
        <v>77</v>
      </c>
      <c r="AL100" s="113">
        <f>CE100</f>
        <v>98</v>
      </c>
      <c r="AM100" s="113">
        <f>CH100</f>
        <v>108</v>
      </c>
      <c r="AN100" s="113">
        <f>CJ100</f>
        <v>37</v>
      </c>
      <c r="AO100" s="113">
        <f>CC100</f>
        <v>69</v>
      </c>
      <c r="AP100" s="113">
        <f>CD100</f>
        <v>46</v>
      </c>
      <c r="AQ100" s="113">
        <f>CK100</f>
        <v>90</v>
      </c>
      <c r="AR100" s="113">
        <f>CI100</f>
        <v>45</v>
      </c>
      <c r="AS100" s="158">
        <f>CG100</f>
        <v>91</v>
      </c>
      <c r="AT100" s="113" t="s">
        <v>389</v>
      </c>
      <c r="AU100" s="113">
        <v>134</v>
      </c>
      <c r="AV100" s="113">
        <v>312</v>
      </c>
      <c r="AW100" s="113">
        <v>58</v>
      </c>
      <c r="AX100" s="113">
        <v>307</v>
      </c>
      <c r="AY100" s="113">
        <v>136</v>
      </c>
      <c r="AZ100" s="113"/>
      <c r="BA100" s="113">
        <v>352</v>
      </c>
      <c r="BB100" s="113">
        <v>87</v>
      </c>
      <c r="BC100" s="113">
        <v>112</v>
      </c>
      <c r="BD100" s="113">
        <v>200</v>
      </c>
      <c r="BE100" s="113">
        <v>71</v>
      </c>
      <c r="BF100" s="112">
        <v>72</v>
      </c>
      <c r="BG100" s="159" t="s">
        <v>389</v>
      </c>
      <c r="BH100" s="113" t="s">
        <v>389</v>
      </c>
      <c r="BI100" s="113">
        <v>276</v>
      </c>
      <c r="BJ100" s="113">
        <v>33</v>
      </c>
      <c r="BK100" s="113" t="s">
        <v>389</v>
      </c>
      <c r="BL100" s="113" t="s">
        <v>389</v>
      </c>
      <c r="BM100" s="113">
        <v>127</v>
      </c>
      <c r="BN100" s="113">
        <v>172</v>
      </c>
      <c r="BO100" s="159" t="s">
        <v>389</v>
      </c>
      <c r="BP100" s="113">
        <v>8</v>
      </c>
      <c r="BQ100" s="113">
        <v>149</v>
      </c>
      <c r="BR100" s="112">
        <v>22</v>
      </c>
      <c r="BS100" s="159" t="s">
        <v>389</v>
      </c>
      <c r="BT100" s="113">
        <v>172</v>
      </c>
      <c r="BU100" s="113">
        <v>92</v>
      </c>
      <c r="BV100" s="113">
        <v>242</v>
      </c>
      <c r="BW100" s="113">
        <v>74</v>
      </c>
      <c r="BX100" s="113">
        <v>28</v>
      </c>
      <c r="BY100" s="113">
        <v>61</v>
      </c>
      <c r="BZ100" s="113">
        <v>105</v>
      </c>
      <c r="CA100" s="113">
        <v>83</v>
      </c>
      <c r="CB100" s="112">
        <v>77</v>
      </c>
      <c r="CC100" s="113">
        <v>69</v>
      </c>
      <c r="CD100" s="113">
        <v>46</v>
      </c>
      <c r="CE100" s="113">
        <v>98</v>
      </c>
      <c r="CF100" s="113" t="s">
        <v>389</v>
      </c>
      <c r="CG100" s="113">
        <v>91</v>
      </c>
      <c r="CH100" s="113">
        <v>108</v>
      </c>
      <c r="CI100" s="113">
        <v>45</v>
      </c>
      <c r="CJ100" s="113">
        <v>37</v>
      </c>
      <c r="CK100" s="158">
        <v>90</v>
      </c>
      <c r="CL100" s="123">
        <v>4146</v>
      </c>
    </row>
    <row r="101" spans="1:102">
      <c r="A101" s="80">
        <f>ROWS($A$3:A99)</f>
        <v>97</v>
      </c>
      <c r="B101" s="55"/>
      <c r="C101" s="203"/>
      <c r="D101" s="259"/>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c r="A102" s="80">
        <f>ROWS($A$3:A100)</f>
        <v>98</v>
      </c>
      <c r="B102" s="55"/>
      <c r="C102" s="203"/>
      <c r="D102" s="259"/>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'2020'!AZ103+'2020'!BA103</f>
        <v>0</v>
      </c>
      <c r="Q103" s="113">
        <f>'2020'!AU103</f>
        <v>0</v>
      </c>
      <c r="R103" s="113">
        <f>AT103+AX103</f>
        <v>0</v>
      </c>
      <c r="S103" s="113">
        <f>AV103</f>
        <v>0</v>
      </c>
      <c r="T103" s="113">
        <f t="shared" ref="T103:U106" si="192">BB103</f>
        <v>0</v>
      </c>
      <c r="U103" s="112">
        <f t="shared" si="192"/>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93">CC103</f>
        <v>0</v>
      </c>
      <c r="AP103" s="113">
        <f t="shared" si="193"/>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ht="13.5" thickBot="1">
      <c r="A104" s="80">
        <f>ROWS($A$3:A102)</f>
        <v>100</v>
      </c>
      <c r="B104" s="56"/>
      <c r="C104" s="206"/>
      <c r="D104" s="265"/>
      <c r="E104" s="451"/>
      <c r="F104" s="160"/>
      <c r="G104" s="161"/>
      <c r="H104" s="161"/>
      <c r="I104" s="162"/>
      <c r="J104" s="282"/>
      <c r="K104" s="163">
        <f>BF104</f>
        <v>0</v>
      </c>
      <c r="L104" s="164">
        <f>AY104</f>
        <v>0</v>
      </c>
      <c r="M104" s="164">
        <f>BD104</f>
        <v>0</v>
      </c>
      <c r="N104" s="164">
        <f>AW104</f>
        <v>0</v>
      </c>
      <c r="O104" s="164">
        <f>BE104</f>
        <v>0</v>
      </c>
      <c r="P104" s="164">
        <f>'2020'!AZ104+'2020'!BA104</f>
        <v>0</v>
      </c>
      <c r="Q104" s="164">
        <f>'2020'!AU104</f>
        <v>0</v>
      </c>
      <c r="R104" s="164">
        <f>AT104+AX104</f>
        <v>0</v>
      </c>
      <c r="S104" s="164">
        <f>AV104</f>
        <v>0</v>
      </c>
      <c r="T104" s="164">
        <f t="shared" si="192"/>
        <v>0</v>
      </c>
      <c r="U104" s="114">
        <f t="shared" si="192"/>
        <v>0</v>
      </c>
      <c r="V104" s="164">
        <f>BG104+BJ104</f>
        <v>0</v>
      </c>
      <c r="W104" s="164">
        <f>BR104</f>
        <v>0</v>
      </c>
      <c r="X104" s="164">
        <f>BH104+BI104</f>
        <v>0</v>
      </c>
      <c r="Y104" s="164">
        <f>BK104+BL104+BN104</f>
        <v>0</v>
      </c>
      <c r="Z104" s="164">
        <f>BM104</f>
        <v>0</v>
      </c>
      <c r="AA104" s="164">
        <f>BO104+BQ104</f>
        <v>0</v>
      </c>
      <c r="AB104" s="114">
        <f>BP104</f>
        <v>0</v>
      </c>
      <c r="AC104" s="164">
        <f>BX104</f>
        <v>0</v>
      </c>
      <c r="AD104" s="164">
        <f>BU104</f>
        <v>0</v>
      </c>
      <c r="AE104" s="164">
        <f>BS104+BT104</f>
        <v>0</v>
      </c>
      <c r="AF104" s="164">
        <f>CA104</f>
        <v>0</v>
      </c>
      <c r="AG104" s="164">
        <f>BV104</f>
        <v>0</v>
      </c>
      <c r="AH104" s="164">
        <f>BZ104</f>
        <v>0</v>
      </c>
      <c r="AI104" s="164">
        <f>BW104</f>
        <v>0</v>
      </c>
      <c r="AJ104" s="164">
        <f>BY104</f>
        <v>0</v>
      </c>
      <c r="AK104" s="114">
        <f>CB104</f>
        <v>0</v>
      </c>
      <c r="AL104" s="164">
        <f>CE104</f>
        <v>0</v>
      </c>
      <c r="AM104" s="164">
        <f>CH104</f>
        <v>0</v>
      </c>
      <c r="AN104" s="164">
        <f>CJ104</f>
        <v>0</v>
      </c>
      <c r="AO104" s="164">
        <f t="shared" si="193"/>
        <v>0</v>
      </c>
      <c r="AP104" s="164">
        <f t="shared" si="193"/>
        <v>0</v>
      </c>
      <c r="AQ104" s="164">
        <f>CK104</f>
        <v>0</v>
      </c>
      <c r="AR104" s="164">
        <f>CI104</f>
        <v>0</v>
      </c>
      <c r="AS104" s="165">
        <f>CF104+CG104</f>
        <v>0</v>
      </c>
      <c r="AT104" s="164"/>
      <c r="AU104" s="164"/>
      <c r="AV104" s="164"/>
      <c r="AW104" s="164"/>
      <c r="AX104" s="164"/>
      <c r="AY104" s="164"/>
      <c r="AZ104" s="164"/>
      <c r="BA104" s="164"/>
      <c r="BB104" s="164"/>
      <c r="BC104" s="164"/>
      <c r="BD104" s="164"/>
      <c r="BE104" s="164"/>
      <c r="BF104" s="114"/>
      <c r="BG104" s="166"/>
      <c r="BH104" s="164"/>
      <c r="BI104" s="164"/>
      <c r="BJ104" s="164"/>
      <c r="BK104" s="164"/>
      <c r="BL104" s="164"/>
      <c r="BM104" s="164"/>
      <c r="BN104" s="164"/>
      <c r="BO104" s="166"/>
      <c r="BP104" s="164"/>
      <c r="BQ104" s="164"/>
      <c r="BR104" s="114"/>
      <c r="BS104" s="166"/>
      <c r="BT104" s="164"/>
      <c r="BU104" s="164"/>
      <c r="BV104" s="164"/>
      <c r="BW104" s="164"/>
      <c r="BX104" s="164"/>
      <c r="BY104" s="164"/>
      <c r="BZ104" s="164"/>
      <c r="CA104" s="164"/>
      <c r="CB104" s="114"/>
      <c r="CC104" s="164"/>
      <c r="CD104" s="164"/>
      <c r="CE104" s="164"/>
      <c r="CF104" s="164"/>
      <c r="CG104" s="164"/>
      <c r="CH104" s="164"/>
      <c r="CI104" s="164"/>
      <c r="CJ104" s="164"/>
      <c r="CK104" s="165"/>
      <c r="CL104" s="124"/>
    </row>
    <row r="105" spans="1:1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'2020'!AZ105+'2020'!BA105</f>
        <v>0</v>
      </c>
      <c r="Q105" s="113">
        <f>'2020'!AU105</f>
        <v>0</v>
      </c>
      <c r="R105" s="113">
        <f>AT105+AX105</f>
        <v>0</v>
      </c>
      <c r="S105" s="113">
        <f>AV105</f>
        <v>0</v>
      </c>
      <c r="T105" s="113">
        <f t="shared" si="192"/>
        <v>0</v>
      </c>
      <c r="U105" s="112">
        <f t="shared" si="192"/>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93"/>
        <v>0</v>
      </c>
      <c r="AP105" s="113">
        <f t="shared" si="193"/>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'2020'!AZ106+'2020'!BA106</f>
        <v>0</v>
      </c>
      <c r="Q106" s="164">
        <f>'2020'!AU106</f>
        <v>0</v>
      </c>
      <c r="R106" s="164">
        <f>AT106+AX106</f>
        <v>0</v>
      </c>
      <c r="S106" s="164">
        <f>AV106</f>
        <v>0</v>
      </c>
      <c r="T106" s="164">
        <f t="shared" si="192"/>
        <v>0</v>
      </c>
      <c r="U106" s="114">
        <f t="shared" si="192"/>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93"/>
        <v>0</v>
      </c>
      <c r="AP106" s="164">
        <f t="shared" si="193"/>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c r="B107" s="57"/>
      <c r="C107" s="203"/>
      <c r="D107" s="48"/>
      <c r="E107" s="449"/>
      <c r="F107" s="155">
        <f t="shared" ref="F107:AK107" si="194">SUM(F7:F92)</f>
        <v>16443396.67743478</v>
      </c>
      <c r="G107" s="155">
        <f t="shared" si="194"/>
        <v>9767548.2422695737</v>
      </c>
      <c r="H107" s="155">
        <f t="shared" si="194"/>
        <v>10062617.830598701</v>
      </c>
      <c r="I107" s="155">
        <f t="shared" si="194"/>
        <v>10161206.389386054</v>
      </c>
      <c r="J107" s="155">
        <f t="shared" si="194"/>
        <v>0</v>
      </c>
      <c r="K107" s="155">
        <f t="shared" si="194"/>
        <v>1687733.4055698034</v>
      </c>
      <c r="L107" s="155">
        <f t="shared" si="194"/>
        <v>1430459.4061112367</v>
      </c>
      <c r="M107" s="155">
        <f t="shared" si="194"/>
        <v>1206425.3138370814</v>
      </c>
      <c r="N107" s="155">
        <f t="shared" si="194"/>
        <v>1001771.4374538385</v>
      </c>
      <c r="O107" s="155">
        <f t="shared" si="194"/>
        <v>731223.3774736753</v>
      </c>
      <c r="P107" s="155">
        <f t="shared" si="194"/>
        <v>1844874.1324334031</v>
      </c>
      <c r="Q107" s="155">
        <f t="shared" si="194"/>
        <v>1358229.1477057468</v>
      </c>
      <c r="R107" s="155">
        <f t="shared" si="194"/>
        <v>3440647.344264694</v>
      </c>
      <c r="S107" s="155">
        <f t="shared" si="194"/>
        <v>1617848.3749468112</v>
      </c>
      <c r="T107" s="155">
        <f t="shared" si="194"/>
        <v>887204.79499598616</v>
      </c>
      <c r="U107" s="155">
        <f t="shared" si="194"/>
        <v>1708569.5217206606</v>
      </c>
      <c r="V107" s="155">
        <f t="shared" si="194"/>
        <v>1095710.4764361621</v>
      </c>
      <c r="W107" s="155">
        <f t="shared" si="194"/>
        <v>695096.23271607526</v>
      </c>
      <c r="X107" s="155">
        <f t="shared" si="194"/>
        <v>2450076.5501343072</v>
      </c>
      <c r="Y107" s="155">
        <f t="shared" si="194"/>
        <v>2884712.7172087398</v>
      </c>
      <c r="Z107" s="155">
        <f t="shared" si="194"/>
        <v>933178.43341800605</v>
      </c>
      <c r="AA107" s="155">
        <f t="shared" si="194"/>
        <v>1115910.7389449703</v>
      </c>
      <c r="AB107" s="155">
        <f t="shared" si="194"/>
        <v>773563.60046458861</v>
      </c>
      <c r="AC107" s="155">
        <f t="shared" si="194"/>
        <v>1075835.0119581611</v>
      </c>
      <c r="AD107" s="155" t="e">
        <f t="shared" si="194"/>
        <v>#VALUE!</v>
      </c>
      <c r="AE107" s="155">
        <f t="shared" si="194"/>
        <v>1935579.9131267027</v>
      </c>
      <c r="AF107" s="155">
        <f t="shared" si="194"/>
        <v>932588.86141942127</v>
      </c>
      <c r="AG107" s="155">
        <f t="shared" si="194"/>
        <v>1931416.3573456237</v>
      </c>
      <c r="AH107" s="155">
        <f t="shared" si="194"/>
        <v>1095064.9344499502</v>
      </c>
      <c r="AI107" s="155">
        <f t="shared" si="194"/>
        <v>791903.57615353772</v>
      </c>
      <c r="AJ107" s="155">
        <f t="shared" si="194"/>
        <v>829625.17095119599</v>
      </c>
      <c r="AK107" s="155">
        <f t="shared" si="194"/>
        <v>998027.76270855253</v>
      </c>
      <c r="AL107" s="155">
        <f t="shared" ref="AL107:BQ107" si="195">SUM(AL7:AL92)</f>
        <v>1042847.893665068</v>
      </c>
      <c r="AM107" s="155">
        <f t="shared" si="195"/>
        <v>1479843.6039592728</v>
      </c>
      <c r="AN107" s="155">
        <f t="shared" si="195"/>
        <v>1772584.1511183896</v>
      </c>
      <c r="AO107" s="155">
        <f t="shared" si="195"/>
        <v>1356479.9735829511</v>
      </c>
      <c r="AP107" s="155">
        <f t="shared" si="195"/>
        <v>901428.58810055</v>
      </c>
      <c r="AQ107" s="155">
        <f t="shared" si="195"/>
        <v>1106036.1229895558</v>
      </c>
      <c r="AR107" s="155">
        <f t="shared" si="195"/>
        <v>878956.6151322457</v>
      </c>
      <c r="AS107" s="155">
        <f t="shared" si="195"/>
        <v>1909760.1511451572</v>
      </c>
      <c r="AT107" s="155">
        <f t="shared" si="195"/>
        <v>1740970.8113032561</v>
      </c>
      <c r="AU107" s="155">
        <f t="shared" si="195"/>
        <v>1364551.9605355849</v>
      </c>
      <c r="AV107" s="155">
        <f t="shared" si="195"/>
        <v>1617848.3749468112</v>
      </c>
      <c r="AW107" s="155">
        <f t="shared" si="195"/>
        <v>1001771.4374538385</v>
      </c>
      <c r="AX107" s="155">
        <f t="shared" si="195"/>
        <v>1704423.6625999124</v>
      </c>
      <c r="AY107" s="155">
        <f t="shared" si="195"/>
        <v>1430459.4061112367</v>
      </c>
      <c r="AZ107" s="155">
        <f t="shared" si="195"/>
        <v>375132.42318421102</v>
      </c>
      <c r="BA107" s="155">
        <f t="shared" si="195"/>
        <v>1472107.7786218608</v>
      </c>
      <c r="BB107" s="155">
        <f t="shared" si="195"/>
        <v>887204.79499598616</v>
      </c>
      <c r="BC107" s="155">
        <f t="shared" si="195"/>
        <v>1708569.5217206606</v>
      </c>
      <c r="BD107" s="155">
        <f t="shared" si="195"/>
        <v>1206425.3138370814</v>
      </c>
      <c r="BE107" s="155">
        <f t="shared" si="195"/>
        <v>731223.3774736753</v>
      </c>
      <c r="BF107" s="155">
        <f t="shared" si="195"/>
        <v>1687169.4055698034</v>
      </c>
      <c r="BG107" s="155">
        <f t="shared" si="195"/>
        <v>196530.57228316131</v>
      </c>
      <c r="BH107" s="155">
        <f t="shared" si="195"/>
        <v>829547.7896459793</v>
      </c>
      <c r="BI107" s="155">
        <f t="shared" si="195"/>
        <v>1626751.9118620695</v>
      </c>
      <c r="BJ107" s="155">
        <f t="shared" si="195"/>
        <v>900303.60722125915</v>
      </c>
      <c r="BK107" s="155">
        <f t="shared" si="195"/>
        <v>426551.95317962806</v>
      </c>
      <c r="BL107" s="155">
        <f t="shared" si="195"/>
        <v>816515.86352273438</v>
      </c>
      <c r="BM107" s="155">
        <f t="shared" si="195"/>
        <v>933178.43341800605</v>
      </c>
      <c r="BN107" s="155">
        <f t="shared" si="195"/>
        <v>1648844.515114978</v>
      </c>
      <c r="BO107" s="155">
        <f t="shared" si="195"/>
        <v>308040.19423848134</v>
      </c>
      <c r="BP107" s="155">
        <f t="shared" si="195"/>
        <v>733623.60046458861</v>
      </c>
      <c r="BQ107" s="155">
        <f t="shared" si="195"/>
        <v>860233.27810843429</v>
      </c>
      <c r="BR107" s="155">
        <f t="shared" ref="BR107:CL107" si="196">SUM(BR7:BR92)</f>
        <v>695096.23271607526</v>
      </c>
      <c r="BS107" s="155">
        <f t="shared" si="196"/>
        <v>624385.24123529601</v>
      </c>
      <c r="BT107" s="155">
        <f t="shared" si="196"/>
        <v>1314834.8206535121</v>
      </c>
      <c r="BU107" s="155" t="e">
        <f t="shared" si="196"/>
        <v>#VALUE!</v>
      </c>
      <c r="BV107" s="155">
        <f t="shared" si="196"/>
        <v>1931416.3573456237</v>
      </c>
      <c r="BW107" s="155">
        <f t="shared" si="196"/>
        <v>791903.57615353772</v>
      </c>
      <c r="BX107" s="155">
        <f t="shared" si="196"/>
        <v>1075835.0119581611</v>
      </c>
      <c r="BY107" s="155">
        <f t="shared" si="196"/>
        <v>829625.17095119599</v>
      </c>
      <c r="BZ107" s="155">
        <f t="shared" si="196"/>
        <v>1095064.9344499502</v>
      </c>
      <c r="CA107" s="155">
        <f t="shared" si="196"/>
        <v>932588.86141942127</v>
      </c>
      <c r="CB107" s="155">
        <f t="shared" si="196"/>
        <v>998027.76270855253</v>
      </c>
      <c r="CC107" s="155">
        <f t="shared" si="196"/>
        <v>1356479.9735829511</v>
      </c>
      <c r="CD107" s="155">
        <f t="shared" si="196"/>
        <v>901428.58810055</v>
      </c>
      <c r="CE107" s="155">
        <f t="shared" si="196"/>
        <v>1042847.893665068</v>
      </c>
      <c r="CF107" s="155">
        <f t="shared" si="196"/>
        <v>435876.4462803498</v>
      </c>
      <c r="CG107" s="155">
        <f t="shared" si="196"/>
        <v>1486345.3636054867</v>
      </c>
      <c r="CH107" s="155">
        <f t="shared" si="196"/>
        <v>1479843.6039592728</v>
      </c>
      <c r="CI107" s="155">
        <f t="shared" si="196"/>
        <v>878956.6151322457</v>
      </c>
      <c r="CJ107" s="155">
        <f t="shared" si="196"/>
        <v>1772584.1511183896</v>
      </c>
      <c r="CK107" s="155">
        <f t="shared" si="196"/>
        <v>1106036.1229895558</v>
      </c>
      <c r="CL107" s="155">
        <f t="shared" si="196"/>
        <v>46464637.348968841</v>
      </c>
    </row>
    <row r="108" spans="1:102">
      <c r="B108" s="71" t="s">
        <v>477</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Q110" s="126"/>
      <c r="CR110" s="126"/>
      <c r="CS110" s="126"/>
      <c r="CT110" s="126"/>
      <c r="CU110" s="126"/>
      <c r="CV110" s="126"/>
      <c r="CW110" s="126"/>
      <c r="CX110" s="126"/>
    </row>
    <row r="111" spans="1:102" ht="1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Q111" s="126"/>
      <c r="CR111" s="126"/>
      <c r="CS111" s="126"/>
      <c r="CT111" s="126"/>
      <c r="CU111" s="126"/>
      <c r="CV111" s="126"/>
      <c r="CW111" s="126"/>
      <c r="CX111" s="126"/>
    </row>
    <row r="112" spans="1:102" ht="15">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07"/>
    </row>
    <row r="113" spans="1:94" ht="15">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c r="CM113" s="508"/>
      <c r="CN113" s="126"/>
      <c r="CO113" s="126"/>
      <c r="CP113" s="126"/>
    </row>
    <row r="114" spans="1:94">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N114" s="126"/>
      <c r="CO114" s="126"/>
      <c r="CP114" s="126"/>
    </row>
    <row r="115" spans="1:94">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4">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4" s="69" customFormat="1">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'2020'!AZ117+'2020'!BA117</f>
        <v>5400</v>
      </c>
      <c r="Q117" s="323">
        <f>'2020'!AU117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c r="CM117"/>
      <c r="CN117"/>
      <c r="CO117"/>
      <c r="CP117"/>
    </row>
    <row r="118" spans="1:94" s="69" customFormat="1">
      <c r="A118" s="327"/>
      <c r="B118" s="331" t="s">
        <v>271</v>
      </c>
      <c r="C118" s="593">
        <v>2019</v>
      </c>
      <c r="D118" s="329" t="s">
        <v>285</v>
      </c>
      <c r="E118" s="713">
        <v>44431</v>
      </c>
      <c r="F118" s="712">
        <v>737.005</v>
      </c>
      <c r="G118" s="712">
        <v>326.72500000000002</v>
      </c>
      <c r="H118" s="712">
        <v>608.73</v>
      </c>
      <c r="I118" s="712">
        <v>517.40599999999995</v>
      </c>
      <c r="J118" s="324"/>
      <c r="K118" s="323">
        <f>BF118</f>
        <v>88.156999999999996</v>
      </c>
      <c r="L118" s="324">
        <f>AY118</f>
        <v>51.874000000000002</v>
      </c>
      <c r="M118" s="324">
        <f>BD118</f>
        <v>65.540000000000006</v>
      </c>
      <c r="N118" s="324">
        <f>AW118</f>
        <v>33.926000000000002</v>
      </c>
      <c r="O118" s="324">
        <f>BE118</f>
        <v>34.380000000000003</v>
      </c>
      <c r="P118" s="423">
        <f>AZ118+BA118</f>
        <v>109.81399999999999</v>
      </c>
      <c r="Q118" s="323">
        <f>AU118</f>
        <v>24.437999999999999</v>
      </c>
      <c r="R118" s="423">
        <f>AT118+AX118</f>
        <v>88.592999999999989</v>
      </c>
      <c r="S118" s="324">
        <f>AV118</f>
        <v>33.914999999999999</v>
      </c>
      <c r="T118" s="324">
        <f>BB118</f>
        <v>75.048000000000002</v>
      </c>
      <c r="U118" s="323">
        <f>BC118</f>
        <v>131.32</v>
      </c>
      <c r="V118" s="423">
        <f>BG118+BJ118</f>
        <v>43.053999999999995</v>
      </c>
      <c r="W118" s="324">
        <f>BR118</f>
        <v>23.288</v>
      </c>
      <c r="X118" s="423">
        <f>BH118+BI118</f>
        <v>69.426999999999992</v>
      </c>
      <c r="Y118" s="423">
        <f>BK118+BL118+BN118</f>
        <v>80.879000000000005</v>
      </c>
      <c r="Z118" s="324">
        <f>BM118</f>
        <v>53.621000000000002</v>
      </c>
      <c r="AA118" s="423">
        <f>BO118+BQ118</f>
        <v>29.102</v>
      </c>
      <c r="AB118" s="323">
        <f>BP118</f>
        <v>27.353000000000002</v>
      </c>
      <c r="AC118" s="324">
        <f>BX118</f>
        <v>44.658999999999999</v>
      </c>
      <c r="AD118" s="324">
        <f>BU118</f>
        <v>52.820999999999998</v>
      </c>
      <c r="AE118" s="423">
        <f>BS118+BT118</f>
        <v>135.637</v>
      </c>
      <c r="AF118" s="324">
        <f>CA118</f>
        <v>41.064999999999998</v>
      </c>
      <c r="AG118" s="324">
        <f>BV118</f>
        <v>150.851</v>
      </c>
      <c r="AH118" s="324">
        <f>BZ118</f>
        <v>71.486999999999995</v>
      </c>
      <c r="AI118" s="324">
        <f>BW118</f>
        <v>41.893000000000001</v>
      </c>
      <c r="AJ118" s="324">
        <f>BY118</f>
        <v>24.968</v>
      </c>
      <c r="AK118" s="323">
        <f>CB118</f>
        <v>45.348999999999997</v>
      </c>
      <c r="AL118" s="324">
        <f>CE118</f>
        <v>30.809000000000001</v>
      </c>
      <c r="AM118" s="324">
        <f>CH118</f>
        <v>88.710999999999999</v>
      </c>
      <c r="AN118" s="324">
        <f>CJ118</f>
        <v>121.03700000000001</v>
      </c>
      <c r="AO118" s="324">
        <f>CC118</f>
        <v>40.095999999999997</v>
      </c>
      <c r="AP118" s="324">
        <f>CD118</f>
        <v>16.327999999999999</v>
      </c>
      <c r="AQ118" s="324">
        <f>CK118</f>
        <v>58.26</v>
      </c>
      <c r="AR118" s="324">
        <f>CI118</f>
        <v>71.968999999999994</v>
      </c>
      <c r="AS118" s="423">
        <f>CF118+CG118</f>
        <v>90.195999999999998</v>
      </c>
      <c r="AT118" s="712">
        <v>20.04</v>
      </c>
      <c r="AU118" s="712">
        <v>24.437999999999999</v>
      </c>
      <c r="AV118" s="712">
        <v>33.914999999999999</v>
      </c>
      <c r="AW118" s="712">
        <v>33.926000000000002</v>
      </c>
      <c r="AX118" s="712">
        <v>68.552999999999997</v>
      </c>
      <c r="AY118" s="712">
        <v>51.874000000000002</v>
      </c>
      <c r="AZ118" s="712">
        <v>13.96</v>
      </c>
      <c r="BA118" s="712">
        <v>95.853999999999999</v>
      </c>
      <c r="BB118" s="712">
        <v>75.048000000000002</v>
      </c>
      <c r="BC118" s="712">
        <v>131.32</v>
      </c>
      <c r="BD118" s="712">
        <v>65.540000000000006</v>
      </c>
      <c r="BE118" s="712">
        <v>34.380000000000003</v>
      </c>
      <c r="BF118" s="712">
        <v>88.156999999999996</v>
      </c>
      <c r="BG118" s="712">
        <v>9.1929999999999996</v>
      </c>
      <c r="BH118" s="712">
        <v>10.79</v>
      </c>
      <c r="BI118" s="712">
        <v>58.637</v>
      </c>
      <c r="BJ118" s="712">
        <v>33.860999999999997</v>
      </c>
      <c r="BK118" s="712">
        <v>10.629</v>
      </c>
      <c r="BL118" s="712">
        <v>4.4459999999999997</v>
      </c>
      <c r="BM118" s="712">
        <v>53.621000000000002</v>
      </c>
      <c r="BN118" s="712">
        <v>65.804000000000002</v>
      </c>
      <c r="BO118" s="712">
        <v>6.9089999999999998</v>
      </c>
      <c r="BP118" s="712">
        <v>27.353000000000002</v>
      </c>
      <c r="BQ118" s="712">
        <v>22.193000000000001</v>
      </c>
      <c r="BR118" s="712">
        <v>23.288</v>
      </c>
      <c r="BS118" s="712">
        <v>14.316000000000001</v>
      </c>
      <c r="BT118" s="712">
        <v>121.321</v>
      </c>
      <c r="BU118" s="712">
        <v>52.820999999999998</v>
      </c>
      <c r="BV118" s="712">
        <v>150.851</v>
      </c>
      <c r="BW118" s="712">
        <v>41.893000000000001</v>
      </c>
      <c r="BX118" s="712">
        <v>44.658999999999999</v>
      </c>
      <c r="BY118" s="712">
        <v>24.968</v>
      </c>
      <c r="BZ118" s="712">
        <v>71.486999999999995</v>
      </c>
      <c r="CA118" s="712">
        <v>41.064999999999998</v>
      </c>
      <c r="CB118" s="712">
        <v>45.348999999999997</v>
      </c>
      <c r="CC118" s="712">
        <v>40.095999999999997</v>
      </c>
      <c r="CD118" s="712">
        <v>16.327999999999999</v>
      </c>
      <c r="CE118" s="712">
        <v>30.809000000000001</v>
      </c>
      <c r="CF118" s="712">
        <v>8.7200000000000006</v>
      </c>
      <c r="CG118" s="712">
        <v>81.475999999999999</v>
      </c>
      <c r="CH118" s="712">
        <v>88.710999999999999</v>
      </c>
      <c r="CI118" s="712">
        <v>71.968999999999994</v>
      </c>
      <c r="CJ118" s="712">
        <v>121.03700000000001</v>
      </c>
      <c r="CK118" s="712">
        <v>58.26</v>
      </c>
      <c r="CL118" s="712">
        <v>2189.866</v>
      </c>
      <c r="CM118"/>
      <c r="CN118"/>
      <c r="CO118"/>
      <c r="CP118"/>
    </row>
    <row r="119" spans="1:94" s="69" customFormat="1">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c r="CN119"/>
      <c r="CO119"/>
      <c r="CP119"/>
    </row>
    <row r="120" spans="1:94"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4"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4"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4" s="69" customFormat="1">
      <c r="B123" s="328" t="s">
        <v>370</v>
      </c>
      <c r="C123" s="716">
        <v>2020</v>
      </c>
      <c r="D123" s="69" t="s">
        <v>13</v>
      </c>
      <c r="E123" s="717">
        <v>44379</v>
      </c>
      <c r="F123" s="718">
        <v>1714</v>
      </c>
      <c r="G123" s="718">
        <v>353</v>
      </c>
      <c r="H123" s="718">
        <v>1532</v>
      </c>
      <c r="I123" s="718">
        <v>2483</v>
      </c>
      <c r="J123" s="488"/>
      <c r="K123" s="488">
        <f>BF123</f>
        <v>418</v>
      </c>
      <c r="L123" s="488">
        <f>AY123</f>
        <v>147</v>
      </c>
      <c r="M123" s="488">
        <f>BD123</f>
        <v>118</v>
      </c>
      <c r="N123" s="488">
        <f>AW123</f>
        <v>180</v>
      </c>
      <c r="O123" s="488">
        <f>BE123</f>
        <v>114</v>
      </c>
      <c r="P123" s="488">
        <f>'2020'!BA123</f>
        <v>64</v>
      </c>
      <c r="Q123" s="488">
        <f>'2020'!AU123</f>
        <v>46</v>
      </c>
      <c r="R123" s="488">
        <f>AX123</f>
        <v>77</v>
      </c>
      <c r="S123" s="488">
        <f>AV123</f>
        <v>55</v>
      </c>
      <c r="T123" s="488">
        <f>BB123</f>
        <v>126</v>
      </c>
      <c r="U123" s="488">
        <f>BC123</f>
        <v>358</v>
      </c>
      <c r="V123" s="488">
        <f>BJ123</f>
        <v>8</v>
      </c>
      <c r="W123" s="488">
        <f>BR123</f>
        <v>65</v>
      </c>
      <c r="X123" s="488">
        <f>BI123</f>
        <v>16</v>
      </c>
      <c r="Y123" s="488">
        <f>BN123</f>
        <v>42</v>
      </c>
      <c r="Z123" s="488">
        <f>BM123</f>
        <v>106</v>
      </c>
      <c r="AA123" s="488">
        <f>BQ123</f>
        <v>46</v>
      </c>
      <c r="AB123" s="488">
        <f>BP123</f>
        <v>66</v>
      </c>
      <c r="AC123" s="488">
        <f>BX123</f>
        <v>304</v>
      </c>
      <c r="AD123" s="488">
        <f>BU123</f>
        <v>100</v>
      </c>
      <c r="AE123" s="488">
        <f>BT123</f>
        <v>287</v>
      </c>
      <c r="AF123" s="488">
        <f>CA123</f>
        <v>85</v>
      </c>
      <c r="AG123" s="488">
        <f>BV123</f>
        <v>224</v>
      </c>
      <c r="AH123" s="488">
        <f>BZ123</f>
        <v>134</v>
      </c>
      <c r="AI123" s="488">
        <f>BW123</f>
        <v>123</v>
      </c>
      <c r="AJ123" s="488">
        <f>BY123</f>
        <v>78</v>
      </c>
      <c r="AK123" s="488">
        <f>CB123</f>
        <v>193</v>
      </c>
      <c r="AL123" s="488">
        <f>CE123</f>
        <v>44</v>
      </c>
      <c r="AM123" s="488">
        <f>CH123</f>
        <v>505</v>
      </c>
      <c r="AN123" s="488" t="str">
        <f>CJ123</f>
        <v xml:space="preserve"> 1 100 </v>
      </c>
      <c r="AO123" s="488">
        <f>CC123</f>
        <v>122</v>
      </c>
      <c r="AP123" s="488">
        <f>CD123</f>
        <v>19</v>
      </c>
      <c r="AQ123" s="488">
        <f>CK123</f>
        <v>199</v>
      </c>
      <c r="AR123" s="488">
        <f>CI123</f>
        <v>171</v>
      </c>
      <c r="AS123" s="488">
        <f>CG123</f>
        <v>310</v>
      </c>
      <c r="AT123" s="714">
        <v>10</v>
      </c>
      <c r="AU123" s="714">
        <v>46</v>
      </c>
      <c r="AV123" s="714">
        <v>55</v>
      </c>
      <c r="AW123" s="714">
        <v>180</v>
      </c>
      <c r="AX123" s="714">
        <v>77</v>
      </c>
      <c r="AY123" s="714">
        <v>147</v>
      </c>
      <c r="AZ123" s="714">
        <v>1</v>
      </c>
      <c r="BA123" s="714">
        <v>64</v>
      </c>
      <c r="BB123" s="714">
        <v>126</v>
      </c>
      <c r="BC123" s="714">
        <v>358</v>
      </c>
      <c r="BD123" s="714">
        <v>118</v>
      </c>
      <c r="BE123" s="714">
        <v>114</v>
      </c>
      <c r="BF123" s="714">
        <v>418</v>
      </c>
      <c r="BG123" s="714" t="s">
        <v>395</v>
      </c>
      <c r="BH123" s="714">
        <v>1</v>
      </c>
      <c r="BI123" s="714">
        <v>16</v>
      </c>
      <c r="BJ123" s="714">
        <v>8</v>
      </c>
      <c r="BK123" s="714">
        <v>2</v>
      </c>
      <c r="BL123" s="714" t="s">
        <v>395</v>
      </c>
      <c r="BM123" s="714">
        <v>106</v>
      </c>
      <c r="BN123" s="714">
        <v>42</v>
      </c>
      <c r="BO123" s="714">
        <v>1</v>
      </c>
      <c r="BP123" s="714">
        <v>66</v>
      </c>
      <c r="BQ123" s="714">
        <v>46</v>
      </c>
      <c r="BR123" s="714">
        <v>65</v>
      </c>
      <c r="BS123" s="714">
        <v>4</v>
      </c>
      <c r="BT123" s="714">
        <v>287</v>
      </c>
      <c r="BU123" s="714">
        <v>100</v>
      </c>
      <c r="BV123" s="714">
        <v>224</v>
      </c>
      <c r="BW123" s="714">
        <v>123</v>
      </c>
      <c r="BX123" s="714">
        <v>304</v>
      </c>
      <c r="BY123" s="714">
        <v>78</v>
      </c>
      <c r="BZ123" s="714">
        <v>134</v>
      </c>
      <c r="CA123" s="714">
        <v>85</v>
      </c>
      <c r="CB123" s="714">
        <v>193</v>
      </c>
      <c r="CC123" s="714">
        <v>122</v>
      </c>
      <c r="CD123" s="714">
        <v>19</v>
      </c>
      <c r="CE123" s="714">
        <v>44</v>
      </c>
      <c r="CF123" s="714">
        <v>13</v>
      </c>
      <c r="CG123" s="714">
        <v>310</v>
      </c>
      <c r="CH123" s="714">
        <v>505</v>
      </c>
      <c r="CI123" s="714">
        <v>171</v>
      </c>
      <c r="CJ123" s="714" t="s">
        <v>396</v>
      </c>
      <c r="CK123" s="714">
        <v>199</v>
      </c>
      <c r="CL123" s="715">
        <v>6082</v>
      </c>
    </row>
    <row r="124" spans="1:94" s="69" customFormat="1" ht="11.25">
      <c r="B124" s="328" t="s">
        <v>236</v>
      </c>
      <c r="C124" s="322">
        <v>2020</v>
      </c>
      <c r="D124" s="69" t="s">
        <v>13</v>
      </c>
      <c r="E124" s="723">
        <v>44379</v>
      </c>
      <c r="F124" s="722" t="s">
        <v>470</v>
      </c>
      <c r="G124" s="722" t="s">
        <v>471</v>
      </c>
      <c r="H124" s="722" t="s">
        <v>472</v>
      </c>
      <c r="I124" s="722" t="s">
        <v>473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722" t="s">
        <v>41</v>
      </c>
      <c r="AU124" s="722" t="s">
        <v>436</v>
      </c>
      <c r="AV124" s="722" t="s">
        <v>437</v>
      </c>
      <c r="AW124" s="722" t="s">
        <v>438</v>
      </c>
      <c r="AX124" s="722" t="s">
        <v>438</v>
      </c>
      <c r="AY124" s="722" t="s">
        <v>439</v>
      </c>
      <c r="AZ124" s="722" t="s">
        <v>440</v>
      </c>
      <c r="BA124" s="722" t="s">
        <v>441</v>
      </c>
      <c r="BB124" s="722" t="s">
        <v>442</v>
      </c>
      <c r="BC124" s="722" t="s">
        <v>443</v>
      </c>
      <c r="BD124" s="722" t="s">
        <v>444</v>
      </c>
      <c r="BE124" s="722" t="s">
        <v>445</v>
      </c>
      <c r="BF124" s="722" t="s">
        <v>351</v>
      </c>
      <c r="BG124" s="722" t="s">
        <v>41</v>
      </c>
      <c r="BH124" s="722" t="s">
        <v>446</v>
      </c>
      <c r="BI124" s="722" t="s">
        <v>447</v>
      </c>
      <c r="BJ124" s="722" t="s">
        <v>448</v>
      </c>
      <c r="BK124" s="722" t="s">
        <v>446</v>
      </c>
      <c r="BL124" s="722" t="s">
        <v>440</v>
      </c>
      <c r="BM124" s="722" t="s">
        <v>449</v>
      </c>
      <c r="BN124" s="722" t="s">
        <v>436</v>
      </c>
      <c r="BO124" s="722" t="s">
        <v>450</v>
      </c>
      <c r="BP124" s="722" t="s">
        <v>451</v>
      </c>
      <c r="BQ124" s="722" t="s">
        <v>452</v>
      </c>
      <c r="BR124" s="722" t="s">
        <v>453</v>
      </c>
      <c r="BS124" s="722" t="s">
        <v>450</v>
      </c>
      <c r="BT124" s="722" t="s">
        <v>454</v>
      </c>
      <c r="BU124" s="722" t="s">
        <v>455</v>
      </c>
      <c r="BV124" s="722" t="s">
        <v>456</v>
      </c>
      <c r="BW124" s="722" t="s">
        <v>457</v>
      </c>
      <c r="BX124" s="722" t="s">
        <v>458</v>
      </c>
      <c r="BY124" s="722" t="s">
        <v>459</v>
      </c>
      <c r="BZ124" s="722" t="s">
        <v>460</v>
      </c>
      <c r="CA124" s="722" t="s">
        <v>461</v>
      </c>
      <c r="CB124" s="722" t="s">
        <v>445</v>
      </c>
      <c r="CC124" s="722" t="s">
        <v>462</v>
      </c>
      <c r="CD124" s="722" t="s">
        <v>463</v>
      </c>
      <c r="CE124" s="722" t="s">
        <v>452</v>
      </c>
      <c r="CF124" s="722" t="s">
        <v>464</v>
      </c>
      <c r="CG124" s="722" t="s">
        <v>465</v>
      </c>
      <c r="CH124" s="722" t="s">
        <v>466</v>
      </c>
      <c r="CI124" s="722" t="s">
        <v>461</v>
      </c>
      <c r="CJ124" s="722" t="s">
        <v>467</v>
      </c>
      <c r="CK124" s="722" t="s">
        <v>468</v>
      </c>
      <c r="CL124" s="722" t="s">
        <v>469</v>
      </c>
    </row>
    <row r="125" spans="1:94" s="329" customFormat="1" ht="11.25">
      <c r="B125" s="334" t="s">
        <v>237</v>
      </c>
      <c r="C125" s="721">
        <v>2020</v>
      </c>
      <c r="D125" s="329" t="s">
        <v>13</v>
      </c>
      <c r="E125" s="717">
        <v>44379</v>
      </c>
      <c r="F125" s="720" t="s">
        <v>432</v>
      </c>
      <c r="G125" s="720" t="s">
        <v>433</v>
      </c>
      <c r="H125" s="720" t="s">
        <v>434</v>
      </c>
      <c r="I125" s="720" t="s">
        <v>435</v>
      </c>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720" t="s">
        <v>41</v>
      </c>
      <c r="AU125" s="720" t="s">
        <v>397</v>
      </c>
      <c r="AV125" s="720" t="s">
        <v>304</v>
      </c>
      <c r="AW125" s="720" t="s">
        <v>398</v>
      </c>
      <c r="AX125" s="720" t="s">
        <v>399</v>
      </c>
      <c r="AY125" s="720" t="s">
        <v>400</v>
      </c>
      <c r="AZ125" s="720" t="s">
        <v>304</v>
      </c>
      <c r="BA125" s="720" t="s">
        <v>401</v>
      </c>
      <c r="BB125" s="720" t="s">
        <v>402</v>
      </c>
      <c r="BC125" s="720" t="s">
        <v>403</v>
      </c>
      <c r="BD125" s="720" t="s">
        <v>404</v>
      </c>
      <c r="BE125" s="720" t="s">
        <v>405</v>
      </c>
      <c r="BF125" s="720" t="s">
        <v>406</v>
      </c>
      <c r="BG125" s="720" t="s">
        <v>41</v>
      </c>
      <c r="BH125" s="720" t="s">
        <v>304</v>
      </c>
      <c r="BI125" s="720" t="s">
        <v>407</v>
      </c>
      <c r="BJ125" s="720" t="s">
        <v>408</v>
      </c>
      <c r="BK125" s="720" t="s">
        <v>304</v>
      </c>
      <c r="BL125" s="720" t="s">
        <v>304</v>
      </c>
      <c r="BM125" s="720" t="s">
        <v>409</v>
      </c>
      <c r="BN125" s="720" t="s">
        <v>410</v>
      </c>
      <c r="BO125" s="720" t="s">
        <v>304</v>
      </c>
      <c r="BP125" s="720" t="s">
        <v>411</v>
      </c>
      <c r="BQ125" s="720" t="s">
        <v>412</v>
      </c>
      <c r="BR125" s="720" t="s">
        <v>413</v>
      </c>
      <c r="BS125" s="720" t="s">
        <v>304</v>
      </c>
      <c r="BT125" s="720" t="s">
        <v>414</v>
      </c>
      <c r="BU125" s="720" t="s">
        <v>415</v>
      </c>
      <c r="BV125" s="720" t="s">
        <v>416</v>
      </c>
      <c r="BW125" s="720" t="s">
        <v>417</v>
      </c>
      <c r="BX125" s="720" t="s">
        <v>418</v>
      </c>
      <c r="BY125" s="720" t="s">
        <v>419</v>
      </c>
      <c r="BZ125" s="720" t="s">
        <v>420</v>
      </c>
      <c r="CA125" s="720" t="s">
        <v>304</v>
      </c>
      <c r="CB125" s="720" t="s">
        <v>421</v>
      </c>
      <c r="CC125" s="720" t="s">
        <v>422</v>
      </c>
      <c r="CD125" s="720" t="s">
        <v>423</v>
      </c>
      <c r="CE125" s="720" t="s">
        <v>424</v>
      </c>
      <c r="CF125" s="720" t="s">
        <v>425</v>
      </c>
      <c r="CG125" s="720" t="s">
        <v>426</v>
      </c>
      <c r="CH125" s="720" t="s">
        <v>427</v>
      </c>
      <c r="CI125" s="720" t="s">
        <v>428</v>
      </c>
      <c r="CJ125" s="720" t="s">
        <v>429</v>
      </c>
      <c r="CK125" s="720" t="s">
        <v>430</v>
      </c>
      <c r="CL125" s="720" t="s">
        <v>431</v>
      </c>
      <c r="CM125" s="69"/>
      <c r="CN125" s="69"/>
      <c r="CO125" s="69"/>
      <c r="CP125" s="69"/>
    </row>
    <row r="126" spans="1:94"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'2020'!AZ126+'2020'!BA126</f>
        <v>6973</v>
      </c>
      <c r="Q126" s="323">
        <f>'2020'!AU126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4" s="69" customFormat="1" ht="11.25">
      <c r="B127" s="328"/>
      <c r="C127" s="322"/>
      <c r="E127" s="460"/>
      <c r="F127" s="323">
        <f>F126/F35%</f>
        <v>63.13721086907703</v>
      </c>
      <c r="G127" s="323">
        <f>G126/G35%</f>
        <v>42.181635239978888</v>
      </c>
      <c r="H127" s="323">
        <f>H126/H35%</f>
        <v>49.959676271620637</v>
      </c>
      <c r="I127" s="323">
        <f>I126/I35%</f>
        <v>52.635828869473769</v>
      </c>
      <c r="J127" s="323"/>
      <c r="K127" s="323">
        <f t="shared" ref="K127:AP127" si="197">K126/K35%</f>
        <v>101.22387824304077</v>
      </c>
      <c r="L127" s="323">
        <f t="shared" si="197"/>
        <v>69.615156897572533</v>
      </c>
      <c r="M127" s="323">
        <f t="shared" si="197"/>
        <v>70.811611374407576</v>
      </c>
      <c r="N127" s="323">
        <f t="shared" si="197"/>
        <v>74.359708112748606</v>
      </c>
      <c r="O127" s="323">
        <f t="shared" si="197"/>
        <v>59.797400611620787</v>
      </c>
      <c r="P127" s="323">
        <f t="shared" si="197"/>
        <v>12.06547505753292</v>
      </c>
      <c r="Q127" s="323">
        <f t="shared" si="197"/>
        <v>47.426944802739847</v>
      </c>
      <c r="R127" s="323">
        <f t="shared" si="197"/>
        <v>1.4419486413511806</v>
      </c>
      <c r="S127" s="323">
        <f t="shared" si="197"/>
        <v>55.382091184805851</v>
      </c>
      <c r="T127" s="323">
        <f t="shared" si="197"/>
        <v>55.713056365635609</v>
      </c>
      <c r="U127" s="323">
        <f t="shared" si="197"/>
        <v>97.427937329916247</v>
      </c>
      <c r="V127" s="323">
        <f t="shared" si="197"/>
        <v>33.597010277172217</v>
      </c>
      <c r="W127" s="323">
        <f t="shared" si="197"/>
        <v>83.105802047781566</v>
      </c>
      <c r="X127" s="323">
        <f t="shared" si="197"/>
        <v>6.4677228891950405</v>
      </c>
      <c r="Y127" s="323">
        <f t="shared" si="197"/>
        <v>15.551870278238436</v>
      </c>
      <c r="Z127" s="323">
        <f t="shared" si="197"/>
        <v>71.405350788560384</v>
      </c>
      <c r="AA127" s="323">
        <f t="shared" si="197"/>
        <v>45.048156435450913</v>
      </c>
      <c r="AB127" s="323">
        <f t="shared" si="197"/>
        <v>75.281025179856115</v>
      </c>
      <c r="AC127" s="323">
        <f t="shared" si="197"/>
        <v>65.540858472316614</v>
      </c>
      <c r="AD127" s="323">
        <f t="shared" si="197"/>
        <v>35.811965811965813</v>
      </c>
      <c r="AE127" s="323">
        <f t="shared" si="197"/>
        <v>11.175455417066155</v>
      </c>
      <c r="AF127" s="323">
        <f t="shared" si="197"/>
        <v>29.494505494505493</v>
      </c>
      <c r="AG127" s="323">
        <f t="shared" si="197"/>
        <v>33.884179275315667</v>
      </c>
      <c r="AH127" s="323">
        <f t="shared" si="197"/>
        <v>66.736357300851438</v>
      </c>
      <c r="AI127" s="323">
        <f t="shared" si="197"/>
        <v>96.977203494794622</v>
      </c>
      <c r="AJ127" s="323">
        <f t="shared" si="197"/>
        <v>63.563885294485956</v>
      </c>
      <c r="AK127" s="323">
        <f t="shared" si="197"/>
        <v>71.537794592890364</v>
      </c>
      <c r="AL127" s="323">
        <f t="shared" si="197"/>
        <v>60.512493107751247</v>
      </c>
      <c r="AM127" s="323">
        <f t="shared" si="197"/>
        <v>19.958779336480287</v>
      </c>
      <c r="AN127" s="323">
        <f t="shared" si="197"/>
        <v>58.618362883335664</v>
      </c>
      <c r="AO127" s="323">
        <f t="shared" si="197"/>
        <v>97.571289658759412</v>
      </c>
      <c r="AP127" s="323">
        <f t="shared" si="197"/>
        <v>60.875642753731718</v>
      </c>
      <c r="AQ127" s="323">
        <f t="shared" ref="AQ127:BV127" si="198">AQ126/AQ35%</f>
        <v>72.185503213167578</v>
      </c>
      <c r="AR127" s="323">
        <f t="shared" si="198"/>
        <v>23.729582577132486</v>
      </c>
      <c r="AS127" s="323">
        <f t="shared" si="198"/>
        <v>45.084944496131932</v>
      </c>
      <c r="AT127" s="323">
        <f t="shared" si="198"/>
        <v>11.272727272727273</v>
      </c>
      <c r="AU127" s="323">
        <f t="shared" si="198"/>
        <v>47.426944802739847</v>
      </c>
      <c r="AV127" s="323">
        <f t="shared" si="198"/>
        <v>55.382091184805851</v>
      </c>
      <c r="AW127" s="323">
        <f t="shared" si="198"/>
        <v>74.359708112748606</v>
      </c>
      <c r="AX127" s="323">
        <f t="shared" si="198"/>
        <v>0.68956986919818175</v>
      </c>
      <c r="AY127" s="323">
        <f t="shared" si="198"/>
        <v>69.615156897572533</v>
      </c>
      <c r="AZ127" s="323">
        <f t="shared" si="198"/>
        <v>0</v>
      </c>
      <c r="BA127" s="323">
        <f t="shared" si="198"/>
        <v>12.971092674578667</v>
      </c>
      <c r="BB127" s="323">
        <f t="shared" si="198"/>
        <v>55.713056365635609</v>
      </c>
      <c r="BC127" s="323">
        <f t="shared" si="198"/>
        <v>97.427937329916247</v>
      </c>
      <c r="BD127" s="323">
        <f t="shared" si="198"/>
        <v>70.811611374407576</v>
      </c>
      <c r="BE127" s="323">
        <f t="shared" si="198"/>
        <v>59.797400611620787</v>
      </c>
      <c r="BF127" s="323">
        <f t="shared" si="198"/>
        <v>101.22387824304077</v>
      </c>
      <c r="BG127" s="323">
        <f t="shared" si="198"/>
        <v>124.24033149171271</v>
      </c>
      <c r="BH127" s="323">
        <f t="shared" si="198"/>
        <v>0</v>
      </c>
      <c r="BI127" s="323">
        <f t="shared" si="198"/>
        <v>6.9062442535529458</v>
      </c>
      <c r="BJ127" s="323">
        <f t="shared" si="198"/>
        <v>24.611487642910934</v>
      </c>
      <c r="BK127" s="323">
        <f t="shared" si="198"/>
        <v>113.01257517769274</v>
      </c>
      <c r="BL127" s="323">
        <f t="shared" si="198"/>
        <v>0</v>
      </c>
      <c r="BM127" s="323">
        <f t="shared" si="198"/>
        <v>71.405350788560384</v>
      </c>
      <c r="BN127" s="323">
        <f t="shared" si="198"/>
        <v>12.112202688728024</v>
      </c>
      <c r="BO127" s="323">
        <f t="shared" si="198"/>
        <v>28.269617706237426</v>
      </c>
      <c r="BP127" s="323">
        <f t="shared" si="198"/>
        <v>75.281025179856115</v>
      </c>
      <c r="BQ127" s="323">
        <f t="shared" si="198"/>
        <v>45.900633817215294</v>
      </c>
      <c r="BR127" s="323">
        <f t="shared" si="198"/>
        <v>83.105802047781566</v>
      </c>
      <c r="BS127" s="323">
        <f t="shared" si="198"/>
        <v>6.0728744939271255</v>
      </c>
      <c r="BT127" s="323">
        <f t="shared" si="198"/>
        <v>11.537829622936005</v>
      </c>
      <c r="BU127" s="323">
        <f t="shared" si="198"/>
        <v>35.811965811965813</v>
      </c>
      <c r="BV127" s="323">
        <f t="shared" si="198"/>
        <v>33.884179275315667</v>
      </c>
      <c r="BW127" s="323">
        <f t="shared" ref="BW127:CL127" si="199">BW126/BW35%</f>
        <v>96.977203494794622</v>
      </c>
      <c r="BX127" s="323">
        <f t="shared" si="199"/>
        <v>65.540858472316614</v>
      </c>
      <c r="BY127" s="323">
        <f t="shared" si="199"/>
        <v>63.563885294485956</v>
      </c>
      <c r="BZ127" s="323">
        <f t="shared" si="199"/>
        <v>66.736357300851438</v>
      </c>
      <c r="CA127" s="323">
        <f t="shared" si="199"/>
        <v>29.494505494505493</v>
      </c>
      <c r="CB127" s="323">
        <f t="shared" si="199"/>
        <v>71.537794592890364</v>
      </c>
      <c r="CC127" s="323">
        <f t="shared" si="199"/>
        <v>97.571289658759412</v>
      </c>
      <c r="CD127" s="323">
        <f t="shared" si="199"/>
        <v>60.875642753731718</v>
      </c>
      <c r="CE127" s="323">
        <f t="shared" si="199"/>
        <v>60.512493107751247</v>
      </c>
      <c r="CF127" s="323">
        <f t="shared" si="199"/>
        <v>29.920753908759906</v>
      </c>
      <c r="CG127" s="323">
        <f t="shared" si="199"/>
        <v>46.044393853158788</v>
      </c>
      <c r="CH127" s="323">
        <f t="shared" si="199"/>
        <v>19.958779336480287</v>
      </c>
      <c r="CI127" s="323">
        <f t="shared" si="199"/>
        <v>23.729582577132486</v>
      </c>
      <c r="CJ127" s="323">
        <f t="shared" si="199"/>
        <v>58.618362883335664</v>
      </c>
      <c r="CK127" s="323">
        <f t="shared" si="199"/>
        <v>72.185503213167578</v>
      </c>
      <c r="CL127" s="323">
        <f t="shared" si="199"/>
        <v>53.983522044113087</v>
      </c>
      <c r="CM127" s="329"/>
    </row>
    <row r="128" spans="1:94"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N128" s="329"/>
      <c r="CO128" s="329"/>
      <c r="CP128" s="329"/>
    </row>
    <row r="129" spans="1:94">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c r="CM129" s="69"/>
      <c r="CN129" s="69"/>
      <c r="CO129" s="69"/>
      <c r="CP129" s="69"/>
    </row>
    <row r="130" spans="1:94">
      <c r="B130" s="58" t="s">
        <v>290</v>
      </c>
      <c r="D130" t="s">
        <v>7</v>
      </c>
      <c r="E130" s="457">
        <v>42024</v>
      </c>
      <c r="F130" s="126">
        <v>16888</v>
      </c>
      <c r="G130" s="126">
        <v>7358</v>
      </c>
      <c r="H130" s="126">
        <v>22942</v>
      </c>
      <c r="I130" s="126">
        <v>14975</v>
      </c>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c r="CM130" s="69"/>
      <c r="CN130" s="69"/>
      <c r="CO130" s="69"/>
      <c r="CP130" s="69"/>
    </row>
    <row r="131" spans="1:94">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c r="CN131" s="69"/>
      <c r="CO131" s="69"/>
      <c r="CP131" s="69"/>
    </row>
    <row r="132" spans="1:94">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1:94">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row r="136" spans="1:94">
      <c r="A136" s="80">
        <f>ROWS($A$3:A65)</f>
        <v>63</v>
      </c>
      <c r="B136" s="92" t="s">
        <v>390</v>
      </c>
      <c r="C136" s="203">
        <v>2019</v>
      </c>
      <c r="D136" s="259" t="s">
        <v>59</v>
      </c>
      <c r="E136" s="706">
        <v>44427</v>
      </c>
      <c r="F136" s="381">
        <f>SUM(AT136:BF136)</f>
        <v>56967</v>
      </c>
      <c r="G136" s="384">
        <f>SUM(BG136:BR136)</f>
        <v>51305</v>
      </c>
      <c r="H136" s="384">
        <f>SUM(BS136:CB136)</f>
        <v>133623</v>
      </c>
      <c r="I136" s="383">
        <f>SUM(CC136:CK136)</f>
        <v>208020</v>
      </c>
      <c r="J136" s="382"/>
      <c r="K136" s="381">
        <f>BF136</f>
        <v>4967</v>
      </c>
      <c r="L136" s="384">
        <f>AY136</f>
        <v>4544</v>
      </c>
      <c r="M136" s="384">
        <f>BD136</f>
        <v>12278</v>
      </c>
      <c r="N136" s="384">
        <f>AW136</f>
        <v>12991</v>
      </c>
      <c r="O136" s="384">
        <f>BE136</f>
        <v>5107</v>
      </c>
      <c r="P136" s="384">
        <f>'2020'!AZ136+'2020'!BA136</f>
        <v>490</v>
      </c>
      <c r="Q136" s="384">
        <f>'2020'!AU136</f>
        <v>7024</v>
      </c>
      <c r="R136" s="384">
        <f>AT136+AX136</f>
        <v>354</v>
      </c>
      <c r="S136" s="384">
        <f>AV136</f>
        <v>4475</v>
      </c>
      <c r="T136" s="384">
        <f>BB136</f>
        <v>2792</v>
      </c>
      <c r="U136" s="385">
        <f>BC136</f>
        <v>1945</v>
      </c>
      <c r="V136" s="384">
        <f>BG136+BJ136</f>
        <v>2855</v>
      </c>
      <c r="W136" s="384">
        <f>BR136</f>
        <v>15952</v>
      </c>
      <c r="X136" s="384">
        <f>BH136+BI136</f>
        <v>155</v>
      </c>
      <c r="Y136" s="384">
        <f>BK136+BL136+BN136</f>
        <v>2523</v>
      </c>
      <c r="Z136" s="384">
        <f>BM136</f>
        <v>7030</v>
      </c>
      <c r="AA136" s="384">
        <f>BO136+BQ136</f>
        <v>4824</v>
      </c>
      <c r="AB136" s="385">
        <f>BP136</f>
        <v>17966</v>
      </c>
      <c r="AC136" s="384">
        <f>BX136</f>
        <v>27254</v>
      </c>
      <c r="AD136" s="384">
        <f>BU136</f>
        <v>6297</v>
      </c>
      <c r="AE136" s="384">
        <f>BS136+BT136</f>
        <v>7475</v>
      </c>
      <c r="AF136" s="384">
        <f>CA136</f>
        <v>1241</v>
      </c>
      <c r="AG136" s="384">
        <f>BV136</f>
        <v>15832</v>
      </c>
      <c r="AH136" s="384">
        <f>BZ136</f>
        <v>11679</v>
      </c>
      <c r="AI136" s="384">
        <f>BW136</f>
        <v>29198</v>
      </c>
      <c r="AJ136" s="384">
        <f>BY136</f>
        <v>16536</v>
      </c>
      <c r="AK136" s="385">
        <f>CB136</f>
        <v>18111</v>
      </c>
      <c r="AL136" s="384">
        <f>CE136</f>
        <v>16160</v>
      </c>
      <c r="AM136" s="384">
        <f>CH136</f>
        <v>19001</v>
      </c>
      <c r="AN136" s="384">
        <f>CJ136</f>
        <v>58456</v>
      </c>
      <c r="AO136" s="384">
        <f>CC136</f>
        <v>42194</v>
      </c>
      <c r="AP136" s="384">
        <f>CD136</f>
        <v>2136</v>
      </c>
      <c r="AQ136" s="384">
        <f>CK136</f>
        <v>38785</v>
      </c>
      <c r="AR136" s="384">
        <f>CI136</f>
        <v>2724</v>
      </c>
      <c r="AS136" s="383">
        <f>CF136+CG136</f>
        <v>28564</v>
      </c>
      <c r="AT136" s="384">
        <v>354</v>
      </c>
      <c r="AU136" s="384">
        <v>7024</v>
      </c>
      <c r="AV136" s="384">
        <v>4475</v>
      </c>
      <c r="AW136" s="384">
        <v>12991</v>
      </c>
      <c r="AX136" s="384"/>
      <c r="AY136" s="384">
        <v>4544</v>
      </c>
      <c r="AZ136" s="384"/>
      <c r="BA136" s="384">
        <v>490</v>
      </c>
      <c r="BB136" s="384">
        <v>2792</v>
      </c>
      <c r="BC136" s="384">
        <v>1945</v>
      </c>
      <c r="BD136" s="384">
        <v>12278</v>
      </c>
      <c r="BE136" s="384">
        <v>5107</v>
      </c>
      <c r="BF136" s="385">
        <v>4967</v>
      </c>
      <c r="BG136" s="384">
        <v>575</v>
      </c>
      <c r="BH136" s="384"/>
      <c r="BI136" s="384">
        <v>155</v>
      </c>
      <c r="BJ136" s="384">
        <v>2280</v>
      </c>
      <c r="BK136" s="384"/>
      <c r="BL136" s="384"/>
      <c r="BM136" s="384">
        <v>7030</v>
      </c>
      <c r="BN136" s="384">
        <v>2523</v>
      </c>
      <c r="BO136" s="384">
        <v>409</v>
      </c>
      <c r="BP136" s="384">
        <v>17966</v>
      </c>
      <c r="BQ136" s="384">
        <v>4415</v>
      </c>
      <c r="BR136" s="385">
        <v>15952</v>
      </c>
      <c r="BS136" s="384">
        <v>226</v>
      </c>
      <c r="BT136" s="384">
        <v>7249</v>
      </c>
      <c r="BU136" s="384">
        <v>6297</v>
      </c>
      <c r="BV136" s="384">
        <v>15832</v>
      </c>
      <c r="BW136" s="384">
        <v>29198</v>
      </c>
      <c r="BX136" s="384">
        <v>27254</v>
      </c>
      <c r="BY136" s="384">
        <v>16536</v>
      </c>
      <c r="BZ136" s="384">
        <v>11679</v>
      </c>
      <c r="CA136" s="384">
        <v>1241</v>
      </c>
      <c r="CB136" s="385">
        <v>18111</v>
      </c>
      <c r="CC136" s="384">
        <v>42194</v>
      </c>
      <c r="CD136" s="384">
        <v>2136</v>
      </c>
      <c r="CE136" s="384">
        <v>16160</v>
      </c>
      <c r="CF136" s="384"/>
      <c r="CG136" s="384">
        <v>28564</v>
      </c>
      <c r="CH136" s="384">
        <v>19001</v>
      </c>
      <c r="CI136" s="384">
        <v>2724</v>
      </c>
      <c r="CJ136" s="384">
        <v>58456</v>
      </c>
      <c r="CK136" s="383">
        <v>38785</v>
      </c>
      <c r="CL136" s="319">
        <v>449915</v>
      </c>
    </row>
    <row r="137" spans="1:94">
      <c r="A137" s="80">
        <f>ROWS($A$3:A66)</f>
        <v>64</v>
      </c>
      <c r="B137" s="92" t="s">
        <v>391</v>
      </c>
      <c r="C137" s="203">
        <v>2019</v>
      </c>
      <c r="D137" s="259" t="s">
        <v>59</v>
      </c>
      <c r="E137" s="706">
        <v>44427</v>
      </c>
      <c r="F137" s="154">
        <f>SUM(AT137:BF137)</f>
        <v>128423</v>
      </c>
      <c r="G137" s="155">
        <f>SUM(BG137:BR137)</f>
        <v>46199</v>
      </c>
      <c r="H137" s="155">
        <f>SUM(BS137:CB137)</f>
        <v>22869</v>
      </c>
      <c r="I137" s="156">
        <f>SUM(CC137:CK137)</f>
        <v>34623</v>
      </c>
      <c r="J137" s="281"/>
      <c r="K137" s="154">
        <f>BF137</f>
        <v>28687</v>
      </c>
      <c r="L137" s="155">
        <f>AY137</f>
        <v>13225</v>
      </c>
      <c r="M137" s="155">
        <f>BD137</f>
        <v>25934</v>
      </c>
      <c r="N137" s="155">
        <f>AW137</f>
        <v>5840</v>
      </c>
      <c r="O137" s="155">
        <f>BE137</f>
        <v>7099</v>
      </c>
      <c r="P137" s="155">
        <f>'2020'!AZ137+'2020'!BA137</f>
        <v>3350</v>
      </c>
      <c r="Q137" s="155">
        <f>'2020'!AU137</f>
        <v>5472</v>
      </c>
      <c r="R137" s="155">
        <f>AT137+AX137</f>
        <v>6542</v>
      </c>
      <c r="S137" s="155">
        <f>AV137</f>
        <v>10762</v>
      </c>
      <c r="T137" s="155">
        <f>BB137</f>
        <v>6732</v>
      </c>
      <c r="U137" s="552">
        <f>BC137</f>
        <v>14780</v>
      </c>
      <c r="V137" s="155">
        <f>BG137+BJ137</f>
        <v>2432</v>
      </c>
      <c r="W137" s="155">
        <f>BR137</f>
        <v>2536</v>
      </c>
      <c r="X137" s="155">
        <f>BH137+BI137</f>
        <v>5613</v>
      </c>
      <c r="Y137" s="155">
        <f>BK137+BL137+BN137</f>
        <v>9004</v>
      </c>
      <c r="Z137" s="155">
        <f>BM137</f>
        <v>17195</v>
      </c>
      <c r="AA137" s="155">
        <f>BO137+BQ137</f>
        <v>8372</v>
      </c>
      <c r="AB137" s="552">
        <f>BP137</f>
        <v>1047</v>
      </c>
      <c r="AC137" s="155">
        <f>BX137</f>
        <v>0</v>
      </c>
      <c r="AD137" s="155">
        <f>BU137</f>
        <v>2700</v>
      </c>
      <c r="AE137" s="155">
        <f>BS137+BT137</f>
        <v>2112</v>
      </c>
      <c r="AF137" s="155">
        <f>CA137</f>
        <v>6267</v>
      </c>
      <c r="AG137" s="155">
        <f>BV137</f>
        <v>3560</v>
      </c>
      <c r="AH137" s="155">
        <f>BZ137</f>
        <v>4303</v>
      </c>
      <c r="AI137" s="155">
        <f>BW137</f>
        <v>0</v>
      </c>
      <c r="AJ137" s="155">
        <f>BY137</f>
        <v>0</v>
      </c>
      <c r="AK137" s="552">
        <f>CB137</f>
        <v>3927</v>
      </c>
      <c r="AL137" s="155">
        <f>CE137</f>
        <v>2579</v>
      </c>
      <c r="AM137" s="155">
        <f>CH137</f>
        <v>3958</v>
      </c>
      <c r="AN137" s="155">
        <f>CJ137</f>
        <v>3549</v>
      </c>
      <c r="AO137" s="155">
        <f>CC137</f>
        <v>4546</v>
      </c>
      <c r="AP137" s="155">
        <f>CD137</f>
        <v>5409</v>
      </c>
      <c r="AQ137" s="155">
        <f>CK137</f>
        <v>4057</v>
      </c>
      <c r="AR137" s="155">
        <f>CI137</f>
        <v>4769</v>
      </c>
      <c r="AS137" s="156">
        <f>CF137+CG137</f>
        <v>5756</v>
      </c>
      <c r="AT137" s="155"/>
      <c r="AU137" s="155">
        <v>5472</v>
      </c>
      <c r="AV137" s="155">
        <v>10762</v>
      </c>
      <c r="AW137" s="155">
        <v>5840</v>
      </c>
      <c r="AX137" s="155">
        <v>6542</v>
      </c>
      <c r="AY137" s="155">
        <v>13225</v>
      </c>
      <c r="AZ137" s="155"/>
      <c r="BA137" s="155">
        <v>3350</v>
      </c>
      <c r="BB137" s="155">
        <v>6732</v>
      </c>
      <c r="BC137" s="155">
        <v>14780</v>
      </c>
      <c r="BD137" s="155">
        <v>25934</v>
      </c>
      <c r="BE137" s="155">
        <v>7099</v>
      </c>
      <c r="BF137" s="552">
        <v>28687</v>
      </c>
      <c r="BG137" s="155">
        <v>737</v>
      </c>
      <c r="BH137" s="155"/>
      <c r="BI137" s="155">
        <v>5613</v>
      </c>
      <c r="BJ137" s="155">
        <v>1695</v>
      </c>
      <c r="BK137" s="155"/>
      <c r="BL137" s="155"/>
      <c r="BM137" s="155">
        <v>17195</v>
      </c>
      <c r="BN137" s="155">
        <v>9004</v>
      </c>
      <c r="BO137" s="155">
        <v>886</v>
      </c>
      <c r="BP137" s="155">
        <v>1047</v>
      </c>
      <c r="BQ137" s="155">
        <v>7486</v>
      </c>
      <c r="BR137" s="552">
        <v>2536</v>
      </c>
      <c r="BS137" s="155"/>
      <c r="BT137" s="155">
        <v>2112</v>
      </c>
      <c r="BU137" s="155">
        <v>2700</v>
      </c>
      <c r="BV137" s="155">
        <v>3560</v>
      </c>
      <c r="BW137" s="155"/>
      <c r="BX137" s="155"/>
      <c r="BY137" s="155"/>
      <c r="BZ137" s="155">
        <v>4303</v>
      </c>
      <c r="CA137" s="155">
        <v>6267</v>
      </c>
      <c r="CB137" s="552">
        <v>3927</v>
      </c>
      <c r="CC137" s="155">
        <v>4546</v>
      </c>
      <c r="CD137" s="155">
        <v>5409</v>
      </c>
      <c r="CE137" s="155">
        <v>2579</v>
      </c>
      <c r="CF137" s="155"/>
      <c r="CG137" s="155">
        <v>5756</v>
      </c>
      <c r="CH137" s="155">
        <v>3958</v>
      </c>
      <c r="CI137" s="155">
        <v>4769</v>
      </c>
      <c r="CJ137" s="155">
        <v>3549</v>
      </c>
      <c r="CK137" s="156">
        <v>4057</v>
      </c>
      <c r="CL137" s="320">
        <v>232114</v>
      </c>
    </row>
    <row r="141" spans="1:94">
      <c r="B141" s="772" t="s">
        <v>480</v>
      </c>
    </row>
    <row r="152" spans="46:90">
      <c r="AT152" s="691" t="s">
        <v>340</v>
      </c>
      <c r="AU152" s="691" t="s">
        <v>341</v>
      </c>
      <c r="AV152" s="691" t="s">
        <v>310</v>
      </c>
      <c r="AW152" s="691" t="s">
        <v>311</v>
      </c>
      <c r="AX152" s="691" t="s">
        <v>312</v>
      </c>
      <c r="AY152" s="691" t="s">
        <v>342</v>
      </c>
      <c r="AZ152" s="691" t="s">
        <v>343</v>
      </c>
      <c r="BA152" s="691" t="s">
        <v>313</v>
      </c>
      <c r="BB152" s="691" t="s">
        <v>344</v>
      </c>
      <c r="BC152" s="691" t="s">
        <v>345</v>
      </c>
      <c r="BD152" s="691" t="s">
        <v>346</v>
      </c>
      <c r="BE152" s="691" t="s">
        <v>347</v>
      </c>
      <c r="BF152" s="691" t="s">
        <v>314</v>
      </c>
      <c r="BG152" s="691" t="s">
        <v>315</v>
      </c>
      <c r="BH152" s="691" t="s">
        <v>374</v>
      </c>
      <c r="BI152" s="691" t="s">
        <v>316</v>
      </c>
      <c r="BJ152" s="691" t="s">
        <v>317</v>
      </c>
      <c r="BK152" s="691" t="s">
        <v>348</v>
      </c>
      <c r="BL152" s="691" t="s">
        <v>349</v>
      </c>
      <c r="BM152" s="691" t="s">
        <v>350</v>
      </c>
      <c r="BN152" s="691" t="s">
        <v>351</v>
      </c>
      <c r="BO152" s="691" t="s">
        <v>352</v>
      </c>
      <c r="BP152" s="691" t="s">
        <v>318</v>
      </c>
      <c r="BQ152" s="691" t="s">
        <v>319</v>
      </c>
      <c r="BR152" s="691" t="s">
        <v>320</v>
      </c>
      <c r="BS152" s="691" t="s">
        <v>321</v>
      </c>
      <c r="BT152" s="691" t="s">
        <v>322</v>
      </c>
      <c r="BU152" s="691" t="s">
        <v>323</v>
      </c>
      <c r="BV152" s="691" t="s">
        <v>324</v>
      </c>
      <c r="BW152" s="691" t="s">
        <v>325</v>
      </c>
      <c r="BX152" s="691" t="s">
        <v>326</v>
      </c>
      <c r="BY152" s="691" t="s">
        <v>327</v>
      </c>
      <c r="BZ152" s="691" t="s">
        <v>328</v>
      </c>
      <c r="CA152" s="691" t="s">
        <v>329</v>
      </c>
      <c r="CB152" s="691" t="s">
        <v>330</v>
      </c>
      <c r="CC152" s="691" t="s">
        <v>331</v>
      </c>
      <c r="CD152" s="691" t="s">
        <v>332</v>
      </c>
      <c r="CE152" s="691" t="s">
        <v>333</v>
      </c>
      <c r="CF152" s="691" t="s">
        <v>353</v>
      </c>
      <c r="CG152" s="691" t="s">
        <v>334</v>
      </c>
      <c r="CH152" s="691" t="s">
        <v>335</v>
      </c>
      <c r="CI152" s="691" t="s">
        <v>336</v>
      </c>
      <c r="CJ152" s="691" t="s">
        <v>337</v>
      </c>
      <c r="CK152" s="691" t="s">
        <v>338</v>
      </c>
    </row>
    <row r="153" spans="46:90" ht="15">
      <c r="AT153" s="692">
        <v>2</v>
      </c>
      <c r="AU153" s="692">
        <v>25</v>
      </c>
      <c r="AV153" s="692">
        <v>36</v>
      </c>
      <c r="AW153" s="692">
        <v>35</v>
      </c>
      <c r="AX153" s="692">
        <v>40</v>
      </c>
      <c r="AY153" s="692">
        <v>171</v>
      </c>
      <c r="AZ153" s="692">
        <v>5</v>
      </c>
      <c r="BA153" s="692">
        <v>95</v>
      </c>
      <c r="BB153" s="692">
        <v>65</v>
      </c>
      <c r="BC153" s="692">
        <v>79</v>
      </c>
      <c r="BD153" s="692">
        <v>46</v>
      </c>
      <c r="BE153" s="692">
        <v>15</v>
      </c>
      <c r="BF153" s="692">
        <v>71</v>
      </c>
      <c r="BG153" s="692">
        <v>7</v>
      </c>
      <c r="BH153" s="692">
        <v>3</v>
      </c>
      <c r="BI153" s="692">
        <v>40</v>
      </c>
      <c r="BJ153" s="692">
        <v>59</v>
      </c>
      <c r="BK153" s="692">
        <v>5</v>
      </c>
      <c r="BL153" s="692">
        <v>2</v>
      </c>
      <c r="BM153" s="692">
        <v>35</v>
      </c>
      <c r="BN153" s="692">
        <v>48</v>
      </c>
      <c r="BO153" s="692">
        <v>2</v>
      </c>
      <c r="BP153" s="692">
        <v>50</v>
      </c>
      <c r="BQ153" s="692">
        <v>33</v>
      </c>
      <c r="BR153" s="692">
        <v>40</v>
      </c>
      <c r="BS153" s="692">
        <v>6</v>
      </c>
      <c r="BT153" s="692">
        <v>110</v>
      </c>
      <c r="BU153" s="692">
        <v>69</v>
      </c>
      <c r="BV153" s="692">
        <v>137</v>
      </c>
      <c r="BW153" s="692">
        <v>38</v>
      </c>
      <c r="BX153" s="692">
        <v>120</v>
      </c>
      <c r="BY153" s="692">
        <v>39</v>
      </c>
      <c r="BZ153" s="692">
        <v>98</v>
      </c>
      <c r="CA153" s="692">
        <v>132</v>
      </c>
      <c r="CB153" s="692">
        <v>177</v>
      </c>
      <c r="CC153" s="692">
        <v>33</v>
      </c>
      <c r="CD153" s="692">
        <v>13</v>
      </c>
      <c r="CE153" s="692">
        <v>34</v>
      </c>
      <c r="CF153" s="692">
        <v>2</v>
      </c>
      <c r="CG153" s="692">
        <v>31</v>
      </c>
      <c r="CH153" s="692">
        <v>44</v>
      </c>
      <c r="CI153" s="692">
        <v>38</v>
      </c>
      <c r="CJ153" s="692">
        <v>68</v>
      </c>
      <c r="CK153" s="692">
        <v>56</v>
      </c>
      <c r="CL153" s="693">
        <v>2254</v>
      </c>
    </row>
    <row r="154" spans="46:90">
      <c r="AT154" s="692">
        <v>1642.1299999999999</v>
      </c>
      <c r="AU154" s="692">
        <v>23012.719999999998</v>
      </c>
      <c r="AV154" s="692">
        <v>12955.949999999999</v>
      </c>
      <c r="AW154" s="692">
        <v>21235.45</v>
      </c>
      <c r="AX154" s="692">
        <v>19000</v>
      </c>
      <c r="AY154" s="692">
        <v>8695.2199999999975</v>
      </c>
      <c r="AZ154" s="692">
        <v>802.22</v>
      </c>
      <c r="BA154" s="692">
        <v>28171.230000000003</v>
      </c>
      <c r="BB154" s="692">
        <v>13125.729999999994</v>
      </c>
      <c r="BC154" s="692">
        <v>5604.9699999999993</v>
      </c>
      <c r="BD154" s="692">
        <v>52391.43</v>
      </c>
      <c r="BE154" s="692">
        <v>68472.180000000008</v>
      </c>
      <c r="BF154" s="692">
        <v>17234.57</v>
      </c>
      <c r="BG154" s="692">
        <v>3990.3899999999994</v>
      </c>
      <c r="BH154" s="692">
        <v>8534.01</v>
      </c>
      <c r="BI154" s="692">
        <v>34929.600000000006</v>
      </c>
      <c r="BJ154" s="692">
        <v>15967.439999999999</v>
      </c>
      <c r="BK154" s="692">
        <v>2044.9399999999998</v>
      </c>
      <c r="BL154" s="692">
        <v>6646.3899999999994</v>
      </c>
      <c r="BM154" s="692">
        <v>27663.01</v>
      </c>
      <c r="BN154" s="692">
        <v>35040.07</v>
      </c>
      <c r="BO154" s="692">
        <v>4016.86</v>
      </c>
      <c r="BP154" s="692">
        <v>28546.199999999997</v>
      </c>
      <c r="BQ154" s="692">
        <v>20260.309999999998</v>
      </c>
      <c r="BR154" s="692">
        <v>15564.76</v>
      </c>
      <c r="BS154" s="692">
        <v>1181.7599999999998</v>
      </c>
      <c r="BT154" s="692">
        <v>21330.729999999992</v>
      </c>
      <c r="BU154" s="692">
        <v>8672.17</v>
      </c>
      <c r="BV154" s="692">
        <v>19755.710000000006</v>
      </c>
      <c r="BW154" s="692">
        <v>21300.820000000014</v>
      </c>
      <c r="BX154" s="692">
        <v>16776.750000000004</v>
      </c>
      <c r="BY154" s="692">
        <v>15552.83</v>
      </c>
      <c r="BZ154" s="692">
        <v>22803.579999999998</v>
      </c>
      <c r="CA154" s="692">
        <v>9822.5400000000009</v>
      </c>
      <c r="CB154" s="692">
        <v>21473.08</v>
      </c>
      <c r="CC154" s="692">
        <v>55452.76</v>
      </c>
      <c r="CD154" s="692">
        <v>15670.099999999999</v>
      </c>
      <c r="CE154" s="692">
        <v>32297.29</v>
      </c>
      <c r="CF154" s="692">
        <v>599.70000000000005</v>
      </c>
      <c r="CG154" s="692">
        <v>115614.43</v>
      </c>
      <c r="CH154" s="692">
        <v>29138.640000000007</v>
      </c>
      <c r="CI154" s="692">
        <v>9631.3799999999992</v>
      </c>
      <c r="CJ154" s="692">
        <v>21130.89</v>
      </c>
      <c r="CK154"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65:I66 F7:I11 F13:I13 F69:I70 F19:I19 F80:I80 F81:I81 F95:I96" formulaRange="1"/>
    <ignoredError sqref="AF100 F12:I12 K44:M44 N44:O44 R44:U44 V44:AR44 F82:I82 CA47 K53:N53 Q30 Q33 W30 W33 Z30 Z33 AS17 Q14 R17 W14 V17 X17:Y17 AA17" formula="1"/>
    <ignoredError sqref="F83:I83" formula="1" formulaRange="1"/>
    <ignoredError sqref="CJ48" numberStoredAsText="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CX154"/>
  <sheetViews>
    <sheetView zoomScaleNormal="100" workbookViewId="0">
      <pane xSplit="5" ySplit="4" topLeftCell="BF68" activePane="bottomRight" state="frozen"/>
      <selection activeCell="Y57" sqref="Y57"/>
      <selection pane="topRight" activeCell="Y57" sqref="Y57"/>
      <selection pane="bottomLeft" activeCell="Y57" sqref="Y57"/>
      <selection pane="bottomRight" activeCell="Y57" sqref="Y57"/>
    </sheetView>
  </sheetViews>
  <sheetFormatPr baseColWidth="10" defaultRowHeight="12.75"/>
  <cols>
    <col min="1" max="1" width="4" customWidth="1"/>
    <col min="2" max="2" width="39" style="58" customWidth="1"/>
    <col min="3" max="3" width="6.85546875" style="198" customWidth="1"/>
    <col min="4" max="4" width="12.5703125" customWidth="1"/>
    <col min="5" max="5" width="8.7109375" style="457" customWidth="1"/>
    <col min="6" max="89" width="11.42578125" style="126" customWidth="1"/>
    <col min="90" max="90" width="17.85546875" style="126" customWidth="1"/>
  </cols>
  <sheetData>
    <row r="1" spans="1:91" ht="13.5" thickBot="1">
      <c r="B1" s="70" t="s">
        <v>187</v>
      </c>
      <c r="E1" s="449"/>
    </row>
    <row r="2" spans="1:91">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684">
        <v>2018</v>
      </c>
      <c r="D7" s="685" t="s">
        <v>1</v>
      </c>
      <c r="E7" s="447">
        <v>43551</v>
      </c>
      <c r="F7" s="154">
        <f t="shared" ref="F7:F13" si="0">SUM(AT7:BF7)</f>
        <v>1055687</v>
      </c>
      <c r="G7" s="155">
        <f t="shared" ref="G7:G13" si="1">SUM(BG7:BR7)</f>
        <v>691802</v>
      </c>
      <c r="H7" s="155">
        <f t="shared" ref="H7:H13" si="2">SUM(BS7:CB7)</f>
        <v>935634</v>
      </c>
      <c r="I7" s="156">
        <f t="shared" ref="I7:I13" si="3">SUM(CC7:CK7)</f>
        <v>891706</v>
      </c>
      <c r="J7" s="155"/>
      <c r="K7" s="154">
        <f t="shared" ref="K7:K20" si="4">BF7</f>
        <v>151139</v>
      </c>
      <c r="L7" s="155">
        <f t="shared" ref="L7:L20" si="5">AY7</f>
        <v>85808</v>
      </c>
      <c r="M7" s="155">
        <f t="shared" ref="M7:M20" si="6">BD7</f>
        <v>130413</v>
      </c>
      <c r="N7" s="155">
        <f t="shared" ref="N7:N20" si="7">AW7</f>
        <v>64234</v>
      </c>
      <c r="O7" s="155">
        <f t="shared" ref="O7:O20" si="8">BE7</f>
        <v>62714</v>
      </c>
      <c r="P7" s="155">
        <f>'2019'!AZ7+'2019'!BA7</f>
        <v>119980</v>
      </c>
      <c r="Q7" s="155">
        <f>'2019'!AU7</f>
        <v>61776</v>
      </c>
      <c r="R7" s="155">
        <f>AT7+AX7</f>
        <v>89412</v>
      </c>
      <c r="S7" s="155">
        <f t="shared" ref="S7:S20" si="9">AV7</f>
        <v>64128</v>
      </c>
      <c r="T7" s="155">
        <f t="shared" ref="T7:U20" si="10">BB7</f>
        <v>77676</v>
      </c>
      <c r="U7" s="552">
        <f t="shared" si="10"/>
        <v>148407</v>
      </c>
      <c r="V7" s="155">
        <f t="shared" ref="V7:V13" si="11">BG7+BJ7</f>
        <v>87862</v>
      </c>
      <c r="W7" s="155">
        <f t="shared" ref="W7:W20" si="12">BR7</f>
        <v>87039</v>
      </c>
      <c r="X7" s="155">
        <f t="shared" ref="X7:X13" si="13">BH7+BI7</f>
        <v>125870</v>
      </c>
      <c r="Y7" s="155">
        <f t="shared" ref="Y7:Y13" si="14">BK7+BL7+BN7</f>
        <v>131541</v>
      </c>
      <c r="Z7" s="155">
        <f t="shared" ref="Z7:Z20" si="15">BM7</f>
        <v>112594</v>
      </c>
      <c r="AA7" s="155">
        <f t="shared" ref="AA7:AA12" si="16">BO7+BQ7</f>
        <v>67167</v>
      </c>
      <c r="AB7" s="552">
        <f t="shared" ref="AB7:AB20" si="17">BP7</f>
        <v>79729</v>
      </c>
      <c r="AC7" s="155">
        <f t="shared" ref="AC7:AC20" si="18">BX7</f>
        <v>102533</v>
      </c>
      <c r="AD7" s="155">
        <f t="shared" ref="AD7:AD20" si="19">BU7</f>
        <v>67979</v>
      </c>
      <c r="AE7" s="155">
        <f t="shared" ref="AE7:AE13" si="20">BS7+BT7</f>
        <v>153135</v>
      </c>
      <c r="AF7" s="155">
        <f t="shared" ref="AF7:AF20" si="21">CA7</f>
        <v>80671</v>
      </c>
      <c r="AG7" s="155">
        <f t="shared" ref="AG7:AG20" si="22">BV7</f>
        <v>186028</v>
      </c>
      <c r="AH7" s="155">
        <f t="shared" ref="AH7:AH20" si="23">BZ7</f>
        <v>81798</v>
      </c>
      <c r="AI7" s="155">
        <f t="shared" ref="AI7:AI20" si="24">BW7</f>
        <v>76942</v>
      </c>
      <c r="AJ7" s="155">
        <f t="shared" ref="AJ7:AJ20" si="25">BY7</f>
        <v>73438</v>
      </c>
      <c r="AK7" s="552">
        <f t="shared" ref="AK7:AK20" si="26">CB7</f>
        <v>113110</v>
      </c>
      <c r="AL7" s="155">
        <f t="shared" ref="AL7:AL20" si="27">CE7</f>
        <v>91758</v>
      </c>
      <c r="AM7" s="155">
        <f t="shared" ref="AM7:AM20" si="28">CH7</f>
        <v>140953</v>
      </c>
      <c r="AN7" s="155">
        <f t="shared" ref="AN7:AN20" si="29">CJ7</f>
        <v>163210</v>
      </c>
      <c r="AO7" s="155">
        <f t="shared" ref="AO7:AP20" si="30">CC7</f>
        <v>109248</v>
      </c>
      <c r="AP7" s="155">
        <f t="shared" si="30"/>
        <v>51912</v>
      </c>
      <c r="AQ7" s="155">
        <f t="shared" ref="AQ7:AQ20" si="31">CK7</f>
        <v>120423</v>
      </c>
      <c r="AR7" s="155">
        <f t="shared" ref="AR7:AR20" si="32">CI7</f>
        <v>66479</v>
      </c>
      <c r="AS7" s="156">
        <f t="shared" ref="AS7:AS13" si="33">CF7+CG7</f>
        <v>147723</v>
      </c>
      <c r="AT7" s="534">
        <v>20735</v>
      </c>
      <c r="AU7" s="534">
        <v>61776</v>
      </c>
      <c r="AV7" s="534">
        <v>64128</v>
      </c>
      <c r="AW7" s="534">
        <v>64234</v>
      </c>
      <c r="AX7" s="534">
        <v>68677</v>
      </c>
      <c r="AY7" s="534">
        <v>85808</v>
      </c>
      <c r="AZ7" s="534">
        <v>9989</v>
      </c>
      <c r="BA7" s="534">
        <v>109991</v>
      </c>
      <c r="BB7" s="534">
        <v>77676</v>
      </c>
      <c r="BC7" s="534">
        <v>148407</v>
      </c>
      <c r="BD7" s="534">
        <v>130413</v>
      </c>
      <c r="BE7" s="534">
        <v>62714</v>
      </c>
      <c r="BF7" s="557">
        <v>151139</v>
      </c>
      <c r="BG7" s="534">
        <v>14019</v>
      </c>
      <c r="BH7" s="534">
        <v>17342</v>
      </c>
      <c r="BI7" s="534">
        <v>108528</v>
      </c>
      <c r="BJ7" s="534">
        <v>73843</v>
      </c>
      <c r="BK7" s="534">
        <v>10889</v>
      </c>
      <c r="BL7" s="534">
        <v>14497</v>
      </c>
      <c r="BM7" s="534">
        <v>112594</v>
      </c>
      <c r="BN7" s="534">
        <v>106155</v>
      </c>
      <c r="BO7" s="534">
        <v>9807</v>
      </c>
      <c r="BP7" s="534">
        <v>79729</v>
      </c>
      <c r="BQ7" s="534">
        <v>57360</v>
      </c>
      <c r="BR7" s="557">
        <v>87039</v>
      </c>
      <c r="BS7" s="534">
        <v>15304</v>
      </c>
      <c r="BT7" s="534">
        <v>137831</v>
      </c>
      <c r="BU7" s="534">
        <v>67979</v>
      </c>
      <c r="BV7" s="534">
        <v>186028</v>
      </c>
      <c r="BW7" s="534">
        <v>76942</v>
      </c>
      <c r="BX7" s="534">
        <v>102533</v>
      </c>
      <c r="BY7" s="534">
        <v>73438</v>
      </c>
      <c r="BZ7" s="534">
        <v>81798</v>
      </c>
      <c r="CA7" s="534">
        <v>80671</v>
      </c>
      <c r="CB7" s="557">
        <v>113110</v>
      </c>
      <c r="CC7" s="534">
        <v>109248</v>
      </c>
      <c r="CD7" s="534">
        <v>51912</v>
      </c>
      <c r="CE7" s="534">
        <v>91758</v>
      </c>
      <c r="CF7" s="534">
        <v>11868</v>
      </c>
      <c r="CG7" s="534">
        <v>135855</v>
      </c>
      <c r="CH7" s="534">
        <v>140953</v>
      </c>
      <c r="CI7" s="534">
        <v>66479</v>
      </c>
      <c r="CJ7" s="534">
        <v>163210</v>
      </c>
      <c r="CK7" s="534">
        <v>120423</v>
      </c>
      <c r="CL7" s="553">
        <v>3574830</v>
      </c>
      <c r="CM7" s="422"/>
    </row>
    <row r="8" spans="1:91" ht="14.25">
      <c r="A8" s="80">
        <f>ROWS($A$3:A6)</f>
        <v>4</v>
      </c>
      <c r="B8" s="92" t="s">
        <v>242</v>
      </c>
      <c r="C8" s="686"/>
      <c r="D8" s="685" t="s">
        <v>1</v>
      </c>
      <c r="E8" s="447">
        <v>43551</v>
      </c>
      <c r="F8" s="154">
        <f t="shared" si="0"/>
        <v>176913</v>
      </c>
      <c r="G8" s="155">
        <f t="shared" si="1"/>
        <v>115523</v>
      </c>
      <c r="H8" s="155">
        <f t="shared" si="2"/>
        <v>115125</v>
      </c>
      <c r="I8" s="156">
        <f t="shared" si="3"/>
        <v>112742</v>
      </c>
      <c r="J8" s="155"/>
      <c r="K8" s="154">
        <f t="shared" si="4"/>
        <v>19793</v>
      </c>
      <c r="L8" s="155">
        <f t="shared" si="5"/>
        <v>15307</v>
      </c>
      <c r="M8" s="155">
        <f t="shared" si="6"/>
        <v>14283</v>
      </c>
      <c r="N8" s="155">
        <f t="shared" si="7"/>
        <v>10700</v>
      </c>
      <c r="O8" s="155">
        <f t="shared" si="8"/>
        <v>7997</v>
      </c>
      <c r="P8" s="155">
        <f>'2019'!AZ8+'2019'!BA8</f>
        <v>23036</v>
      </c>
      <c r="Q8" s="155">
        <f>'2019'!AU8</f>
        <v>14112</v>
      </c>
      <c r="R8" s="155">
        <f>AT8+AX8</f>
        <v>27759</v>
      </c>
      <c r="S8" s="155">
        <f t="shared" si="9"/>
        <v>15956</v>
      </c>
      <c r="T8" s="155">
        <f t="shared" si="10"/>
        <v>10342</v>
      </c>
      <c r="U8" s="552">
        <f t="shared" si="10"/>
        <v>17628</v>
      </c>
      <c r="V8" s="155">
        <f t="shared" si="11"/>
        <v>12690</v>
      </c>
      <c r="W8" s="155">
        <f t="shared" si="12"/>
        <v>8507</v>
      </c>
      <c r="X8" s="155">
        <f t="shared" si="13"/>
        <v>27856</v>
      </c>
      <c r="Y8" s="155">
        <f t="shared" si="14"/>
        <v>32836</v>
      </c>
      <c r="Z8" s="155">
        <f t="shared" si="15"/>
        <v>12189</v>
      </c>
      <c r="AA8" s="155">
        <f t="shared" si="16"/>
        <v>12393</v>
      </c>
      <c r="AB8" s="552">
        <f t="shared" si="17"/>
        <v>9052</v>
      </c>
      <c r="AC8" s="155">
        <f t="shared" si="18"/>
        <v>11949</v>
      </c>
      <c r="AD8" s="155">
        <f t="shared" si="19"/>
        <v>7651</v>
      </c>
      <c r="AE8" s="155">
        <f t="shared" si="20"/>
        <v>19534</v>
      </c>
      <c r="AF8" s="155">
        <f t="shared" si="21"/>
        <v>10402</v>
      </c>
      <c r="AG8" s="155">
        <f t="shared" si="22"/>
        <v>22228</v>
      </c>
      <c r="AH8" s="155">
        <f t="shared" si="23"/>
        <v>12886</v>
      </c>
      <c r="AI8" s="155">
        <f t="shared" si="24"/>
        <v>10048</v>
      </c>
      <c r="AJ8" s="155">
        <f t="shared" si="25"/>
        <v>8726</v>
      </c>
      <c r="AK8" s="552">
        <f t="shared" si="26"/>
        <v>11701</v>
      </c>
      <c r="AL8" s="155">
        <f t="shared" si="27"/>
        <v>12505</v>
      </c>
      <c r="AM8" s="155">
        <f t="shared" si="28"/>
        <v>16698</v>
      </c>
      <c r="AN8" s="155">
        <f t="shared" si="29"/>
        <v>17713</v>
      </c>
      <c r="AO8" s="155">
        <f t="shared" si="30"/>
        <v>14550</v>
      </c>
      <c r="AP8" s="155">
        <f t="shared" si="30"/>
        <v>9430</v>
      </c>
      <c r="AQ8" s="155">
        <f t="shared" si="31"/>
        <v>12114</v>
      </c>
      <c r="AR8" s="155">
        <f t="shared" si="32"/>
        <v>9973</v>
      </c>
      <c r="AS8" s="156">
        <f t="shared" si="33"/>
        <v>19759</v>
      </c>
      <c r="AT8" s="534">
        <v>10720</v>
      </c>
      <c r="AU8" s="534">
        <v>14112</v>
      </c>
      <c r="AV8" s="534">
        <v>15956</v>
      </c>
      <c r="AW8" s="534">
        <v>10700</v>
      </c>
      <c r="AX8" s="534">
        <v>17039</v>
      </c>
      <c r="AY8" s="534">
        <v>15307</v>
      </c>
      <c r="AZ8" s="534">
        <v>3599</v>
      </c>
      <c r="BA8" s="534">
        <v>19437</v>
      </c>
      <c r="BB8" s="534">
        <v>10342</v>
      </c>
      <c r="BC8" s="534">
        <v>17628</v>
      </c>
      <c r="BD8" s="534">
        <v>14283</v>
      </c>
      <c r="BE8" s="534">
        <v>7997</v>
      </c>
      <c r="BF8" s="557">
        <v>19793</v>
      </c>
      <c r="BG8" s="534">
        <v>2075</v>
      </c>
      <c r="BH8" s="534">
        <v>8094</v>
      </c>
      <c r="BI8" s="534">
        <v>19762</v>
      </c>
      <c r="BJ8" s="534">
        <v>10615</v>
      </c>
      <c r="BK8" s="534">
        <v>3313</v>
      </c>
      <c r="BL8" s="534">
        <v>8431</v>
      </c>
      <c r="BM8" s="534">
        <v>12189</v>
      </c>
      <c r="BN8" s="534">
        <v>21092</v>
      </c>
      <c r="BO8" s="534">
        <v>3057</v>
      </c>
      <c r="BP8" s="534">
        <v>9052</v>
      </c>
      <c r="BQ8" s="534">
        <v>9336</v>
      </c>
      <c r="BR8" s="557">
        <v>8507</v>
      </c>
      <c r="BS8" s="534">
        <v>4926</v>
      </c>
      <c r="BT8" s="534">
        <v>14608</v>
      </c>
      <c r="BU8" s="534">
        <v>7651</v>
      </c>
      <c r="BV8" s="534">
        <v>22228</v>
      </c>
      <c r="BW8" s="534">
        <v>10048</v>
      </c>
      <c r="BX8" s="534">
        <v>11949</v>
      </c>
      <c r="BY8" s="534">
        <v>8726</v>
      </c>
      <c r="BZ8" s="534">
        <v>12886</v>
      </c>
      <c r="CA8" s="534">
        <v>10402</v>
      </c>
      <c r="CB8" s="557">
        <v>11701</v>
      </c>
      <c r="CC8" s="534">
        <v>14550</v>
      </c>
      <c r="CD8" s="534">
        <v>9430</v>
      </c>
      <c r="CE8" s="534">
        <v>12505</v>
      </c>
      <c r="CF8" s="534">
        <v>3920</v>
      </c>
      <c r="CG8" s="534">
        <v>15839</v>
      </c>
      <c r="CH8" s="534">
        <v>16698</v>
      </c>
      <c r="CI8" s="534">
        <v>9973</v>
      </c>
      <c r="CJ8" s="534">
        <v>17713</v>
      </c>
      <c r="CK8" s="534">
        <v>12114</v>
      </c>
      <c r="CL8" s="320">
        <v>520301</v>
      </c>
      <c r="CM8" s="422"/>
    </row>
    <row r="9" spans="1:91">
      <c r="A9" s="80">
        <f>ROWS($A$3:A7)</f>
        <v>5</v>
      </c>
      <c r="B9" s="92" t="s">
        <v>0</v>
      </c>
      <c r="C9" s="686"/>
      <c r="D9" s="685" t="s">
        <v>1</v>
      </c>
      <c r="E9" s="447">
        <v>43551</v>
      </c>
      <c r="F9" s="154">
        <f t="shared" si="0"/>
        <v>526377</v>
      </c>
      <c r="G9" s="155">
        <f t="shared" si="1"/>
        <v>250042</v>
      </c>
      <c r="H9" s="155">
        <f t="shared" si="2"/>
        <v>368699</v>
      </c>
      <c r="I9" s="156">
        <f t="shared" si="3"/>
        <v>470426</v>
      </c>
      <c r="J9" s="155"/>
      <c r="K9" s="154">
        <f t="shared" si="4"/>
        <v>70258</v>
      </c>
      <c r="L9" s="155">
        <f t="shared" si="5"/>
        <v>35876</v>
      </c>
      <c r="M9" s="155">
        <f t="shared" si="6"/>
        <v>75182</v>
      </c>
      <c r="N9" s="155">
        <f t="shared" si="7"/>
        <v>32046</v>
      </c>
      <c r="O9" s="155">
        <f t="shared" si="8"/>
        <v>26554</v>
      </c>
      <c r="P9" s="155">
        <f>'2019'!AZ9+'2019'!BA9</f>
        <v>65231</v>
      </c>
      <c r="Q9" s="155">
        <f>'2019'!AU9</f>
        <v>25488</v>
      </c>
      <c r="R9" s="155">
        <f t="shared" ref="R9:R16" si="34">AT9+AX9</f>
        <v>42159</v>
      </c>
      <c r="S9" s="155">
        <f t="shared" si="9"/>
        <v>28306</v>
      </c>
      <c r="T9" s="155">
        <f t="shared" si="10"/>
        <v>43990</v>
      </c>
      <c r="U9" s="552">
        <f t="shared" si="10"/>
        <v>81287</v>
      </c>
      <c r="V9" s="155">
        <f t="shared" si="11"/>
        <v>25634</v>
      </c>
      <c r="W9" s="155">
        <f t="shared" si="12"/>
        <v>22721</v>
      </c>
      <c r="X9" s="155">
        <f t="shared" si="13"/>
        <v>52227</v>
      </c>
      <c r="Y9" s="155">
        <f t="shared" si="14"/>
        <v>50629</v>
      </c>
      <c r="Z9" s="155">
        <f t="shared" si="15"/>
        <v>51438</v>
      </c>
      <c r="AA9" s="155">
        <f t="shared" si="16"/>
        <v>26870</v>
      </c>
      <c r="AB9" s="552">
        <f t="shared" si="17"/>
        <v>20523</v>
      </c>
      <c r="AC9" s="155">
        <f t="shared" si="18"/>
        <v>42279</v>
      </c>
      <c r="AD9" s="155">
        <f t="shared" si="19"/>
        <v>27361</v>
      </c>
      <c r="AE9" s="155">
        <f t="shared" si="20"/>
        <v>57880</v>
      </c>
      <c r="AF9" s="155">
        <f t="shared" si="21"/>
        <v>27397</v>
      </c>
      <c r="AG9" s="155">
        <f t="shared" si="22"/>
        <v>70149</v>
      </c>
      <c r="AH9" s="155">
        <f t="shared" si="23"/>
        <v>40008</v>
      </c>
      <c r="AI9" s="155">
        <f t="shared" si="24"/>
        <v>32701</v>
      </c>
      <c r="AJ9" s="155">
        <f t="shared" si="25"/>
        <v>27105</v>
      </c>
      <c r="AK9" s="552">
        <f t="shared" si="26"/>
        <v>43819</v>
      </c>
      <c r="AL9" s="155">
        <f t="shared" si="27"/>
        <v>40642</v>
      </c>
      <c r="AM9" s="155">
        <f t="shared" si="28"/>
        <v>81551</v>
      </c>
      <c r="AN9" s="155">
        <f t="shared" si="29"/>
        <v>94083</v>
      </c>
      <c r="AO9" s="155">
        <f t="shared" si="30"/>
        <v>51699</v>
      </c>
      <c r="AP9" s="155">
        <f t="shared" si="30"/>
        <v>23638</v>
      </c>
      <c r="AQ9" s="155">
        <f t="shared" si="31"/>
        <v>59418</v>
      </c>
      <c r="AR9" s="155">
        <f t="shared" si="32"/>
        <v>36776</v>
      </c>
      <c r="AS9" s="156">
        <f t="shared" si="33"/>
        <v>82619</v>
      </c>
      <c r="AT9" s="534">
        <v>4720</v>
      </c>
      <c r="AU9" s="534">
        <v>25488</v>
      </c>
      <c r="AV9" s="534">
        <v>28306</v>
      </c>
      <c r="AW9" s="534">
        <v>32046</v>
      </c>
      <c r="AX9" s="534">
        <v>37439</v>
      </c>
      <c r="AY9" s="534">
        <v>35876</v>
      </c>
      <c r="AZ9" s="534">
        <v>4690</v>
      </c>
      <c r="BA9" s="534">
        <v>60541</v>
      </c>
      <c r="BB9" s="534">
        <v>43990</v>
      </c>
      <c r="BC9" s="534">
        <v>81287</v>
      </c>
      <c r="BD9" s="534">
        <v>75182</v>
      </c>
      <c r="BE9" s="534">
        <v>26554</v>
      </c>
      <c r="BF9" s="557">
        <v>70258</v>
      </c>
      <c r="BG9" s="534">
        <v>3106</v>
      </c>
      <c r="BH9" s="534">
        <v>3919</v>
      </c>
      <c r="BI9" s="534">
        <v>48308</v>
      </c>
      <c r="BJ9" s="534">
        <v>22528</v>
      </c>
      <c r="BK9" s="534">
        <v>2856</v>
      </c>
      <c r="BL9" s="534">
        <v>3452</v>
      </c>
      <c r="BM9" s="534">
        <v>51438</v>
      </c>
      <c r="BN9" s="534">
        <v>44321</v>
      </c>
      <c r="BO9" s="534">
        <v>1639</v>
      </c>
      <c r="BP9" s="534">
        <v>20523</v>
      </c>
      <c r="BQ9" s="534">
        <v>25231</v>
      </c>
      <c r="BR9" s="557">
        <v>22721</v>
      </c>
      <c r="BS9" s="534">
        <v>3536</v>
      </c>
      <c r="BT9" s="534">
        <v>54344</v>
      </c>
      <c r="BU9" s="534">
        <v>27361</v>
      </c>
      <c r="BV9" s="534">
        <v>70149</v>
      </c>
      <c r="BW9" s="534">
        <v>32701</v>
      </c>
      <c r="BX9" s="534">
        <v>42279</v>
      </c>
      <c r="BY9" s="534">
        <v>27105</v>
      </c>
      <c r="BZ9" s="534">
        <v>40008</v>
      </c>
      <c r="CA9" s="534">
        <v>27397</v>
      </c>
      <c r="CB9" s="557">
        <v>43819</v>
      </c>
      <c r="CC9" s="534">
        <v>51699</v>
      </c>
      <c r="CD9" s="534">
        <v>23638</v>
      </c>
      <c r="CE9" s="534">
        <v>40642</v>
      </c>
      <c r="CF9" s="534">
        <v>5357</v>
      </c>
      <c r="CG9" s="534">
        <v>77262</v>
      </c>
      <c r="CH9" s="534">
        <v>81551</v>
      </c>
      <c r="CI9" s="534">
        <v>36776</v>
      </c>
      <c r="CJ9" s="534">
        <v>94083</v>
      </c>
      <c r="CK9" s="534">
        <v>59418</v>
      </c>
      <c r="CL9" s="320">
        <v>1615542</v>
      </c>
      <c r="CM9" s="422"/>
    </row>
    <row r="10" spans="1:91">
      <c r="A10" s="80">
        <f>ROWS($A$3:A8)</f>
        <v>6</v>
      </c>
      <c r="B10" s="92" t="s">
        <v>202</v>
      </c>
      <c r="C10" s="686"/>
      <c r="D10" s="685" t="s">
        <v>1</v>
      </c>
      <c r="E10" s="447">
        <v>43551</v>
      </c>
      <c r="F10" s="154">
        <f t="shared" si="0"/>
        <v>331353</v>
      </c>
      <c r="G10" s="155">
        <f t="shared" si="1"/>
        <v>306895</v>
      </c>
      <c r="H10" s="155">
        <f t="shared" si="2"/>
        <v>427566</v>
      </c>
      <c r="I10" s="156">
        <f t="shared" si="3"/>
        <v>286699</v>
      </c>
      <c r="J10" s="155"/>
      <c r="K10" s="154">
        <f t="shared" si="4"/>
        <v>58535</v>
      </c>
      <c r="L10" s="155">
        <f t="shared" si="5"/>
        <v>33501</v>
      </c>
      <c r="M10" s="155">
        <f t="shared" si="6"/>
        <v>38041</v>
      </c>
      <c r="N10" s="155">
        <f t="shared" si="7"/>
        <v>20406</v>
      </c>
      <c r="O10" s="155">
        <f t="shared" si="8"/>
        <v>26895</v>
      </c>
      <c r="P10" s="155">
        <f>'2019'!AZ10+'2019'!BA10</f>
        <v>29129</v>
      </c>
      <c r="Q10" s="155">
        <f>'2019'!AU10</f>
        <v>21178</v>
      </c>
      <c r="R10" s="155">
        <f t="shared" si="34"/>
        <v>17238</v>
      </c>
      <c r="S10" s="155">
        <f t="shared" si="9"/>
        <v>18573</v>
      </c>
      <c r="T10" s="155">
        <f t="shared" si="10"/>
        <v>21260</v>
      </c>
      <c r="U10" s="552">
        <f t="shared" si="10"/>
        <v>46597</v>
      </c>
      <c r="V10" s="155">
        <f t="shared" si="11"/>
        <v>45554</v>
      </c>
      <c r="W10" s="155">
        <f t="shared" si="12"/>
        <v>54168</v>
      </c>
      <c r="X10" s="155">
        <f t="shared" si="13"/>
        <v>40763</v>
      </c>
      <c r="Y10" s="155">
        <f t="shared" si="14"/>
        <v>43749</v>
      </c>
      <c r="Z10" s="155">
        <f t="shared" si="15"/>
        <v>46853</v>
      </c>
      <c r="AA10" s="155">
        <f t="shared" si="16"/>
        <v>26832</v>
      </c>
      <c r="AB10" s="552">
        <f t="shared" si="17"/>
        <v>48976</v>
      </c>
      <c r="AC10" s="155">
        <f t="shared" si="18"/>
        <v>46687</v>
      </c>
      <c r="AD10" s="155">
        <f t="shared" si="19"/>
        <v>30935</v>
      </c>
      <c r="AE10" s="155">
        <f t="shared" si="20"/>
        <v>71360</v>
      </c>
      <c r="AF10" s="155">
        <f t="shared" si="21"/>
        <v>40591</v>
      </c>
      <c r="AG10" s="155">
        <f t="shared" si="22"/>
        <v>87440</v>
      </c>
      <c r="AH10" s="155">
        <f t="shared" si="23"/>
        <v>26783</v>
      </c>
      <c r="AI10" s="155">
        <f t="shared" si="24"/>
        <v>32639</v>
      </c>
      <c r="AJ10" s="155">
        <f t="shared" si="25"/>
        <v>36533</v>
      </c>
      <c r="AK10" s="552">
        <f t="shared" si="26"/>
        <v>54598</v>
      </c>
      <c r="AL10" s="155">
        <f t="shared" si="27"/>
        <v>37057</v>
      </c>
      <c r="AM10" s="155">
        <f t="shared" si="28"/>
        <v>39398</v>
      </c>
      <c r="AN10" s="155">
        <f t="shared" si="29"/>
        <v>45361</v>
      </c>
      <c r="AO10" s="155">
        <f t="shared" si="30"/>
        <v>40521</v>
      </c>
      <c r="AP10" s="155">
        <f t="shared" si="30"/>
        <v>17763</v>
      </c>
      <c r="AQ10" s="155">
        <f t="shared" si="31"/>
        <v>46120</v>
      </c>
      <c r="AR10" s="155">
        <f t="shared" si="32"/>
        <v>18469</v>
      </c>
      <c r="AS10" s="156">
        <f t="shared" si="33"/>
        <v>42010</v>
      </c>
      <c r="AT10" s="534">
        <v>4877</v>
      </c>
      <c r="AU10" s="534">
        <v>21178</v>
      </c>
      <c r="AV10" s="534">
        <v>18573</v>
      </c>
      <c r="AW10" s="534">
        <v>20406</v>
      </c>
      <c r="AX10" s="534">
        <v>12361</v>
      </c>
      <c r="AY10" s="534">
        <v>33501</v>
      </c>
      <c r="AZ10" s="534">
        <v>1345</v>
      </c>
      <c r="BA10" s="534">
        <v>27784</v>
      </c>
      <c r="BB10" s="534">
        <v>21260</v>
      </c>
      <c r="BC10" s="534">
        <v>46597</v>
      </c>
      <c r="BD10" s="534">
        <v>38041</v>
      </c>
      <c r="BE10" s="534">
        <v>26895</v>
      </c>
      <c r="BF10" s="557">
        <v>58535</v>
      </c>
      <c r="BG10" s="534">
        <v>8526</v>
      </c>
      <c r="BH10" s="534">
        <v>4446</v>
      </c>
      <c r="BI10" s="534">
        <v>36317</v>
      </c>
      <c r="BJ10" s="534">
        <v>37028</v>
      </c>
      <c r="BK10" s="534">
        <v>4399</v>
      </c>
      <c r="BL10" s="534">
        <v>1735</v>
      </c>
      <c r="BM10" s="534">
        <v>46853</v>
      </c>
      <c r="BN10" s="534">
        <v>37615</v>
      </c>
      <c r="BO10" s="534">
        <v>5006</v>
      </c>
      <c r="BP10" s="534">
        <v>48976</v>
      </c>
      <c r="BQ10" s="534">
        <v>21826</v>
      </c>
      <c r="BR10" s="557">
        <v>54168</v>
      </c>
      <c r="BS10" s="534">
        <v>6511</v>
      </c>
      <c r="BT10" s="534">
        <v>64849</v>
      </c>
      <c r="BU10" s="534">
        <v>30935</v>
      </c>
      <c r="BV10" s="534">
        <v>87440</v>
      </c>
      <c r="BW10" s="534">
        <v>32639</v>
      </c>
      <c r="BX10" s="534">
        <v>46687</v>
      </c>
      <c r="BY10" s="534">
        <v>36533</v>
      </c>
      <c r="BZ10" s="534">
        <v>26783</v>
      </c>
      <c r="CA10" s="534">
        <v>40591</v>
      </c>
      <c r="CB10" s="557">
        <v>54598</v>
      </c>
      <c r="CC10" s="534">
        <v>40521</v>
      </c>
      <c r="CD10" s="534">
        <v>17763</v>
      </c>
      <c r="CE10" s="534">
        <v>37057</v>
      </c>
      <c r="CF10" s="534">
        <v>2230</v>
      </c>
      <c r="CG10" s="534">
        <v>39780</v>
      </c>
      <c r="CH10" s="534">
        <v>39398</v>
      </c>
      <c r="CI10" s="534">
        <v>18469</v>
      </c>
      <c r="CJ10" s="534">
        <v>45361</v>
      </c>
      <c r="CK10" s="534">
        <v>46120</v>
      </c>
      <c r="CL10" s="320">
        <v>1352514</v>
      </c>
      <c r="CM10" s="422"/>
    </row>
    <row r="11" spans="1:91">
      <c r="A11" s="80">
        <f>ROWS($A$3:A9)</f>
        <v>7</v>
      </c>
      <c r="B11" s="92" t="s">
        <v>2</v>
      </c>
      <c r="C11" s="686"/>
      <c r="D11" s="685" t="s">
        <v>1</v>
      </c>
      <c r="E11" s="447">
        <v>43551</v>
      </c>
      <c r="F11" s="154">
        <f t="shared" si="0"/>
        <v>9094</v>
      </c>
      <c r="G11" s="155">
        <f t="shared" si="1"/>
        <v>10147</v>
      </c>
      <c r="H11" s="155">
        <f t="shared" si="2"/>
        <v>11838</v>
      </c>
      <c r="I11" s="156">
        <f t="shared" si="3"/>
        <v>7938</v>
      </c>
      <c r="J11" s="155"/>
      <c r="K11" s="154">
        <f t="shared" si="4"/>
        <v>1170</v>
      </c>
      <c r="L11" s="155">
        <f t="shared" si="5"/>
        <v>538</v>
      </c>
      <c r="M11" s="155">
        <f t="shared" si="6"/>
        <v>1067</v>
      </c>
      <c r="N11" s="155">
        <f t="shared" si="7"/>
        <v>296</v>
      </c>
      <c r="O11" s="155">
        <f t="shared" si="8"/>
        <v>258</v>
      </c>
      <c r="P11" s="155">
        <f>'2019'!AZ11+'2019'!BA11</f>
        <v>1476</v>
      </c>
      <c r="Q11" s="155">
        <f>'2019'!AU11</f>
        <v>257</v>
      </c>
      <c r="R11" s="155">
        <f t="shared" si="34"/>
        <v>1200</v>
      </c>
      <c r="S11" s="155">
        <f t="shared" si="9"/>
        <v>612</v>
      </c>
      <c r="T11" s="155">
        <f t="shared" si="10"/>
        <v>835</v>
      </c>
      <c r="U11" s="552">
        <f t="shared" si="10"/>
        <v>1385</v>
      </c>
      <c r="V11" s="155">
        <f t="shared" si="11"/>
        <v>2356</v>
      </c>
      <c r="W11" s="155">
        <f t="shared" si="12"/>
        <v>520</v>
      </c>
      <c r="X11" s="155">
        <f t="shared" si="13"/>
        <v>3097</v>
      </c>
      <c r="Y11" s="155">
        <f t="shared" si="14"/>
        <v>2680</v>
      </c>
      <c r="Z11" s="155">
        <f t="shared" si="15"/>
        <v>768</v>
      </c>
      <c r="AA11" s="155">
        <f t="shared" si="16"/>
        <v>401</v>
      </c>
      <c r="AB11" s="552">
        <f t="shared" si="17"/>
        <v>325</v>
      </c>
      <c r="AC11" s="155">
        <f t="shared" si="18"/>
        <v>678</v>
      </c>
      <c r="AD11" s="155">
        <f t="shared" si="19"/>
        <v>982</v>
      </c>
      <c r="AE11" s="155">
        <f t="shared" si="20"/>
        <v>2248</v>
      </c>
      <c r="AF11" s="155">
        <f t="shared" si="21"/>
        <v>925</v>
      </c>
      <c r="AG11" s="155">
        <f t="shared" si="22"/>
        <v>3766</v>
      </c>
      <c r="AH11" s="155">
        <f t="shared" si="23"/>
        <v>965</v>
      </c>
      <c r="AI11" s="155">
        <f t="shared" si="24"/>
        <v>458</v>
      </c>
      <c r="AJ11" s="155">
        <f t="shared" si="25"/>
        <v>353</v>
      </c>
      <c r="AK11" s="552">
        <f t="shared" si="26"/>
        <v>1463</v>
      </c>
      <c r="AL11" s="155">
        <f t="shared" si="27"/>
        <v>381</v>
      </c>
      <c r="AM11" s="155">
        <f t="shared" si="28"/>
        <v>1531</v>
      </c>
      <c r="AN11" s="155">
        <f t="shared" si="29"/>
        <v>2186</v>
      </c>
      <c r="AO11" s="155">
        <f t="shared" si="30"/>
        <v>273</v>
      </c>
      <c r="AP11" s="155">
        <f t="shared" si="30"/>
        <v>475</v>
      </c>
      <c r="AQ11" s="155">
        <f t="shared" si="31"/>
        <v>1124</v>
      </c>
      <c r="AR11" s="155">
        <f t="shared" si="32"/>
        <v>705</v>
      </c>
      <c r="AS11" s="156">
        <f t="shared" si="33"/>
        <v>1263</v>
      </c>
      <c r="AT11" s="466">
        <v>273</v>
      </c>
      <c r="AU11" s="466">
        <v>257</v>
      </c>
      <c r="AV11" s="466">
        <v>612</v>
      </c>
      <c r="AW11" s="466">
        <v>296</v>
      </c>
      <c r="AX11" s="466">
        <v>927</v>
      </c>
      <c r="AY11" s="466">
        <v>538</v>
      </c>
      <c r="AZ11" s="466">
        <v>220</v>
      </c>
      <c r="BA11" s="534">
        <v>1256</v>
      </c>
      <c r="BB11" s="466">
        <v>835</v>
      </c>
      <c r="BC11" s="534">
        <v>1385</v>
      </c>
      <c r="BD11" s="534">
        <v>1067</v>
      </c>
      <c r="BE11" s="466">
        <v>258</v>
      </c>
      <c r="BF11" s="557">
        <v>1170</v>
      </c>
      <c r="BG11" s="466">
        <v>136</v>
      </c>
      <c r="BH11" s="466">
        <v>703</v>
      </c>
      <c r="BI11" s="534">
        <v>2394</v>
      </c>
      <c r="BJ11" s="534">
        <v>2220</v>
      </c>
      <c r="BK11" s="466">
        <v>253</v>
      </c>
      <c r="BL11" s="466">
        <v>765</v>
      </c>
      <c r="BM11" s="466">
        <v>768</v>
      </c>
      <c r="BN11" s="534">
        <v>1662</v>
      </c>
      <c r="BO11" s="466">
        <v>73</v>
      </c>
      <c r="BP11" s="466">
        <v>325</v>
      </c>
      <c r="BQ11" s="466">
        <v>328</v>
      </c>
      <c r="BR11" s="558">
        <v>520</v>
      </c>
      <c r="BS11" s="466">
        <v>203</v>
      </c>
      <c r="BT11" s="534">
        <v>2045</v>
      </c>
      <c r="BU11" s="466">
        <v>982</v>
      </c>
      <c r="BV11" s="534">
        <v>3766</v>
      </c>
      <c r="BW11" s="466">
        <v>458</v>
      </c>
      <c r="BX11" s="466">
        <v>678</v>
      </c>
      <c r="BY11" s="466">
        <v>353</v>
      </c>
      <c r="BZ11" s="466">
        <v>965</v>
      </c>
      <c r="CA11" s="466">
        <v>925</v>
      </c>
      <c r="CB11" s="557">
        <v>1463</v>
      </c>
      <c r="CC11" s="466">
        <v>273</v>
      </c>
      <c r="CD11" s="466">
        <v>475</v>
      </c>
      <c r="CE11" s="466">
        <v>381</v>
      </c>
      <c r="CF11" s="466">
        <v>176</v>
      </c>
      <c r="CG11" s="534">
        <v>1087</v>
      </c>
      <c r="CH11" s="534">
        <v>1531</v>
      </c>
      <c r="CI11" s="466">
        <v>705</v>
      </c>
      <c r="CJ11" s="534">
        <v>2186</v>
      </c>
      <c r="CK11" s="534">
        <v>1124</v>
      </c>
      <c r="CL11" s="320">
        <v>39020</v>
      </c>
      <c r="CM11" s="422"/>
    </row>
    <row r="12" spans="1:91">
      <c r="A12" s="80">
        <f>ROWS($A$3:A10)</f>
        <v>8</v>
      </c>
      <c r="B12" s="92" t="s">
        <v>283</v>
      </c>
      <c r="C12" s="686"/>
      <c r="D12" s="685" t="s">
        <v>1</v>
      </c>
      <c r="E12" s="447">
        <v>43551</v>
      </c>
      <c r="F12" s="154">
        <f t="shared" si="0"/>
        <v>11950</v>
      </c>
      <c r="G12" s="155">
        <f t="shared" si="1"/>
        <v>9195</v>
      </c>
      <c r="H12" s="155">
        <f t="shared" si="2"/>
        <v>12406</v>
      </c>
      <c r="I12" s="156">
        <f t="shared" si="3"/>
        <v>13901</v>
      </c>
      <c r="J12" s="155"/>
      <c r="K12" s="154">
        <f t="shared" si="4"/>
        <v>1383</v>
      </c>
      <c r="L12" s="155">
        <f t="shared" si="5"/>
        <v>586</v>
      </c>
      <c r="M12" s="155">
        <f t="shared" si="6"/>
        <v>1840</v>
      </c>
      <c r="N12" s="155">
        <f t="shared" si="7"/>
        <v>786</v>
      </c>
      <c r="O12" s="155">
        <f t="shared" si="8"/>
        <v>1010</v>
      </c>
      <c r="P12" s="155">
        <f>'2019'!AZ12+'2019'!BA12</f>
        <v>1108</v>
      </c>
      <c r="Q12" s="155">
        <f>'2019'!AU12</f>
        <v>741</v>
      </c>
      <c r="R12" s="155">
        <f t="shared" si="34"/>
        <v>1056</v>
      </c>
      <c r="S12" s="155">
        <f t="shared" si="9"/>
        <v>681</v>
      </c>
      <c r="T12" s="155">
        <f t="shared" si="10"/>
        <v>1249</v>
      </c>
      <c r="U12" s="552">
        <f t="shared" si="10"/>
        <v>1510</v>
      </c>
      <c r="V12" s="155">
        <f t="shared" si="11"/>
        <v>1628</v>
      </c>
      <c r="W12" s="155">
        <f t="shared" si="12"/>
        <v>1123</v>
      </c>
      <c r="X12" s="155">
        <f t="shared" si="13"/>
        <v>1927</v>
      </c>
      <c r="Y12" s="155">
        <f t="shared" si="14"/>
        <v>1647</v>
      </c>
      <c r="Z12" s="155">
        <f t="shared" si="15"/>
        <v>1346</v>
      </c>
      <c r="AA12" s="155">
        <f t="shared" si="16"/>
        <v>671</v>
      </c>
      <c r="AB12" s="552">
        <f t="shared" si="17"/>
        <v>853</v>
      </c>
      <c r="AC12" s="155">
        <f t="shared" si="18"/>
        <v>940</v>
      </c>
      <c r="AD12" s="155">
        <f t="shared" si="19"/>
        <v>1050</v>
      </c>
      <c r="AE12" s="155">
        <f t="shared" si="20"/>
        <v>2113</v>
      </c>
      <c r="AF12" s="155">
        <f t="shared" si="21"/>
        <v>1356</v>
      </c>
      <c r="AG12" s="155">
        <f t="shared" si="22"/>
        <v>2445</v>
      </c>
      <c r="AH12" s="155">
        <f t="shared" si="23"/>
        <v>1156</v>
      </c>
      <c r="AI12" s="155">
        <f t="shared" si="24"/>
        <v>1096</v>
      </c>
      <c r="AJ12" s="155">
        <f t="shared" si="25"/>
        <v>721</v>
      </c>
      <c r="AK12" s="552">
        <f t="shared" si="26"/>
        <v>1529</v>
      </c>
      <c r="AL12" s="155">
        <f t="shared" si="27"/>
        <v>1173</v>
      </c>
      <c r="AM12" s="155">
        <f t="shared" si="28"/>
        <v>1775</v>
      </c>
      <c r="AN12" s="155">
        <f t="shared" si="29"/>
        <v>3867</v>
      </c>
      <c r="AO12" s="155">
        <f t="shared" si="30"/>
        <v>2205</v>
      </c>
      <c r="AP12" s="155">
        <f t="shared" si="30"/>
        <v>606</v>
      </c>
      <c r="AQ12" s="155">
        <f t="shared" si="31"/>
        <v>1647</v>
      </c>
      <c r="AR12" s="155">
        <f t="shared" si="32"/>
        <v>556</v>
      </c>
      <c r="AS12" s="156">
        <f t="shared" si="33"/>
        <v>2072</v>
      </c>
      <c r="AT12" s="281">
        <v>145</v>
      </c>
      <c r="AU12" s="155">
        <v>741</v>
      </c>
      <c r="AV12" s="155">
        <v>681</v>
      </c>
      <c r="AW12" s="155">
        <v>786</v>
      </c>
      <c r="AX12" s="155">
        <v>911</v>
      </c>
      <c r="AY12" s="155">
        <v>586</v>
      </c>
      <c r="AZ12" s="155">
        <v>135</v>
      </c>
      <c r="BA12" s="155">
        <v>973</v>
      </c>
      <c r="BB12" s="155">
        <v>1249</v>
      </c>
      <c r="BC12" s="155">
        <v>1510</v>
      </c>
      <c r="BD12" s="155">
        <v>1840</v>
      </c>
      <c r="BE12" s="155">
        <v>1010</v>
      </c>
      <c r="BF12" s="552">
        <v>1383</v>
      </c>
      <c r="BG12" s="155">
        <v>176</v>
      </c>
      <c r="BH12" s="155">
        <v>180</v>
      </c>
      <c r="BI12" s="155">
        <v>1747</v>
      </c>
      <c r="BJ12" s="155">
        <v>1452</v>
      </c>
      <c r="BK12" s="155">
        <v>68</v>
      </c>
      <c r="BL12" s="155">
        <v>114</v>
      </c>
      <c r="BM12" s="155">
        <v>1346</v>
      </c>
      <c r="BN12" s="155">
        <v>1465</v>
      </c>
      <c r="BO12" s="155">
        <v>32</v>
      </c>
      <c r="BP12" s="155">
        <v>853</v>
      </c>
      <c r="BQ12" s="155">
        <v>639</v>
      </c>
      <c r="BR12" s="552">
        <v>1123</v>
      </c>
      <c r="BS12" s="155">
        <v>128</v>
      </c>
      <c r="BT12" s="155">
        <v>1985</v>
      </c>
      <c r="BU12" s="155">
        <v>1050</v>
      </c>
      <c r="BV12" s="155">
        <v>2445</v>
      </c>
      <c r="BW12" s="155">
        <v>1096</v>
      </c>
      <c r="BX12" s="155">
        <v>940</v>
      </c>
      <c r="BY12" s="155">
        <v>721</v>
      </c>
      <c r="BZ12" s="155">
        <v>1156</v>
      </c>
      <c r="CA12" s="155">
        <v>1356</v>
      </c>
      <c r="CB12" s="552">
        <v>1529</v>
      </c>
      <c r="CC12" s="155">
        <v>2205</v>
      </c>
      <c r="CD12" s="155">
        <v>606</v>
      </c>
      <c r="CE12" s="155">
        <v>1173</v>
      </c>
      <c r="CF12" s="155">
        <v>185</v>
      </c>
      <c r="CG12" s="281">
        <v>1887</v>
      </c>
      <c r="CH12" s="155">
        <v>1775</v>
      </c>
      <c r="CI12" s="155">
        <v>556</v>
      </c>
      <c r="CJ12" s="155">
        <v>3867</v>
      </c>
      <c r="CK12" s="156">
        <v>1647</v>
      </c>
      <c r="CL12" s="615">
        <f>CL7-SUM(CL8:CL11)</f>
        <v>47453</v>
      </c>
      <c r="CM12" s="422"/>
    </row>
    <row r="13" spans="1:91">
      <c r="A13" s="80">
        <f>ROWS($A$3:A11)</f>
        <v>9</v>
      </c>
      <c r="B13" s="92" t="s">
        <v>65</v>
      </c>
      <c r="C13" s="684">
        <v>2018</v>
      </c>
      <c r="D13" s="685" t="s">
        <v>11</v>
      </c>
      <c r="E13" s="447">
        <v>43551</v>
      </c>
      <c r="F13" s="154">
        <f t="shared" si="0"/>
        <v>4126688</v>
      </c>
      <c r="G13" s="155">
        <f t="shared" si="1"/>
        <v>2795783</v>
      </c>
      <c r="H13" s="155">
        <f t="shared" si="2"/>
        <v>2254674</v>
      </c>
      <c r="I13" s="156">
        <f t="shared" si="3"/>
        <v>1846280</v>
      </c>
      <c r="J13" s="155"/>
      <c r="K13" s="154">
        <f t="shared" si="4"/>
        <v>312422</v>
      </c>
      <c r="L13" s="155">
        <f t="shared" si="5"/>
        <v>424878</v>
      </c>
      <c r="M13" s="155">
        <f t="shared" si="6"/>
        <v>132189</v>
      </c>
      <c r="N13" s="155">
        <f t="shared" si="7"/>
        <v>256345</v>
      </c>
      <c r="O13" s="155">
        <f t="shared" si="8"/>
        <v>132006</v>
      </c>
      <c r="P13" s="155">
        <f>'2019'!AZ13+'2019'!BA13</f>
        <v>465885</v>
      </c>
      <c r="Q13" s="155">
        <f>'2019'!AU13</f>
        <v>389548</v>
      </c>
      <c r="R13" s="155">
        <f t="shared" si="34"/>
        <v>1175373</v>
      </c>
      <c r="S13" s="155">
        <f t="shared" si="9"/>
        <v>532447</v>
      </c>
      <c r="T13" s="155">
        <f t="shared" si="10"/>
        <v>111392</v>
      </c>
      <c r="U13" s="552">
        <f t="shared" si="10"/>
        <v>194203</v>
      </c>
      <c r="V13" s="155">
        <f t="shared" si="11"/>
        <v>284934</v>
      </c>
      <c r="W13" s="155">
        <f>BR13</f>
        <v>117456</v>
      </c>
      <c r="X13" s="155">
        <f t="shared" si="13"/>
        <v>754592</v>
      </c>
      <c r="Y13" s="155">
        <f t="shared" si="14"/>
        <v>1015343</v>
      </c>
      <c r="Z13" s="155">
        <f t="shared" si="15"/>
        <v>143376</v>
      </c>
      <c r="AA13" s="155">
        <f>BP13+BR13</f>
        <v>274880</v>
      </c>
      <c r="AB13" s="552">
        <f>BQ13</f>
        <v>198369</v>
      </c>
      <c r="AC13" s="155">
        <f t="shared" si="18"/>
        <v>211207</v>
      </c>
      <c r="AD13" s="155">
        <f t="shared" si="19"/>
        <v>164712</v>
      </c>
      <c r="AE13" s="155">
        <f t="shared" si="20"/>
        <v>492042</v>
      </c>
      <c r="AF13" s="155">
        <f t="shared" si="21"/>
        <v>228314</v>
      </c>
      <c r="AG13" s="155">
        <f t="shared" si="22"/>
        <v>425932</v>
      </c>
      <c r="AH13" s="155">
        <f t="shared" si="23"/>
        <v>284014</v>
      </c>
      <c r="AI13" s="155">
        <f t="shared" si="24"/>
        <v>138858</v>
      </c>
      <c r="AJ13" s="155">
        <f t="shared" si="25"/>
        <v>139397</v>
      </c>
      <c r="AK13" s="552">
        <f t="shared" si="26"/>
        <v>170198</v>
      </c>
      <c r="AL13" s="155">
        <f t="shared" si="27"/>
        <v>188170</v>
      </c>
      <c r="AM13" s="155">
        <f t="shared" si="28"/>
        <v>198265</v>
      </c>
      <c r="AN13" s="155">
        <f t="shared" si="29"/>
        <v>283264</v>
      </c>
      <c r="AO13" s="155">
        <f t="shared" si="30"/>
        <v>285754</v>
      </c>
      <c r="AP13" s="155">
        <f t="shared" si="30"/>
        <v>225755</v>
      </c>
      <c r="AQ13" s="155">
        <f t="shared" si="31"/>
        <v>130192</v>
      </c>
      <c r="AR13" s="155">
        <f t="shared" si="32"/>
        <v>214655</v>
      </c>
      <c r="AS13" s="156">
        <f t="shared" si="33"/>
        <v>320225</v>
      </c>
      <c r="AT13" s="281">
        <v>632743</v>
      </c>
      <c r="AU13" s="155">
        <v>389548</v>
      </c>
      <c r="AV13" s="155">
        <v>532447</v>
      </c>
      <c r="AW13" s="155">
        <v>256345</v>
      </c>
      <c r="AX13" s="155">
        <v>542630</v>
      </c>
      <c r="AY13" s="155">
        <v>424878</v>
      </c>
      <c r="AZ13" s="155">
        <v>125113</v>
      </c>
      <c r="BA13" s="155">
        <v>340772</v>
      </c>
      <c r="BB13" s="155">
        <v>111392</v>
      </c>
      <c r="BC13" s="155">
        <v>194203</v>
      </c>
      <c r="BD13" s="155">
        <v>132189</v>
      </c>
      <c r="BE13" s="155">
        <v>132006</v>
      </c>
      <c r="BF13" s="552">
        <v>312422</v>
      </c>
      <c r="BG13" s="155">
        <v>54718</v>
      </c>
      <c r="BH13" s="155">
        <v>311919</v>
      </c>
      <c r="BI13" s="155">
        <v>442673</v>
      </c>
      <c r="BJ13" s="155">
        <v>230216</v>
      </c>
      <c r="BK13" s="155">
        <v>160601</v>
      </c>
      <c r="BL13" s="155">
        <v>307997</v>
      </c>
      <c r="BM13" s="155">
        <v>143376</v>
      </c>
      <c r="BN13" s="155">
        <v>546745</v>
      </c>
      <c r="BO13" s="155">
        <v>124289</v>
      </c>
      <c r="BP13" s="155">
        <v>157424</v>
      </c>
      <c r="BQ13" s="155">
        <v>198369</v>
      </c>
      <c r="BR13" s="552">
        <v>117456</v>
      </c>
      <c r="BS13" s="155">
        <v>229636</v>
      </c>
      <c r="BT13" s="155">
        <v>262406</v>
      </c>
      <c r="BU13" s="155">
        <v>164712</v>
      </c>
      <c r="BV13" s="155">
        <v>425932</v>
      </c>
      <c r="BW13" s="155">
        <v>138858</v>
      </c>
      <c r="BX13" s="155">
        <v>211207</v>
      </c>
      <c r="BY13" s="155">
        <v>139397</v>
      </c>
      <c r="BZ13" s="155">
        <v>284014</v>
      </c>
      <c r="CA13" s="155">
        <v>228314</v>
      </c>
      <c r="CB13" s="552">
        <v>170198</v>
      </c>
      <c r="CC13" s="155">
        <v>285754</v>
      </c>
      <c r="CD13" s="155">
        <v>225755</v>
      </c>
      <c r="CE13" s="155">
        <v>188170</v>
      </c>
      <c r="CF13" s="155">
        <v>125596</v>
      </c>
      <c r="CG13" s="281">
        <v>194629</v>
      </c>
      <c r="CH13" s="155">
        <v>198265</v>
      </c>
      <c r="CI13" s="155">
        <v>214655</v>
      </c>
      <c r="CJ13" s="155">
        <v>283264</v>
      </c>
      <c r="CK13" s="156">
        <v>130192</v>
      </c>
      <c r="CL13" s="320">
        <v>11023425</v>
      </c>
      <c r="CM13" s="49"/>
    </row>
    <row r="14" spans="1:91">
      <c r="A14" s="80">
        <f>ROWS($A$3:A12)</f>
        <v>10</v>
      </c>
      <c r="B14" s="54" t="s">
        <v>61</v>
      </c>
      <c r="C14" s="687"/>
      <c r="D14" s="685" t="s">
        <v>12</v>
      </c>
      <c r="E14" s="447">
        <v>43551</v>
      </c>
      <c r="F14" s="530">
        <f>F13/F7*100</f>
        <v>390.90071204817338</v>
      </c>
      <c r="G14" s="531">
        <f>G13/G7*100</f>
        <v>404.13051711327813</v>
      </c>
      <c r="H14" s="531">
        <f>H13/H7*100</f>
        <v>240.97820301528162</v>
      </c>
      <c r="I14" s="532">
        <f>I13/I7*100</f>
        <v>207.05030581828541</v>
      </c>
      <c r="J14" s="281"/>
      <c r="K14" s="541">
        <f t="shared" si="4"/>
        <v>206.71170247255839</v>
      </c>
      <c r="L14" s="542">
        <f t="shared" si="5"/>
        <v>495.14963639753876</v>
      </c>
      <c r="M14" s="542">
        <f t="shared" si="6"/>
        <v>101.36182742518001</v>
      </c>
      <c r="N14" s="542">
        <f t="shared" si="7"/>
        <v>399.07992651866613</v>
      </c>
      <c r="O14" s="542">
        <f t="shared" si="8"/>
        <v>210.48888605415058</v>
      </c>
      <c r="P14" s="531">
        <f>P13/P7*100</f>
        <v>388.30221703617269</v>
      </c>
      <c r="Q14" s="542">
        <f>'2019'!AU14</f>
        <v>630.58145558145554</v>
      </c>
      <c r="R14" s="531">
        <f>R13/R7*100</f>
        <v>1314.5584485303987</v>
      </c>
      <c r="S14" s="542">
        <f t="shared" si="9"/>
        <v>830.28786177644702</v>
      </c>
      <c r="T14" s="542">
        <f t="shared" si="10"/>
        <v>143.40594263350329</v>
      </c>
      <c r="U14" s="554">
        <f t="shared" si="10"/>
        <v>130.85838269084343</v>
      </c>
      <c r="V14" s="531">
        <f>V13/V7*100</f>
        <v>324.29719332589741</v>
      </c>
      <c r="W14" s="542">
        <f t="shared" si="12"/>
        <v>134.9464033364354</v>
      </c>
      <c r="X14" s="531">
        <f>X13/X7*100</f>
        <v>599.50107253515523</v>
      </c>
      <c r="Y14" s="531">
        <f>Y13/Y7*100</f>
        <v>771.88329114116505</v>
      </c>
      <c r="Z14" s="542">
        <f t="shared" si="15"/>
        <v>127.33893457910723</v>
      </c>
      <c r="AA14" s="531">
        <f>AA13/AA7*100</f>
        <v>409.24858933702558</v>
      </c>
      <c r="AB14" s="554">
        <f t="shared" si="17"/>
        <v>197.44885800649701</v>
      </c>
      <c r="AC14" s="542">
        <f t="shared" si="18"/>
        <v>205.98929125257234</v>
      </c>
      <c r="AD14" s="542">
        <f t="shared" si="19"/>
        <v>242.29835684549639</v>
      </c>
      <c r="AE14" s="531">
        <f>AE13/AE7*100</f>
        <v>321.31256734254089</v>
      </c>
      <c r="AF14" s="542">
        <f t="shared" si="21"/>
        <v>283.01868081466699</v>
      </c>
      <c r="AG14" s="542">
        <f t="shared" si="22"/>
        <v>228.96123164254846</v>
      </c>
      <c r="AH14" s="542">
        <f t="shared" si="23"/>
        <v>347.21386830973864</v>
      </c>
      <c r="AI14" s="542">
        <f t="shared" si="24"/>
        <v>180.4710041329833</v>
      </c>
      <c r="AJ14" s="542">
        <f t="shared" si="25"/>
        <v>189.81589912579321</v>
      </c>
      <c r="AK14" s="554">
        <f t="shared" si="26"/>
        <v>150.47122270356289</v>
      </c>
      <c r="AL14" s="542">
        <f t="shared" si="27"/>
        <v>205.07203731554742</v>
      </c>
      <c r="AM14" s="542">
        <f t="shared" si="28"/>
        <v>140.6603619646265</v>
      </c>
      <c r="AN14" s="542">
        <f t="shared" si="29"/>
        <v>173.55799277005087</v>
      </c>
      <c r="AO14" s="542">
        <f t="shared" si="30"/>
        <v>261.56451376684242</v>
      </c>
      <c r="AP14" s="542">
        <f t="shared" si="30"/>
        <v>434.88018184620125</v>
      </c>
      <c r="AQ14" s="542">
        <f t="shared" si="31"/>
        <v>108.11223769545686</v>
      </c>
      <c r="AR14" s="542">
        <f t="shared" si="32"/>
        <v>322.89143940191639</v>
      </c>
      <c r="AS14" s="532">
        <f>AS13/AS7*100</f>
        <v>216.77396207767239</v>
      </c>
      <c r="AT14" s="531">
        <f t="shared" ref="AT14:CK14" si="35">AT13/AT7*100</f>
        <v>3051.5698095008438</v>
      </c>
      <c r="AU14" s="531">
        <f t="shared" si="35"/>
        <v>630.58145558145554</v>
      </c>
      <c r="AV14" s="531">
        <f t="shared" si="35"/>
        <v>830.28786177644702</v>
      </c>
      <c r="AW14" s="531">
        <f t="shared" si="35"/>
        <v>399.07992651866613</v>
      </c>
      <c r="AX14" s="531">
        <f t="shared" si="35"/>
        <v>790.11896268037333</v>
      </c>
      <c r="AY14" s="531">
        <f t="shared" si="35"/>
        <v>495.14963639753876</v>
      </c>
      <c r="AZ14" s="531">
        <f t="shared" si="35"/>
        <v>1252.5077585343877</v>
      </c>
      <c r="BA14" s="531">
        <f t="shared" si="35"/>
        <v>309.81807602440199</v>
      </c>
      <c r="BB14" s="531">
        <f t="shared" si="35"/>
        <v>143.40594263350329</v>
      </c>
      <c r="BC14" s="531">
        <f t="shared" si="35"/>
        <v>130.85838269084343</v>
      </c>
      <c r="BD14" s="531">
        <f t="shared" si="35"/>
        <v>101.36182742518001</v>
      </c>
      <c r="BE14" s="531">
        <f t="shared" si="35"/>
        <v>210.48888605415058</v>
      </c>
      <c r="BF14" s="555">
        <f t="shared" si="35"/>
        <v>206.71170247255839</v>
      </c>
      <c r="BG14" s="531">
        <f t="shared" si="35"/>
        <v>390.31314644411157</v>
      </c>
      <c r="BH14" s="531">
        <f t="shared" si="35"/>
        <v>1798.6333756198824</v>
      </c>
      <c r="BI14" s="531">
        <f t="shared" si="35"/>
        <v>407.88828689370484</v>
      </c>
      <c r="BJ14" s="531">
        <f t="shared" si="35"/>
        <v>311.76414826049859</v>
      </c>
      <c r="BK14" s="531">
        <f t="shared" si="35"/>
        <v>1474.8920929378273</v>
      </c>
      <c r="BL14" s="531">
        <f t="shared" si="35"/>
        <v>2124.5568048561772</v>
      </c>
      <c r="BM14" s="531">
        <f t="shared" si="35"/>
        <v>127.33893457910723</v>
      </c>
      <c r="BN14" s="531">
        <f t="shared" si="35"/>
        <v>515.04403937638358</v>
      </c>
      <c r="BO14" s="531">
        <f t="shared" si="35"/>
        <v>1267.349852146426</v>
      </c>
      <c r="BP14" s="531">
        <f t="shared" si="35"/>
        <v>197.44885800649701</v>
      </c>
      <c r="BQ14" s="531">
        <f t="shared" si="35"/>
        <v>345.83158995815899</v>
      </c>
      <c r="BR14" s="555">
        <f t="shared" si="35"/>
        <v>134.9464033364354</v>
      </c>
      <c r="BS14" s="531">
        <f t="shared" si="35"/>
        <v>1500.4966021955045</v>
      </c>
      <c r="BT14" s="531">
        <f t="shared" si="35"/>
        <v>190.38242485362508</v>
      </c>
      <c r="BU14" s="531">
        <f t="shared" si="35"/>
        <v>242.29835684549639</v>
      </c>
      <c r="BV14" s="531">
        <f t="shared" si="35"/>
        <v>228.96123164254846</v>
      </c>
      <c r="BW14" s="531">
        <f t="shared" si="35"/>
        <v>180.4710041329833</v>
      </c>
      <c r="BX14" s="531">
        <f t="shared" si="35"/>
        <v>205.98929125257234</v>
      </c>
      <c r="BY14" s="531">
        <f t="shared" si="35"/>
        <v>189.81589912579321</v>
      </c>
      <c r="BZ14" s="531">
        <f t="shared" si="35"/>
        <v>347.21386830973864</v>
      </c>
      <c r="CA14" s="531">
        <f t="shared" si="35"/>
        <v>283.01868081466699</v>
      </c>
      <c r="CB14" s="555">
        <f t="shared" si="35"/>
        <v>150.47122270356289</v>
      </c>
      <c r="CC14" s="531">
        <f t="shared" si="35"/>
        <v>261.56451376684242</v>
      </c>
      <c r="CD14" s="531">
        <f t="shared" si="35"/>
        <v>434.88018184620125</v>
      </c>
      <c r="CE14" s="531">
        <f t="shared" si="35"/>
        <v>205.07203731554742</v>
      </c>
      <c r="CF14" s="531">
        <f t="shared" si="35"/>
        <v>1058.2743511964948</v>
      </c>
      <c r="CG14" s="531">
        <f>CG13/CG7*100</f>
        <v>143.26230171874425</v>
      </c>
      <c r="CH14" s="531">
        <f t="shared" si="35"/>
        <v>140.6603619646265</v>
      </c>
      <c r="CI14" s="531">
        <f t="shared" si="35"/>
        <v>322.89143940191639</v>
      </c>
      <c r="CJ14" s="531">
        <f t="shared" si="35"/>
        <v>173.55799277005087</v>
      </c>
      <c r="CK14" s="532">
        <f t="shared" si="35"/>
        <v>108.11223769545686</v>
      </c>
      <c r="CL14" s="556">
        <f>CL13/CL7*100</f>
        <v>308.36221582564764</v>
      </c>
    </row>
    <row r="15" spans="1:91">
      <c r="A15" s="80">
        <f>ROWS($A$3:A13)</f>
        <v>11</v>
      </c>
      <c r="B15" s="59" t="s">
        <v>269</v>
      </c>
      <c r="C15" s="687"/>
      <c r="D15" s="685"/>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c r="A16" s="80">
        <f>ROWS($A$3:A14)</f>
        <v>12</v>
      </c>
      <c r="B16" s="92" t="s">
        <v>200</v>
      </c>
      <c r="C16" s="684">
        <v>2017</v>
      </c>
      <c r="D16" s="685" t="s">
        <v>11</v>
      </c>
      <c r="E16" s="447">
        <v>43556</v>
      </c>
      <c r="F16" s="534">
        <v>2405600</v>
      </c>
      <c r="G16" s="534">
        <v>1567500</v>
      </c>
      <c r="H16" s="534">
        <v>1240100</v>
      </c>
      <c r="I16" s="535">
        <v>1041300</v>
      </c>
      <c r="J16" s="281"/>
      <c r="K16" s="154">
        <f t="shared" si="4"/>
        <v>170100</v>
      </c>
      <c r="L16" s="155">
        <f t="shared" si="5"/>
        <v>204700</v>
      </c>
      <c r="M16" s="155">
        <f t="shared" si="6"/>
        <v>75600</v>
      </c>
      <c r="N16" s="155">
        <f t="shared" si="7"/>
        <v>124200</v>
      </c>
      <c r="O16" s="155">
        <f t="shared" si="8"/>
        <v>66000</v>
      </c>
      <c r="P16" s="155">
        <f>'2019'!AZ16+'2019'!BA16</f>
        <v>273600</v>
      </c>
      <c r="Q16" s="155">
        <f>'2019'!AU16</f>
        <v>236600</v>
      </c>
      <c r="R16" s="155">
        <f t="shared" si="34"/>
        <v>789200</v>
      </c>
      <c r="S16" s="155">
        <f t="shared" si="9"/>
        <v>282200</v>
      </c>
      <c r="T16" s="155">
        <f t="shared" si="10"/>
        <v>72000</v>
      </c>
      <c r="U16" s="552">
        <f t="shared" si="10"/>
        <v>111500</v>
      </c>
      <c r="V16" s="155">
        <f>BG16+BJ16</f>
        <v>159800</v>
      </c>
      <c r="W16" s="155">
        <f t="shared" si="12"/>
        <v>64000</v>
      </c>
      <c r="X16" s="155">
        <f>BH16+BI16</f>
        <v>447300</v>
      </c>
      <c r="Y16" s="155">
        <f>BK16+BL16+BN16</f>
        <v>600900</v>
      </c>
      <c r="Z16" s="155">
        <f t="shared" si="15"/>
        <v>66900</v>
      </c>
      <c r="AA16" s="155">
        <f>BO16+BQ16</f>
        <v>162000</v>
      </c>
      <c r="AB16" s="552">
        <f t="shared" si="17"/>
        <v>66700</v>
      </c>
      <c r="AC16" s="155">
        <f t="shared" si="18"/>
        <v>122000</v>
      </c>
      <c r="AD16" s="155">
        <f t="shared" si="19"/>
        <v>75000</v>
      </c>
      <c r="AE16" s="155">
        <f>BS16+BT16</f>
        <v>296200</v>
      </c>
      <c r="AF16" s="155">
        <f t="shared" si="21"/>
        <v>107600</v>
      </c>
      <c r="AG16" s="155">
        <f t="shared" si="22"/>
        <v>246800</v>
      </c>
      <c r="AH16" s="155">
        <f t="shared" si="23"/>
        <v>147400</v>
      </c>
      <c r="AI16" s="155">
        <f t="shared" si="24"/>
        <v>77600</v>
      </c>
      <c r="AJ16" s="155">
        <f t="shared" si="25"/>
        <v>88200</v>
      </c>
      <c r="AK16" s="552">
        <f t="shared" si="26"/>
        <v>79300</v>
      </c>
      <c r="AL16" s="155">
        <f t="shared" si="27"/>
        <v>93800</v>
      </c>
      <c r="AM16" s="155">
        <f t="shared" si="28"/>
        <v>113500</v>
      </c>
      <c r="AN16" s="155">
        <f t="shared" si="29"/>
        <v>165700</v>
      </c>
      <c r="AO16" s="155">
        <f t="shared" si="30"/>
        <v>156000</v>
      </c>
      <c r="AP16" s="155">
        <f t="shared" si="30"/>
        <v>116400</v>
      </c>
      <c r="AQ16" s="155">
        <f t="shared" si="31"/>
        <v>68900</v>
      </c>
      <c r="AR16" s="155">
        <f t="shared" si="32"/>
        <v>124000</v>
      </c>
      <c r="AS16" s="156">
        <f>CF16+CG16</f>
        <v>202900</v>
      </c>
      <c r="AT16" s="534">
        <v>524100</v>
      </c>
      <c r="AU16" s="534">
        <v>236600</v>
      </c>
      <c r="AV16" s="534">
        <v>282200</v>
      </c>
      <c r="AW16" s="534">
        <v>124200</v>
      </c>
      <c r="AX16" s="534">
        <v>265100</v>
      </c>
      <c r="AY16" s="534">
        <v>204700</v>
      </c>
      <c r="AZ16" s="534">
        <v>96900</v>
      </c>
      <c r="BA16" s="534">
        <v>176700</v>
      </c>
      <c r="BB16" s="534">
        <v>72000</v>
      </c>
      <c r="BC16" s="534">
        <v>111500</v>
      </c>
      <c r="BD16" s="534">
        <v>75600</v>
      </c>
      <c r="BE16" s="534">
        <v>66000</v>
      </c>
      <c r="BF16" s="557">
        <v>170100</v>
      </c>
      <c r="BG16" s="534">
        <v>42100</v>
      </c>
      <c r="BH16" s="534">
        <v>236600</v>
      </c>
      <c r="BI16" s="534">
        <v>210700</v>
      </c>
      <c r="BJ16" s="534">
        <v>117700</v>
      </c>
      <c r="BK16" s="534">
        <v>121400</v>
      </c>
      <c r="BL16" s="534">
        <v>242400</v>
      </c>
      <c r="BM16" s="534">
        <v>66900</v>
      </c>
      <c r="BN16" s="534">
        <v>237100</v>
      </c>
      <c r="BO16" s="534">
        <v>77900</v>
      </c>
      <c r="BP16" s="534">
        <v>66700</v>
      </c>
      <c r="BQ16" s="534">
        <v>84100</v>
      </c>
      <c r="BR16" s="557">
        <v>64000</v>
      </c>
      <c r="BS16" s="534">
        <v>175700</v>
      </c>
      <c r="BT16" s="534">
        <v>120500</v>
      </c>
      <c r="BU16" s="534">
        <v>75000</v>
      </c>
      <c r="BV16" s="534">
        <v>246800</v>
      </c>
      <c r="BW16" s="534">
        <v>77600</v>
      </c>
      <c r="BX16" s="534">
        <v>122000</v>
      </c>
      <c r="BY16" s="534">
        <v>88200</v>
      </c>
      <c r="BZ16" s="534">
        <v>147400</v>
      </c>
      <c r="CA16" s="534">
        <v>107600</v>
      </c>
      <c r="CB16" s="557">
        <v>79300</v>
      </c>
      <c r="CC16" s="534">
        <v>156000</v>
      </c>
      <c r="CD16" s="534">
        <v>116400</v>
      </c>
      <c r="CE16" s="534">
        <v>93800</v>
      </c>
      <c r="CF16" s="534">
        <v>122900</v>
      </c>
      <c r="CG16" s="534">
        <v>80000</v>
      </c>
      <c r="CH16" s="534">
        <v>113500</v>
      </c>
      <c r="CI16" s="534">
        <v>124000</v>
      </c>
      <c r="CJ16" s="534">
        <v>165700</v>
      </c>
      <c r="CK16" s="534">
        <v>68900</v>
      </c>
      <c r="CL16" s="320">
        <v>6254500</v>
      </c>
    </row>
    <row r="17" spans="1:94" ht="14.25">
      <c r="A17" s="80">
        <f>ROWS($A$3:A15)</f>
        <v>13</v>
      </c>
      <c r="B17" s="388" t="s">
        <v>243</v>
      </c>
      <c r="C17" s="684">
        <v>2018</v>
      </c>
      <c r="D17" s="685" t="s">
        <v>3</v>
      </c>
      <c r="E17" s="447">
        <v>43556</v>
      </c>
      <c r="F17" s="619">
        <f>(AT16*AT17+AU16*AU17+AV16*AV17+AW16*AW17+AX16*AX17+AY16*AY17+AZ16*AZ17+BA16*BA17+BB16*BB17+BC16*BC17+BD16*BD17+BE16*BE17+BF16*BF17)/F16</f>
        <v>3.0965247755237777</v>
      </c>
      <c r="G17" s="620">
        <f>(BG16*BG17+BH16*BH17+BI16*BI17+BJ16*BJ17+BK16*BK17+BL16*BL17+BM16*BM17+BN16*BN17+BO16*BO17+BP16*BP17+BQ16*BQ17+BR16*BR17)/G16</f>
        <v>3.5445167464114831</v>
      </c>
      <c r="H17" s="620">
        <f>(BS16*BS17+BT16*BT17+BU16*BU17+BV16*BV17+BW16*BW17+BX16*BX17+BY16*BY17+BZ16*BZ17+CA16*CA17+CB16*CB17)/H16</f>
        <v>3.0071203935166517</v>
      </c>
      <c r="I17" s="621">
        <f>(CC16*CC17+CD16*CD17+CE16*CE17+CF16*CF17+CG16*CG17+CH16*CH17+CI16*CI17+CJ16*CJ17+CK16*CK17)/I16</f>
        <v>2.5876020359166425</v>
      </c>
      <c r="J17" s="622"/>
      <c r="K17" s="623">
        <f t="shared" si="4"/>
        <v>2.6</v>
      </c>
      <c r="L17" s="624">
        <f t="shared" si="5"/>
        <v>2.8</v>
      </c>
      <c r="M17" s="624">
        <f t="shared" si="6"/>
        <v>2.5</v>
      </c>
      <c r="N17" s="624">
        <f t="shared" si="7"/>
        <v>3.3</v>
      </c>
      <c r="O17" s="624">
        <f t="shared" si="8"/>
        <v>3.4</v>
      </c>
      <c r="P17" s="620">
        <f>ROUND((AZ16*AZ17/100+BA16*BA17/100)/P16%,1)</f>
        <v>3.4</v>
      </c>
      <c r="Q17" s="624">
        <f>'2019'!AU17</f>
        <v>2.6</v>
      </c>
      <c r="R17" s="620">
        <f>ROUND((AT16*AT17/100+AX16*AX17/100)/R16%,1)</f>
        <v>3.5</v>
      </c>
      <c r="S17" s="624">
        <f t="shared" si="9"/>
        <v>3</v>
      </c>
      <c r="T17" s="624">
        <f t="shared" si="10"/>
        <v>2.2000000000000002</v>
      </c>
      <c r="U17" s="625">
        <f t="shared" si="10"/>
        <v>2.6</v>
      </c>
      <c r="V17" s="620">
        <f>ROUND((BG16*BG17/100+BJ16*BJ17/100)/V16%,1)</f>
        <v>3.5</v>
      </c>
      <c r="W17" s="624">
        <f t="shared" si="12"/>
        <v>2.6</v>
      </c>
      <c r="X17" s="620">
        <f>ROUND((BH16*BH17/100+BI16*BI17/100)/X16%,1)</f>
        <v>3.3</v>
      </c>
      <c r="Y17" s="620">
        <f>ROUND((BK16*BK17/100+BL16*BL17/100+BN16*BN17/100)/Y16%,1)</f>
        <v>3.9</v>
      </c>
      <c r="Z17" s="624">
        <f t="shared" si="15"/>
        <v>2.9</v>
      </c>
      <c r="AA17" s="620">
        <f>ROUND((BO16*BO17/100+BQ16*BQ17/100)/AA16%,1)</f>
        <v>3.7</v>
      </c>
      <c r="AB17" s="625">
        <f t="shared" si="17"/>
        <v>2.8</v>
      </c>
      <c r="AC17" s="624">
        <f t="shared" si="18"/>
        <v>2.6</v>
      </c>
      <c r="AD17" s="624">
        <f t="shared" si="19"/>
        <v>2.5</v>
      </c>
      <c r="AE17" s="620">
        <f>ROUND((BS16*BS17/100+BT16*BT17/100)/AE16%,1)</f>
        <v>3.9</v>
      </c>
      <c r="AF17" s="624">
        <f t="shared" si="21"/>
        <v>3.2</v>
      </c>
      <c r="AG17" s="624">
        <f t="shared" si="22"/>
        <v>2.8</v>
      </c>
      <c r="AH17" s="624">
        <f t="shared" si="23"/>
        <v>3.1</v>
      </c>
      <c r="AI17" s="624">
        <f t="shared" si="24"/>
        <v>2</v>
      </c>
      <c r="AJ17" s="624">
        <f t="shared" si="25"/>
        <v>2.4</v>
      </c>
      <c r="AK17" s="625">
        <f t="shared" si="26"/>
        <v>2.7</v>
      </c>
      <c r="AL17" s="624">
        <f t="shared" si="27"/>
        <v>3</v>
      </c>
      <c r="AM17" s="624">
        <f t="shared" si="28"/>
        <v>1.9</v>
      </c>
      <c r="AN17" s="624">
        <f t="shared" si="29"/>
        <v>2.2999999999999998</v>
      </c>
      <c r="AO17" s="624">
        <f t="shared" si="30"/>
        <v>3</v>
      </c>
      <c r="AP17" s="624">
        <f t="shared" si="30"/>
        <v>2.5</v>
      </c>
      <c r="AQ17" s="624">
        <f t="shared" si="31"/>
        <v>2.7</v>
      </c>
      <c r="AR17" s="624">
        <f t="shared" si="32"/>
        <v>2.5</v>
      </c>
      <c r="AS17" s="621">
        <f>ROUND((CF16*CF17/100+CG16*CG17/100)/AS16%,1)</f>
        <v>2.8</v>
      </c>
      <c r="AT17" s="618">
        <v>3.9</v>
      </c>
      <c r="AU17" s="618">
        <v>2.6</v>
      </c>
      <c r="AV17" s="618">
        <v>3</v>
      </c>
      <c r="AW17" s="618">
        <v>3.3</v>
      </c>
      <c r="AX17" s="618">
        <v>2.7</v>
      </c>
      <c r="AY17" s="618">
        <v>2.8</v>
      </c>
      <c r="AZ17" s="618">
        <v>4.5999999999999996</v>
      </c>
      <c r="BA17" s="618">
        <v>2.8</v>
      </c>
      <c r="BB17" s="618">
        <v>2.2000000000000002</v>
      </c>
      <c r="BC17" s="618">
        <v>2.6</v>
      </c>
      <c r="BD17" s="618">
        <v>2.5</v>
      </c>
      <c r="BE17" s="618">
        <v>3.4</v>
      </c>
      <c r="BF17" s="626">
        <v>2.6</v>
      </c>
      <c r="BG17" s="618">
        <v>4.5999999999999996</v>
      </c>
      <c r="BH17" s="618">
        <v>4</v>
      </c>
      <c r="BI17" s="618">
        <v>2.6</v>
      </c>
      <c r="BJ17" s="618">
        <v>3.1</v>
      </c>
      <c r="BK17" s="618">
        <v>3.6</v>
      </c>
      <c r="BL17" s="618">
        <v>4.5999999999999996</v>
      </c>
      <c r="BM17" s="618">
        <v>2.9</v>
      </c>
      <c r="BN17" s="618">
        <v>3.4</v>
      </c>
      <c r="BO17" s="618">
        <v>5.3</v>
      </c>
      <c r="BP17" s="618">
        <v>2.8</v>
      </c>
      <c r="BQ17" s="618">
        <v>2.2000000000000002</v>
      </c>
      <c r="BR17" s="626">
        <v>2.6</v>
      </c>
      <c r="BS17" s="618">
        <v>4.7</v>
      </c>
      <c r="BT17" s="618">
        <v>2.7</v>
      </c>
      <c r="BU17" s="618">
        <v>2.5</v>
      </c>
      <c r="BV17" s="618">
        <v>2.8</v>
      </c>
      <c r="BW17" s="618">
        <v>2</v>
      </c>
      <c r="BX17" s="618">
        <v>2.6</v>
      </c>
      <c r="BY17" s="618">
        <v>2.4</v>
      </c>
      <c r="BZ17" s="618">
        <v>3.1</v>
      </c>
      <c r="CA17" s="618">
        <v>3.2</v>
      </c>
      <c r="CB17" s="626">
        <v>2.7</v>
      </c>
      <c r="CC17" s="618">
        <v>3</v>
      </c>
      <c r="CD17" s="618">
        <v>2.5</v>
      </c>
      <c r="CE17" s="618">
        <v>3</v>
      </c>
      <c r="CF17" s="618">
        <v>3.2</v>
      </c>
      <c r="CG17" s="618">
        <v>2.1</v>
      </c>
      <c r="CH17" s="618">
        <v>1.9</v>
      </c>
      <c r="CI17" s="618">
        <v>2.5</v>
      </c>
      <c r="CJ17" s="618">
        <v>2.2999999999999998</v>
      </c>
      <c r="CK17" s="618">
        <v>2.7</v>
      </c>
      <c r="CL17" s="627">
        <v>3</v>
      </c>
    </row>
    <row r="18" spans="1:94">
      <c r="A18" s="80">
        <f>ROWS($A$3:A16)</f>
        <v>14</v>
      </c>
      <c r="B18" s="238" t="s">
        <v>302</v>
      </c>
      <c r="C18" s="684">
        <v>2016</v>
      </c>
      <c r="D18" s="685" t="s">
        <v>11</v>
      </c>
      <c r="E18" s="447">
        <v>43320</v>
      </c>
      <c r="F18" s="534">
        <v>24500</v>
      </c>
      <c r="G18" s="534">
        <v>9600</v>
      </c>
      <c r="H18" s="534">
        <v>18600</v>
      </c>
      <c r="I18" s="535">
        <v>20000</v>
      </c>
      <c r="J18" s="382"/>
      <c r="K18" s="154">
        <f>BF18</f>
        <v>2300</v>
      </c>
      <c r="L18" s="155">
        <f>AY18</f>
        <v>2400</v>
      </c>
      <c r="M18" s="155">
        <f>BD18</f>
        <v>1700</v>
      </c>
      <c r="N18" s="155">
        <f>AW18</f>
        <v>1100</v>
      </c>
      <c r="O18" s="155">
        <f>BE18</f>
        <v>800</v>
      </c>
      <c r="P18" s="531">
        <f>'2019'!AZ18+'2019'!BA18</f>
        <v>4500</v>
      </c>
      <c r="Q18" s="155">
        <f>'2019'!AU18</f>
        <v>900</v>
      </c>
      <c r="R18" s="531">
        <f>AT18+AX18</f>
        <v>4300</v>
      </c>
      <c r="S18" s="155">
        <f>AV18</f>
        <v>1600</v>
      </c>
      <c r="T18" s="155">
        <f>BB18</f>
        <v>2000</v>
      </c>
      <c r="U18" s="552">
        <f>BC18</f>
        <v>2900</v>
      </c>
      <c r="V18" s="531">
        <f>BG18+BJ18</f>
        <v>1300</v>
      </c>
      <c r="W18" s="155">
        <f>BR18</f>
        <v>600</v>
      </c>
      <c r="X18" s="531">
        <f>BH18+BI18</f>
        <v>1900</v>
      </c>
      <c r="Y18" s="531">
        <f>BK18+BL18+BN18</f>
        <v>3000</v>
      </c>
      <c r="Z18" s="155">
        <f>BM18</f>
        <v>1300</v>
      </c>
      <c r="AA18" s="531">
        <f>BO18+BQ18</f>
        <v>800</v>
      </c>
      <c r="AB18" s="552">
        <f>BP18</f>
        <v>700</v>
      </c>
      <c r="AC18" s="155">
        <f>BX18</f>
        <v>1200</v>
      </c>
      <c r="AD18" s="155">
        <f>BU18</f>
        <v>1800</v>
      </c>
      <c r="AE18" s="531">
        <f>BS18+BT18</f>
        <v>4700</v>
      </c>
      <c r="AF18" s="155">
        <f>CA18</f>
        <v>1400</v>
      </c>
      <c r="AG18" s="155">
        <f>BV18</f>
        <v>4500</v>
      </c>
      <c r="AH18" s="155">
        <f>BZ18</f>
        <v>2300</v>
      </c>
      <c r="AI18" s="155">
        <f>BW18</f>
        <v>800</v>
      </c>
      <c r="AJ18" s="155">
        <f>BY18</f>
        <v>500</v>
      </c>
      <c r="AK18" s="552">
        <f>CB18</f>
        <v>1300</v>
      </c>
      <c r="AL18" s="155">
        <f>CE18</f>
        <v>900</v>
      </c>
      <c r="AM18" s="155">
        <f>CH18</f>
        <v>3200</v>
      </c>
      <c r="AN18" s="155">
        <f>CJ18</f>
        <v>5400</v>
      </c>
      <c r="AO18" s="155">
        <f>CC18</f>
        <v>1400</v>
      </c>
      <c r="AP18" s="155">
        <f>CD18</f>
        <v>500</v>
      </c>
      <c r="AQ18" s="155">
        <f>CK18</f>
        <v>1700</v>
      </c>
      <c r="AR18" s="155">
        <f>CI18</f>
        <v>3900</v>
      </c>
      <c r="AS18" s="532">
        <f>CF18+CG18</f>
        <v>3000</v>
      </c>
      <c r="AT18" s="534">
        <v>1000</v>
      </c>
      <c r="AU18" s="534">
        <v>900</v>
      </c>
      <c r="AV18" s="534">
        <v>1600</v>
      </c>
      <c r="AW18" s="534">
        <v>1100</v>
      </c>
      <c r="AX18" s="534">
        <v>3300</v>
      </c>
      <c r="AY18" s="534">
        <v>2400</v>
      </c>
      <c r="AZ18" s="534">
        <v>600</v>
      </c>
      <c r="BA18" s="534">
        <v>3900</v>
      </c>
      <c r="BB18" s="534">
        <v>2000</v>
      </c>
      <c r="BC18" s="534">
        <v>2900</v>
      </c>
      <c r="BD18" s="534">
        <v>1700</v>
      </c>
      <c r="BE18" s="534">
        <v>800</v>
      </c>
      <c r="BF18" s="557">
        <v>2300</v>
      </c>
      <c r="BG18" s="534">
        <v>200</v>
      </c>
      <c r="BH18" s="534">
        <v>200</v>
      </c>
      <c r="BI18" s="534">
        <v>1700</v>
      </c>
      <c r="BJ18" s="534">
        <v>1100</v>
      </c>
      <c r="BK18" s="534">
        <v>300</v>
      </c>
      <c r="BL18" s="534">
        <v>500</v>
      </c>
      <c r="BM18" s="534">
        <v>1300</v>
      </c>
      <c r="BN18" s="534">
        <v>2200</v>
      </c>
      <c r="BO18" s="534">
        <v>100</v>
      </c>
      <c r="BP18" s="534">
        <v>700</v>
      </c>
      <c r="BQ18" s="534">
        <v>700</v>
      </c>
      <c r="BR18" s="557">
        <v>600</v>
      </c>
      <c r="BS18" s="534">
        <v>500</v>
      </c>
      <c r="BT18" s="534">
        <v>4200</v>
      </c>
      <c r="BU18" s="534">
        <v>1800</v>
      </c>
      <c r="BV18" s="534">
        <v>4500</v>
      </c>
      <c r="BW18" s="534">
        <v>800</v>
      </c>
      <c r="BX18" s="534">
        <v>1200</v>
      </c>
      <c r="BY18" s="534">
        <v>500</v>
      </c>
      <c r="BZ18" s="534">
        <v>2300</v>
      </c>
      <c r="CA18" s="534">
        <v>1400</v>
      </c>
      <c r="CB18" s="557">
        <v>1300</v>
      </c>
      <c r="CC18" s="534">
        <v>1400</v>
      </c>
      <c r="CD18" s="534">
        <v>500</v>
      </c>
      <c r="CE18" s="534">
        <v>900</v>
      </c>
      <c r="CF18" s="534">
        <v>300</v>
      </c>
      <c r="CG18" s="534">
        <v>2700</v>
      </c>
      <c r="CH18" s="534">
        <v>3200</v>
      </c>
      <c r="CI18" s="534">
        <v>3900</v>
      </c>
      <c r="CJ18" s="534">
        <v>5400</v>
      </c>
      <c r="CK18" s="534">
        <v>1700</v>
      </c>
      <c r="CL18" s="320">
        <v>72800</v>
      </c>
    </row>
    <row r="19" spans="1:94">
      <c r="A19" s="80">
        <f>ROWS($A$3:A17)</f>
        <v>15</v>
      </c>
      <c r="B19" s="238" t="s">
        <v>268</v>
      </c>
      <c r="C19" s="684">
        <v>2018</v>
      </c>
      <c r="D19" s="685" t="s">
        <v>11</v>
      </c>
      <c r="E19" s="447">
        <v>43556</v>
      </c>
      <c r="F19" s="533">
        <f>SUM(AT19:BF19)</f>
        <v>1848908</v>
      </c>
      <c r="G19" s="281">
        <f>SUM(BG19:BR19)</f>
        <v>1175411</v>
      </c>
      <c r="H19" s="281">
        <f>SUM(BS19:CB19)</f>
        <v>892393</v>
      </c>
      <c r="I19" s="300">
        <f>SUM(CC19:CK19)</f>
        <v>756725</v>
      </c>
      <c r="J19" s="382"/>
      <c r="K19" s="154">
        <f>BF19</f>
        <v>126659</v>
      </c>
      <c r="L19" s="155">
        <f>AY19</f>
        <v>151440</v>
      </c>
      <c r="M19" s="155">
        <f>BD19</f>
        <v>55603</v>
      </c>
      <c r="N19" s="155">
        <f>AW19</f>
        <v>90496</v>
      </c>
      <c r="O19" s="155">
        <f>BE19</f>
        <v>51286</v>
      </c>
      <c r="P19" s="531">
        <f>'2019'!AZ19+'2019'!BA19</f>
        <v>213476</v>
      </c>
      <c r="Q19" s="155">
        <f>'2019'!AU19</f>
        <v>181261</v>
      </c>
      <c r="R19" s="531">
        <f>AT19+AX19</f>
        <v>619715</v>
      </c>
      <c r="S19" s="155">
        <f>AV19</f>
        <v>218065</v>
      </c>
      <c r="T19" s="155">
        <f>BB19</f>
        <v>57865</v>
      </c>
      <c r="U19" s="552">
        <f>BC19</f>
        <v>83042</v>
      </c>
      <c r="V19" s="531">
        <f>BG19+BJ19</f>
        <v>123641</v>
      </c>
      <c r="W19" s="155">
        <f>BR19</f>
        <v>46992</v>
      </c>
      <c r="X19" s="531">
        <f>BH19+BI19</f>
        <v>333005</v>
      </c>
      <c r="Y19" s="531">
        <f>BK19+BL19+BN19</f>
        <v>456582</v>
      </c>
      <c r="Z19" s="155">
        <f>BM19</f>
        <v>46767</v>
      </c>
      <c r="AA19" s="531">
        <f>BO19+BQ19</f>
        <v>121161</v>
      </c>
      <c r="AB19" s="552">
        <f>BP19</f>
        <v>47263</v>
      </c>
      <c r="AC19" s="155">
        <f>BX19</f>
        <v>88573</v>
      </c>
      <c r="AD19" s="155">
        <f>BU19</f>
        <v>52580</v>
      </c>
      <c r="AE19" s="531">
        <f>BS19+BT19</f>
        <v>208672</v>
      </c>
      <c r="AF19" s="155">
        <f>CA19</f>
        <v>79883</v>
      </c>
      <c r="AG19" s="155">
        <f>BV19</f>
        <v>181170</v>
      </c>
      <c r="AH19" s="155">
        <f>BZ19</f>
        <v>102459</v>
      </c>
      <c r="AI19" s="155">
        <f>BW19</f>
        <v>57261</v>
      </c>
      <c r="AJ19" s="155">
        <f>BY19</f>
        <v>66643</v>
      </c>
      <c r="AK19" s="552">
        <f>CB19</f>
        <v>55152</v>
      </c>
      <c r="AL19" s="155">
        <f>CE19</f>
        <v>68726</v>
      </c>
      <c r="AM19" s="155">
        <f>CH19</f>
        <v>84321</v>
      </c>
      <c r="AN19" s="155">
        <f>CJ19</f>
        <v>118151</v>
      </c>
      <c r="AO19" s="155">
        <f>CC19</f>
        <v>114353</v>
      </c>
      <c r="AP19" s="155">
        <f>CD19</f>
        <v>81428</v>
      </c>
      <c r="AQ19" s="155">
        <f>CK19</f>
        <v>47573</v>
      </c>
      <c r="AR19" s="155">
        <f>CI19</f>
        <v>92448</v>
      </c>
      <c r="AS19" s="532">
        <f>CF19+CG19</f>
        <v>149725</v>
      </c>
      <c r="AT19" s="534">
        <v>416667</v>
      </c>
      <c r="AU19" s="534">
        <v>181261</v>
      </c>
      <c r="AV19" s="534">
        <v>218065</v>
      </c>
      <c r="AW19" s="534">
        <v>90496</v>
      </c>
      <c r="AX19" s="534">
        <v>203048</v>
      </c>
      <c r="AY19" s="534">
        <v>151440</v>
      </c>
      <c r="AZ19" s="534">
        <v>72246</v>
      </c>
      <c r="BA19" s="534">
        <v>141230</v>
      </c>
      <c r="BB19" s="534">
        <v>57865</v>
      </c>
      <c r="BC19" s="534">
        <v>83042</v>
      </c>
      <c r="BD19" s="534">
        <v>55603</v>
      </c>
      <c r="BE19" s="534">
        <v>51286</v>
      </c>
      <c r="BF19" s="557">
        <v>126659</v>
      </c>
      <c r="BG19" s="534">
        <v>31041</v>
      </c>
      <c r="BH19" s="534">
        <v>177212</v>
      </c>
      <c r="BI19" s="534">
        <v>155793</v>
      </c>
      <c r="BJ19" s="534">
        <v>92600</v>
      </c>
      <c r="BK19" s="534">
        <v>93301</v>
      </c>
      <c r="BL19" s="534">
        <v>189940</v>
      </c>
      <c r="BM19" s="534">
        <v>46767</v>
      </c>
      <c r="BN19" s="534">
        <v>173341</v>
      </c>
      <c r="BO19" s="534">
        <v>58463</v>
      </c>
      <c r="BP19" s="534">
        <v>47263</v>
      </c>
      <c r="BQ19" s="534">
        <v>62698</v>
      </c>
      <c r="BR19" s="557">
        <v>46992</v>
      </c>
      <c r="BS19" s="534">
        <v>125982</v>
      </c>
      <c r="BT19" s="534">
        <v>82690</v>
      </c>
      <c r="BU19" s="534">
        <v>52580</v>
      </c>
      <c r="BV19" s="534">
        <v>181170</v>
      </c>
      <c r="BW19" s="534">
        <v>57261</v>
      </c>
      <c r="BX19" s="534">
        <v>88573</v>
      </c>
      <c r="BY19" s="534">
        <v>66643</v>
      </c>
      <c r="BZ19" s="534">
        <v>102459</v>
      </c>
      <c r="CA19" s="534">
        <v>79883</v>
      </c>
      <c r="CB19" s="557">
        <v>55152</v>
      </c>
      <c r="CC19" s="534">
        <v>114353</v>
      </c>
      <c r="CD19" s="534">
        <v>81428</v>
      </c>
      <c r="CE19" s="534">
        <v>68726</v>
      </c>
      <c r="CF19" s="534">
        <v>94611</v>
      </c>
      <c r="CG19" s="534">
        <v>55114</v>
      </c>
      <c r="CH19" s="534">
        <v>84321</v>
      </c>
      <c r="CI19" s="534">
        <v>92448</v>
      </c>
      <c r="CJ19" s="534">
        <v>118151</v>
      </c>
      <c r="CK19" s="534">
        <v>47573</v>
      </c>
      <c r="CL19" s="320">
        <f>SUM(AT19:CK19)</f>
        <v>4673437</v>
      </c>
    </row>
    <row r="20" spans="1:94">
      <c r="A20" s="80">
        <f>ROWS($A$3:A18)</f>
        <v>16</v>
      </c>
      <c r="B20" s="92" t="s">
        <v>64</v>
      </c>
      <c r="C20" s="684">
        <v>2016</v>
      </c>
      <c r="D20" s="685" t="s">
        <v>285</v>
      </c>
      <c r="E20" s="447">
        <v>43556</v>
      </c>
      <c r="F20" s="154">
        <v>181239.54500000001</v>
      </c>
      <c r="G20" s="155">
        <v>105377.031</v>
      </c>
      <c r="H20" s="155">
        <v>73751.043000000005</v>
      </c>
      <c r="I20" s="156">
        <v>68627.035999999993</v>
      </c>
      <c r="J20" s="281"/>
      <c r="K20" s="154">
        <f t="shared" si="4"/>
        <v>11328.162</v>
      </c>
      <c r="L20" s="155">
        <f t="shared" si="5"/>
        <v>12709.741</v>
      </c>
      <c r="M20" s="155">
        <f t="shared" si="6"/>
        <v>4257.2439999999997</v>
      </c>
      <c r="N20" s="155">
        <f t="shared" si="7"/>
        <v>7711.2240000000002</v>
      </c>
      <c r="O20" s="155">
        <f t="shared" si="8"/>
        <v>4039.6039999999998</v>
      </c>
      <c r="P20" s="155">
        <f>'2019'!AZ20+'2019'!BA20</f>
        <v>20184.194</v>
      </c>
      <c r="Q20" s="155">
        <f>'2019'!AU20</f>
        <v>22680.322</v>
      </c>
      <c r="R20" s="155">
        <f>AT20+AX20</f>
        <v>67931.782000000007</v>
      </c>
      <c r="S20" s="155">
        <f t="shared" si="9"/>
        <v>18723.87</v>
      </c>
      <c r="T20" s="155">
        <f t="shared" si="10"/>
        <v>4720.0429999999997</v>
      </c>
      <c r="U20" s="552">
        <f t="shared" si="10"/>
        <v>6953.3590000000004</v>
      </c>
      <c r="V20" s="155">
        <f>BG20+BJ20</f>
        <v>11045.727000000001</v>
      </c>
      <c r="W20" s="155">
        <f t="shared" si="12"/>
        <v>3920.2890000000002</v>
      </c>
      <c r="X20" s="155">
        <f>BH20+BI20</f>
        <v>31627.188999999998</v>
      </c>
      <c r="Y20" s="155">
        <f>BK20+BL20+BN20</f>
        <v>41415.352999999996</v>
      </c>
      <c r="Z20" s="155">
        <f t="shared" si="15"/>
        <v>3878.277</v>
      </c>
      <c r="AA20" s="155">
        <f>BO20+BQ20</f>
        <v>9611.8410000000003</v>
      </c>
      <c r="AB20" s="552">
        <f t="shared" si="17"/>
        <v>3878.3560000000002</v>
      </c>
      <c r="AC20" s="155">
        <f t="shared" si="18"/>
        <v>7031.8969999999999</v>
      </c>
      <c r="AD20" s="155">
        <f t="shared" si="19"/>
        <v>4396.357</v>
      </c>
      <c r="AE20" s="155">
        <f>BS20+BT20</f>
        <v>16910.003000000001</v>
      </c>
      <c r="AF20" s="155">
        <f t="shared" si="21"/>
        <v>6556.1</v>
      </c>
      <c r="AG20" s="155">
        <f t="shared" si="22"/>
        <v>14937.26</v>
      </c>
      <c r="AH20" s="155">
        <f t="shared" si="23"/>
        <v>8445.89</v>
      </c>
      <c r="AI20" s="155">
        <f t="shared" si="24"/>
        <v>5202.7910000000002</v>
      </c>
      <c r="AJ20" s="155">
        <f t="shared" si="25"/>
        <v>5716.0370000000003</v>
      </c>
      <c r="AK20" s="552">
        <f t="shared" si="26"/>
        <v>4554.7079999999996</v>
      </c>
      <c r="AL20" s="155">
        <f t="shared" si="27"/>
        <v>5660.6469999999999</v>
      </c>
      <c r="AM20" s="155">
        <f t="shared" si="28"/>
        <v>8765.1869999999999</v>
      </c>
      <c r="AN20" s="155">
        <f t="shared" si="29"/>
        <v>10251.206</v>
      </c>
      <c r="AO20" s="155">
        <f t="shared" si="30"/>
        <v>10045.232</v>
      </c>
      <c r="AP20" s="155">
        <f t="shared" si="30"/>
        <v>6733.0259999999998</v>
      </c>
      <c r="AQ20" s="155">
        <f t="shared" si="31"/>
        <v>4138.9750000000004</v>
      </c>
      <c r="AR20" s="155">
        <f t="shared" si="32"/>
        <v>9457.0830000000005</v>
      </c>
      <c r="AS20" s="156">
        <f>CF20+CG20</f>
        <v>13575.679</v>
      </c>
      <c r="AT20" s="281">
        <v>46451.595000000001</v>
      </c>
      <c r="AU20" s="155">
        <v>22680.322</v>
      </c>
      <c r="AV20" s="155">
        <v>18723.87</v>
      </c>
      <c r="AW20" s="155">
        <v>7711.2240000000002</v>
      </c>
      <c r="AX20" s="155">
        <v>21480.187000000002</v>
      </c>
      <c r="AY20" s="155">
        <v>12709.741</v>
      </c>
      <c r="AZ20" s="155">
        <v>5769.4369999999999</v>
      </c>
      <c r="BA20" s="155">
        <v>14414.757</v>
      </c>
      <c r="BB20" s="155">
        <v>4720.0429999999997</v>
      </c>
      <c r="BC20" s="155">
        <v>6953.3590000000004</v>
      </c>
      <c r="BD20" s="155">
        <v>4257.2439999999997</v>
      </c>
      <c r="BE20" s="155">
        <v>4039.6039999999998</v>
      </c>
      <c r="BF20" s="552">
        <v>11328.162</v>
      </c>
      <c r="BG20" s="155">
        <v>2551.6610000000001</v>
      </c>
      <c r="BH20" s="155">
        <v>17568.403999999999</v>
      </c>
      <c r="BI20" s="155">
        <v>14058.785</v>
      </c>
      <c r="BJ20" s="155">
        <v>8494.0660000000007</v>
      </c>
      <c r="BK20" s="155">
        <v>7558.3109999999997</v>
      </c>
      <c r="BL20" s="155">
        <v>17731.321</v>
      </c>
      <c r="BM20" s="155">
        <v>3878.277</v>
      </c>
      <c r="BN20" s="155">
        <v>16125.721</v>
      </c>
      <c r="BO20" s="155">
        <v>4452</v>
      </c>
      <c r="BP20" s="155">
        <v>3878.3560000000002</v>
      </c>
      <c r="BQ20" s="155">
        <v>5159.8410000000003</v>
      </c>
      <c r="BR20" s="552">
        <v>3920.2890000000002</v>
      </c>
      <c r="BS20" s="155">
        <v>10145.418</v>
      </c>
      <c r="BT20" s="155">
        <v>6764.585</v>
      </c>
      <c r="BU20" s="155">
        <v>4396.357</v>
      </c>
      <c r="BV20" s="155">
        <v>14937.26</v>
      </c>
      <c r="BW20" s="155">
        <v>5202.7910000000002</v>
      </c>
      <c r="BX20" s="155">
        <v>7031.8969999999999</v>
      </c>
      <c r="BY20" s="155">
        <v>5716.0370000000003</v>
      </c>
      <c r="BZ20" s="155">
        <v>8445.89</v>
      </c>
      <c r="CA20" s="155">
        <v>6556.1</v>
      </c>
      <c r="CB20" s="552">
        <v>4554.7079999999996</v>
      </c>
      <c r="CC20" s="155">
        <v>10045.232</v>
      </c>
      <c r="CD20" s="155">
        <v>6733.0259999999998</v>
      </c>
      <c r="CE20" s="155">
        <v>5660.6469999999999</v>
      </c>
      <c r="CF20" s="155">
        <v>8334.0650000000005</v>
      </c>
      <c r="CG20" s="281">
        <v>5241.6139999999996</v>
      </c>
      <c r="CH20" s="155">
        <v>8765.1869999999999</v>
      </c>
      <c r="CI20" s="155">
        <v>9457.0830000000005</v>
      </c>
      <c r="CJ20" s="155">
        <v>10251.206</v>
      </c>
      <c r="CK20" s="156">
        <v>4138.9750000000004</v>
      </c>
      <c r="CL20" s="320">
        <v>428994.65500000003</v>
      </c>
    </row>
    <row r="21" spans="1:94">
      <c r="A21" s="80">
        <f>ROWS($A$3:A19)</f>
        <v>17</v>
      </c>
      <c r="B21" s="53" t="s">
        <v>62</v>
      </c>
      <c r="C21" s="684">
        <v>2016</v>
      </c>
      <c r="D21" s="685" t="s">
        <v>3</v>
      </c>
      <c r="E21" s="447">
        <v>43556</v>
      </c>
      <c r="F21" s="536">
        <v>0.30475468253906723</v>
      </c>
      <c r="G21" s="537">
        <v>0.24872592965728935</v>
      </c>
      <c r="H21" s="537">
        <v>0.59385872007260965</v>
      </c>
      <c r="I21" s="538">
        <v>0.52766667643929721</v>
      </c>
      <c r="J21" s="382"/>
      <c r="K21" s="539">
        <f t="shared" ref="K21:AS21" si="36">K118/K20%</f>
        <v>0.55881086446327299</v>
      </c>
      <c r="L21" s="521">
        <f t="shared" si="36"/>
        <v>0.32022682444905842</v>
      </c>
      <c r="M21" s="521">
        <f t="shared" si="36"/>
        <v>1.0976349957860061</v>
      </c>
      <c r="N21" s="521">
        <f t="shared" si="36"/>
        <v>0.31790024514914883</v>
      </c>
      <c r="O21" s="521">
        <f t="shared" si="36"/>
        <v>0.57703675904865925</v>
      </c>
      <c r="P21" s="521">
        <f t="shared" si="36"/>
        <v>0.37435232737061486</v>
      </c>
      <c r="Q21" s="521">
        <f t="shared" si="36"/>
        <v>9.0250041423574151E-2</v>
      </c>
      <c r="R21" s="521">
        <f t="shared" si="36"/>
        <v>9.8752009773569599E-2</v>
      </c>
      <c r="S21" s="521">
        <f t="shared" si="36"/>
        <v>0.13706034062402697</v>
      </c>
      <c r="T21" s="521">
        <f t="shared" si="36"/>
        <v>1.2494165837048519</v>
      </c>
      <c r="U21" s="559">
        <f t="shared" si="36"/>
        <v>1.3265243460031331</v>
      </c>
      <c r="V21" s="521">
        <f t="shared" si="36"/>
        <v>0.35445380824639244</v>
      </c>
      <c r="W21" s="521">
        <f t="shared" si="36"/>
        <v>0.58730364011428748</v>
      </c>
      <c r="X21" s="521">
        <f t="shared" si="36"/>
        <v>0.17051467963213549</v>
      </c>
      <c r="Y21" s="521">
        <f t="shared" si="36"/>
        <v>0.15660617452663028</v>
      </c>
      <c r="Z21" s="521">
        <f t="shared" si="36"/>
        <v>1.2472291174663388</v>
      </c>
      <c r="AA21" s="521">
        <f t="shared" si="36"/>
        <v>0.30191926811939568</v>
      </c>
      <c r="AB21" s="559">
        <f t="shared" si="36"/>
        <v>0.6861670254097354</v>
      </c>
      <c r="AC21" s="521">
        <f t="shared" si="36"/>
        <v>0.5084403255622203</v>
      </c>
      <c r="AD21" s="521">
        <f t="shared" si="36"/>
        <v>0.85332014665778966</v>
      </c>
      <c r="AE21" s="521">
        <f t="shared" si="36"/>
        <v>0.64995257540758578</v>
      </c>
      <c r="AF21" s="521">
        <f t="shared" si="36"/>
        <v>0.55612330501365137</v>
      </c>
      <c r="AG21" s="521">
        <f t="shared" si="36"/>
        <v>0.69850829402447301</v>
      </c>
      <c r="AH21" s="521">
        <f t="shared" si="36"/>
        <v>0.66486776408406933</v>
      </c>
      <c r="AI21" s="521">
        <f t="shared" si="36"/>
        <v>0.55032001093259375</v>
      </c>
      <c r="AJ21" s="521">
        <f t="shared" si="36"/>
        <v>0.34133788847063096</v>
      </c>
      <c r="AK21" s="559">
        <f t="shared" si="36"/>
        <v>0.75666760635368946</v>
      </c>
      <c r="AL21" s="521">
        <f t="shared" si="36"/>
        <v>0.42352049156218363</v>
      </c>
      <c r="AM21" s="521">
        <f t="shared" si="36"/>
        <v>0.79361683897902002</v>
      </c>
      <c r="AN21" s="521">
        <f t="shared" si="36"/>
        <v>0.86349840204167194</v>
      </c>
      <c r="AO21" s="521">
        <f t="shared" si="36"/>
        <v>0.29443819714666619</v>
      </c>
      <c r="AP21" s="521">
        <f t="shared" si="36"/>
        <v>0.20146959182988453</v>
      </c>
      <c r="AQ21" s="521">
        <f t="shared" si="36"/>
        <v>1.1290959718287739</v>
      </c>
      <c r="AR21" s="521">
        <f t="shared" si="36"/>
        <v>0.52200028275103427</v>
      </c>
      <c r="AS21" s="540">
        <f t="shared" si="36"/>
        <v>0.47969608002664177</v>
      </c>
      <c r="AT21" s="537">
        <v>3.7277514367375322E-2</v>
      </c>
      <c r="AU21" s="537">
        <v>8.6802118594259819E-2</v>
      </c>
      <c r="AV21" s="537">
        <v>0.14428641087552946</v>
      </c>
      <c r="AW21" s="537">
        <v>0.33404554192693664</v>
      </c>
      <c r="AX21" s="537">
        <v>0.2272047259178889</v>
      </c>
      <c r="AY21" s="537">
        <v>0.32069890330574008</v>
      </c>
      <c r="AZ21" s="537">
        <v>0.19379707240065192</v>
      </c>
      <c r="BA21" s="537">
        <v>0.48922781008379124</v>
      </c>
      <c r="BB21" s="537">
        <v>1.2457513628583468</v>
      </c>
      <c r="BC21" s="537">
        <v>1.3703592752797604</v>
      </c>
      <c r="BD21" s="537">
        <v>1.1225102437163572</v>
      </c>
      <c r="BE21" s="537">
        <v>0.57780416100192</v>
      </c>
      <c r="BF21" s="563">
        <v>0.58330733617686614</v>
      </c>
      <c r="BG21" s="537">
        <v>0.33593804192641574</v>
      </c>
      <c r="BH21" s="537">
        <v>5.0630666280215328E-2</v>
      </c>
      <c r="BI21" s="537">
        <v>0.31908874059884973</v>
      </c>
      <c r="BJ21" s="537">
        <v>0.32598051392583949</v>
      </c>
      <c r="BK21" s="537">
        <v>0.10216568225361461</v>
      </c>
      <c r="BL21" s="537">
        <v>1.7579062496246051E-2</v>
      </c>
      <c r="BM21" s="537">
        <v>1.1397844970846591</v>
      </c>
      <c r="BN21" s="537">
        <v>0.29911220713790104</v>
      </c>
      <c r="BO21" s="537">
        <v>0.16039982030548067</v>
      </c>
      <c r="BP21" s="537">
        <v>0.6485995612573987</v>
      </c>
      <c r="BQ21" s="537">
        <v>0.32466116688479352</v>
      </c>
      <c r="BR21" s="563">
        <v>0.50399345558452446</v>
      </c>
      <c r="BS21" s="537">
        <v>0.16663680096768807</v>
      </c>
      <c r="BT21" s="537">
        <v>1.2794132973419656</v>
      </c>
      <c r="BU21" s="537">
        <v>0.81688088569695316</v>
      </c>
      <c r="BV21" s="537">
        <v>0.70001459437674651</v>
      </c>
      <c r="BW21" s="537">
        <v>0.49569548344340564</v>
      </c>
      <c r="BX21" s="537">
        <v>0.46099935764133071</v>
      </c>
      <c r="BY21" s="537">
        <v>0.31605813608274402</v>
      </c>
      <c r="BZ21" s="537">
        <v>0.63185762542491086</v>
      </c>
      <c r="CA21" s="537">
        <v>0.50499534784399247</v>
      </c>
      <c r="CB21" s="563">
        <v>0.68724493425264588</v>
      </c>
      <c r="CC21" s="537">
        <v>0.27085486925538405</v>
      </c>
      <c r="CD21" s="537">
        <v>0.18440445648063741</v>
      </c>
      <c r="CE21" s="537">
        <v>0.37629974100133778</v>
      </c>
      <c r="CF21" s="537">
        <v>8.0644919376078775E-2</v>
      </c>
      <c r="CG21" s="537">
        <v>1.0545415973018997</v>
      </c>
      <c r="CH21" s="537">
        <v>0.71359572819153771</v>
      </c>
      <c r="CI21" s="537">
        <v>0.50697450789001219</v>
      </c>
      <c r="CJ21" s="537">
        <v>0.83037059249419043</v>
      </c>
      <c r="CK21" s="538">
        <v>1.0530384938299939</v>
      </c>
      <c r="CL21" s="564">
        <v>0.37635317391075651</v>
      </c>
      <c r="CM21" s="628"/>
      <c r="CN21" s="628"/>
      <c r="CO21" s="628"/>
      <c r="CP21" s="628"/>
    </row>
    <row r="22" spans="1:94">
      <c r="A22" s="80">
        <f>ROWS($A$3:A20)</f>
        <v>18</v>
      </c>
      <c r="B22" s="59" t="s">
        <v>66</v>
      </c>
      <c r="C22" s="387">
        <v>2016</v>
      </c>
      <c r="D22" s="259"/>
      <c r="E22" s="451"/>
      <c r="F22" s="154"/>
      <c r="G22" s="155"/>
      <c r="H22" s="155"/>
      <c r="I22" s="156"/>
      <c r="J22" s="281"/>
      <c r="K22" s="154"/>
      <c r="L22" s="155"/>
      <c r="M22" s="155"/>
      <c r="N22" s="155"/>
      <c r="O22" s="155"/>
      <c r="P22" s="155"/>
      <c r="Q22" s="155">
        <f>'2019'!AU22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c r="A23" s="80">
        <f>ROWS($A$3:A21)</f>
        <v>19</v>
      </c>
      <c r="B23" s="52" t="s">
        <v>253</v>
      </c>
      <c r="C23" s="205"/>
      <c r="D23" s="259" t="s">
        <v>13</v>
      </c>
      <c r="E23" s="447">
        <v>42887</v>
      </c>
      <c r="F23" s="154">
        <f>SUM(F24:F29)</f>
        <v>12977</v>
      </c>
      <c r="G23" s="155">
        <f>SUM(G24:G29)</f>
        <v>4559</v>
      </c>
      <c r="H23" s="155">
        <f>SUM(H24:H29)</f>
        <v>12363</v>
      </c>
      <c r="I23" s="156">
        <f>SUM(I24:I29)</f>
        <v>10690</v>
      </c>
      <c r="J23" s="281"/>
      <c r="K23" s="154">
        <f t="shared" ref="K23:K33" si="37">BF23</f>
        <v>1677</v>
      </c>
      <c r="L23" s="155">
        <f t="shared" ref="L23:L33" si="38">AY23</f>
        <v>1128</v>
      </c>
      <c r="M23" s="155">
        <f t="shared" ref="M23:M33" si="39">BD23</f>
        <v>1355</v>
      </c>
      <c r="N23" s="155">
        <f t="shared" ref="N23:N33" si="40">AW23</f>
        <v>725</v>
      </c>
      <c r="O23" s="155">
        <f t="shared" ref="O23:O33" si="41">BE23</f>
        <v>542</v>
      </c>
      <c r="P23" s="155">
        <f>'2019'!AZ23+'2019'!BA23</f>
        <v>2011</v>
      </c>
      <c r="Q23" s="155">
        <f>'2019'!AU23</f>
        <v>560</v>
      </c>
      <c r="R23" s="155">
        <f t="shared" ref="R23:R29" si="42">AT23+AX23</f>
        <v>1374</v>
      </c>
      <c r="S23" s="155">
        <f t="shared" ref="S23:S33" si="43">AV23</f>
        <v>633</v>
      </c>
      <c r="T23" s="155">
        <f t="shared" ref="T23:U33" si="44">BB23</f>
        <v>1098</v>
      </c>
      <c r="U23" s="552">
        <f t="shared" si="44"/>
        <v>1874</v>
      </c>
      <c r="V23" s="155">
        <f t="shared" ref="V23:V29" si="45">BG23+BJ23</f>
        <v>576</v>
      </c>
      <c r="W23" s="155">
        <f t="shared" ref="W23:W33" si="46">BR23</f>
        <v>477</v>
      </c>
      <c r="X23" s="155">
        <f t="shared" ref="X23:X29" si="47">BH23+BI23</f>
        <v>777</v>
      </c>
      <c r="Y23" s="155">
        <f t="shared" ref="Y23:Y29" si="48">BK23+BL23+BN23</f>
        <v>1014</v>
      </c>
      <c r="Z23" s="155">
        <f t="shared" ref="Z23:Z33" si="49">BM23</f>
        <v>830</v>
      </c>
      <c r="AA23" s="155">
        <f t="shared" ref="AA23:AA29" si="50">BO23+BQ23</f>
        <v>439</v>
      </c>
      <c r="AB23" s="552">
        <f t="shared" ref="AB23:AB33" si="51">BP23</f>
        <v>446</v>
      </c>
      <c r="AC23" s="155">
        <f t="shared" ref="AC23:AC33" si="52">BX23</f>
        <v>968</v>
      </c>
      <c r="AD23" s="155">
        <f t="shared" ref="AD23:AD33" si="53">BU23</f>
        <v>1266</v>
      </c>
      <c r="AE23" s="155">
        <f t="shared" ref="AE23:AE29" si="54">BS23+BT23</f>
        <v>2772</v>
      </c>
      <c r="AF23" s="155">
        <f t="shared" ref="AF23:AF33" si="55">CA23</f>
        <v>966</v>
      </c>
      <c r="AG23" s="155">
        <f t="shared" ref="AG23:AG33" si="56">BV23</f>
        <v>3285</v>
      </c>
      <c r="AH23" s="155">
        <f t="shared" ref="AH23:AH33" si="57">BZ23</f>
        <v>811</v>
      </c>
      <c r="AI23" s="155">
        <f t="shared" ref="AI23:AI33" si="58">BW23</f>
        <v>758</v>
      </c>
      <c r="AJ23" s="155">
        <f t="shared" ref="AJ23:AJ33" si="59">BY23</f>
        <v>424</v>
      </c>
      <c r="AK23" s="552">
        <f t="shared" ref="AK23:AK33" si="60">CB23</f>
        <v>1113</v>
      </c>
      <c r="AL23" s="155">
        <f t="shared" ref="AL23:AL33" si="61">CE23</f>
        <v>701</v>
      </c>
      <c r="AM23" s="155">
        <f t="shared" ref="AM23:AM33" si="62">CH23</f>
        <v>1714</v>
      </c>
      <c r="AN23" s="155">
        <f t="shared" ref="AN23:AN33" si="63">CJ23</f>
        <v>2340</v>
      </c>
      <c r="AO23" s="155">
        <f t="shared" ref="AO23:AP33" si="64">CC23</f>
        <v>1011</v>
      </c>
      <c r="AP23" s="155">
        <f t="shared" si="64"/>
        <v>386</v>
      </c>
      <c r="AQ23" s="155">
        <f t="shared" ref="AQ23:AQ33" si="65">CK23</f>
        <v>1167</v>
      </c>
      <c r="AR23" s="155">
        <f t="shared" ref="AR23:AR33" si="66">CI23</f>
        <v>1510</v>
      </c>
      <c r="AS23" s="156">
        <f t="shared" ref="AS23:AS29" si="67">CF23+CG23</f>
        <v>1861</v>
      </c>
      <c r="AT23" s="155">
        <f t="shared" ref="AT23:CJ23" si="68">SUM(AT24:AT29)</f>
        <v>191</v>
      </c>
      <c r="AU23" s="155">
        <f t="shared" si="68"/>
        <v>560</v>
      </c>
      <c r="AV23" s="155">
        <f t="shared" si="68"/>
        <v>633</v>
      </c>
      <c r="AW23" s="155">
        <f t="shared" si="68"/>
        <v>725</v>
      </c>
      <c r="AX23" s="155">
        <f t="shared" si="68"/>
        <v>1183</v>
      </c>
      <c r="AY23" s="155">
        <f t="shared" si="68"/>
        <v>1128</v>
      </c>
      <c r="AZ23" s="155">
        <f t="shared" si="68"/>
        <v>172</v>
      </c>
      <c r="BA23" s="155">
        <f t="shared" si="68"/>
        <v>1839</v>
      </c>
      <c r="BB23" s="155">
        <f t="shared" si="68"/>
        <v>1098</v>
      </c>
      <c r="BC23" s="155">
        <f t="shared" si="68"/>
        <v>1874</v>
      </c>
      <c r="BD23" s="155">
        <f t="shared" si="68"/>
        <v>1355</v>
      </c>
      <c r="BE23" s="155">
        <f t="shared" si="68"/>
        <v>542</v>
      </c>
      <c r="BF23" s="552">
        <f t="shared" si="68"/>
        <v>1677</v>
      </c>
      <c r="BG23" s="155">
        <f t="shared" si="68"/>
        <v>105</v>
      </c>
      <c r="BH23" s="155">
        <f t="shared" si="68"/>
        <v>62</v>
      </c>
      <c r="BI23" s="155">
        <f t="shared" si="68"/>
        <v>715</v>
      </c>
      <c r="BJ23" s="155">
        <f t="shared" si="68"/>
        <v>471</v>
      </c>
      <c r="BK23" s="155">
        <f t="shared" si="68"/>
        <v>74</v>
      </c>
      <c r="BL23" s="155">
        <f t="shared" si="68"/>
        <v>59</v>
      </c>
      <c r="BM23" s="155">
        <f t="shared" si="68"/>
        <v>830</v>
      </c>
      <c r="BN23" s="155">
        <f t="shared" si="68"/>
        <v>881</v>
      </c>
      <c r="BO23" s="155">
        <f t="shared" si="68"/>
        <v>25</v>
      </c>
      <c r="BP23" s="155">
        <f t="shared" si="68"/>
        <v>446</v>
      </c>
      <c r="BQ23" s="155">
        <f t="shared" si="68"/>
        <v>414</v>
      </c>
      <c r="BR23" s="552">
        <f t="shared" si="68"/>
        <v>477</v>
      </c>
      <c r="BS23" s="155">
        <f t="shared" si="68"/>
        <v>181</v>
      </c>
      <c r="BT23" s="155">
        <f t="shared" si="68"/>
        <v>2591</v>
      </c>
      <c r="BU23" s="155">
        <f t="shared" si="68"/>
        <v>1266</v>
      </c>
      <c r="BV23" s="155">
        <f t="shared" si="68"/>
        <v>3285</v>
      </c>
      <c r="BW23" s="155">
        <f t="shared" si="68"/>
        <v>758</v>
      </c>
      <c r="BX23" s="155">
        <f t="shared" si="68"/>
        <v>968</v>
      </c>
      <c r="BY23" s="155">
        <f t="shared" si="68"/>
        <v>424</v>
      </c>
      <c r="BZ23" s="155">
        <f t="shared" si="68"/>
        <v>811</v>
      </c>
      <c r="CA23" s="155">
        <f t="shared" si="68"/>
        <v>966</v>
      </c>
      <c r="CB23" s="552">
        <f t="shared" si="68"/>
        <v>1113</v>
      </c>
      <c r="CC23" s="155">
        <f t="shared" si="68"/>
        <v>1011</v>
      </c>
      <c r="CD23" s="155">
        <f t="shared" si="68"/>
        <v>386</v>
      </c>
      <c r="CE23" s="155">
        <f t="shared" si="68"/>
        <v>701</v>
      </c>
      <c r="CF23" s="155">
        <f t="shared" si="68"/>
        <v>108</v>
      </c>
      <c r="CG23" s="155">
        <f t="shared" si="68"/>
        <v>1753</v>
      </c>
      <c r="CH23" s="155">
        <f t="shared" si="68"/>
        <v>1714</v>
      </c>
      <c r="CI23" s="155">
        <f t="shared" si="68"/>
        <v>1510</v>
      </c>
      <c r="CJ23" s="155">
        <f t="shared" si="68"/>
        <v>2340</v>
      </c>
      <c r="CK23" s="156">
        <f>SUM(CK24:CK29)</f>
        <v>1167</v>
      </c>
      <c r="CL23" s="320">
        <v>40589</v>
      </c>
    </row>
    <row r="24" spans="1:94">
      <c r="A24" s="80">
        <f>ROWS($A$3:A22)</f>
        <v>20</v>
      </c>
      <c r="B24" s="52" t="s">
        <v>249</v>
      </c>
      <c r="C24" s="203"/>
      <c r="D24" s="259" t="s">
        <v>13</v>
      </c>
      <c r="E24" s="447">
        <v>42887</v>
      </c>
      <c r="F24" s="154">
        <v>2283</v>
      </c>
      <c r="G24" s="155">
        <v>673</v>
      </c>
      <c r="H24" s="155">
        <v>2871</v>
      </c>
      <c r="I24" s="156">
        <v>795</v>
      </c>
      <c r="J24" s="281"/>
      <c r="K24" s="154">
        <f t="shared" si="37"/>
        <v>69</v>
      </c>
      <c r="L24" s="155">
        <f t="shared" si="38"/>
        <v>329</v>
      </c>
      <c r="M24" s="155">
        <f t="shared" si="39"/>
        <v>162</v>
      </c>
      <c r="N24" s="155">
        <f t="shared" si="40"/>
        <v>65</v>
      </c>
      <c r="O24" s="155">
        <f t="shared" si="41"/>
        <v>18</v>
      </c>
      <c r="P24" s="155">
        <f>'2019'!AZ24+'2019'!BA24</f>
        <v>679</v>
      </c>
      <c r="Q24" s="155">
        <f>'2019'!AU24</f>
        <v>40</v>
      </c>
      <c r="R24" s="155">
        <f t="shared" si="42"/>
        <v>507</v>
      </c>
      <c r="S24" s="155">
        <f t="shared" si="43"/>
        <v>100</v>
      </c>
      <c r="T24" s="155">
        <f t="shared" si="44"/>
        <v>222</v>
      </c>
      <c r="U24" s="552">
        <f t="shared" si="44"/>
        <v>92</v>
      </c>
      <c r="V24" s="155">
        <f t="shared" si="45"/>
        <v>219</v>
      </c>
      <c r="W24" s="155">
        <f t="shared" si="46"/>
        <v>20</v>
      </c>
      <c r="X24" s="155">
        <f t="shared" si="47"/>
        <v>126</v>
      </c>
      <c r="Y24" s="155">
        <f t="shared" si="48"/>
        <v>171</v>
      </c>
      <c r="Z24" s="155">
        <f t="shared" si="49"/>
        <v>47</v>
      </c>
      <c r="AA24" s="155">
        <f t="shared" si="50"/>
        <v>67</v>
      </c>
      <c r="AB24" s="552">
        <f t="shared" si="51"/>
        <v>23</v>
      </c>
      <c r="AC24" s="155">
        <f t="shared" si="52"/>
        <v>14</v>
      </c>
      <c r="AD24" s="155">
        <f t="shared" si="53"/>
        <v>419</v>
      </c>
      <c r="AE24" s="155">
        <f t="shared" si="54"/>
        <v>983</v>
      </c>
      <c r="AF24" s="155">
        <f t="shared" si="55"/>
        <v>149</v>
      </c>
      <c r="AG24" s="155">
        <f t="shared" si="56"/>
        <v>1120</v>
      </c>
      <c r="AH24" s="155">
        <f t="shared" si="57"/>
        <v>126</v>
      </c>
      <c r="AI24" s="155">
        <f t="shared" si="58"/>
        <v>19</v>
      </c>
      <c r="AJ24" s="155">
        <f t="shared" si="59"/>
        <v>8</v>
      </c>
      <c r="AK24" s="552">
        <f t="shared" si="60"/>
        <v>33</v>
      </c>
      <c r="AL24" s="155">
        <f t="shared" si="61"/>
        <v>16</v>
      </c>
      <c r="AM24" s="155">
        <f t="shared" si="62"/>
        <v>60</v>
      </c>
      <c r="AN24" s="155">
        <f t="shared" si="63"/>
        <v>140</v>
      </c>
      <c r="AO24" s="155">
        <f t="shared" si="64"/>
        <v>52</v>
      </c>
      <c r="AP24" s="155">
        <f t="shared" si="64"/>
        <v>32</v>
      </c>
      <c r="AQ24" s="155">
        <f t="shared" si="65"/>
        <v>38</v>
      </c>
      <c r="AR24" s="155">
        <f t="shared" si="66"/>
        <v>379</v>
      </c>
      <c r="AS24" s="156">
        <f t="shared" si="67"/>
        <v>78</v>
      </c>
      <c r="AT24" s="155">
        <v>97</v>
      </c>
      <c r="AU24" s="155">
        <v>40</v>
      </c>
      <c r="AV24" s="155">
        <v>100</v>
      </c>
      <c r="AW24" s="155">
        <v>65</v>
      </c>
      <c r="AX24" s="155">
        <v>410</v>
      </c>
      <c r="AY24" s="155">
        <v>329</v>
      </c>
      <c r="AZ24" s="155">
        <v>46</v>
      </c>
      <c r="BA24" s="155">
        <v>633</v>
      </c>
      <c r="BB24" s="155">
        <v>222</v>
      </c>
      <c r="BC24" s="155">
        <v>92</v>
      </c>
      <c r="BD24" s="155">
        <v>162</v>
      </c>
      <c r="BE24" s="155">
        <v>18</v>
      </c>
      <c r="BF24" s="552">
        <v>69</v>
      </c>
      <c r="BG24" s="155">
        <v>61</v>
      </c>
      <c r="BH24" s="155">
        <v>11</v>
      </c>
      <c r="BI24" s="155">
        <v>115</v>
      </c>
      <c r="BJ24" s="155">
        <v>158</v>
      </c>
      <c r="BK24" s="155">
        <v>17</v>
      </c>
      <c r="BL24" s="155">
        <v>11</v>
      </c>
      <c r="BM24" s="155">
        <v>47</v>
      </c>
      <c r="BN24" s="155">
        <v>143</v>
      </c>
      <c r="BO24" s="155">
        <v>9</v>
      </c>
      <c r="BP24" s="155">
        <v>23</v>
      </c>
      <c r="BQ24" s="155">
        <v>58</v>
      </c>
      <c r="BR24" s="552">
        <v>20</v>
      </c>
      <c r="BS24" s="155">
        <v>85</v>
      </c>
      <c r="BT24" s="155">
        <v>898</v>
      </c>
      <c r="BU24" s="155">
        <v>419</v>
      </c>
      <c r="BV24" s="155">
        <v>1120</v>
      </c>
      <c r="BW24" s="155">
        <v>19</v>
      </c>
      <c r="BX24" s="155">
        <v>14</v>
      </c>
      <c r="BY24" s="155">
        <v>8</v>
      </c>
      <c r="BZ24" s="155">
        <v>126</v>
      </c>
      <c r="CA24" s="155">
        <v>149</v>
      </c>
      <c r="CB24" s="552">
        <v>33</v>
      </c>
      <c r="CC24" s="155">
        <v>52</v>
      </c>
      <c r="CD24" s="155">
        <v>32</v>
      </c>
      <c r="CE24" s="155">
        <v>16</v>
      </c>
      <c r="CF24" s="155">
        <v>13</v>
      </c>
      <c r="CG24" s="155">
        <v>65</v>
      </c>
      <c r="CH24" s="155">
        <v>60</v>
      </c>
      <c r="CI24" s="155">
        <v>379</v>
      </c>
      <c r="CJ24" s="155">
        <v>140</v>
      </c>
      <c r="CK24" s="156">
        <v>38</v>
      </c>
      <c r="CL24" s="320">
        <v>6622</v>
      </c>
    </row>
    <row r="25" spans="1:94">
      <c r="A25" s="80">
        <f>ROWS($A$3:A23)</f>
        <v>21</v>
      </c>
      <c r="B25" s="52" t="s">
        <v>250</v>
      </c>
      <c r="C25" s="203"/>
      <c r="D25" s="259" t="s">
        <v>13</v>
      </c>
      <c r="E25" s="447">
        <v>42887</v>
      </c>
      <c r="F25" s="154">
        <v>1951</v>
      </c>
      <c r="G25" s="155">
        <v>772</v>
      </c>
      <c r="H25" s="155">
        <v>2646</v>
      </c>
      <c r="I25" s="156">
        <v>1671</v>
      </c>
      <c r="J25" s="281"/>
      <c r="K25" s="154">
        <f t="shared" si="37"/>
        <v>321</v>
      </c>
      <c r="L25" s="155">
        <f t="shared" si="38"/>
        <v>222</v>
      </c>
      <c r="M25" s="155">
        <f t="shared" si="39"/>
        <v>141</v>
      </c>
      <c r="N25" s="155">
        <f t="shared" si="40"/>
        <v>115</v>
      </c>
      <c r="O25" s="155">
        <f t="shared" si="41"/>
        <v>69</v>
      </c>
      <c r="P25" s="155">
        <f>'2019'!AZ25+'2019'!BA25</f>
        <v>290</v>
      </c>
      <c r="Q25" s="155">
        <f>'2019'!AU25</f>
        <v>89</v>
      </c>
      <c r="R25" s="155">
        <f t="shared" si="42"/>
        <v>145</v>
      </c>
      <c r="S25" s="155">
        <f t="shared" si="43"/>
        <v>114</v>
      </c>
      <c r="T25" s="155">
        <f t="shared" si="44"/>
        <v>155</v>
      </c>
      <c r="U25" s="552">
        <f t="shared" si="44"/>
        <v>290</v>
      </c>
      <c r="V25" s="155">
        <f t="shared" si="45"/>
        <v>102</v>
      </c>
      <c r="W25" s="155">
        <f t="shared" si="46"/>
        <v>113</v>
      </c>
      <c r="X25" s="155">
        <f t="shared" si="47"/>
        <v>108</v>
      </c>
      <c r="Y25" s="155">
        <f t="shared" si="48"/>
        <v>126</v>
      </c>
      <c r="Z25" s="155">
        <f t="shared" si="49"/>
        <v>133</v>
      </c>
      <c r="AA25" s="155">
        <f t="shared" si="50"/>
        <v>70</v>
      </c>
      <c r="AB25" s="552">
        <f t="shared" si="51"/>
        <v>120</v>
      </c>
      <c r="AC25" s="155">
        <f t="shared" si="52"/>
        <v>183</v>
      </c>
      <c r="AD25" s="155">
        <f t="shared" si="53"/>
        <v>266</v>
      </c>
      <c r="AE25" s="155">
        <f t="shared" si="54"/>
        <v>483</v>
      </c>
      <c r="AF25" s="155">
        <f t="shared" si="55"/>
        <v>210</v>
      </c>
      <c r="AG25" s="155">
        <f t="shared" si="56"/>
        <v>846</v>
      </c>
      <c r="AH25" s="155">
        <f t="shared" si="57"/>
        <v>107</v>
      </c>
      <c r="AI25" s="155">
        <f t="shared" si="58"/>
        <v>182</v>
      </c>
      <c r="AJ25" s="155">
        <f t="shared" si="59"/>
        <v>71</v>
      </c>
      <c r="AK25" s="552">
        <f t="shared" si="60"/>
        <v>298</v>
      </c>
      <c r="AL25" s="155">
        <f t="shared" si="61"/>
        <v>161</v>
      </c>
      <c r="AM25" s="155">
        <f t="shared" si="62"/>
        <v>212</v>
      </c>
      <c r="AN25" s="155">
        <f t="shared" si="63"/>
        <v>318</v>
      </c>
      <c r="AO25" s="155">
        <f t="shared" si="64"/>
        <v>183</v>
      </c>
      <c r="AP25" s="155">
        <f t="shared" si="64"/>
        <v>68</v>
      </c>
      <c r="AQ25" s="155">
        <f t="shared" si="65"/>
        <v>202</v>
      </c>
      <c r="AR25" s="155">
        <f t="shared" si="66"/>
        <v>298</v>
      </c>
      <c r="AS25" s="156">
        <f t="shared" si="67"/>
        <v>229</v>
      </c>
      <c r="AT25" s="155">
        <v>32</v>
      </c>
      <c r="AU25" s="155">
        <v>89</v>
      </c>
      <c r="AV25" s="155">
        <v>114</v>
      </c>
      <c r="AW25" s="155">
        <v>115</v>
      </c>
      <c r="AX25" s="155">
        <v>113</v>
      </c>
      <c r="AY25" s="155">
        <v>222</v>
      </c>
      <c r="AZ25" s="155">
        <v>35</v>
      </c>
      <c r="BA25" s="155">
        <v>255</v>
      </c>
      <c r="BB25" s="155">
        <v>155</v>
      </c>
      <c r="BC25" s="155">
        <v>290</v>
      </c>
      <c r="BD25" s="155">
        <v>141</v>
      </c>
      <c r="BE25" s="155">
        <v>69</v>
      </c>
      <c r="BF25" s="552">
        <v>321</v>
      </c>
      <c r="BG25" s="155">
        <v>21</v>
      </c>
      <c r="BH25" s="155">
        <v>9</v>
      </c>
      <c r="BI25" s="155">
        <v>99</v>
      </c>
      <c r="BJ25" s="155">
        <v>81</v>
      </c>
      <c r="BK25" s="155">
        <v>11</v>
      </c>
      <c r="BL25" s="155">
        <v>4</v>
      </c>
      <c r="BM25" s="155">
        <v>133</v>
      </c>
      <c r="BN25" s="155">
        <v>111</v>
      </c>
      <c r="BO25" s="155">
        <v>4</v>
      </c>
      <c r="BP25" s="155">
        <v>120</v>
      </c>
      <c r="BQ25" s="155">
        <v>66</v>
      </c>
      <c r="BR25" s="552">
        <v>113</v>
      </c>
      <c r="BS25" s="155">
        <v>26</v>
      </c>
      <c r="BT25" s="155">
        <v>457</v>
      </c>
      <c r="BU25" s="155">
        <v>266</v>
      </c>
      <c r="BV25" s="155">
        <v>846</v>
      </c>
      <c r="BW25" s="155">
        <v>182</v>
      </c>
      <c r="BX25" s="155">
        <v>183</v>
      </c>
      <c r="BY25" s="155">
        <v>71</v>
      </c>
      <c r="BZ25" s="155">
        <v>107</v>
      </c>
      <c r="CA25" s="155">
        <v>210</v>
      </c>
      <c r="CB25" s="552">
        <v>298</v>
      </c>
      <c r="CC25" s="155">
        <v>183</v>
      </c>
      <c r="CD25" s="155">
        <v>68</v>
      </c>
      <c r="CE25" s="155">
        <v>161</v>
      </c>
      <c r="CF25" s="155">
        <v>10</v>
      </c>
      <c r="CG25" s="155">
        <v>219</v>
      </c>
      <c r="CH25" s="155">
        <v>212</v>
      </c>
      <c r="CI25" s="155">
        <v>298</v>
      </c>
      <c r="CJ25" s="155">
        <v>318</v>
      </c>
      <c r="CK25" s="156">
        <v>202</v>
      </c>
      <c r="CL25" s="320">
        <v>7040</v>
      </c>
    </row>
    <row r="26" spans="1:94">
      <c r="A26" s="80">
        <f>ROWS($A$3:A24)</f>
        <v>22</v>
      </c>
      <c r="B26" s="52" t="s">
        <v>251</v>
      </c>
      <c r="C26" s="203"/>
      <c r="D26" s="259" t="s">
        <v>13</v>
      </c>
      <c r="E26" s="447">
        <v>42887</v>
      </c>
      <c r="F26" s="154">
        <v>2427</v>
      </c>
      <c r="G26" s="155">
        <v>837</v>
      </c>
      <c r="H26" s="155">
        <v>2678</v>
      </c>
      <c r="I26" s="156">
        <v>2425</v>
      </c>
      <c r="J26" s="281"/>
      <c r="K26" s="154">
        <f t="shared" si="37"/>
        <v>440</v>
      </c>
      <c r="L26" s="155">
        <f t="shared" si="38"/>
        <v>205</v>
      </c>
      <c r="M26" s="155">
        <f t="shared" si="39"/>
        <v>242</v>
      </c>
      <c r="N26" s="155">
        <f t="shared" si="40"/>
        <v>150</v>
      </c>
      <c r="O26" s="155">
        <f t="shared" si="41"/>
        <v>115</v>
      </c>
      <c r="P26" s="155">
        <f>'2019'!AZ26+'2019'!BA26</f>
        <v>287</v>
      </c>
      <c r="Q26" s="155">
        <f>'2019'!AU26</f>
        <v>126</v>
      </c>
      <c r="R26" s="155">
        <f t="shared" si="42"/>
        <v>162</v>
      </c>
      <c r="S26" s="155">
        <f t="shared" si="43"/>
        <v>134</v>
      </c>
      <c r="T26" s="155">
        <f t="shared" si="44"/>
        <v>186</v>
      </c>
      <c r="U26" s="552">
        <f t="shared" si="44"/>
        <v>380</v>
      </c>
      <c r="V26" s="155">
        <f t="shared" si="45"/>
        <v>102</v>
      </c>
      <c r="W26" s="155">
        <f t="shared" si="46"/>
        <v>114</v>
      </c>
      <c r="X26" s="155">
        <f t="shared" si="47"/>
        <v>127</v>
      </c>
      <c r="Y26" s="155">
        <f t="shared" si="48"/>
        <v>153</v>
      </c>
      <c r="Z26" s="155">
        <f t="shared" si="49"/>
        <v>162</v>
      </c>
      <c r="AA26" s="155">
        <f t="shared" si="50"/>
        <v>79</v>
      </c>
      <c r="AB26" s="552">
        <f t="shared" si="51"/>
        <v>100</v>
      </c>
      <c r="AC26" s="155">
        <f t="shared" si="52"/>
        <v>216</v>
      </c>
      <c r="AD26" s="155">
        <f t="shared" si="53"/>
        <v>292</v>
      </c>
      <c r="AE26" s="155">
        <f t="shared" si="54"/>
        <v>503</v>
      </c>
      <c r="AF26" s="155">
        <f t="shared" si="55"/>
        <v>244</v>
      </c>
      <c r="AG26" s="155">
        <f t="shared" si="56"/>
        <v>675</v>
      </c>
      <c r="AH26" s="155">
        <f t="shared" si="57"/>
        <v>170</v>
      </c>
      <c r="AI26" s="155">
        <f t="shared" si="58"/>
        <v>190</v>
      </c>
      <c r="AJ26" s="155">
        <f t="shared" si="59"/>
        <v>97</v>
      </c>
      <c r="AK26" s="552">
        <f t="shared" si="60"/>
        <v>291</v>
      </c>
      <c r="AL26" s="155">
        <f t="shared" si="61"/>
        <v>150</v>
      </c>
      <c r="AM26" s="155">
        <f t="shared" si="62"/>
        <v>377</v>
      </c>
      <c r="AN26" s="155">
        <f t="shared" si="63"/>
        <v>521</v>
      </c>
      <c r="AO26" s="155">
        <f t="shared" si="64"/>
        <v>253</v>
      </c>
      <c r="AP26" s="155">
        <f t="shared" si="64"/>
        <v>74</v>
      </c>
      <c r="AQ26" s="155">
        <f t="shared" si="65"/>
        <v>272</v>
      </c>
      <c r="AR26" s="155">
        <f t="shared" si="66"/>
        <v>353</v>
      </c>
      <c r="AS26" s="156">
        <f t="shared" si="67"/>
        <v>425</v>
      </c>
      <c r="AT26" s="155">
        <v>28</v>
      </c>
      <c r="AU26" s="155">
        <v>126</v>
      </c>
      <c r="AV26" s="155">
        <v>134</v>
      </c>
      <c r="AW26" s="155">
        <v>150</v>
      </c>
      <c r="AX26" s="155">
        <v>134</v>
      </c>
      <c r="AY26" s="155">
        <v>205</v>
      </c>
      <c r="AZ26" s="155">
        <v>30</v>
      </c>
      <c r="BA26" s="155">
        <v>257</v>
      </c>
      <c r="BB26" s="155">
        <v>186</v>
      </c>
      <c r="BC26" s="155">
        <v>380</v>
      </c>
      <c r="BD26" s="155">
        <v>242</v>
      </c>
      <c r="BE26" s="155">
        <v>115</v>
      </c>
      <c r="BF26" s="552">
        <v>440</v>
      </c>
      <c r="BG26" s="155">
        <v>10</v>
      </c>
      <c r="BH26" s="155">
        <v>13</v>
      </c>
      <c r="BI26" s="155">
        <v>114</v>
      </c>
      <c r="BJ26" s="155">
        <v>92</v>
      </c>
      <c r="BK26" s="155">
        <v>12</v>
      </c>
      <c r="BL26" s="155">
        <v>7</v>
      </c>
      <c r="BM26" s="155">
        <v>162</v>
      </c>
      <c r="BN26" s="155">
        <v>134</v>
      </c>
      <c r="BO26" s="155">
        <v>2</v>
      </c>
      <c r="BP26" s="155">
        <v>100</v>
      </c>
      <c r="BQ26" s="155">
        <v>77</v>
      </c>
      <c r="BR26" s="552">
        <v>114</v>
      </c>
      <c r="BS26" s="155">
        <v>22</v>
      </c>
      <c r="BT26" s="155">
        <v>481</v>
      </c>
      <c r="BU26" s="155">
        <v>292</v>
      </c>
      <c r="BV26" s="155">
        <v>675</v>
      </c>
      <c r="BW26" s="155">
        <v>190</v>
      </c>
      <c r="BX26" s="155">
        <v>216</v>
      </c>
      <c r="BY26" s="155">
        <v>97</v>
      </c>
      <c r="BZ26" s="155">
        <v>170</v>
      </c>
      <c r="CA26" s="155">
        <v>244</v>
      </c>
      <c r="CB26" s="552">
        <v>291</v>
      </c>
      <c r="CC26" s="155">
        <v>253</v>
      </c>
      <c r="CD26" s="155">
        <v>74</v>
      </c>
      <c r="CE26" s="155">
        <v>150</v>
      </c>
      <c r="CF26" s="155">
        <v>20</v>
      </c>
      <c r="CG26" s="155">
        <v>405</v>
      </c>
      <c r="CH26" s="155">
        <v>377</v>
      </c>
      <c r="CI26" s="155">
        <v>353</v>
      </c>
      <c r="CJ26" s="155">
        <v>521</v>
      </c>
      <c r="CK26" s="156">
        <v>272</v>
      </c>
      <c r="CL26" s="320">
        <v>8367</v>
      </c>
    </row>
    <row r="27" spans="1:94">
      <c r="A27" s="80">
        <f>ROWS($A$3:A25)</f>
        <v>23</v>
      </c>
      <c r="B27" s="52" t="s">
        <v>252</v>
      </c>
      <c r="C27" s="203"/>
      <c r="D27" s="259" t="s">
        <v>13</v>
      </c>
      <c r="E27" s="447">
        <v>42887</v>
      </c>
      <c r="F27" s="154">
        <v>3161</v>
      </c>
      <c r="G27" s="155">
        <v>911</v>
      </c>
      <c r="H27" s="155">
        <v>2297</v>
      </c>
      <c r="I27" s="156">
        <v>2942</v>
      </c>
      <c r="J27" s="281"/>
      <c r="K27" s="154">
        <f t="shared" si="37"/>
        <v>420</v>
      </c>
      <c r="L27" s="155">
        <f t="shared" si="38"/>
        <v>228</v>
      </c>
      <c r="M27" s="155">
        <f t="shared" si="39"/>
        <v>386</v>
      </c>
      <c r="N27" s="155">
        <f t="shared" si="40"/>
        <v>203</v>
      </c>
      <c r="O27" s="155">
        <f t="shared" si="41"/>
        <v>144</v>
      </c>
      <c r="P27" s="155">
        <f>'2019'!AZ27+'2019'!BA27</f>
        <v>377</v>
      </c>
      <c r="Q27" s="155">
        <f>'2019'!AU27</f>
        <v>139</v>
      </c>
      <c r="R27" s="155">
        <f t="shared" si="42"/>
        <v>324</v>
      </c>
      <c r="S27" s="155">
        <f t="shared" si="43"/>
        <v>144</v>
      </c>
      <c r="T27" s="155">
        <f t="shared" si="44"/>
        <v>258</v>
      </c>
      <c r="U27" s="552">
        <f t="shared" si="44"/>
        <v>538</v>
      </c>
      <c r="V27" s="155">
        <f t="shared" si="45"/>
        <v>62</v>
      </c>
      <c r="W27" s="155">
        <f t="shared" si="46"/>
        <v>116</v>
      </c>
      <c r="X27" s="155">
        <f t="shared" si="47"/>
        <v>142</v>
      </c>
      <c r="Y27" s="155">
        <f t="shared" si="48"/>
        <v>246</v>
      </c>
      <c r="Z27" s="155">
        <f t="shared" si="49"/>
        <v>183</v>
      </c>
      <c r="AA27" s="155">
        <f t="shared" si="50"/>
        <v>76</v>
      </c>
      <c r="AB27" s="552">
        <f t="shared" si="51"/>
        <v>86</v>
      </c>
      <c r="AC27" s="155">
        <f t="shared" si="52"/>
        <v>303</v>
      </c>
      <c r="AD27" s="155">
        <f t="shared" si="53"/>
        <v>192</v>
      </c>
      <c r="AE27" s="155">
        <f t="shared" si="54"/>
        <v>551</v>
      </c>
      <c r="AF27" s="155">
        <f t="shared" si="55"/>
        <v>236</v>
      </c>
      <c r="AG27" s="155">
        <f t="shared" si="56"/>
        <v>360</v>
      </c>
      <c r="AH27" s="155">
        <f t="shared" si="57"/>
        <v>171</v>
      </c>
      <c r="AI27" s="155">
        <f t="shared" si="58"/>
        <v>151</v>
      </c>
      <c r="AJ27" s="155">
        <f t="shared" si="59"/>
        <v>84</v>
      </c>
      <c r="AK27" s="552">
        <f t="shared" si="60"/>
        <v>249</v>
      </c>
      <c r="AL27" s="155">
        <f t="shared" si="61"/>
        <v>169</v>
      </c>
      <c r="AM27" s="155">
        <f t="shared" si="62"/>
        <v>513</v>
      </c>
      <c r="AN27" s="155">
        <f t="shared" si="63"/>
        <v>760</v>
      </c>
      <c r="AO27" s="155">
        <f t="shared" si="64"/>
        <v>247</v>
      </c>
      <c r="AP27" s="155">
        <f t="shared" si="64"/>
        <v>93</v>
      </c>
      <c r="AQ27" s="155">
        <f t="shared" si="65"/>
        <v>288</v>
      </c>
      <c r="AR27" s="155">
        <f t="shared" si="66"/>
        <v>318</v>
      </c>
      <c r="AS27" s="156">
        <f t="shared" si="67"/>
        <v>554</v>
      </c>
      <c r="AT27" s="155">
        <v>18</v>
      </c>
      <c r="AU27" s="155">
        <v>139</v>
      </c>
      <c r="AV27" s="155">
        <v>144</v>
      </c>
      <c r="AW27" s="155">
        <v>203</v>
      </c>
      <c r="AX27" s="155">
        <v>306</v>
      </c>
      <c r="AY27" s="155">
        <v>228</v>
      </c>
      <c r="AZ27" s="155">
        <v>40</v>
      </c>
      <c r="BA27" s="155">
        <v>337</v>
      </c>
      <c r="BB27" s="155">
        <v>258</v>
      </c>
      <c r="BC27" s="155">
        <v>538</v>
      </c>
      <c r="BD27" s="155">
        <v>386</v>
      </c>
      <c r="BE27" s="155">
        <v>144</v>
      </c>
      <c r="BF27" s="552">
        <v>420</v>
      </c>
      <c r="BG27" s="155">
        <v>5</v>
      </c>
      <c r="BH27" s="155">
        <v>17</v>
      </c>
      <c r="BI27" s="155">
        <v>125</v>
      </c>
      <c r="BJ27" s="155">
        <v>57</v>
      </c>
      <c r="BK27" s="155">
        <v>22</v>
      </c>
      <c r="BL27" s="155">
        <v>13</v>
      </c>
      <c r="BM27" s="155">
        <v>183</v>
      </c>
      <c r="BN27" s="155">
        <v>211</v>
      </c>
      <c r="BO27" s="155">
        <v>3</v>
      </c>
      <c r="BP27" s="155">
        <v>86</v>
      </c>
      <c r="BQ27" s="155">
        <v>73</v>
      </c>
      <c r="BR27" s="552">
        <v>116</v>
      </c>
      <c r="BS27" s="155">
        <v>32</v>
      </c>
      <c r="BT27" s="155">
        <v>519</v>
      </c>
      <c r="BU27" s="155">
        <v>192</v>
      </c>
      <c r="BV27" s="155">
        <v>360</v>
      </c>
      <c r="BW27" s="155">
        <v>151</v>
      </c>
      <c r="BX27" s="155">
        <v>303</v>
      </c>
      <c r="BY27" s="155">
        <v>84</v>
      </c>
      <c r="BZ27" s="155">
        <v>171</v>
      </c>
      <c r="CA27" s="155">
        <v>236</v>
      </c>
      <c r="CB27" s="552">
        <v>249</v>
      </c>
      <c r="CC27" s="155">
        <v>247</v>
      </c>
      <c r="CD27" s="155">
        <v>93</v>
      </c>
      <c r="CE27" s="155">
        <v>169</v>
      </c>
      <c r="CF27" s="155">
        <v>26</v>
      </c>
      <c r="CG27" s="155">
        <v>528</v>
      </c>
      <c r="CH27" s="155">
        <v>513</v>
      </c>
      <c r="CI27" s="155">
        <v>318</v>
      </c>
      <c r="CJ27" s="155">
        <v>760</v>
      </c>
      <c r="CK27" s="156">
        <v>288</v>
      </c>
      <c r="CL27" s="320">
        <v>9311</v>
      </c>
    </row>
    <row r="28" spans="1:94">
      <c r="A28" s="80">
        <f>ROWS($A$3:A26)</f>
        <v>24</v>
      </c>
      <c r="B28" s="52" t="s">
        <v>4</v>
      </c>
      <c r="C28" s="203"/>
      <c r="D28" s="259" t="s">
        <v>13</v>
      </c>
      <c r="E28" s="447">
        <v>42887</v>
      </c>
      <c r="F28" s="154">
        <v>2136</v>
      </c>
      <c r="G28" s="155">
        <v>779</v>
      </c>
      <c r="H28" s="155">
        <v>1229</v>
      </c>
      <c r="I28" s="156">
        <v>1926</v>
      </c>
      <c r="J28" s="281"/>
      <c r="K28" s="154">
        <f t="shared" si="37"/>
        <v>277</v>
      </c>
      <c r="L28" s="155">
        <f t="shared" si="38"/>
        <v>104</v>
      </c>
      <c r="M28" s="155">
        <f>BD28</f>
        <v>234</v>
      </c>
      <c r="N28" s="155">
        <f>AW28</f>
        <v>132</v>
      </c>
      <c r="O28" s="155">
        <f>BE28</f>
        <v>129</v>
      </c>
      <c r="P28" s="155">
        <f>'2019'!AZ28+'2019'!BA28</f>
        <v>249</v>
      </c>
      <c r="Q28" s="155">
        <f>'2019'!AU28</f>
        <v>107</v>
      </c>
      <c r="R28" s="155">
        <f>AT28+AX28</f>
        <v>195</v>
      </c>
      <c r="S28" s="155">
        <f>AV28</f>
        <v>102</v>
      </c>
      <c r="T28" s="155">
        <f>BB28</f>
        <v>185</v>
      </c>
      <c r="U28" s="552">
        <f>BC28</f>
        <v>422</v>
      </c>
      <c r="V28" s="155">
        <f>BG28+BJ28</f>
        <v>44</v>
      </c>
      <c r="W28" s="155">
        <f>BR28</f>
        <v>65</v>
      </c>
      <c r="X28" s="155">
        <f>BH28+BI28</f>
        <v>129</v>
      </c>
      <c r="Y28" s="155">
        <f>BK28+BL28+BN28</f>
        <v>219</v>
      </c>
      <c r="Z28" s="155">
        <f>BM28</f>
        <v>161</v>
      </c>
      <c r="AA28" s="155">
        <f>BO28+BQ28</f>
        <v>87</v>
      </c>
      <c r="AB28" s="552">
        <f>BP28</f>
        <v>74</v>
      </c>
      <c r="AC28" s="155">
        <f>BX28</f>
        <v>174</v>
      </c>
      <c r="AD28" s="155">
        <f>BU28</f>
        <v>60</v>
      </c>
      <c r="AE28" s="155">
        <f>BS28+BT28</f>
        <v>193</v>
      </c>
      <c r="AF28" s="155">
        <f>CA28</f>
        <v>100</v>
      </c>
      <c r="AG28" s="155">
        <f>BV28</f>
        <v>190</v>
      </c>
      <c r="AH28" s="155">
        <f>BZ28</f>
        <v>150</v>
      </c>
      <c r="AI28" s="155">
        <f>BW28</f>
        <v>133</v>
      </c>
      <c r="AJ28" s="155">
        <f>BY28</f>
        <v>78</v>
      </c>
      <c r="AK28" s="552">
        <f>CB28</f>
        <v>151</v>
      </c>
      <c r="AL28" s="155">
        <f>CE28</f>
        <v>90</v>
      </c>
      <c r="AM28" s="155">
        <f>CH28</f>
        <v>391</v>
      </c>
      <c r="AN28" s="155">
        <f>CJ28</f>
        <v>492</v>
      </c>
      <c r="AO28" s="155">
        <f>CC28</f>
        <v>171</v>
      </c>
      <c r="AP28" s="155">
        <f>CD28</f>
        <v>51</v>
      </c>
      <c r="AQ28" s="155">
        <f>CK28</f>
        <v>204</v>
      </c>
      <c r="AR28" s="155">
        <f>CI28</f>
        <v>125</v>
      </c>
      <c r="AS28" s="156">
        <f t="shared" si="67"/>
        <v>402</v>
      </c>
      <c r="AT28" s="155">
        <v>15</v>
      </c>
      <c r="AU28" s="155">
        <v>107</v>
      </c>
      <c r="AV28" s="155">
        <v>102</v>
      </c>
      <c r="AW28" s="155">
        <v>132</v>
      </c>
      <c r="AX28" s="155">
        <v>180</v>
      </c>
      <c r="AY28" s="155">
        <v>104</v>
      </c>
      <c r="AZ28" s="155">
        <v>15</v>
      </c>
      <c r="BA28" s="155">
        <v>234</v>
      </c>
      <c r="BB28" s="155">
        <v>185</v>
      </c>
      <c r="BC28" s="155">
        <v>422</v>
      </c>
      <c r="BD28" s="155">
        <v>234</v>
      </c>
      <c r="BE28" s="155">
        <v>129</v>
      </c>
      <c r="BF28" s="552">
        <v>277</v>
      </c>
      <c r="BG28" s="155">
        <v>3</v>
      </c>
      <c r="BH28" s="155">
        <v>5</v>
      </c>
      <c r="BI28" s="155">
        <v>124</v>
      </c>
      <c r="BJ28" s="155">
        <v>41</v>
      </c>
      <c r="BK28" s="155">
        <v>10</v>
      </c>
      <c r="BL28" s="155">
        <v>18</v>
      </c>
      <c r="BM28" s="155">
        <v>161</v>
      </c>
      <c r="BN28" s="155">
        <v>191</v>
      </c>
      <c r="BO28" s="155">
        <v>4</v>
      </c>
      <c r="BP28" s="155">
        <v>74</v>
      </c>
      <c r="BQ28" s="155">
        <v>83</v>
      </c>
      <c r="BR28" s="552">
        <v>65</v>
      </c>
      <c r="BS28" s="155">
        <v>12</v>
      </c>
      <c r="BT28" s="155">
        <v>181</v>
      </c>
      <c r="BU28" s="155">
        <v>60</v>
      </c>
      <c r="BV28" s="155">
        <v>190</v>
      </c>
      <c r="BW28" s="155">
        <v>133</v>
      </c>
      <c r="BX28" s="155">
        <v>174</v>
      </c>
      <c r="BY28" s="155">
        <v>78</v>
      </c>
      <c r="BZ28" s="155">
        <v>150</v>
      </c>
      <c r="CA28" s="155">
        <v>100</v>
      </c>
      <c r="CB28" s="552">
        <v>151</v>
      </c>
      <c r="CC28" s="155">
        <v>171</v>
      </c>
      <c r="CD28" s="155">
        <v>51</v>
      </c>
      <c r="CE28" s="155">
        <v>90</v>
      </c>
      <c r="CF28" s="155">
        <v>27</v>
      </c>
      <c r="CG28" s="155">
        <v>375</v>
      </c>
      <c r="CH28" s="155">
        <v>391</v>
      </c>
      <c r="CI28" s="155">
        <v>125</v>
      </c>
      <c r="CJ28" s="155">
        <v>492</v>
      </c>
      <c r="CK28" s="156">
        <v>204</v>
      </c>
      <c r="CL28" s="320">
        <v>6070</v>
      </c>
    </row>
    <row r="29" spans="1:94">
      <c r="A29" s="80">
        <f>ROWS($A$3:A27)</f>
        <v>25</v>
      </c>
      <c r="B29" s="52" t="s">
        <v>5</v>
      </c>
      <c r="C29" s="203"/>
      <c r="D29" s="259" t="s">
        <v>13</v>
      </c>
      <c r="E29" s="447">
        <v>42887</v>
      </c>
      <c r="F29" s="154">
        <v>1019</v>
      </c>
      <c r="G29" s="155">
        <v>587</v>
      </c>
      <c r="H29" s="155">
        <v>642</v>
      </c>
      <c r="I29" s="156">
        <v>931</v>
      </c>
      <c r="J29" s="281"/>
      <c r="K29" s="154">
        <f t="shared" si="37"/>
        <v>150</v>
      </c>
      <c r="L29" s="155">
        <f t="shared" si="38"/>
        <v>40</v>
      </c>
      <c r="M29" s="155">
        <f t="shared" si="39"/>
        <v>190</v>
      </c>
      <c r="N29" s="155">
        <f t="shared" si="40"/>
        <v>60</v>
      </c>
      <c r="O29" s="155">
        <f t="shared" si="41"/>
        <v>67</v>
      </c>
      <c r="P29" s="155">
        <f>'2019'!AZ29+'2019'!BA29</f>
        <v>129</v>
      </c>
      <c r="Q29" s="155">
        <f>'2019'!AU29</f>
        <v>59</v>
      </c>
      <c r="R29" s="155">
        <f t="shared" si="42"/>
        <v>41</v>
      </c>
      <c r="S29" s="155">
        <f t="shared" si="43"/>
        <v>39</v>
      </c>
      <c r="T29" s="155">
        <f t="shared" si="44"/>
        <v>92</v>
      </c>
      <c r="U29" s="552">
        <f t="shared" si="44"/>
        <v>152</v>
      </c>
      <c r="V29" s="155">
        <f t="shared" si="45"/>
        <v>47</v>
      </c>
      <c r="W29" s="155">
        <f t="shared" si="46"/>
        <v>49</v>
      </c>
      <c r="X29" s="155">
        <f t="shared" si="47"/>
        <v>145</v>
      </c>
      <c r="Y29" s="155">
        <f t="shared" si="48"/>
        <v>99</v>
      </c>
      <c r="Z29" s="155">
        <f t="shared" si="49"/>
        <v>144</v>
      </c>
      <c r="AA29" s="155">
        <f t="shared" si="50"/>
        <v>60</v>
      </c>
      <c r="AB29" s="552">
        <f t="shared" si="51"/>
        <v>43</v>
      </c>
      <c r="AC29" s="155">
        <f t="shared" si="52"/>
        <v>78</v>
      </c>
      <c r="AD29" s="155">
        <f t="shared" si="53"/>
        <v>37</v>
      </c>
      <c r="AE29" s="155">
        <f t="shared" si="54"/>
        <v>59</v>
      </c>
      <c r="AF29" s="155">
        <f t="shared" si="55"/>
        <v>27</v>
      </c>
      <c r="AG29" s="155">
        <f t="shared" si="56"/>
        <v>94</v>
      </c>
      <c r="AH29" s="155">
        <f t="shared" si="57"/>
        <v>87</v>
      </c>
      <c r="AI29" s="155">
        <f t="shared" si="58"/>
        <v>83</v>
      </c>
      <c r="AJ29" s="155">
        <f t="shared" si="59"/>
        <v>86</v>
      </c>
      <c r="AK29" s="552">
        <f t="shared" si="60"/>
        <v>91</v>
      </c>
      <c r="AL29" s="155">
        <f t="shared" si="61"/>
        <v>115</v>
      </c>
      <c r="AM29" s="155">
        <f t="shared" si="62"/>
        <v>161</v>
      </c>
      <c r="AN29" s="155">
        <f t="shared" si="63"/>
        <v>109</v>
      </c>
      <c r="AO29" s="155">
        <f t="shared" si="64"/>
        <v>105</v>
      </c>
      <c r="AP29" s="155">
        <f t="shared" si="64"/>
        <v>68</v>
      </c>
      <c r="AQ29" s="155">
        <f t="shared" si="65"/>
        <v>163</v>
      </c>
      <c r="AR29" s="155">
        <f t="shared" si="66"/>
        <v>37</v>
      </c>
      <c r="AS29" s="156">
        <f t="shared" si="67"/>
        <v>173</v>
      </c>
      <c r="AT29" s="155">
        <v>1</v>
      </c>
      <c r="AU29" s="155">
        <v>59</v>
      </c>
      <c r="AV29" s="155">
        <v>39</v>
      </c>
      <c r="AW29" s="155">
        <v>60</v>
      </c>
      <c r="AX29" s="155">
        <v>40</v>
      </c>
      <c r="AY29" s="155">
        <v>40</v>
      </c>
      <c r="AZ29" s="155">
        <v>6</v>
      </c>
      <c r="BA29" s="155">
        <v>123</v>
      </c>
      <c r="BB29" s="155">
        <v>92</v>
      </c>
      <c r="BC29" s="155">
        <v>152</v>
      </c>
      <c r="BD29" s="155">
        <v>190</v>
      </c>
      <c r="BE29" s="155">
        <v>67</v>
      </c>
      <c r="BF29" s="552">
        <v>150</v>
      </c>
      <c r="BG29" s="155">
        <v>5</v>
      </c>
      <c r="BH29" s="155">
        <v>7</v>
      </c>
      <c r="BI29" s="155">
        <v>138</v>
      </c>
      <c r="BJ29" s="155">
        <v>42</v>
      </c>
      <c r="BK29" s="155">
        <v>2</v>
      </c>
      <c r="BL29" s="155">
        <v>6</v>
      </c>
      <c r="BM29" s="155">
        <v>144</v>
      </c>
      <c r="BN29" s="155">
        <v>91</v>
      </c>
      <c r="BO29" s="155">
        <v>3</v>
      </c>
      <c r="BP29" s="155">
        <v>43</v>
      </c>
      <c r="BQ29" s="155">
        <v>57</v>
      </c>
      <c r="BR29" s="552">
        <v>49</v>
      </c>
      <c r="BS29" s="155">
        <v>4</v>
      </c>
      <c r="BT29" s="155">
        <v>55</v>
      </c>
      <c r="BU29" s="155">
        <v>37</v>
      </c>
      <c r="BV29" s="155">
        <v>94</v>
      </c>
      <c r="BW29" s="155">
        <v>83</v>
      </c>
      <c r="BX29" s="155">
        <v>78</v>
      </c>
      <c r="BY29" s="155">
        <v>86</v>
      </c>
      <c r="BZ29" s="155">
        <v>87</v>
      </c>
      <c r="CA29" s="155">
        <v>27</v>
      </c>
      <c r="CB29" s="552">
        <v>91</v>
      </c>
      <c r="CC29" s="155">
        <v>105</v>
      </c>
      <c r="CD29" s="155">
        <v>68</v>
      </c>
      <c r="CE29" s="155">
        <v>115</v>
      </c>
      <c r="CF29" s="155">
        <v>12</v>
      </c>
      <c r="CG29" s="155">
        <v>161</v>
      </c>
      <c r="CH29" s="155">
        <v>161</v>
      </c>
      <c r="CI29" s="155">
        <v>37</v>
      </c>
      <c r="CJ29" s="155">
        <v>109</v>
      </c>
      <c r="CK29" s="156">
        <v>163</v>
      </c>
      <c r="CL29" s="320">
        <v>3179</v>
      </c>
    </row>
    <row r="30" spans="1:94">
      <c r="A30" s="80">
        <f>ROWS($A$3:A28)</f>
        <v>26</v>
      </c>
      <c r="B30" s="53" t="s">
        <v>256</v>
      </c>
      <c r="C30" s="252"/>
      <c r="D30" s="259" t="s">
        <v>1</v>
      </c>
      <c r="E30" s="447">
        <v>42887</v>
      </c>
      <c r="F30" s="539">
        <f>F35/F23</f>
        <v>35.892733297372274</v>
      </c>
      <c r="G30" s="521">
        <f>G35/G23</f>
        <v>44.829787234042556</v>
      </c>
      <c r="H30" s="521">
        <f>H35/H23</f>
        <v>25.739140985197768</v>
      </c>
      <c r="I30" s="540">
        <f>I35/I23</f>
        <v>40.000748362956031</v>
      </c>
      <c r="J30" s="382"/>
      <c r="K30" s="536">
        <f>BF30</f>
        <v>38.098389982110909</v>
      </c>
      <c r="L30" s="537">
        <f t="shared" si="38"/>
        <v>22.733156028368793</v>
      </c>
      <c r="M30" s="537">
        <f t="shared" si="39"/>
        <v>50.523247232472322</v>
      </c>
      <c r="N30" s="537">
        <f t="shared" si="40"/>
        <v>38.791724137931034</v>
      </c>
      <c r="O30" s="537">
        <f t="shared" si="41"/>
        <v>48.732472324723247</v>
      </c>
      <c r="P30" s="521">
        <f>P35/P23</f>
        <v>28.867230233714569</v>
      </c>
      <c r="Q30" s="537">
        <f>'2019'!AU30</f>
        <v>40.085714285714289</v>
      </c>
      <c r="R30" s="521">
        <f>R35/R23</f>
        <v>25.400291120815137</v>
      </c>
      <c r="S30" s="537">
        <f t="shared" si="43"/>
        <v>31.450236966824644</v>
      </c>
      <c r="T30" s="537">
        <f t="shared" si="44"/>
        <v>38.103825136612024</v>
      </c>
      <c r="U30" s="561">
        <f t="shared" si="44"/>
        <v>40.610992529348984</v>
      </c>
      <c r="V30" s="521">
        <f>V35/V23</f>
        <v>28.3125</v>
      </c>
      <c r="W30" s="537">
        <f t="shared" si="46"/>
        <v>39.763102725366878</v>
      </c>
      <c r="X30" s="521">
        <f>X35/X23</f>
        <v>52.804375804375802</v>
      </c>
      <c r="Y30" s="521">
        <f>Y35/Y23</f>
        <v>42.912228796844182</v>
      </c>
      <c r="Z30" s="537">
        <f t="shared" si="49"/>
        <v>55.544578313253012</v>
      </c>
      <c r="AA30" s="521">
        <f>AA35/AA23</f>
        <v>46.886104783599087</v>
      </c>
      <c r="AB30" s="561">
        <f t="shared" si="51"/>
        <v>40.082959641255606</v>
      </c>
      <c r="AC30" s="537">
        <f t="shared" si="52"/>
        <v>39.647727272727273</v>
      </c>
      <c r="AD30" s="537">
        <f t="shared" si="53"/>
        <v>17.532385466034754</v>
      </c>
      <c r="AE30" s="521">
        <f>AE35/AE23</f>
        <v>19.037518037518037</v>
      </c>
      <c r="AF30" s="537">
        <f t="shared" si="55"/>
        <v>23.973084886128365</v>
      </c>
      <c r="AG30" s="537">
        <f t="shared" si="56"/>
        <v>17.050228310502284</v>
      </c>
      <c r="AH30" s="537">
        <f t="shared" si="57"/>
        <v>41.149198520345251</v>
      </c>
      <c r="AI30" s="537">
        <f t="shared" si="58"/>
        <v>39.662269129287601</v>
      </c>
      <c r="AJ30" s="537">
        <f t="shared" si="59"/>
        <v>57.160377358490564</v>
      </c>
      <c r="AK30" s="561">
        <f t="shared" si="60"/>
        <v>34.165318957771788</v>
      </c>
      <c r="AL30" s="537">
        <f t="shared" si="61"/>
        <v>49.48216833095578</v>
      </c>
      <c r="AM30" s="537">
        <f t="shared" si="62"/>
        <v>44.15227537922987</v>
      </c>
      <c r="AN30" s="537">
        <f t="shared" si="63"/>
        <v>36.770085470085469</v>
      </c>
      <c r="AO30" s="537">
        <f t="shared" si="64"/>
        <v>43.095944609297725</v>
      </c>
      <c r="AP30" s="537">
        <f t="shared" si="64"/>
        <v>52.225388601036272</v>
      </c>
      <c r="AQ30" s="537">
        <f t="shared" si="65"/>
        <v>46.934875749785775</v>
      </c>
      <c r="AR30" s="537">
        <f t="shared" si="66"/>
        <v>22.205298013245034</v>
      </c>
      <c r="AS30" s="540">
        <f>AS35/AS23</f>
        <v>42.542181622783453</v>
      </c>
      <c r="AT30" s="521">
        <f>AT35/AT23</f>
        <v>13.146596858638743</v>
      </c>
      <c r="AU30" s="521">
        <f>AU35/AU23</f>
        <v>40.085714285714289</v>
      </c>
      <c r="AV30" s="521">
        <f t="shared" ref="AV30:CL30" si="69">AV35/AV23</f>
        <v>31.450236966824644</v>
      </c>
      <c r="AW30" s="521">
        <f t="shared" si="69"/>
        <v>38.791724137931034</v>
      </c>
      <c r="AX30" s="521">
        <f>AX35/AX23</f>
        <v>27.378698224852069</v>
      </c>
      <c r="AY30" s="521">
        <f t="shared" si="69"/>
        <v>22.733156028368793</v>
      </c>
      <c r="AZ30" s="521">
        <f t="shared" si="69"/>
        <v>23.941860465116278</v>
      </c>
      <c r="BA30" s="521">
        <f t="shared" si="69"/>
        <v>29.327895595432299</v>
      </c>
      <c r="BB30" s="521">
        <f t="shared" si="69"/>
        <v>38.103825136612024</v>
      </c>
      <c r="BC30" s="521">
        <f t="shared" si="69"/>
        <v>40.610992529348984</v>
      </c>
      <c r="BD30" s="521">
        <f>BD35/BD23</f>
        <v>50.523247232472322</v>
      </c>
      <c r="BE30" s="521">
        <f t="shared" si="69"/>
        <v>48.732472324723247</v>
      </c>
      <c r="BF30" s="559">
        <f t="shared" si="69"/>
        <v>38.098389982110909</v>
      </c>
      <c r="BG30" s="521">
        <f t="shared" si="69"/>
        <v>15.085714285714285</v>
      </c>
      <c r="BH30" s="521">
        <f>BH35/BH23</f>
        <v>41.887096774193552</v>
      </c>
      <c r="BI30" s="521">
        <f>BI35/BI23</f>
        <v>53.751048951048951</v>
      </c>
      <c r="BJ30" s="521">
        <f>BJ35/BJ23</f>
        <v>31.261146496815286</v>
      </c>
      <c r="BK30" s="521">
        <f t="shared" si="69"/>
        <v>24.648648648648649</v>
      </c>
      <c r="BL30" s="521">
        <f t="shared" si="69"/>
        <v>49.406779661016948</v>
      </c>
      <c r="BM30" s="521">
        <f>BM35/BM23</f>
        <v>55.544578313253012</v>
      </c>
      <c r="BN30" s="521">
        <f t="shared" si="69"/>
        <v>44.011350737797954</v>
      </c>
      <c r="BO30" s="521">
        <f t="shared" si="69"/>
        <v>38.799999999999997</v>
      </c>
      <c r="BP30" s="521">
        <f t="shared" si="69"/>
        <v>40.082959641255606</v>
      </c>
      <c r="BQ30" s="521">
        <f>BQ35/BQ23</f>
        <v>47.374396135265698</v>
      </c>
      <c r="BR30" s="559">
        <f t="shared" si="69"/>
        <v>39.763102725366878</v>
      </c>
      <c r="BS30" s="521">
        <f t="shared" si="69"/>
        <v>19.055248618784532</v>
      </c>
      <c r="BT30" s="521">
        <f t="shared" si="69"/>
        <v>19.036279428791971</v>
      </c>
      <c r="BU30" s="521">
        <f t="shared" si="69"/>
        <v>17.532385466034754</v>
      </c>
      <c r="BV30" s="521">
        <f t="shared" si="69"/>
        <v>17.050228310502284</v>
      </c>
      <c r="BW30" s="521">
        <f t="shared" si="69"/>
        <v>39.662269129287601</v>
      </c>
      <c r="BX30" s="521">
        <f t="shared" si="69"/>
        <v>39.647727272727273</v>
      </c>
      <c r="BY30" s="521">
        <f t="shared" si="69"/>
        <v>57.160377358490564</v>
      </c>
      <c r="BZ30" s="521">
        <f t="shared" si="69"/>
        <v>41.149198520345251</v>
      </c>
      <c r="CA30" s="521">
        <f t="shared" si="69"/>
        <v>23.973084886128365</v>
      </c>
      <c r="CB30" s="559">
        <f t="shared" si="69"/>
        <v>34.165318957771788</v>
      </c>
      <c r="CC30" s="521">
        <f t="shared" si="69"/>
        <v>43.095944609297725</v>
      </c>
      <c r="CD30" s="521">
        <f t="shared" si="69"/>
        <v>52.225388601036272</v>
      </c>
      <c r="CE30" s="521">
        <f t="shared" si="69"/>
        <v>49.48216833095578</v>
      </c>
      <c r="CF30" s="521">
        <f t="shared" si="69"/>
        <v>43.018518518518519</v>
      </c>
      <c r="CG30" s="521">
        <f t="shared" si="69"/>
        <v>42.512835139760412</v>
      </c>
      <c r="CH30" s="521">
        <f t="shared" si="69"/>
        <v>44.15227537922987</v>
      </c>
      <c r="CI30" s="521">
        <f t="shared" si="69"/>
        <v>22.205298013245034</v>
      </c>
      <c r="CJ30" s="521">
        <f t="shared" si="69"/>
        <v>36.770085470085469</v>
      </c>
      <c r="CK30" s="540">
        <f t="shared" si="69"/>
        <v>46.934875749785775</v>
      </c>
      <c r="CL30" s="560">
        <f t="shared" si="69"/>
        <v>34.885806499297843</v>
      </c>
    </row>
    <row r="31" spans="1:94">
      <c r="A31" s="80">
        <f>ROWS($A$3:A29)</f>
        <v>27</v>
      </c>
      <c r="B31" s="53" t="str">
        <f>"Entwicklung Betriebe ab 5 ha LF von 2001 / "&amp;C22</f>
        <v>Entwicklung Betriebe ab 5 ha LF von 2001 / 2016</v>
      </c>
      <c r="C31" s="252"/>
      <c r="D31" s="259" t="s">
        <v>3</v>
      </c>
      <c r="E31" s="447">
        <v>42887</v>
      </c>
      <c r="F31" s="530">
        <f>(F23-F24)/('2001'!F23-'2001'!F24)%-100</f>
        <v>-27.429424538545064</v>
      </c>
      <c r="G31" s="531">
        <f>(G23-G24)/('2001'!G23-'2001'!G24)%-100</f>
        <v>-23.594180102241452</v>
      </c>
      <c r="H31" s="531">
        <f>(H23-H24)/('2001'!H23-'2001'!H24)%-100</f>
        <v>-23.334141022534524</v>
      </c>
      <c r="I31" s="532">
        <f>(I23-I24)/('2001'!I23-'2001'!I24)%-100</f>
        <v>-27.857976086322537</v>
      </c>
      <c r="J31" s="281"/>
      <c r="K31" s="154">
        <f t="shared" si="37"/>
        <v>-29.411764705882362</v>
      </c>
      <c r="L31" s="155">
        <f t="shared" si="38"/>
        <v>-22.950819672131146</v>
      </c>
      <c r="M31" s="155">
        <f t="shared" si="39"/>
        <v>-35.548352242031342</v>
      </c>
      <c r="N31" s="155">
        <f t="shared" si="40"/>
        <v>-22.716627634660412</v>
      </c>
      <c r="O31" s="155">
        <f t="shared" si="41"/>
        <v>-21.674140508221228</v>
      </c>
      <c r="P31" s="531">
        <f>100-(P23%/((AZ23%)/(100-AZ31)+(BA23%)/(100-BA31)))</f>
        <v>-24.027080751806011</v>
      </c>
      <c r="Q31" s="542">
        <f>'2019'!AU31</f>
        <v>-27.97783933518005</v>
      </c>
      <c r="R31" s="531">
        <f>100-(R23%/((AT23%)/(100-AT31)+(AX23%)/(100-AX31)))</f>
        <v>-20.037999911039407</v>
      </c>
      <c r="S31" s="542">
        <f t="shared" si="43"/>
        <v>-19.119878603945367</v>
      </c>
      <c r="T31" s="542">
        <f t="shared" si="44"/>
        <v>-32.302936630602773</v>
      </c>
      <c r="U31" s="554">
        <f t="shared" si="44"/>
        <v>-29.173290937996825</v>
      </c>
      <c r="V31" s="531">
        <f>100-(V23%/((BG23%)/(100-BG31)+(BJ23%)/(100-BJ31)))</f>
        <v>-9.7500780976451864</v>
      </c>
      <c r="W31" s="542">
        <f t="shared" si="46"/>
        <v>-27.689873417721529</v>
      </c>
      <c r="X31" s="531">
        <f>100-(X23%/((BH23%)/(100-BH31)+(BI23%)/(100-BI31)))</f>
        <v>-18.625349125684409</v>
      </c>
      <c r="Y31" s="531">
        <f>100-(Y23%/((BK23%)/(100-BK31)+(BL23%)/(100-BL31)+(BN23%)/(100-BN31)))</f>
        <v>-24.65397599579677</v>
      </c>
      <c r="Z31" s="542">
        <f t="shared" si="49"/>
        <v>-28.818181818181813</v>
      </c>
      <c r="AA31" s="531">
        <f>100-(AA23%/((BO23%)/(100-BO31)+(BQ23%)/(100-BQ31)))</f>
        <v>-18.823719034739625</v>
      </c>
      <c r="AB31" s="554">
        <f t="shared" si="51"/>
        <v>-26.306620209059233</v>
      </c>
      <c r="AC31" s="542">
        <f t="shared" si="52"/>
        <v>-25.23510971786834</v>
      </c>
      <c r="AD31" s="542">
        <f t="shared" si="53"/>
        <v>-19.791666666666671</v>
      </c>
      <c r="AE31" s="531">
        <f>100-(AE23%/((BS23%)/(100-BS31)+(BT23%)/(100-BT31)))</f>
        <v>-17.943853607546615</v>
      </c>
      <c r="AF31" s="542">
        <f t="shared" si="55"/>
        <v>-23.85834109972042</v>
      </c>
      <c r="AG31" s="542">
        <f t="shared" si="56"/>
        <v>-20.637829912023463</v>
      </c>
      <c r="AH31" s="542">
        <f t="shared" si="57"/>
        <v>-25.462459194776926</v>
      </c>
      <c r="AI31" s="542">
        <f t="shared" si="58"/>
        <v>-25.278058645096067</v>
      </c>
      <c r="AJ31" s="542">
        <f t="shared" si="59"/>
        <v>-30.666666666666671</v>
      </c>
      <c r="AK31" s="554">
        <f t="shared" si="60"/>
        <v>-30.769230769230774</v>
      </c>
      <c r="AL31" s="542">
        <f t="shared" si="61"/>
        <v>-26.025917926565867</v>
      </c>
      <c r="AM31" s="542">
        <f t="shared" si="62"/>
        <v>-28.336221837088388</v>
      </c>
      <c r="AN31" s="542">
        <f t="shared" si="63"/>
        <v>-27.631578947368411</v>
      </c>
      <c r="AO31" s="542">
        <f t="shared" si="64"/>
        <v>-26.003086419753089</v>
      </c>
      <c r="AP31" s="542">
        <f t="shared" si="64"/>
        <v>-28.772635814889327</v>
      </c>
      <c r="AQ31" s="542">
        <f t="shared" si="65"/>
        <v>-30.437461491065932</v>
      </c>
      <c r="AR31" s="542">
        <f t="shared" si="66"/>
        <v>-23.940820443846661</v>
      </c>
      <c r="AS31" s="532">
        <f>100-(AS23%/((CF23%)/(100-CF31)+(CG23%)/(100-CG31)))</f>
        <v>-29.77999625203941</v>
      </c>
      <c r="AT31" s="542">
        <f>(AT23-AT24)/('2001'!AT23-'2001'!AT24)%-100</f>
        <v>-4.0816326530612201</v>
      </c>
      <c r="AU31" s="155">
        <f>(AU23-AU24)/('2001'!AU23-'2001'!AU24)%-100</f>
        <v>-27.97783933518005</v>
      </c>
      <c r="AV31" s="155">
        <f>(AV23-AV24)/('2001'!AV23-'2001'!AV24)%-100</f>
        <v>-19.119878603945367</v>
      </c>
      <c r="AW31" s="155">
        <f>(AW23-AW24)/('2001'!AW23-'2001'!AW24)%-100</f>
        <v>-22.716627634660412</v>
      </c>
      <c r="AX31" s="155">
        <f>(AX23-AX24)/('2001'!AX23-'2001'!AX24)%-100</f>
        <v>-23.084577114427873</v>
      </c>
      <c r="AY31" s="155">
        <f>(AY23-AY24)/('2001'!AY23-'2001'!AY24)%-100</f>
        <v>-22.950819672131146</v>
      </c>
      <c r="AZ31" s="155">
        <f>(AZ23-AZ24)/('2001'!AZ23-'2001'!AZ24)%-100</f>
        <v>-22.222222222222229</v>
      </c>
      <c r="BA31" s="155">
        <f>(BA23-BA24)/('2001'!BA23-'2001'!BA24)%-100</f>
        <v>-24.198617221873036</v>
      </c>
      <c r="BB31" s="155">
        <f>(BB23-BB24)/('2001'!BB23-'2001'!BB24)%-100</f>
        <v>-32.302936630602773</v>
      </c>
      <c r="BC31" s="155">
        <f>(BC23-BC24)/('2001'!BC23-'2001'!BC24)%-100</f>
        <v>-29.173290937996825</v>
      </c>
      <c r="BD31" s="155">
        <f>(BD23-BD24)/('2001'!BD23-'2001'!BD24)%-100</f>
        <v>-35.548352242031342</v>
      </c>
      <c r="BE31" s="155">
        <f>(BE23-BE24)/('2001'!BE23-'2001'!BE24)%-100</f>
        <v>-21.674140508221228</v>
      </c>
      <c r="BF31" s="552">
        <f>(BF23-BF24)/('2001'!BF23-'2001'!BF24)%-100</f>
        <v>-29.411764705882362</v>
      </c>
      <c r="BG31" s="155">
        <f>(BG23-BG24)/('2001'!BG23-'2001'!BG24)%-100</f>
        <v>-2.2222222222222285</v>
      </c>
      <c r="BH31" s="155">
        <f>(BH23-BH24)/('2001'!BH23-'2001'!BH24)%-100</f>
        <v>-19.047619047619051</v>
      </c>
      <c r="BI31" s="155">
        <f>(BI23-BI24)/('2001'!BI23-'2001'!BI24)%-100</f>
        <v>-18.588873812754414</v>
      </c>
      <c r="BJ31" s="155">
        <f>(BJ23-BJ24)/('2001'!BJ23-'2001'!BJ24)%-100</f>
        <v>-11.58192090395481</v>
      </c>
      <c r="BK31" s="155">
        <f>(BK23-BK24)/('2001'!BK23-'2001'!BK24)%-100</f>
        <v>-16.176470588235304</v>
      </c>
      <c r="BL31" s="155">
        <f>(BL23-BL24)/('2001'!BL23-'2001'!BL24)%-100</f>
        <v>-35.13513513513513</v>
      </c>
      <c r="BM31" s="155">
        <f>(BM23-BM24)/('2001'!BM23-'2001'!BM24)%-100</f>
        <v>-28.818181818181813</v>
      </c>
      <c r="BN31" s="155">
        <f>(BN23-BN24)/('2001'!BN23-'2001'!BN24)%-100</f>
        <v>-24.77064220183486</v>
      </c>
      <c r="BO31" s="155">
        <f>(BO23-BO24)/('2001'!BO23-'2001'!BO24)%-100</f>
        <v>-23.80952380952381</v>
      </c>
      <c r="BP31" s="155">
        <f>(BP23-BP24)/('2001'!BP23-'2001'!BP24)%-100</f>
        <v>-26.306620209059233</v>
      </c>
      <c r="BQ31" s="155">
        <f>(BQ23-BQ24)/('2001'!BQ23-'2001'!BQ24)%-100</f>
        <v>-18.535469107551492</v>
      </c>
      <c r="BR31" s="552">
        <f>(BR23-BR24)/('2001'!BR23-'2001'!BR24)%-100</f>
        <v>-27.689873417721529</v>
      </c>
      <c r="BS31" s="155">
        <f>(BS23-BS24)/('2001'!BS23-'2001'!BS24)%-100</f>
        <v>-18.644067796610159</v>
      </c>
      <c r="BT31" s="155">
        <f>(BT23-BT24)/('2001'!BT23-'2001'!BT24)%-100</f>
        <v>-17.895247332686722</v>
      </c>
      <c r="BU31" s="155">
        <f>(BU23-BU24)/('2001'!BU23-'2001'!BU24)%-100</f>
        <v>-19.791666666666671</v>
      </c>
      <c r="BV31" s="155">
        <f>(BV23-BV24)/('2001'!BV23-'2001'!BV24)%-100</f>
        <v>-20.637829912023463</v>
      </c>
      <c r="BW31" s="155">
        <f>(BW23-BW24)/('2001'!BW23-'2001'!BW24)%-100</f>
        <v>-25.278058645096067</v>
      </c>
      <c r="BX31" s="155">
        <f>(BX23-BX24)/('2001'!BX23-'2001'!BX24)%-100</f>
        <v>-25.23510971786834</v>
      </c>
      <c r="BY31" s="155">
        <f>(BY23-BY24)/('2001'!BY23-'2001'!BY24)%-100</f>
        <v>-30.666666666666671</v>
      </c>
      <c r="BZ31" s="155">
        <f>(BZ23-BZ24)/('2001'!BZ23-'2001'!BZ24)%-100</f>
        <v>-25.462459194776926</v>
      </c>
      <c r="CA31" s="155">
        <f>(CA23-CA24)/('2001'!CA23-'2001'!CA24)%-100</f>
        <v>-23.85834109972042</v>
      </c>
      <c r="CB31" s="552">
        <f>(CB23-CB24)/('2001'!CB23-'2001'!CB24)%-100</f>
        <v>-30.769230769230774</v>
      </c>
      <c r="CC31" s="155">
        <f>(CC23-CC24)/('2001'!CC23-'2001'!CC24)%-100</f>
        <v>-26.003086419753089</v>
      </c>
      <c r="CD31" s="155">
        <f>(CD23-CD24)/('2001'!CD23-'2001'!CD24)%-100</f>
        <v>-28.772635814889327</v>
      </c>
      <c r="CE31" s="155">
        <f>(CE23-CE24)/('2001'!CE23-'2001'!CE24)%-100</f>
        <v>-26.025917926565867</v>
      </c>
      <c r="CF31" s="155">
        <f>(CF23-CF24)/('2001'!CF23-'2001'!CF24)%-100</f>
        <v>-31.159420289855063</v>
      </c>
      <c r="CG31" s="155">
        <f>(CG23-CG24)/('2001'!CG23-'2001'!CG24)%-100</f>
        <v>-29.695960016659726</v>
      </c>
      <c r="CH31" s="155">
        <f>(CH23-CH24)/('2001'!CH23-'2001'!CH24)%-100</f>
        <v>-28.336221837088388</v>
      </c>
      <c r="CI31" s="155">
        <f>(CI23-CI24)/('2001'!CI23-'2001'!CI24)%-100</f>
        <v>-23.940820443846661</v>
      </c>
      <c r="CJ31" s="155">
        <f>(CJ23-CJ24)/('2001'!CJ23-'2001'!CJ24)%-100</f>
        <v>-27.631578947368411</v>
      </c>
      <c r="CK31" s="156">
        <f>(CK23-CK24)/('2001'!CK23-'2001'!CK24)%-100</f>
        <v>-30.437461491065932</v>
      </c>
      <c r="CL31" s="320">
        <f>(CL23-CL24)/('2001'!CL23-'2001'!CL24)%-100</f>
        <v>-26.028441385918683</v>
      </c>
    </row>
    <row r="32" spans="1:94">
      <c r="A32" s="80">
        <f>ROWS($A$3:A30)</f>
        <v>28</v>
      </c>
      <c r="B32" s="53" t="s">
        <v>170</v>
      </c>
      <c r="C32" s="252"/>
      <c r="D32" s="259" t="s">
        <v>3</v>
      </c>
      <c r="E32" s="451"/>
      <c r="F32" s="154">
        <v>37</v>
      </c>
      <c r="G32" s="155">
        <v>31</v>
      </c>
      <c r="H32" s="155">
        <v>28</v>
      </c>
      <c r="I32" s="156">
        <v>42</v>
      </c>
      <c r="J32" s="281"/>
      <c r="K32" s="154">
        <f t="shared" si="37"/>
        <v>35</v>
      </c>
      <c r="L32" s="155">
        <f t="shared" si="38"/>
        <v>35</v>
      </c>
      <c r="M32" s="155">
        <f t="shared" si="39"/>
        <v>34</v>
      </c>
      <c r="N32" s="155">
        <f t="shared" si="40"/>
        <v>42</v>
      </c>
      <c r="O32" s="155">
        <f t="shared" si="41"/>
        <v>41</v>
      </c>
      <c r="P32" s="531">
        <f>(AZ23*AZ32+BA23*BA32)/P23</f>
        <v>40.79612133267031</v>
      </c>
      <c r="Q32" s="542">
        <f>'2019'!AU32</f>
        <v>30</v>
      </c>
      <c r="R32" s="531">
        <f>(AT23*AT32+AX23*AX32)/R23</f>
        <v>41.336244541484717</v>
      </c>
      <c r="S32" s="542">
        <f t="shared" si="43"/>
        <v>35</v>
      </c>
      <c r="T32" s="542">
        <f t="shared" si="44"/>
        <v>38</v>
      </c>
      <c r="U32" s="554">
        <f t="shared" si="44"/>
        <v>47</v>
      </c>
      <c r="V32" s="531">
        <f>(BG23*BG32+BJ23*BJ32)/V23</f>
        <v>16.817708333333332</v>
      </c>
      <c r="W32" s="542">
        <f t="shared" si="46"/>
        <v>25</v>
      </c>
      <c r="X32" s="531">
        <f>(BH23*BH32+BI23*BI32)/X23</f>
        <v>33.71814671814672</v>
      </c>
      <c r="Y32" s="531">
        <f>(BK23*BK32+BL23*BL32+BN23*BN32)/Y23</f>
        <v>43.520710059171599</v>
      </c>
      <c r="Z32" s="542">
        <f t="shared" si="49"/>
        <v>33</v>
      </c>
      <c r="AA32" s="531">
        <f>(BO23*BO32+BQ23*BQ32)/AA23</f>
        <v>32.082004555808659</v>
      </c>
      <c r="AB32" s="554">
        <f t="shared" si="51"/>
        <v>26</v>
      </c>
      <c r="AC32" s="542">
        <f t="shared" si="52"/>
        <v>36</v>
      </c>
      <c r="AD32" s="542">
        <f t="shared" si="53"/>
        <v>28</v>
      </c>
      <c r="AE32" s="531">
        <f>(BS23*BS32+BT23*BT32)/AE23</f>
        <v>32.130591630591631</v>
      </c>
      <c r="AF32" s="542">
        <f t="shared" si="55"/>
        <v>29</v>
      </c>
      <c r="AG32" s="542">
        <f t="shared" si="56"/>
        <v>30</v>
      </c>
      <c r="AH32" s="542">
        <f t="shared" si="57"/>
        <v>45</v>
      </c>
      <c r="AI32" s="542">
        <f t="shared" si="58"/>
        <v>26</v>
      </c>
      <c r="AJ32" s="542">
        <f t="shared" si="59"/>
        <v>26</v>
      </c>
      <c r="AK32" s="554">
        <f t="shared" si="60"/>
        <v>27</v>
      </c>
      <c r="AL32" s="542">
        <f t="shared" si="61"/>
        <v>23</v>
      </c>
      <c r="AM32" s="542">
        <f t="shared" si="62"/>
        <v>49</v>
      </c>
      <c r="AN32" s="542">
        <f t="shared" si="63"/>
        <v>59</v>
      </c>
      <c r="AO32" s="542">
        <f t="shared" si="64"/>
        <v>28</v>
      </c>
      <c r="AP32" s="542">
        <f t="shared" si="64"/>
        <v>24</v>
      </c>
      <c r="AQ32" s="542">
        <f t="shared" si="65"/>
        <v>34</v>
      </c>
      <c r="AR32" s="542">
        <f t="shared" si="66"/>
        <v>48</v>
      </c>
      <c r="AS32" s="532">
        <f>(CF23*CF32+CG23*CG32)/AS23</f>
        <v>41.406233207952717</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c r="A33" s="80">
        <f>ROWS($A$3:A31)</f>
        <v>29</v>
      </c>
      <c r="B33" s="53" t="s">
        <v>68</v>
      </c>
      <c r="C33" s="252"/>
      <c r="D33" s="259" t="s">
        <v>3</v>
      </c>
      <c r="E33" s="451"/>
      <c r="F33" s="530">
        <f>100-F32</f>
        <v>63</v>
      </c>
      <c r="G33" s="531">
        <f>100-G32</f>
        <v>69</v>
      </c>
      <c r="H33" s="531">
        <f>100-H32</f>
        <v>72</v>
      </c>
      <c r="I33" s="532">
        <f>100-I32</f>
        <v>58</v>
      </c>
      <c r="J33" s="281"/>
      <c r="K33" s="541">
        <f t="shared" si="37"/>
        <v>65</v>
      </c>
      <c r="L33" s="542">
        <f t="shared" si="38"/>
        <v>65</v>
      </c>
      <c r="M33" s="542">
        <f t="shared" si="39"/>
        <v>66</v>
      </c>
      <c r="N33" s="542">
        <f t="shared" si="40"/>
        <v>58</v>
      </c>
      <c r="O33" s="542">
        <f t="shared" si="41"/>
        <v>59</v>
      </c>
      <c r="P33" s="531">
        <f>100-P32</f>
        <v>59.20387866732969</v>
      </c>
      <c r="Q33" s="542">
        <f>'2019'!AU33</f>
        <v>70</v>
      </c>
      <c r="R33" s="531">
        <f>100-R32</f>
        <v>58.663755458515283</v>
      </c>
      <c r="S33" s="542">
        <f t="shared" si="43"/>
        <v>65</v>
      </c>
      <c r="T33" s="542">
        <f t="shared" si="44"/>
        <v>62</v>
      </c>
      <c r="U33" s="554">
        <f t="shared" si="44"/>
        <v>53</v>
      </c>
      <c r="V33" s="531">
        <f>100-V32</f>
        <v>83.182291666666671</v>
      </c>
      <c r="W33" s="542">
        <f t="shared" si="46"/>
        <v>75</v>
      </c>
      <c r="X33" s="531">
        <f>100-X32</f>
        <v>66.281853281853273</v>
      </c>
      <c r="Y33" s="531">
        <f>100-Y32</f>
        <v>56.479289940828401</v>
      </c>
      <c r="Z33" s="542">
        <f t="shared" si="49"/>
        <v>67</v>
      </c>
      <c r="AA33" s="531">
        <f>100-AA32</f>
        <v>67.917995444191348</v>
      </c>
      <c r="AB33" s="554">
        <f t="shared" si="51"/>
        <v>74</v>
      </c>
      <c r="AC33" s="542">
        <f t="shared" si="52"/>
        <v>64</v>
      </c>
      <c r="AD33" s="542">
        <f t="shared" si="53"/>
        <v>72</v>
      </c>
      <c r="AE33" s="531">
        <f>100-AE32</f>
        <v>67.869408369408376</v>
      </c>
      <c r="AF33" s="542">
        <f t="shared" si="55"/>
        <v>71</v>
      </c>
      <c r="AG33" s="542">
        <f t="shared" si="56"/>
        <v>70</v>
      </c>
      <c r="AH33" s="542">
        <f t="shared" si="57"/>
        <v>55</v>
      </c>
      <c r="AI33" s="542">
        <f t="shared" si="58"/>
        <v>74</v>
      </c>
      <c r="AJ33" s="542">
        <f t="shared" si="59"/>
        <v>74</v>
      </c>
      <c r="AK33" s="554">
        <f t="shared" si="60"/>
        <v>73</v>
      </c>
      <c r="AL33" s="542">
        <f t="shared" si="61"/>
        <v>77</v>
      </c>
      <c r="AM33" s="542">
        <f t="shared" si="62"/>
        <v>51</v>
      </c>
      <c r="AN33" s="542">
        <f t="shared" si="63"/>
        <v>41</v>
      </c>
      <c r="AO33" s="542">
        <f t="shared" si="64"/>
        <v>72</v>
      </c>
      <c r="AP33" s="542">
        <f t="shared" si="64"/>
        <v>76</v>
      </c>
      <c r="AQ33" s="542">
        <f t="shared" si="65"/>
        <v>66</v>
      </c>
      <c r="AR33" s="542">
        <f t="shared" si="66"/>
        <v>52</v>
      </c>
      <c r="AS33" s="532">
        <f>100-AS32</f>
        <v>58.593766792047283</v>
      </c>
      <c r="AT33" s="531">
        <f>100-AT32</f>
        <v>38</v>
      </c>
      <c r="AU33" s="531">
        <f>100-AU32</f>
        <v>70</v>
      </c>
      <c r="AV33" s="531">
        <f t="shared" ref="AV33:CL33" si="70">100-AV32</f>
        <v>65</v>
      </c>
      <c r="AW33" s="531">
        <f t="shared" si="70"/>
        <v>58</v>
      </c>
      <c r="AX33" s="531">
        <f>100-AX32</f>
        <v>62</v>
      </c>
      <c r="AY33" s="531">
        <f t="shared" si="70"/>
        <v>65</v>
      </c>
      <c r="AZ33" s="531">
        <f t="shared" si="70"/>
        <v>40</v>
      </c>
      <c r="BA33" s="531">
        <f t="shared" si="70"/>
        <v>61</v>
      </c>
      <c r="BB33" s="531">
        <f t="shared" si="70"/>
        <v>62</v>
      </c>
      <c r="BC33" s="531">
        <f t="shared" si="70"/>
        <v>53</v>
      </c>
      <c r="BD33" s="531">
        <f t="shared" si="70"/>
        <v>66</v>
      </c>
      <c r="BE33" s="531">
        <f t="shared" si="70"/>
        <v>59</v>
      </c>
      <c r="BF33" s="555">
        <f t="shared" si="70"/>
        <v>65</v>
      </c>
      <c r="BG33" s="531">
        <f t="shared" si="70"/>
        <v>84</v>
      </c>
      <c r="BH33" s="531">
        <f>100-BH32</f>
        <v>58</v>
      </c>
      <c r="BI33" s="531">
        <f>100-BI32</f>
        <v>67</v>
      </c>
      <c r="BJ33" s="531">
        <f>100-BJ32</f>
        <v>83</v>
      </c>
      <c r="BK33" s="531">
        <f t="shared" si="70"/>
        <v>42</v>
      </c>
      <c r="BL33" s="531">
        <f t="shared" si="70"/>
        <v>37</v>
      </c>
      <c r="BM33" s="531">
        <f>100-BM32</f>
        <v>67</v>
      </c>
      <c r="BN33" s="531">
        <f t="shared" si="70"/>
        <v>59</v>
      </c>
      <c r="BO33" s="531">
        <f t="shared" si="70"/>
        <v>50</v>
      </c>
      <c r="BP33" s="531">
        <f t="shared" si="70"/>
        <v>74</v>
      </c>
      <c r="BQ33" s="531">
        <f>100-BQ32</f>
        <v>69</v>
      </c>
      <c r="BR33" s="555">
        <f t="shared" si="70"/>
        <v>75</v>
      </c>
      <c r="BS33" s="531">
        <f t="shared" si="70"/>
        <v>66</v>
      </c>
      <c r="BT33" s="531">
        <f t="shared" si="70"/>
        <v>68</v>
      </c>
      <c r="BU33" s="531">
        <f t="shared" si="70"/>
        <v>72</v>
      </c>
      <c r="BV33" s="531">
        <f t="shared" si="70"/>
        <v>70</v>
      </c>
      <c r="BW33" s="531">
        <f t="shared" si="70"/>
        <v>74</v>
      </c>
      <c r="BX33" s="531">
        <f t="shared" si="70"/>
        <v>64</v>
      </c>
      <c r="BY33" s="531">
        <f t="shared" si="70"/>
        <v>74</v>
      </c>
      <c r="BZ33" s="531">
        <f t="shared" si="70"/>
        <v>55</v>
      </c>
      <c r="CA33" s="531">
        <f t="shared" si="70"/>
        <v>71</v>
      </c>
      <c r="CB33" s="555">
        <f t="shared" si="70"/>
        <v>73</v>
      </c>
      <c r="CC33" s="531">
        <f t="shared" si="70"/>
        <v>72</v>
      </c>
      <c r="CD33" s="531">
        <f t="shared" si="70"/>
        <v>76</v>
      </c>
      <c r="CE33" s="531">
        <f t="shared" si="70"/>
        <v>77</v>
      </c>
      <c r="CF33" s="531">
        <f t="shared" si="70"/>
        <v>52</v>
      </c>
      <c r="CG33" s="531">
        <f t="shared" si="70"/>
        <v>59</v>
      </c>
      <c r="CH33" s="531">
        <f t="shared" si="70"/>
        <v>51</v>
      </c>
      <c r="CI33" s="531">
        <f t="shared" si="70"/>
        <v>52</v>
      </c>
      <c r="CJ33" s="531">
        <f t="shared" si="70"/>
        <v>41</v>
      </c>
      <c r="CK33" s="532">
        <f t="shared" si="70"/>
        <v>66</v>
      </c>
      <c r="CL33" s="556">
        <f t="shared" si="70"/>
        <v>64</v>
      </c>
    </row>
    <row r="34" spans="1:90">
      <c r="A34" s="80">
        <f>ROWS($A$3:A32)</f>
        <v>30</v>
      </c>
      <c r="B34" s="59" t="s">
        <v>69</v>
      </c>
      <c r="C34" s="202">
        <v>2016</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c r="A35" s="80">
        <f>ROWS($A$3:A33)</f>
        <v>31</v>
      </c>
      <c r="B35" s="92" t="s">
        <v>71</v>
      </c>
      <c r="C35" s="205"/>
      <c r="D35" s="259" t="s">
        <v>1</v>
      </c>
      <c r="E35" s="447">
        <v>42888</v>
      </c>
      <c r="F35" s="154">
        <v>465780</v>
      </c>
      <c r="G35" s="155">
        <v>204379</v>
      </c>
      <c r="H35" s="155">
        <v>318213</v>
      </c>
      <c r="I35" s="156">
        <v>427608</v>
      </c>
      <c r="J35" s="281"/>
      <c r="K35" s="154">
        <f>BF35</f>
        <v>63891</v>
      </c>
      <c r="L35" s="155">
        <f>AY35</f>
        <v>25643</v>
      </c>
      <c r="M35" s="155">
        <f>BD35</f>
        <v>68459</v>
      </c>
      <c r="N35" s="155">
        <f>AW35</f>
        <v>28124</v>
      </c>
      <c r="O35" s="155">
        <f>BE35</f>
        <v>26413</v>
      </c>
      <c r="P35" s="155">
        <f>'2019'!AZ35+'2019'!BA35</f>
        <v>58052</v>
      </c>
      <c r="Q35" s="155">
        <f>'2019'!AU35</f>
        <v>22448</v>
      </c>
      <c r="R35" s="155">
        <f t="shared" ref="R35:R41" si="71">AT35+AX35</f>
        <v>34900</v>
      </c>
      <c r="S35" s="155">
        <f>AV35</f>
        <v>19908</v>
      </c>
      <c r="T35" s="155">
        <f t="shared" ref="T35:U39" si="72">BB35</f>
        <v>41838</v>
      </c>
      <c r="U35" s="552">
        <f t="shared" si="72"/>
        <v>76105</v>
      </c>
      <c r="V35" s="155">
        <f>BG35+BJ35</f>
        <v>16308</v>
      </c>
      <c r="W35" s="155">
        <f>BR35</f>
        <v>18967</v>
      </c>
      <c r="X35" s="155">
        <f>BH35+BI35</f>
        <v>41029</v>
      </c>
      <c r="Y35" s="155">
        <f>BK35+BL35+BN35</f>
        <v>43513</v>
      </c>
      <c r="Z35" s="155">
        <f>BM35</f>
        <v>46102</v>
      </c>
      <c r="AA35" s="155">
        <f>BO35+BQ35</f>
        <v>20583</v>
      </c>
      <c r="AB35" s="552">
        <f>BP35</f>
        <v>17877</v>
      </c>
      <c r="AC35" s="155">
        <f>BX35</f>
        <v>38379</v>
      </c>
      <c r="AD35" s="155">
        <f>BU35</f>
        <v>22196</v>
      </c>
      <c r="AE35" s="155">
        <f>BS35+BT35</f>
        <v>52772</v>
      </c>
      <c r="AF35" s="155">
        <f>CA35</f>
        <v>23158</v>
      </c>
      <c r="AG35" s="155">
        <f>BV35</f>
        <v>56010</v>
      </c>
      <c r="AH35" s="155">
        <f>BZ35</f>
        <v>33372</v>
      </c>
      <c r="AI35" s="155">
        <f>BW35</f>
        <v>30064</v>
      </c>
      <c r="AJ35" s="155">
        <f>BY35</f>
        <v>24236</v>
      </c>
      <c r="AK35" s="552">
        <f>CB35</f>
        <v>38026</v>
      </c>
      <c r="AL35" s="155">
        <f>CE35</f>
        <v>34687</v>
      </c>
      <c r="AM35" s="155">
        <f>CH35</f>
        <v>75677</v>
      </c>
      <c r="AN35" s="155">
        <f>CJ35</f>
        <v>86042</v>
      </c>
      <c r="AO35" s="155">
        <f t="shared" ref="AO35:AP39" si="73">CC35</f>
        <v>43570</v>
      </c>
      <c r="AP35" s="155">
        <f t="shared" si="73"/>
        <v>20159</v>
      </c>
      <c r="AQ35" s="155">
        <f>CK35</f>
        <v>54773</v>
      </c>
      <c r="AR35" s="155">
        <f>CI35</f>
        <v>33530</v>
      </c>
      <c r="AS35" s="156">
        <f>CF35+CG35</f>
        <v>79171</v>
      </c>
      <c r="AT35" s="155">
        <v>2511</v>
      </c>
      <c r="AU35" s="155">
        <v>22448</v>
      </c>
      <c r="AV35" s="155">
        <v>19908</v>
      </c>
      <c r="AW35" s="155">
        <v>28124</v>
      </c>
      <c r="AX35" s="155">
        <v>32389</v>
      </c>
      <c r="AY35" s="155">
        <v>25643</v>
      </c>
      <c r="AZ35" s="155">
        <v>4118</v>
      </c>
      <c r="BA35" s="155">
        <v>53934</v>
      </c>
      <c r="BB35" s="155">
        <v>41838</v>
      </c>
      <c r="BC35" s="155">
        <v>76105</v>
      </c>
      <c r="BD35" s="155">
        <v>68459</v>
      </c>
      <c r="BE35" s="155">
        <v>26413</v>
      </c>
      <c r="BF35" s="552">
        <v>63891</v>
      </c>
      <c r="BG35" s="155">
        <v>1584</v>
      </c>
      <c r="BH35" s="155">
        <v>2597</v>
      </c>
      <c r="BI35" s="155">
        <v>38432</v>
      </c>
      <c r="BJ35" s="155">
        <v>14724</v>
      </c>
      <c r="BK35" s="155">
        <v>1824</v>
      </c>
      <c r="BL35" s="155">
        <v>2915</v>
      </c>
      <c r="BM35" s="155">
        <v>46102</v>
      </c>
      <c r="BN35" s="155">
        <v>38774</v>
      </c>
      <c r="BO35" s="155">
        <v>970</v>
      </c>
      <c r="BP35" s="155">
        <v>17877</v>
      </c>
      <c r="BQ35" s="155">
        <v>19613</v>
      </c>
      <c r="BR35" s="552">
        <v>18967</v>
      </c>
      <c r="BS35" s="155">
        <v>3449</v>
      </c>
      <c r="BT35" s="155">
        <v>49323</v>
      </c>
      <c r="BU35" s="155">
        <v>22196</v>
      </c>
      <c r="BV35" s="155">
        <v>56010</v>
      </c>
      <c r="BW35" s="155">
        <v>30064</v>
      </c>
      <c r="BX35" s="155">
        <v>38379</v>
      </c>
      <c r="BY35" s="155">
        <v>24236</v>
      </c>
      <c r="BZ35" s="155">
        <v>33372</v>
      </c>
      <c r="CA35" s="155">
        <v>23158</v>
      </c>
      <c r="CB35" s="552">
        <v>38026</v>
      </c>
      <c r="CC35" s="155">
        <v>43570</v>
      </c>
      <c r="CD35" s="155">
        <v>20159</v>
      </c>
      <c r="CE35" s="155">
        <v>34687</v>
      </c>
      <c r="CF35" s="155">
        <v>4646</v>
      </c>
      <c r="CG35" s="155">
        <v>74525</v>
      </c>
      <c r="CH35" s="155">
        <v>75677</v>
      </c>
      <c r="CI35" s="155">
        <v>33530</v>
      </c>
      <c r="CJ35" s="155">
        <v>86042</v>
      </c>
      <c r="CK35" s="156">
        <v>54773</v>
      </c>
      <c r="CL35" s="320">
        <v>1415980</v>
      </c>
    </row>
    <row r="36" spans="1:90">
      <c r="A36" s="80">
        <f>ROWS($A$3:A34)</f>
        <v>32</v>
      </c>
      <c r="B36" s="92" t="s">
        <v>72</v>
      </c>
      <c r="C36" s="203"/>
      <c r="D36" s="259" t="s">
        <v>1</v>
      </c>
      <c r="E36" s="447">
        <v>42888</v>
      </c>
      <c r="F36" s="154">
        <v>309229</v>
      </c>
      <c r="G36" s="155">
        <v>139570</v>
      </c>
      <c r="H36" s="155">
        <v>139065</v>
      </c>
      <c r="I36" s="156">
        <v>231770</v>
      </c>
      <c r="J36" s="281"/>
      <c r="K36" s="154">
        <f>BF36</f>
        <v>34041</v>
      </c>
      <c r="L36" s="155">
        <f>AY36</f>
        <v>11589</v>
      </c>
      <c r="M36" s="155">
        <f>BD36</f>
        <v>58887</v>
      </c>
      <c r="N36" s="155">
        <f>AW36</f>
        <v>12241</v>
      </c>
      <c r="O36" s="155">
        <f>BE36</f>
        <v>17131</v>
      </c>
      <c r="P36" s="155">
        <f>'2019'!AZ36+'2019'!BA36</f>
        <v>43341</v>
      </c>
      <c r="Q36" s="155">
        <f>'2019'!AU36</f>
        <v>15217</v>
      </c>
      <c r="R36" s="155">
        <f t="shared" si="71"/>
        <v>25780</v>
      </c>
      <c r="S36" s="155">
        <f>AV36</f>
        <v>9988</v>
      </c>
      <c r="T36" s="155">
        <f t="shared" si="72"/>
        <v>30879</v>
      </c>
      <c r="U36" s="552">
        <f t="shared" si="72"/>
        <v>50133</v>
      </c>
      <c r="V36" s="155">
        <f>BG36+BJ36</f>
        <v>10162</v>
      </c>
      <c r="W36" s="155">
        <f>BR36</f>
        <v>9267</v>
      </c>
      <c r="X36" s="155">
        <f>BH36+BI36</f>
        <v>31447</v>
      </c>
      <c r="Y36" s="155">
        <f>BK36+BL36+BN36</f>
        <v>34090</v>
      </c>
      <c r="Z36" s="155">
        <f>BM36</f>
        <v>34160</v>
      </c>
      <c r="AA36" s="155">
        <f>BO36+BQ36</f>
        <v>12158</v>
      </c>
      <c r="AB36" s="552">
        <f>BP36</f>
        <v>8287</v>
      </c>
      <c r="AC36" s="155">
        <f>BX36</f>
        <v>15047</v>
      </c>
      <c r="AD36" s="155">
        <f>BU36</f>
        <v>10110</v>
      </c>
      <c r="AE36" s="155">
        <f>BS36+BT36</f>
        <v>20648</v>
      </c>
      <c r="AF36" s="155">
        <f>CA36</f>
        <v>7043</v>
      </c>
      <c r="AG36" s="155">
        <f>BV36</f>
        <v>27600</v>
      </c>
      <c r="AH36" s="155">
        <f>BZ36</f>
        <v>18648</v>
      </c>
      <c r="AI36" s="155">
        <f>BW36</f>
        <v>16499</v>
      </c>
      <c r="AJ36" s="155">
        <f>BY36</f>
        <v>8639</v>
      </c>
      <c r="AK36" s="552">
        <f>CB36</f>
        <v>14830</v>
      </c>
      <c r="AL36" s="155">
        <f>CE36</f>
        <v>12559</v>
      </c>
      <c r="AM36" s="155">
        <f>CH36</f>
        <v>51224</v>
      </c>
      <c r="AN36" s="155">
        <f>CJ36</f>
        <v>27384</v>
      </c>
      <c r="AO36" s="155">
        <f t="shared" si="73"/>
        <v>20463</v>
      </c>
      <c r="AP36" s="155">
        <f t="shared" si="73"/>
        <v>12925</v>
      </c>
      <c r="AQ36" s="155">
        <f>CK36</f>
        <v>34631</v>
      </c>
      <c r="AR36" s="155">
        <f>CI36</f>
        <v>13720</v>
      </c>
      <c r="AS36" s="156">
        <f>CF36+CG36</f>
        <v>58865</v>
      </c>
      <c r="AT36" s="155">
        <v>1500</v>
      </c>
      <c r="AU36" s="155">
        <v>15217</v>
      </c>
      <c r="AV36" s="155">
        <v>9988</v>
      </c>
      <c r="AW36" s="155">
        <v>12241</v>
      </c>
      <c r="AX36" s="155">
        <v>24280</v>
      </c>
      <c r="AY36" s="155">
        <v>11589</v>
      </c>
      <c r="AZ36" s="155">
        <v>3143</v>
      </c>
      <c r="BA36" s="155">
        <v>40198</v>
      </c>
      <c r="BB36" s="155">
        <v>30879</v>
      </c>
      <c r="BC36" s="155">
        <v>50133</v>
      </c>
      <c r="BD36" s="155">
        <v>58887</v>
      </c>
      <c r="BE36" s="155">
        <v>17131</v>
      </c>
      <c r="BF36" s="552">
        <v>34041</v>
      </c>
      <c r="BG36" s="155">
        <v>518</v>
      </c>
      <c r="BH36" s="155">
        <v>1898</v>
      </c>
      <c r="BI36" s="155">
        <v>29549</v>
      </c>
      <c r="BJ36" s="155">
        <v>9644</v>
      </c>
      <c r="BK36" s="155">
        <v>1502</v>
      </c>
      <c r="BL36" s="155">
        <v>2393</v>
      </c>
      <c r="BM36" s="155">
        <v>34160</v>
      </c>
      <c r="BN36" s="155">
        <v>30195</v>
      </c>
      <c r="BO36" s="155">
        <v>470</v>
      </c>
      <c r="BP36" s="155">
        <v>8287</v>
      </c>
      <c r="BQ36" s="155">
        <v>11688</v>
      </c>
      <c r="BR36" s="552">
        <v>9267</v>
      </c>
      <c r="BS36" s="155">
        <v>1591</v>
      </c>
      <c r="BT36" s="155">
        <v>19057</v>
      </c>
      <c r="BU36" s="155">
        <v>10110</v>
      </c>
      <c r="BV36" s="155">
        <v>27600</v>
      </c>
      <c r="BW36" s="155">
        <v>16499</v>
      </c>
      <c r="BX36" s="155">
        <v>15047</v>
      </c>
      <c r="BY36" s="155">
        <v>8639</v>
      </c>
      <c r="BZ36" s="155">
        <v>18648</v>
      </c>
      <c r="CA36" s="155">
        <v>7043</v>
      </c>
      <c r="CB36" s="552">
        <v>14830</v>
      </c>
      <c r="CC36" s="155">
        <v>20463</v>
      </c>
      <c r="CD36" s="155">
        <v>12925</v>
      </c>
      <c r="CE36" s="155">
        <v>12559</v>
      </c>
      <c r="CF36" s="155">
        <v>3984</v>
      </c>
      <c r="CG36" s="155">
        <v>54881</v>
      </c>
      <c r="CH36" s="155">
        <v>51224</v>
      </c>
      <c r="CI36" s="155">
        <v>13720</v>
      </c>
      <c r="CJ36" s="155">
        <v>27384</v>
      </c>
      <c r="CK36" s="156">
        <v>34631</v>
      </c>
      <c r="CL36" s="320">
        <v>819633</v>
      </c>
    </row>
    <row r="37" spans="1:90">
      <c r="A37" s="80">
        <f>ROWS($A$3:A35)</f>
        <v>33</v>
      </c>
      <c r="B37" s="92" t="s">
        <v>6</v>
      </c>
      <c r="C37" s="203"/>
      <c r="D37" s="259" t="s">
        <v>1</v>
      </c>
      <c r="E37" s="447">
        <v>42888</v>
      </c>
      <c r="F37" s="154">
        <v>140743</v>
      </c>
      <c r="G37" s="155">
        <v>60148</v>
      </c>
      <c r="H37" s="155">
        <v>159105</v>
      </c>
      <c r="I37" s="156">
        <v>185272</v>
      </c>
      <c r="J37" s="281"/>
      <c r="K37" s="154">
        <f>BF37</f>
        <v>29378</v>
      </c>
      <c r="L37" s="155">
        <f>AY37</f>
        <v>12351</v>
      </c>
      <c r="M37" s="155">
        <f>BD37</f>
        <v>8565</v>
      </c>
      <c r="N37" s="155">
        <f>AW37</f>
        <v>15746</v>
      </c>
      <c r="O37" s="155">
        <f>BE37</f>
        <v>9252</v>
      </c>
      <c r="P37" s="155">
        <f>'2019'!AZ37+'2019'!BA37</f>
        <v>7525</v>
      </c>
      <c r="Q37" s="155">
        <f>'2019'!AU37</f>
        <v>7108</v>
      </c>
      <c r="R37" s="155">
        <f t="shared" si="71"/>
        <v>6344</v>
      </c>
      <c r="S37" s="155">
        <f>AV37</f>
        <v>9495</v>
      </c>
      <c r="T37" s="155">
        <f t="shared" si="72"/>
        <v>9267</v>
      </c>
      <c r="U37" s="552">
        <f t="shared" si="72"/>
        <v>25712</v>
      </c>
      <c r="V37" s="155">
        <f>BG37+BJ37</f>
        <v>5125</v>
      </c>
      <c r="W37" s="155">
        <f>BR37</f>
        <v>9685</v>
      </c>
      <c r="X37" s="155">
        <f>BH37+BI37</f>
        <v>8437</v>
      </c>
      <c r="Y37" s="155">
        <f>BK37+BN37</f>
        <v>7635</v>
      </c>
      <c r="Z37" s="155">
        <f>BM37</f>
        <v>11046</v>
      </c>
      <c r="AA37" s="155">
        <f>BQ37</f>
        <v>7675</v>
      </c>
      <c r="AB37" s="552">
        <f>BP37</f>
        <v>9535</v>
      </c>
      <c r="AC37" s="155">
        <f>BX37</f>
        <v>23302</v>
      </c>
      <c r="AD37" s="155">
        <f>BU37</f>
        <v>9542</v>
      </c>
      <c r="AE37" s="155">
        <f>BS37+BT37</f>
        <v>25004</v>
      </c>
      <c r="AF37" s="155">
        <f>CA37</f>
        <v>14624</v>
      </c>
      <c r="AG37" s="155">
        <f>BV37</f>
        <v>21005</v>
      </c>
      <c r="AH37" s="155">
        <f>BZ37</f>
        <v>13548</v>
      </c>
      <c r="AI37" s="155">
        <f>BW37</f>
        <v>13536</v>
      </c>
      <c r="AJ37" s="155">
        <f>BY37</f>
        <v>15588</v>
      </c>
      <c r="AK37" s="552">
        <f>CB37</f>
        <v>22955</v>
      </c>
      <c r="AL37" s="155">
        <f>CE37</f>
        <v>22010</v>
      </c>
      <c r="AM37" s="155">
        <f>CH37</f>
        <v>24287</v>
      </c>
      <c r="AN37" s="155">
        <f>CJ37</f>
        <v>56968</v>
      </c>
      <c r="AO37" s="155">
        <f t="shared" si="73"/>
        <v>22961</v>
      </c>
      <c r="AP37" s="155">
        <f t="shared" si="73"/>
        <v>7166</v>
      </c>
      <c r="AQ37" s="155">
        <f>CK37</f>
        <v>20046</v>
      </c>
      <c r="AR37" s="155">
        <f>CI37</f>
        <v>11673</v>
      </c>
      <c r="AS37" s="156">
        <f>CF37+CG37</f>
        <v>20161</v>
      </c>
      <c r="AT37" s="155">
        <v>551</v>
      </c>
      <c r="AU37" s="155">
        <v>7108</v>
      </c>
      <c r="AV37" s="155">
        <v>9495</v>
      </c>
      <c r="AW37" s="155">
        <v>15746</v>
      </c>
      <c r="AX37" s="155">
        <v>5793</v>
      </c>
      <c r="AY37" s="155">
        <v>12351</v>
      </c>
      <c r="AZ37" s="155">
        <v>246</v>
      </c>
      <c r="BA37" s="155">
        <v>7279</v>
      </c>
      <c r="BB37" s="155">
        <v>9267</v>
      </c>
      <c r="BC37" s="155">
        <v>25712</v>
      </c>
      <c r="BD37" s="155">
        <v>8565</v>
      </c>
      <c r="BE37" s="155">
        <v>9252</v>
      </c>
      <c r="BF37" s="552">
        <v>29378</v>
      </c>
      <c r="BG37" s="155">
        <v>791</v>
      </c>
      <c r="BH37" s="155">
        <v>590</v>
      </c>
      <c r="BI37" s="155">
        <v>7847</v>
      </c>
      <c r="BJ37" s="155">
        <v>4334</v>
      </c>
      <c r="BK37" s="155">
        <v>238</v>
      </c>
      <c r="BL37" s="155" t="s">
        <v>308</v>
      </c>
      <c r="BM37" s="155">
        <v>11046</v>
      </c>
      <c r="BN37" s="155">
        <v>7397</v>
      </c>
      <c r="BO37" s="155" t="s">
        <v>308</v>
      </c>
      <c r="BP37" s="155">
        <v>9535</v>
      </c>
      <c r="BQ37" s="155">
        <v>7675</v>
      </c>
      <c r="BR37" s="552">
        <v>9685</v>
      </c>
      <c r="BS37" s="155">
        <v>995</v>
      </c>
      <c r="BT37" s="155">
        <v>24009</v>
      </c>
      <c r="BU37" s="155">
        <v>9542</v>
      </c>
      <c r="BV37" s="155">
        <v>21005</v>
      </c>
      <c r="BW37" s="155">
        <v>13536</v>
      </c>
      <c r="BX37" s="155">
        <v>23302</v>
      </c>
      <c r="BY37" s="155">
        <v>15588</v>
      </c>
      <c r="BZ37" s="155">
        <v>13548</v>
      </c>
      <c r="CA37" s="155">
        <v>14624</v>
      </c>
      <c r="CB37" s="552">
        <v>22955</v>
      </c>
      <c r="CC37" s="155">
        <v>22961</v>
      </c>
      <c r="CD37" s="155">
        <v>7166</v>
      </c>
      <c r="CE37" s="155">
        <v>22010</v>
      </c>
      <c r="CF37" s="155">
        <v>644</v>
      </c>
      <c r="CG37" s="155">
        <v>19517</v>
      </c>
      <c r="CH37" s="155">
        <v>24287</v>
      </c>
      <c r="CI37" s="155">
        <v>11673</v>
      </c>
      <c r="CJ37" s="155">
        <v>56968</v>
      </c>
      <c r="CK37" s="156">
        <v>20046</v>
      </c>
      <c r="CL37" s="320">
        <v>545269</v>
      </c>
    </row>
    <row r="38" spans="1:90">
      <c r="A38" s="80">
        <f>ROWS($A$3:A36)</f>
        <v>34</v>
      </c>
      <c r="B38" s="92" t="s">
        <v>244</v>
      </c>
      <c r="C38" s="203"/>
      <c r="D38" s="259" t="s">
        <v>1</v>
      </c>
      <c r="E38" s="447">
        <v>42888</v>
      </c>
      <c r="F38" s="154">
        <v>3542</v>
      </c>
      <c r="G38" s="155">
        <v>1300</v>
      </c>
      <c r="H38" s="155">
        <v>7353</v>
      </c>
      <c r="I38" s="156">
        <v>9296</v>
      </c>
      <c r="J38" s="281"/>
      <c r="K38" s="154">
        <f>BF38</f>
        <v>15</v>
      </c>
      <c r="L38" s="155">
        <f>AY38</f>
        <v>484</v>
      </c>
      <c r="M38" s="155">
        <f>BD38</f>
        <v>82</v>
      </c>
      <c r="N38" s="155">
        <f>AW38</f>
        <v>93</v>
      </c>
      <c r="O38" s="155">
        <f>BE38</f>
        <v>5</v>
      </c>
      <c r="P38" s="155">
        <f>'2019'!AZ38+'2019'!BA38</f>
        <v>1093</v>
      </c>
      <c r="Q38" s="155">
        <f>'2019'!AU38</f>
        <v>70</v>
      </c>
      <c r="R38" s="155">
        <f t="shared" si="71"/>
        <v>529</v>
      </c>
      <c r="S38" s="155">
        <f>AV38</f>
        <v>191</v>
      </c>
      <c r="T38" s="155">
        <f t="shared" si="72"/>
        <v>796</v>
      </c>
      <c r="U38" s="552">
        <f t="shared" si="72"/>
        <v>183</v>
      </c>
      <c r="V38" s="155">
        <f>BG38+BJ38</f>
        <v>422</v>
      </c>
      <c r="W38" s="155">
        <f>BR38</f>
        <v>7</v>
      </c>
      <c r="X38" s="155">
        <f>BI38</f>
        <v>157</v>
      </c>
      <c r="Y38" s="155">
        <f>BN38</f>
        <v>381</v>
      </c>
      <c r="Z38" s="155" t="str">
        <f>BM38</f>
        <v xml:space="preserve"> .</v>
      </c>
      <c r="AA38" s="155">
        <f>BQ38</f>
        <v>17</v>
      </c>
      <c r="AB38" s="552">
        <f>BP38</f>
        <v>1</v>
      </c>
      <c r="AC38" s="155" t="str">
        <f>BX38</f>
        <v xml:space="preserve"> .</v>
      </c>
      <c r="AD38" s="155">
        <f>BU38</f>
        <v>586</v>
      </c>
      <c r="AE38" s="155">
        <f>BS38+BT38</f>
        <v>869</v>
      </c>
      <c r="AF38" s="155">
        <f>CA38</f>
        <v>646</v>
      </c>
      <c r="AG38" s="155">
        <f>BV38</f>
        <v>4078</v>
      </c>
      <c r="AH38" s="155">
        <f>BZ38</f>
        <v>1032</v>
      </c>
      <c r="AI38" s="155" t="str">
        <f>BW38</f>
        <v xml:space="preserve"> .</v>
      </c>
      <c r="AJ38" s="155" t="str">
        <f>BY38</f>
        <v>–</v>
      </c>
      <c r="AK38" s="552">
        <f>CB38</f>
        <v>123</v>
      </c>
      <c r="AL38" s="155">
        <f>CE38</f>
        <v>7</v>
      </c>
      <c r="AM38" s="155">
        <f>CH38</f>
        <v>35</v>
      </c>
      <c r="AN38" s="155">
        <f>CJ38</f>
        <v>1536</v>
      </c>
      <c r="AO38" s="155">
        <f t="shared" si="73"/>
        <v>69</v>
      </c>
      <c r="AP38" s="155">
        <f t="shared" si="73"/>
        <v>47</v>
      </c>
      <c r="AQ38" s="155">
        <f>CK38</f>
        <v>21</v>
      </c>
      <c r="AR38" s="155">
        <f>CI38</f>
        <v>7523</v>
      </c>
      <c r="AS38" s="156">
        <f>CF38+CG38</f>
        <v>58</v>
      </c>
      <c r="AT38" s="155">
        <v>67</v>
      </c>
      <c r="AU38" s="155">
        <v>70</v>
      </c>
      <c r="AV38" s="155">
        <v>191</v>
      </c>
      <c r="AW38" s="155">
        <v>93</v>
      </c>
      <c r="AX38" s="155">
        <v>462</v>
      </c>
      <c r="AY38" s="155">
        <v>484</v>
      </c>
      <c r="AZ38" s="155">
        <v>51</v>
      </c>
      <c r="BA38" s="155">
        <v>1042</v>
      </c>
      <c r="BB38" s="155">
        <v>796</v>
      </c>
      <c r="BC38" s="155">
        <v>183</v>
      </c>
      <c r="BD38" s="155">
        <v>82</v>
      </c>
      <c r="BE38" s="155">
        <v>5</v>
      </c>
      <c r="BF38" s="552">
        <v>15</v>
      </c>
      <c r="BG38" s="155">
        <v>28</v>
      </c>
      <c r="BH38" s="155" t="s">
        <v>308</v>
      </c>
      <c r="BI38" s="155">
        <v>157</v>
      </c>
      <c r="BJ38" s="155">
        <v>394</v>
      </c>
      <c r="BK38" s="155">
        <v>23</v>
      </c>
      <c r="BL38" s="155" t="s">
        <v>308</v>
      </c>
      <c r="BM38" s="155" t="s">
        <v>308</v>
      </c>
      <c r="BN38" s="155">
        <v>381</v>
      </c>
      <c r="BO38" s="155" t="s">
        <v>308</v>
      </c>
      <c r="BP38" s="155">
        <v>1</v>
      </c>
      <c r="BQ38" s="155">
        <v>17</v>
      </c>
      <c r="BR38" s="552">
        <v>7</v>
      </c>
      <c r="BS38" s="155">
        <v>73</v>
      </c>
      <c r="BT38" s="155">
        <v>796</v>
      </c>
      <c r="BU38" s="155">
        <v>586</v>
      </c>
      <c r="BV38" s="155">
        <v>4078</v>
      </c>
      <c r="BW38" s="155" t="s">
        <v>308</v>
      </c>
      <c r="BX38" s="155" t="s">
        <v>308</v>
      </c>
      <c r="BY38" s="155" t="s">
        <v>41</v>
      </c>
      <c r="BZ38" s="155">
        <v>1032</v>
      </c>
      <c r="CA38" s="155">
        <v>646</v>
      </c>
      <c r="CB38" s="552">
        <v>123</v>
      </c>
      <c r="CC38" s="155">
        <v>69</v>
      </c>
      <c r="CD38" s="155">
        <v>47</v>
      </c>
      <c r="CE38" s="155">
        <v>7</v>
      </c>
      <c r="CF38" s="155">
        <v>5</v>
      </c>
      <c r="CG38" s="155">
        <v>53</v>
      </c>
      <c r="CH38" s="155">
        <v>35</v>
      </c>
      <c r="CI38" s="155">
        <v>7523</v>
      </c>
      <c r="CJ38" s="155">
        <v>1536</v>
      </c>
      <c r="CK38" s="156">
        <v>21</v>
      </c>
      <c r="CL38" s="320">
        <v>21491</v>
      </c>
    </row>
    <row r="39" spans="1:90">
      <c r="A39" s="80">
        <f>ROWS($A$3:A37)</f>
        <v>35</v>
      </c>
      <c r="B39" s="92" t="s">
        <v>245</v>
      </c>
      <c r="C39" s="203"/>
      <c r="D39" s="259" t="s">
        <v>1</v>
      </c>
      <c r="E39" s="447">
        <v>42888</v>
      </c>
      <c r="F39" s="154">
        <v>10602</v>
      </c>
      <c r="G39" s="155">
        <v>2230</v>
      </c>
      <c r="H39" s="155">
        <v>11548</v>
      </c>
      <c r="I39" s="156">
        <v>572</v>
      </c>
      <c r="J39" s="281"/>
      <c r="K39" s="154" t="str">
        <f>BF39</f>
        <v>–</v>
      </c>
      <c r="L39" s="155">
        <f>AY39</f>
        <v>1116</v>
      </c>
      <c r="M39" s="155">
        <f>BD39</f>
        <v>745</v>
      </c>
      <c r="N39" s="155" t="str">
        <f>AW39</f>
        <v xml:space="preserve"> .</v>
      </c>
      <c r="O39" s="155" t="str">
        <f>BE39</f>
        <v>–</v>
      </c>
      <c r="P39" s="155">
        <f>'2019'!AZ39+'2019'!BA39</f>
        <v>5731</v>
      </c>
      <c r="Q39" s="155" t="str">
        <f>'2019'!AU39</f>
        <v xml:space="preserve"> .</v>
      </c>
      <c r="R39" s="155">
        <f t="shared" si="71"/>
        <v>2089</v>
      </c>
      <c r="S39" s="155">
        <f>AV39</f>
        <v>120</v>
      </c>
      <c r="T39" s="155">
        <f t="shared" si="72"/>
        <v>801</v>
      </c>
      <c r="U39" s="552" t="str">
        <f t="shared" si="72"/>
        <v xml:space="preserve"> .</v>
      </c>
      <c r="V39" s="155">
        <f>BG39+BJ39</f>
        <v>517</v>
      </c>
      <c r="W39" s="155" t="str">
        <f>BR39</f>
        <v xml:space="preserve"> .</v>
      </c>
      <c r="X39" s="155">
        <f>BI39</f>
        <v>795</v>
      </c>
      <c r="Y39" s="155">
        <f>BN39</f>
        <v>642</v>
      </c>
      <c r="Z39" s="155" t="str">
        <f>BM39</f>
        <v>–</v>
      </c>
      <c r="AA39" s="155">
        <f>BQ39</f>
        <v>210</v>
      </c>
      <c r="AB39" s="552" t="str">
        <f>BP39</f>
        <v>–</v>
      </c>
      <c r="AC39" s="155" t="str">
        <f>BX39</f>
        <v>–</v>
      </c>
      <c r="AD39" s="155">
        <f>BU39</f>
        <v>1810</v>
      </c>
      <c r="AE39" s="155">
        <f>BT39</f>
        <v>5368</v>
      </c>
      <c r="AF39" s="155">
        <f>CA39</f>
        <v>786</v>
      </c>
      <c r="AG39" s="155">
        <f>BV39</f>
        <v>2677</v>
      </c>
      <c r="AH39" s="155">
        <f>BZ39</f>
        <v>66</v>
      </c>
      <c r="AI39" s="155" t="str">
        <f>BW39</f>
        <v>–</v>
      </c>
      <c r="AJ39" s="155" t="str">
        <f>BY39</f>
        <v>–</v>
      </c>
      <c r="AK39" s="552">
        <f>CB39</f>
        <v>63</v>
      </c>
      <c r="AL39" s="155" t="str">
        <f>CE39</f>
        <v>–</v>
      </c>
      <c r="AM39" s="155" t="str">
        <f>CH39</f>
        <v xml:space="preserve"> .</v>
      </c>
      <c r="AN39" s="155" t="str">
        <f>CJ39</f>
        <v>–</v>
      </c>
      <c r="AO39" s="155">
        <f t="shared" si="73"/>
        <v>17</v>
      </c>
      <c r="AP39" s="155">
        <f t="shared" si="73"/>
        <v>14</v>
      </c>
      <c r="AQ39" s="155" t="str">
        <f>CK39</f>
        <v>–</v>
      </c>
      <c r="AR39" s="155">
        <f>CI39</f>
        <v>539</v>
      </c>
      <c r="AS39" s="156" t="str">
        <f>CG39</f>
        <v xml:space="preserve"> .</v>
      </c>
      <c r="AT39" s="155">
        <v>368</v>
      </c>
      <c r="AU39" s="155" t="s">
        <v>308</v>
      </c>
      <c r="AV39" s="155">
        <v>120</v>
      </c>
      <c r="AW39" s="155" t="s">
        <v>308</v>
      </c>
      <c r="AX39" s="155">
        <v>1721</v>
      </c>
      <c r="AY39" s="155">
        <v>1116</v>
      </c>
      <c r="AZ39" s="155">
        <v>626</v>
      </c>
      <c r="BA39" s="155">
        <v>5105</v>
      </c>
      <c r="BB39" s="155">
        <v>801</v>
      </c>
      <c r="BC39" s="155" t="s">
        <v>308</v>
      </c>
      <c r="BD39" s="155">
        <v>745</v>
      </c>
      <c r="BE39" s="155" t="s">
        <v>41</v>
      </c>
      <c r="BF39" s="552" t="s">
        <v>41</v>
      </c>
      <c r="BG39" s="155">
        <v>203</v>
      </c>
      <c r="BH39" s="155" t="s">
        <v>308</v>
      </c>
      <c r="BI39" s="155">
        <v>795</v>
      </c>
      <c r="BJ39" s="155">
        <v>314</v>
      </c>
      <c r="BK39" s="155">
        <v>56</v>
      </c>
      <c r="BL39" s="155" t="s">
        <v>41</v>
      </c>
      <c r="BM39" s="155" t="s">
        <v>41</v>
      </c>
      <c r="BN39" s="155">
        <v>642</v>
      </c>
      <c r="BO39" s="155" t="s">
        <v>41</v>
      </c>
      <c r="BP39" s="155" t="s">
        <v>41</v>
      </c>
      <c r="BQ39" s="155">
        <v>210</v>
      </c>
      <c r="BR39" s="552" t="s">
        <v>308</v>
      </c>
      <c r="BS39" s="155">
        <v>779</v>
      </c>
      <c r="BT39" s="155">
        <v>5368</v>
      </c>
      <c r="BU39" s="155">
        <v>1810</v>
      </c>
      <c r="BV39" s="155">
        <v>2677</v>
      </c>
      <c r="BW39" s="155" t="s">
        <v>41</v>
      </c>
      <c r="BX39" s="155" t="s">
        <v>41</v>
      </c>
      <c r="BY39" s="155" t="s">
        <v>41</v>
      </c>
      <c r="BZ39" s="155">
        <v>66</v>
      </c>
      <c r="CA39" s="155">
        <v>786</v>
      </c>
      <c r="CB39" s="552">
        <v>63</v>
      </c>
      <c r="CC39" s="155">
        <v>17</v>
      </c>
      <c r="CD39" s="155">
        <v>14</v>
      </c>
      <c r="CE39" s="155" t="s">
        <v>41</v>
      </c>
      <c r="CF39" s="155" t="s">
        <v>41</v>
      </c>
      <c r="CG39" s="155" t="s">
        <v>308</v>
      </c>
      <c r="CH39" s="155" t="s">
        <v>308</v>
      </c>
      <c r="CI39" s="155">
        <v>539</v>
      </c>
      <c r="CJ39" s="155" t="s">
        <v>41</v>
      </c>
      <c r="CK39" s="156" t="s">
        <v>41</v>
      </c>
      <c r="CL39" s="320">
        <v>24952</v>
      </c>
    </row>
    <row r="40" spans="1:90">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c r="A41" s="80">
        <f>ROWS($A$3:A39)</f>
        <v>37</v>
      </c>
      <c r="B41" s="92" t="s">
        <v>73</v>
      </c>
      <c r="C41" s="684">
        <v>2019</v>
      </c>
      <c r="D41" s="685" t="s">
        <v>7</v>
      </c>
      <c r="E41" s="447">
        <v>43772</v>
      </c>
      <c r="F41" s="154">
        <v>287641</v>
      </c>
      <c r="G41" s="155">
        <v>78273</v>
      </c>
      <c r="H41" s="155">
        <v>202310</v>
      </c>
      <c r="I41" s="156">
        <v>380933</v>
      </c>
      <c r="J41" s="281"/>
      <c r="K41" s="154">
        <f t="shared" ref="K41:K54" si="74">BF41</f>
        <v>70150</v>
      </c>
      <c r="L41" s="155">
        <f t="shared" ref="L41:L54" si="75">AY41</f>
        <v>20491</v>
      </c>
      <c r="M41" s="155">
        <f t="shared" ref="M41:M54" si="76">BD41</f>
        <v>18793</v>
      </c>
      <c r="N41" s="155">
        <f t="shared" ref="N41:N54" si="77">AW41</f>
        <v>30362</v>
      </c>
      <c r="O41" s="155">
        <f t="shared" ref="O41:O54" si="78">BE41</f>
        <v>20356</v>
      </c>
      <c r="P41" s="155">
        <f>'2019'!AZ41+'2019'!BA41</f>
        <v>11893</v>
      </c>
      <c r="Q41" s="155">
        <f>'2019'!AU41</f>
        <v>9251</v>
      </c>
      <c r="R41" s="155">
        <f t="shared" si="71"/>
        <v>13283</v>
      </c>
      <c r="S41" s="155">
        <f t="shared" ref="S41:S54" si="79">AV41</f>
        <v>8512</v>
      </c>
      <c r="T41" s="155">
        <f t="shared" ref="T41:U54" si="80">BB41</f>
        <v>22362</v>
      </c>
      <c r="U41" s="552">
        <f t="shared" si="80"/>
        <v>62188</v>
      </c>
      <c r="V41" s="155">
        <f>BG41+BJ41</f>
        <v>2479</v>
      </c>
      <c r="W41" s="155">
        <f t="shared" ref="W41:W54" si="81">BR41</f>
        <v>11937</v>
      </c>
      <c r="X41" s="155">
        <f>BH41+BI41</f>
        <v>5801</v>
      </c>
      <c r="Y41" s="155">
        <f>BK41+BL41+BN41</f>
        <v>11738</v>
      </c>
      <c r="Z41" s="155">
        <f t="shared" ref="Z41:Z54" si="82">BM41</f>
        <v>22481</v>
      </c>
      <c r="AA41" s="155">
        <f>BO41+BQ41</f>
        <v>10592</v>
      </c>
      <c r="AB41" s="552">
        <f t="shared" ref="AB41:AB54" si="83">BP41</f>
        <v>13245</v>
      </c>
      <c r="AC41" s="155">
        <f t="shared" ref="AC41:AC54" si="84">BX41</f>
        <v>30875</v>
      </c>
      <c r="AD41" s="155">
        <f t="shared" ref="AD41:AD54" si="85">BU41</f>
        <v>13556</v>
      </c>
      <c r="AE41" s="155">
        <f>BS41+BT41</f>
        <v>27520</v>
      </c>
      <c r="AF41" s="155">
        <f t="shared" ref="AF41:AF54" si="86">CA41</f>
        <v>14154</v>
      </c>
      <c r="AG41" s="155">
        <f t="shared" ref="AG41:AG54" si="87">BV41</f>
        <v>26735</v>
      </c>
      <c r="AH41" s="155">
        <f t="shared" ref="AH41:AH54" si="88">BZ41</f>
        <v>23548</v>
      </c>
      <c r="AI41" s="155">
        <f t="shared" ref="AI41:AI54" si="89">BW41</f>
        <v>16365</v>
      </c>
      <c r="AJ41" s="155">
        <f t="shared" ref="AJ41:AJ54" si="90">BY41</f>
        <v>15578</v>
      </c>
      <c r="AK41" s="552">
        <f t="shared" ref="AK41:AK54" si="91">CB41</f>
        <v>33979</v>
      </c>
      <c r="AL41" s="155">
        <f t="shared" ref="AL41:AL54" si="92">CE41</f>
        <v>14665</v>
      </c>
      <c r="AM41" s="155">
        <f t="shared" ref="AM41:AM54" si="93">CH41</f>
        <v>86980</v>
      </c>
      <c r="AN41" s="155">
        <f t="shared" ref="AN41:AN54" si="94">CJ41</f>
        <v>136983</v>
      </c>
      <c r="AO41" s="155">
        <f t="shared" ref="AO41:AP54" si="95">CC41</f>
        <v>28035</v>
      </c>
      <c r="AP41" s="155">
        <f t="shared" si="95"/>
        <v>6011</v>
      </c>
      <c r="AQ41" s="155">
        <f t="shared" ref="AQ41:AQ54" si="96">CK41</f>
        <v>35862</v>
      </c>
      <c r="AR41" s="155">
        <f t="shared" ref="AR41:AR54" si="97">CI41</f>
        <v>20403</v>
      </c>
      <c r="AS41" s="156">
        <f>CF41+CG41</f>
        <v>51994</v>
      </c>
      <c r="AT41" s="155">
        <v>864</v>
      </c>
      <c r="AU41" s="155">
        <v>9251</v>
      </c>
      <c r="AV41" s="155">
        <v>8512</v>
      </c>
      <c r="AW41" s="155">
        <v>30362</v>
      </c>
      <c r="AX41" s="155">
        <v>12419</v>
      </c>
      <c r="AY41" s="155">
        <v>20491</v>
      </c>
      <c r="AZ41" s="155">
        <v>167</v>
      </c>
      <c r="BA41" s="155">
        <v>11726</v>
      </c>
      <c r="BB41" s="155">
        <v>22362</v>
      </c>
      <c r="BC41" s="155">
        <v>62188</v>
      </c>
      <c r="BD41" s="155">
        <v>18793</v>
      </c>
      <c r="BE41" s="155">
        <v>20356</v>
      </c>
      <c r="BF41" s="552">
        <v>70150</v>
      </c>
      <c r="BG41" s="155">
        <v>221</v>
      </c>
      <c r="BH41" s="155">
        <v>301</v>
      </c>
      <c r="BI41" s="155">
        <v>5500</v>
      </c>
      <c r="BJ41" s="155">
        <v>2258</v>
      </c>
      <c r="BK41" s="155">
        <v>353</v>
      </c>
      <c r="BL41" s="155">
        <v>50</v>
      </c>
      <c r="BM41" s="155">
        <v>22481</v>
      </c>
      <c r="BN41" s="155">
        <v>11335</v>
      </c>
      <c r="BO41" s="155">
        <v>117</v>
      </c>
      <c r="BP41" s="155">
        <v>13245</v>
      </c>
      <c r="BQ41" s="155">
        <v>10475</v>
      </c>
      <c r="BR41" s="552">
        <v>11937</v>
      </c>
      <c r="BS41" s="155">
        <v>491</v>
      </c>
      <c r="BT41" s="155">
        <v>27029</v>
      </c>
      <c r="BU41" s="155">
        <v>13556</v>
      </c>
      <c r="BV41" s="155">
        <v>26735</v>
      </c>
      <c r="BW41" s="155">
        <v>16365</v>
      </c>
      <c r="BX41" s="155">
        <v>30875</v>
      </c>
      <c r="BY41" s="155">
        <v>15578</v>
      </c>
      <c r="BZ41" s="155">
        <v>23548</v>
      </c>
      <c r="CA41" s="155">
        <v>14154</v>
      </c>
      <c r="CB41" s="552">
        <v>33979</v>
      </c>
      <c r="CC41" s="155">
        <v>28035</v>
      </c>
      <c r="CD41" s="155">
        <v>6011</v>
      </c>
      <c r="CE41" s="155">
        <v>14665</v>
      </c>
      <c r="CF41" s="155">
        <v>2440</v>
      </c>
      <c r="CG41" s="155">
        <v>49554</v>
      </c>
      <c r="CH41" s="155">
        <v>86980</v>
      </c>
      <c r="CI41" s="155">
        <v>20403</v>
      </c>
      <c r="CJ41" s="155">
        <v>136983</v>
      </c>
      <c r="CK41" s="156">
        <v>35862</v>
      </c>
      <c r="CL41" s="320">
        <v>949157</v>
      </c>
    </row>
    <row r="42" spans="1:90">
      <c r="A42" s="80">
        <f>ROWS($A$3:A40)</f>
        <v>38</v>
      </c>
      <c r="B42" s="92" t="s">
        <v>305</v>
      </c>
      <c r="C42" s="684">
        <v>2019</v>
      </c>
      <c r="D42" s="685" t="s">
        <v>7</v>
      </c>
      <c r="E42" s="447">
        <v>43772</v>
      </c>
      <c r="F42" s="154">
        <v>109297</v>
      </c>
      <c r="G42" s="155">
        <v>29338</v>
      </c>
      <c r="H42" s="155">
        <v>83660</v>
      </c>
      <c r="I42" s="156">
        <v>162389</v>
      </c>
      <c r="J42" s="281"/>
      <c r="K42" s="154">
        <f t="shared" si="74"/>
        <v>27759</v>
      </c>
      <c r="L42" s="155">
        <f t="shared" si="75"/>
        <v>8283</v>
      </c>
      <c r="M42" s="155">
        <f t="shared" si="76"/>
        <v>7107</v>
      </c>
      <c r="N42" s="155">
        <f t="shared" si="77"/>
        <v>12200</v>
      </c>
      <c r="O42" s="155">
        <f t="shared" si="78"/>
        <v>7062</v>
      </c>
      <c r="P42" s="155">
        <f>'2019'!BA42</f>
        <v>4153</v>
      </c>
      <c r="Q42" s="155">
        <f>'2019'!AU42</f>
        <v>3632</v>
      </c>
      <c r="R42" s="155">
        <f>AX42</f>
        <v>4368</v>
      </c>
      <c r="S42" s="155">
        <f t="shared" si="79"/>
        <v>3073</v>
      </c>
      <c r="T42" s="155">
        <f t="shared" si="80"/>
        <v>8871</v>
      </c>
      <c r="U42" s="552">
        <f t="shared" si="80"/>
        <v>22315</v>
      </c>
      <c r="V42" s="155">
        <f>BJ42</f>
        <v>863</v>
      </c>
      <c r="W42" s="155">
        <f t="shared" si="81"/>
        <v>4829</v>
      </c>
      <c r="X42" s="155">
        <f>BI42</f>
        <v>2042</v>
      </c>
      <c r="Y42" s="155">
        <f>BN42</f>
        <v>4002</v>
      </c>
      <c r="Z42" s="155">
        <f t="shared" si="82"/>
        <v>8324</v>
      </c>
      <c r="AA42" s="155">
        <f>BQ42</f>
        <v>3671</v>
      </c>
      <c r="AB42" s="552">
        <f t="shared" si="83"/>
        <v>5280</v>
      </c>
      <c r="AC42" s="155">
        <f t="shared" si="84"/>
        <v>14115</v>
      </c>
      <c r="AD42" s="155">
        <f t="shared" si="85"/>
        <v>4674</v>
      </c>
      <c r="AE42" s="155">
        <f>BS42+BT42</f>
        <v>12758</v>
      </c>
      <c r="AF42" s="155">
        <f t="shared" si="86"/>
        <v>5702</v>
      </c>
      <c r="AG42" s="155">
        <f t="shared" si="87"/>
        <v>10312</v>
      </c>
      <c r="AH42" s="155">
        <f t="shared" si="88"/>
        <v>9577</v>
      </c>
      <c r="AI42" s="155">
        <f t="shared" si="89"/>
        <v>5893</v>
      </c>
      <c r="AJ42" s="155">
        <f t="shared" si="90"/>
        <v>6920</v>
      </c>
      <c r="AK42" s="552">
        <f t="shared" si="91"/>
        <v>13709</v>
      </c>
      <c r="AL42" s="155">
        <f t="shared" si="92"/>
        <v>5590</v>
      </c>
      <c r="AM42" s="155">
        <f t="shared" si="93"/>
        <v>33894</v>
      </c>
      <c r="AN42" s="155">
        <f t="shared" si="94"/>
        <v>68054</v>
      </c>
      <c r="AO42" s="155">
        <f t="shared" si="95"/>
        <v>9045</v>
      </c>
      <c r="AP42" s="155">
        <f t="shared" si="95"/>
        <v>2125</v>
      </c>
      <c r="AQ42" s="155">
        <f t="shared" si="96"/>
        <v>14742</v>
      </c>
      <c r="AR42" s="155">
        <f t="shared" si="97"/>
        <v>9032</v>
      </c>
      <c r="AS42" s="156">
        <f>CF42+CG42</f>
        <v>19907</v>
      </c>
      <c r="AT42" s="155">
        <v>0</v>
      </c>
      <c r="AU42" s="155">
        <v>3632</v>
      </c>
      <c r="AV42" s="155">
        <v>3073</v>
      </c>
      <c r="AW42" s="155">
        <v>12200</v>
      </c>
      <c r="AX42" s="155">
        <v>4368</v>
      </c>
      <c r="AY42" s="155">
        <v>8283</v>
      </c>
      <c r="AZ42" s="155">
        <v>0</v>
      </c>
      <c r="BA42" s="155">
        <v>4153</v>
      </c>
      <c r="BB42" s="155">
        <v>8871</v>
      </c>
      <c r="BC42" s="155">
        <v>22315</v>
      </c>
      <c r="BD42" s="155">
        <v>7107</v>
      </c>
      <c r="BE42" s="155">
        <v>7062</v>
      </c>
      <c r="BF42" s="552">
        <v>27759</v>
      </c>
      <c r="BG42" s="155">
        <v>75</v>
      </c>
      <c r="BH42" s="155">
        <v>0</v>
      </c>
      <c r="BI42" s="155">
        <v>2042</v>
      </c>
      <c r="BJ42" s="155">
        <v>863</v>
      </c>
      <c r="BK42" s="155">
        <v>109</v>
      </c>
      <c r="BL42" s="155">
        <v>13</v>
      </c>
      <c r="BM42" s="155">
        <v>8324</v>
      </c>
      <c r="BN42" s="155">
        <v>4002</v>
      </c>
      <c r="BO42" s="155">
        <v>0</v>
      </c>
      <c r="BP42" s="155">
        <v>5280</v>
      </c>
      <c r="BQ42" s="155">
        <v>3671</v>
      </c>
      <c r="BR42" s="552">
        <v>4829</v>
      </c>
      <c r="BS42" s="155">
        <v>187</v>
      </c>
      <c r="BT42" s="155">
        <v>12571</v>
      </c>
      <c r="BU42" s="155">
        <v>4674</v>
      </c>
      <c r="BV42" s="155">
        <v>10312</v>
      </c>
      <c r="BW42" s="155">
        <v>5893</v>
      </c>
      <c r="BX42" s="155">
        <v>14115</v>
      </c>
      <c r="BY42" s="155">
        <v>6920</v>
      </c>
      <c r="BZ42" s="155">
        <v>9577</v>
      </c>
      <c r="CA42" s="155">
        <v>5702</v>
      </c>
      <c r="CB42" s="552">
        <v>13709</v>
      </c>
      <c r="CC42" s="155">
        <v>9045</v>
      </c>
      <c r="CD42" s="155">
        <v>2125</v>
      </c>
      <c r="CE42" s="155">
        <v>5590</v>
      </c>
      <c r="CF42" s="155">
        <v>1094</v>
      </c>
      <c r="CG42" s="155">
        <v>18813</v>
      </c>
      <c r="CH42" s="155">
        <v>33894</v>
      </c>
      <c r="CI42" s="155">
        <v>9032</v>
      </c>
      <c r="CJ42" s="155">
        <v>68054</v>
      </c>
      <c r="CK42" s="156">
        <v>14742</v>
      </c>
      <c r="CL42" s="320">
        <v>384684</v>
      </c>
    </row>
    <row r="43" spans="1:90">
      <c r="A43" s="80">
        <f>ROWS($A$3:A41)</f>
        <v>39</v>
      </c>
      <c r="B43" s="92" t="s">
        <v>14</v>
      </c>
      <c r="C43" s="684">
        <v>2019</v>
      </c>
      <c r="D43" s="685" t="s">
        <v>7</v>
      </c>
      <c r="E43" s="447">
        <v>43772</v>
      </c>
      <c r="F43" s="154">
        <v>94631</v>
      </c>
      <c r="G43" s="155">
        <v>22357</v>
      </c>
      <c r="H43" s="155">
        <v>62044</v>
      </c>
      <c r="I43" s="156">
        <v>148899</v>
      </c>
      <c r="J43" s="281"/>
      <c r="K43" s="154">
        <f>BF43</f>
        <v>24231</v>
      </c>
      <c r="L43" s="155">
        <f>AY43</f>
        <v>6786</v>
      </c>
      <c r="M43" s="155">
        <f>BD43</f>
        <v>6158</v>
      </c>
      <c r="N43" s="155">
        <f>AW43</f>
        <v>10600</v>
      </c>
      <c r="O43" s="155">
        <f>BE43</f>
        <v>6594</v>
      </c>
      <c r="P43" s="155">
        <f>'2019'!BA43</f>
        <v>3333</v>
      </c>
      <c r="Q43" s="155">
        <f>'2019'!AU43</f>
        <v>2961</v>
      </c>
      <c r="R43" s="155">
        <f>AX43</f>
        <v>4057</v>
      </c>
      <c r="S43" s="155">
        <f>AV43</f>
        <v>2157</v>
      </c>
      <c r="T43" s="155">
        <f>BB43</f>
        <v>7633</v>
      </c>
      <c r="U43" s="552">
        <f>BC43</f>
        <v>19705</v>
      </c>
      <c r="V43" s="155">
        <f>BJ43</f>
        <v>190</v>
      </c>
      <c r="W43" s="155">
        <f>BR43</f>
        <v>4013</v>
      </c>
      <c r="X43" s="155">
        <f>BI43</f>
        <v>1302</v>
      </c>
      <c r="Y43" s="155">
        <f>BN43</f>
        <v>2943</v>
      </c>
      <c r="Z43" s="155">
        <f>BM43</f>
        <v>7155</v>
      </c>
      <c r="AA43" s="155">
        <f>BQ43</f>
        <v>2753</v>
      </c>
      <c r="AB43" s="552">
        <f>BP43</f>
        <v>3930</v>
      </c>
      <c r="AC43" s="155">
        <f>BX43</f>
        <v>12096</v>
      </c>
      <c r="AD43" s="155">
        <f>BU43</f>
        <v>2820</v>
      </c>
      <c r="AE43" s="155">
        <f>BS43+BT43</f>
        <v>8926</v>
      </c>
      <c r="AF43" s="155">
        <f>CA43</f>
        <v>2908</v>
      </c>
      <c r="AG43" s="155">
        <f>BV43</f>
        <v>6322</v>
      </c>
      <c r="AH43" s="155">
        <f>BZ43</f>
        <v>8433</v>
      </c>
      <c r="AI43" s="155">
        <f>BW43</f>
        <v>4307</v>
      </c>
      <c r="AJ43" s="155">
        <f>BY43</f>
        <v>5829</v>
      </c>
      <c r="AK43" s="552">
        <f>CB43</f>
        <v>10403</v>
      </c>
      <c r="AL43" s="155">
        <f>CE43</f>
        <v>3373</v>
      </c>
      <c r="AM43" s="155">
        <f>CH43</f>
        <v>31728</v>
      </c>
      <c r="AN43" s="155">
        <f>CJ43</f>
        <v>65295</v>
      </c>
      <c r="AO43" s="155">
        <f>CC43</f>
        <v>7647</v>
      </c>
      <c r="AP43" s="155">
        <f>CD43</f>
        <v>1448</v>
      </c>
      <c r="AQ43" s="155">
        <f>CK43</f>
        <v>13065</v>
      </c>
      <c r="AR43" s="155">
        <f>CI43</f>
        <v>8052</v>
      </c>
      <c r="AS43" s="156">
        <f>CF43+CG43</f>
        <v>18291</v>
      </c>
      <c r="AT43" s="155" t="s">
        <v>304</v>
      </c>
      <c r="AU43" s="155">
        <v>2961</v>
      </c>
      <c r="AV43" s="155">
        <v>2157</v>
      </c>
      <c r="AW43" s="155">
        <v>10600</v>
      </c>
      <c r="AX43" s="155">
        <v>4057</v>
      </c>
      <c r="AY43" s="155">
        <v>6786</v>
      </c>
      <c r="AZ43" s="155" t="s">
        <v>304</v>
      </c>
      <c r="BA43" s="155">
        <v>3333</v>
      </c>
      <c r="BB43" s="155">
        <v>7633</v>
      </c>
      <c r="BC43" s="155">
        <v>19705</v>
      </c>
      <c r="BD43" s="155">
        <v>6158</v>
      </c>
      <c r="BE43" s="155">
        <v>6594</v>
      </c>
      <c r="BF43" s="552">
        <v>24231</v>
      </c>
      <c r="BG43" s="155">
        <v>0</v>
      </c>
      <c r="BH43" s="155" t="s">
        <v>304</v>
      </c>
      <c r="BI43" s="155">
        <v>1302</v>
      </c>
      <c r="BJ43" s="155">
        <v>190</v>
      </c>
      <c r="BK43" s="155">
        <v>23</v>
      </c>
      <c r="BL43" s="155">
        <v>0</v>
      </c>
      <c r="BM43" s="155">
        <v>7155</v>
      </c>
      <c r="BN43" s="155">
        <v>2943</v>
      </c>
      <c r="BO43" s="155" t="s">
        <v>304</v>
      </c>
      <c r="BP43" s="155">
        <v>3930</v>
      </c>
      <c r="BQ43" s="155">
        <v>2753</v>
      </c>
      <c r="BR43" s="552">
        <v>4013</v>
      </c>
      <c r="BS43" s="155">
        <v>58</v>
      </c>
      <c r="BT43" s="155">
        <v>8868</v>
      </c>
      <c r="BU43" s="155">
        <v>2820</v>
      </c>
      <c r="BV43" s="155">
        <v>6322</v>
      </c>
      <c r="BW43" s="155">
        <v>4307</v>
      </c>
      <c r="BX43" s="155">
        <v>12096</v>
      </c>
      <c r="BY43" s="155">
        <v>5829</v>
      </c>
      <c r="BZ43" s="155">
        <v>8433</v>
      </c>
      <c r="CA43" s="155">
        <v>2908</v>
      </c>
      <c r="CB43" s="552">
        <v>10403</v>
      </c>
      <c r="CC43" s="155">
        <v>7647</v>
      </c>
      <c r="CD43" s="155">
        <v>1448</v>
      </c>
      <c r="CE43" s="155">
        <v>3373</v>
      </c>
      <c r="CF43" s="155">
        <v>1064</v>
      </c>
      <c r="CG43" s="155">
        <v>17227</v>
      </c>
      <c r="CH43" s="155">
        <v>31728</v>
      </c>
      <c r="CI43" s="155">
        <v>8052</v>
      </c>
      <c r="CJ43" s="155">
        <v>65295</v>
      </c>
      <c r="CK43" s="156">
        <v>13065</v>
      </c>
      <c r="CL43" s="320">
        <v>327931</v>
      </c>
    </row>
    <row r="44" spans="1:90">
      <c r="A44" s="80">
        <f>ROWS($A$3:A42)</f>
        <v>40</v>
      </c>
      <c r="B44" s="388" t="s">
        <v>20</v>
      </c>
      <c r="C44" s="684">
        <v>2019</v>
      </c>
      <c r="D44" s="685" t="s">
        <v>241</v>
      </c>
      <c r="E44" s="447">
        <v>43772</v>
      </c>
      <c r="F44" s="541">
        <f>IF(ISERROR(F43/F123)=TRUE,"*",F43/F123)</f>
        <v>53.343291995490418</v>
      </c>
      <c r="G44" s="542">
        <f t="shared" ref="G44:BQ44" si="98">IF(ISERROR(G43/G123)=TRUE,"*",G43/G123)</f>
        <v>60.0994623655914</v>
      </c>
      <c r="H44" s="542">
        <f t="shared" si="98"/>
        <v>38.464972101673901</v>
      </c>
      <c r="I44" s="543">
        <f t="shared" si="98"/>
        <v>57.757564003103184</v>
      </c>
      <c r="J44" s="281"/>
      <c r="K44" s="154">
        <f t="shared" si="98"/>
        <v>55.44851258581236</v>
      </c>
      <c r="L44" s="155">
        <f t="shared" si="98"/>
        <v>44.64473684210526</v>
      </c>
      <c r="M44" s="155">
        <f t="shared" si="98"/>
        <v>50.892561983471076</v>
      </c>
      <c r="N44" s="155">
        <f t="shared" si="98"/>
        <v>57.297297297297298</v>
      </c>
      <c r="O44" s="155">
        <f t="shared" si="98"/>
        <v>55.881355932203391</v>
      </c>
      <c r="P44" s="531">
        <f t="shared" si="98"/>
        <v>51.276923076923076</v>
      </c>
      <c r="Q44" s="155">
        <f t="shared" si="98"/>
        <v>63</v>
      </c>
      <c r="R44" s="531">
        <f t="shared" si="98"/>
        <v>51.354430379746837</v>
      </c>
      <c r="S44" s="155">
        <f t="shared" si="98"/>
        <v>37.189655172413794</v>
      </c>
      <c r="T44" s="155">
        <f t="shared" si="98"/>
        <v>57.390977443609025</v>
      </c>
      <c r="U44" s="552">
        <f t="shared" si="98"/>
        <v>53.69209809264305</v>
      </c>
      <c r="V44" s="531">
        <f t="shared" si="98"/>
        <v>21.111111111111111</v>
      </c>
      <c r="W44" s="155">
        <f t="shared" si="98"/>
        <v>59.895522388059703</v>
      </c>
      <c r="X44" s="531">
        <f t="shared" si="98"/>
        <v>76.588235294117652</v>
      </c>
      <c r="Y44" s="531">
        <f t="shared" si="98"/>
        <v>65.400000000000006</v>
      </c>
      <c r="Z44" s="155">
        <f t="shared" si="98"/>
        <v>62.763157894736842</v>
      </c>
      <c r="AA44" s="531">
        <f t="shared" si="98"/>
        <v>59.847826086956523</v>
      </c>
      <c r="AB44" s="552">
        <f t="shared" si="98"/>
        <v>57.794117647058826</v>
      </c>
      <c r="AC44" s="155">
        <f t="shared" si="98"/>
        <v>39.019354838709674</v>
      </c>
      <c r="AD44" s="155">
        <f t="shared" si="98"/>
        <v>25.636363636363637</v>
      </c>
      <c r="AE44" s="531">
        <f t="shared" si="98"/>
        <v>29.654485049833887</v>
      </c>
      <c r="AF44" s="155">
        <f t="shared" si="98"/>
        <v>31.956043956043956</v>
      </c>
      <c r="AG44" s="155">
        <f t="shared" si="98"/>
        <v>26.123966942148762</v>
      </c>
      <c r="AH44" s="155">
        <f t="shared" si="98"/>
        <v>58.158620689655173</v>
      </c>
      <c r="AI44" s="155">
        <f t="shared" si="98"/>
        <v>34.456000000000003</v>
      </c>
      <c r="AJ44" s="155">
        <f t="shared" si="98"/>
        <v>75.701298701298697</v>
      </c>
      <c r="AK44" s="552">
        <f t="shared" si="98"/>
        <v>50.01442307692308</v>
      </c>
      <c r="AL44" s="155">
        <f t="shared" si="98"/>
        <v>71.765957446808514</v>
      </c>
      <c r="AM44" s="155">
        <f t="shared" si="98"/>
        <v>60.090909090909093</v>
      </c>
      <c r="AN44" s="155">
        <f t="shared" si="98"/>
        <v>57.579365079365083</v>
      </c>
      <c r="AO44" s="155">
        <f t="shared" si="98"/>
        <v>59.7421875</v>
      </c>
      <c r="AP44" s="155">
        <f t="shared" si="98"/>
        <v>76.21052631578948</v>
      </c>
      <c r="AQ44" s="155">
        <f t="shared" si="98"/>
        <v>61.627358490566039</v>
      </c>
      <c r="AR44" s="155">
        <f t="shared" si="98"/>
        <v>44.241758241758241</v>
      </c>
      <c r="AS44" s="532">
        <f t="shared" si="98"/>
        <v>58.06666666666667</v>
      </c>
      <c r="AT44" s="155" t="str">
        <f t="shared" si="98"/>
        <v>*</v>
      </c>
      <c r="AU44" s="155">
        <f t="shared" si="98"/>
        <v>63</v>
      </c>
      <c r="AV44" s="155">
        <f t="shared" si="98"/>
        <v>37.189655172413794</v>
      </c>
      <c r="AW44" s="155">
        <f t="shared" si="98"/>
        <v>57.297297297297298</v>
      </c>
      <c r="AX44" s="155">
        <f t="shared" si="98"/>
        <v>51.354430379746837</v>
      </c>
      <c r="AY44" s="155">
        <f t="shared" si="98"/>
        <v>44.64473684210526</v>
      </c>
      <c r="AZ44" s="155" t="str">
        <f t="shared" si="98"/>
        <v>*</v>
      </c>
      <c r="BA44" s="155">
        <f t="shared" si="98"/>
        <v>51.276923076923076</v>
      </c>
      <c r="BB44" s="155">
        <f t="shared" si="98"/>
        <v>57.390977443609025</v>
      </c>
      <c r="BC44" s="155">
        <f t="shared" si="98"/>
        <v>53.69209809264305</v>
      </c>
      <c r="BD44" s="155">
        <f t="shared" si="98"/>
        <v>50.892561983471076</v>
      </c>
      <c r="BE44" s="155">
        <f t="shared" si="98"/>
        <v>55.881355932203391</v>
      </c>
      <c r="BF44" s="552">
        <f t="shared" si="98"/>
        <v>55.44851258581236</v>
      </c>
      <c r="BG44" s="155" t="str">
        <f t="shared" si="98"/>
        <v>*</v>
      </c>
      <c r="BH44" s="155" t="str">
        <f t="shared" si="98"/>
        <v>*</v>
      </c>
      <c r="BI44" s="155">
        <f t="shared" si="98"/>
        <v>76.588235294117652</v>
      </c>
      <c r="BJ44" s="155">
        <f t="shared" si="98"/>
        <v>21.111111111111111</v>
      </c>
      <c r="BK44" s="155">
        <f t="shared" si="98"/>
        <v>7.666666666666667</v>
      </c>
      <c r="BL44" s="155" t="str">
        <f t="shared" si="98"/>
        <v>*</v>
      </c>
      <c r="BM44" s="155">
        <f t="shared" si="98"/>
        <v>62.763157894736842</v>
      </c>
      <c r="BN44" s="155">
        <f t="shared" si="98"/>
        <v>65.400000000000006</v>
      </c>
      <c r="BO44" s="155" t="str">
        <f t="shared" si="98"/>
        <v>*</v>
      </c>
      <c r="BP44" s="155">
        <f t="shared" si="98"/>
        <v>57.794117647058826</v>
      </c>
      <c r="BQ44" s="155">
        <f t="shared" si="98"/>
        <v>59.847826086956523</v>
      </c>
      <c r="BR44" s="552">
        <f>IF(ISERROR(BR43/BR123)=TRUE,"*",BR43/BR123)</f>
        <v>59.895522388059703</v>
      </c>
      <c r="BS44" s="155">
        <f t="shared" ref="BS44:CL44" si="99">IF(ISERROR(BS43/BS123)=TRUE,"*",BS43/BS123)</f>
        <v>14.5</v>
      </c>
      <c r="BT44" s="155">
        <f t="shared" si="99"/>
        <v>29.461794019933556</v>
      </c>
      <c r="BU44" s="155">
        <f t="shared" si="99"/>
        <v>25.636363636363637</v>
      </c>
      <c r="BV44" s="155">
        <f t="shared" si="99"/>
        <v>26.123966942148762</v>
      </c>
      <c r="BW44" s="155">
        <f t="shared" si="99"/>
        <v>34.456000000000003</v>
      </c>
      <c r="BX44" s="155">
        <f t="shared" si="99"/>
        <v>39.019354838709674</v>
      </c>
      <c r="BY44" s="155">
        <f t="shared" si="99"/>
        <v>75.701298701298697</v>
      </c>
      <c r="BZ44" s="155">
        <f t="shared" si="99"/>
        <v>58.158620689655173</v>
      </c>
      <c r="CA44" s="155">
        <f t="shared" si="99"/>
        <v>31.956043956043956</v>
      </c>
      <c r="CB44" s="552">
        <f t="shared" si="99"/>
        <v>50.01442307692308</v>
      </c>
      <c r="CC44" s="155">
        <f t="shared" si="99"/>
        <v>59.7421875</v>
      </c>
      <c r="CD44" s="155">
        <f t="shared" si="99"/>
        <v>76.21052631578948</v>
      </c>
      <c r="CE44" s="155">
        <f>IF(ISERROR(CE43/CE123)=TRUE,"*",CE43/CE123)</f>
        <v>71.765957446808514</v>
      </c>
      <c r="CF44" s="155">
        <f t="shared" si="99"/>
        <v>81.84615384615384</v>
      </c>
      <c r="CG44" s="155">
        <f t="shared" si="99"/>
        <v>54.68888888888889</v>
      </c>
      <c r="CH44" s="155">
        <f t="shared" si="99"/>
        <v>60.090909090909093</v>
      </c>
      <c r="CI44" s="155">
        <f t="shared" si="99"/>
        <v>44.241758241758241</v>
      </c>
      <c r="CJ44" s="155">
        <f t="shared" si="99"/>
        <v>57.579365079365083</v>
      </c>
      <c r="CK44" s="156">
        <f t="shared" si="99"/>
        <v>61.627358490566039</v>
      </c>
      <c r="CL44" s="320">
        <f t="shared" si="99"/>
        <v>51.748619220451317</v>
      </c>
    </row>
    <row r="45" spans="1:90">
      <c r="A45" s="80">
        <f>ROWS($A$3:A43)</f>
        <v>41</v>
      </c>
      <c r="B45" s="92" t="s">
        <v>74</v>
      </c>
      <c r="C45" s="202">
        <v>2016</v>
      </c>
      <c r="D45" s="259" t="s">
        <v>7</v>
      </c>
      <c r="E45" s="447">
        <v>42887</v>
      </c>
      <c r="F45" s="154">
        <v>1024111</v>
      </c>
      <c r="G45" s="155">
        <v>77555</v>
      </c>
      <c r="H45" s="155">
        <v>122684</v>
      </c>
      <c r="I45" s="156">
        <v>651276</v>
      </c>
      <c r="J45" s="281"/>
      <c r="K45" s="154">
        <f t="shared" si="74"/>
        <v>144405</v>
      </c>
      <c r="L45" s="155">
        <f t="shared" si="75"/>
        <v>11410</v>
      </c>
      <c r="M45" s="155">
        <f t="shared" si="76"/>
        <v>126479</v>
      </c>
      <c r="N45" s="155">
        <f t="shared" si="77"/>
        <v>28645</v>
      </c>
      <c r="O45" s="155">
        <f t="shared" si="78"/>
        <v>43964</v>
      </c>
      <c r="P45" s="806">
        <f>IF(ISERROR(AZ45+BA45),BA45,AZ45+BA45)</f>
        <v>26152</v>
      </c>
      <c r="Q45" s="155">
        <f>'2019'!AU45</f>
        <v>20551</v>
      </c>
      <c r="R45" s="806">
        <f>IF(ISERROR(AT45+AX45),AX45,AT45+AX45)</f>
        <v>33909</v>
      </c>
      <c r="S45" s="155" t="str">
        <f t="shared" si="79"/>
        <v>.</v>
      </c>
      <c r="T45" s="155">
        <f t="shared" si="80"/>
        <v>158050</v>
      </c>
      <c r="U45" s="552">
        <f t="shared" si="80"/>
        <v>424418</v>
      </c>
      <c r="V45" s="806">
        <f>IF(ISERROR(BG45+BJ45),BJ45,(BG45+BJ45))</f>
        <v>3896</v>
      </c>
      <c r="W45" s="155">
        <f t="shared" si="81"/>
        <v>7626</v>
      </c>
      <c r="X45" s="806">
        <f>IF(ISERROR(BH45+BI45),BI45,(BH45+BI45))</f>
        <v>2360</v>
      </c>
      <c r="Y45" s="806">
        <f>IF(ISERROR(BK45+BL45+BN45),BK45+BN45,(BK45+BL45+BN45))</f>
        <v>18693</v>
      </c>
      <c r="Z45" s="155">
        <f t="shared" si="82"/>
        <v>32847</v>
      </c>
      <c r="AA45" s="806">
        <f>IF(ISERROR(BO45+BQ45),BQ45,(BO45+BQ45))</f>
        <v>5913</v>
      </c>
      <c r="AB45" s="552">
        <f t="shared" si="83"/>
        <v>4864</v>
      </c>
      <c r="AC45" s="155">
        <f t="shared" si="84"/>
        <v>19287</v>
      </c>
      <c r="AD45" s="155">
        <f t="shared" si="85"/>
        <v>2679</v>
      </c>
      <c r="AE45" s="806">
        <f>IF(ISERROR(BS45+BT45),BT45,(BS45+BT45))</f>
        <v>7079</v>
      </c>
      <c r="AF45" s="155">
        <f t="shared" si="86"/>
        <v>2283</v>
      </c>
      <c r="AG45" s="155">
        <f t="shared" si="87"/>
        <v>24213</v>
      </c>
      <c r="AH45" s="155">
        <f t="shared" si="88"/>
        <v>15012</v>
      </c>
      <c r="AI45" s="155">
        <f t="shared" si="89"/>
        <v>33230</v>
      </c>
      <c r="AJ45" s="155">
        <f t="shared" si="90"/>
        <v>7129</v>
      </c>
      <c r="AK45" s="552">
        <f t="shared" si="91"/>
        <v>11772</v>
      </c>
      <c r="AL45" s="155">
        <f t="shared" si="92"/>
        <v>7335</v>
      </c>
      <c r="AM45" s="155">
        <f t="shared" si="93"/>
        <v>176291</v>
      </c>
      <c r="AN45" s="155">
        <f t="shared" si="94"/>
        <v>50978</v>
      </c>
      <c r="AO45" s="155">
        <f t="shared" si="95"/>
        <v>21489</v>
      </c>
      <c r="AP45" s="155">
        <f t="shared" si="95"/>
        <v>12282</v>
      </c>
      <c r="AQ45" s="155">
        <f t="shared" si="96"/>
        <v>100727</v>
      </c>
      <c r="AR45" s="155">
        <f t="shared" si="97"/>
        <v>14273</v>
      </c>
      <c r="AS45" s="156">
        <f>CF45+CG45</f>
        <v>267901</v>
      </c>
      <c r="AT45" s="155" t="s">
        <v>41</v>
      </c>
      <c r="AU45" s="155">
        <v>20551</v>
      </c>
      <c r="AV45" s="155" t="s">
        <v>304</v>
      </c>
      <c r="AW45" s="155">
        <v>28645</v>
      </c>
      <c r="AX45" s="155">
        <v>33909</v>
      </c>
      <c r="AY45" s="155">
        <v>11410</v>
      </c>
      <c r="AZ45" s="155" t="s">
        <v>304</v>
      </c>
      <c r="BA45" s="155">
        <v>26152</v>
      </c>
      <c r="BB45" s="155">
        <v>158050</v>
      </c>
      <c r="BC45" s="155">
        <v>424418</v>
      </c>
      <c r="BD45" s="155">
        <v>126479</v>
      </c>
      <c r="BE45" s="155">
        <v>43964</v>
      </c>
      <c r="BF45" s="552">
        <v>144405</v>
      </c>
      <c r="BG45" s="155" t="s">
        <v>41</v>
      </c>
      <c r="BH45" s="155" t="s">
        <v>304</v>
      </c>
      <c r="BI45" s="155">
        <v>2360</v>
      </c>
      <c r="BJ45" s="155">
        <v>3896</v>
      </c>
      <c r="BK45" s="155">
        <v>481</v>
      </c>
      <c r="BL45" s="155" t="s">
        <v>304</v>
      </c>
      <c r="BM45" s="155">
        <v>32847</v>
      </c>
      <c r="BN45" s="155">
        <v>18212</v>
      </c>
      <c r="BO45" s="155" t="s">
        <v>304</v>
      </c>
      <c r="BP45" s="155">
        <v>4864</v>
      </c>
      <c r="BQ45" s="155">
        <v>5913</v>
      </c>
      <c r="BR45" s="552">
        <v>7626</v>
      </c>
      <c r="BS45" s="155">
        <v>403</v>
      </c>
      <c r="BT45" s="155">
        <v>6676</v>
      </c>
      <c r="BU45" s="155">
        <v>2679</v>
      </c>
      <c r="BV45" s="155">
        <v>24213</v>
      </c>
      <c r="BW45" s="155">
        <v>33230</v>
      </c>
      <c r="BX45" s="155">
        <v>19287</v>
      </c>
      <c r="BY45" s="155">
        <v>7129</v>
      </c>
      <c r="BZ45" s="155">
        <v>15012</v>
      </c>
      <c r="CA45" s="155">
        <v>2283</v>
      </c>
      <c r="CB45" s="552">
        <v>11772</v>
      </c>
      <c r="CC45" s="155">
        <v>21489</v>
      </c>
      <c r="CD45" s="155">
        <v>12282</v>
      </c>
      <c r="CE45" s="155">
        <v>7335</v>
      </c>
      <c r="CF45" s="155">
        <v>17661</v>
      </c>
      <c r="CG45" s="155">
        <v>250240</v>
      </c>
      <c r="CH45" s="155">
        <v>176291</v>
      </c>
      <c r="CI45" s="155">
        <v>14273</v>
      </c>
      <c r="CJ45" s="155">
        <v>50978</v>
      </c>
      <c r="CK45" s="156">
        <v>100727</v>
      </c>
      <c r="CL45" s="320">
        <v>1875626</v>
      </c>
    </row>
    <row r="46" spans="1:90">
      <c r="A46" s="80">
        <f>ROWS($A$3:A44)</f>
        <v>42</v>
      </c>
      <c r="B46" s="92" t="s">
        <v>8</v>
      </c>
      <c r="C46" s="203"/>
      <c r="D46" s="259" t="s">
        <v>7</v>
      </c>
      <c r="E46" s="447">
        <v>42887</v>
      </c>
      <c r="F46" s="154">
        <v>98587</v>
      </c>
      <c r="G46" s="155">
        <v>4322</v>
      </c>
      <c r="H46" s="155">
        <v>10836</v>
      </c>
      <c r="I46" s="156">
        <v>58503</v>
      </c>
      <c r="J46" s="281"/>
      <c r="K46" s="154">
        <f t="shared" si="74"/>
        <v>17844</v>
      </c>
      <c r="L46" s="155" t="str">
        <f t="shared" si="75"/>
        <v>.</v>
      </c>
      <c r="M46" s="155">
        <f t="shared" si="76"/>
        <v>13073</v>
      </c>
      <c r="N46" s="155">
        <f t="shared" si="77"/>
        <v>2601</v>
      </c>
      <c r="O46" s="155">
        <f t="shared" si="78"/>
        <v>2383</v>
      </c>
      <c r="P46" s="806">
        <f>IF(ISERROR(AZ46+BA46),BA46,AZ46+BA46)</f>
        <v>2320</v>
      </c>
      <c r="Q46" s="155">
        <f>'2019'!AU46</f>
        <v>2054</v>
      </c>
      <c r="R46" s="806">
        <f>IF(ISERROR(AT46+AX46),AX46,AT46+AX46)</f>
        <v>2412</v>
      </c>
      <c r="S46" s="155" t="str">
        <f t="shared" si="79"/>
        <v>.</v>
      </c>
      <c r="T46" s="155">
        <f t="shared" si="80"/>
        <v>15131</v>
      </c>
      <c r="U46" s="552">
        <f t="shared" si="80"/>
        <v>39834</v>
      </c>
      <c r="V46" s="806">
        <f>IF(ISERROR(BG46+BJ46),BJ46,(BG46+BJ46))</f>
        <v>293</v>
      </c>
      <c r="W46" s="155">
        <f t="shared" si="81"/>
        <v>807</v>
      </c>
      <c r="X46" s="806" t="str">
        <f>IF(ISERROR(BH46+BI46),BI46,(BH46+BI46))</f>
        <v>.</v>
      </c>
      <c r="Y46" s="806">
        <f>IF(ISERROR(BK46+BL46+BN46),BN46,(BK46+BL46+BN46))</f>
        <v>1152</v>
      </c>
      <c r="Z46" s="155">
        <f t="shared" si="82"/>
        <v>1551</v>
      </c>
      <c r="AA46" s="806">
        <f>IF(ISERROR(BO46+BQ46),BQ46,(BO46+BQ46))</f>
        <v>194</v>
      </c>
      <c r="AB46" s="552">
        <f t="shared" si="83"/>
        <v>296</v>
      </c>
      <c r="AC46" s="155">
        <f t="shared" si="84"/>
        <v>1600</v>
      </c>
      <c r="AD46" s="155">
        <f t="shared" si="85"/>
        <v>276</v>
      </c>
      <c r="AE46" s="806">
        <f>IF(ISERROR(BS46+BT46),BT46,(BS46+BT46))</f>
        <v>459</v>
      </c>
      <c r="AF46" s="155">
        <f t="shared" si="86"/>
        <v>47</v>
      </c>
      <c r="AG46" s="155">
        <f t="shared" si="87"/>
        <v>2273</v>
      </c>
      <c r="AH46" s="155">
        <f t="shared" si="88"/>
        <v>1157</v>
      </c>
      <c r="AI46" s="155">
        <f t="shared" si="89"/>
        <v>3114</v>
      </c>
      <c r="AJ46" s="155">
        <f t="shared" si="90"/>
        <v>1018</v>
      </c>
      <c r="AK46" s="552">
        <f t="shared" si="91"/>
        <v>892</v>
      </c>
      <c r="AL46" s="155">
        <f t="shared" si="92"/>
        <v>561</v>
      </c>
      <c r="AM46" s="155">
        <f t="shared" si="93"/>
        <v>16690</v>
      </c>
      <c r="AN46" s="155">
        <f t="shared" si="94"/>
        <v>6612</v>
      </c>
      <c r="AO46" s="155">
        <f t="shared" si="95"/>
        <v>1884</v>
      </c>
      <c r="AP46" s="155">
        <f t="shared" si="95"/>
        <v>673</v>
      </c>
      <c r="AQ46" s="155">
        <f t="shared" si="96"/>
        <v>10928</v>
      </c>
      <c r="AR46" s="155">
        <f t="shared" si="97"/>
        <v>1002</v>
      </c>
      <c r="AS46" s="156">
        <f>CF46+CG46</f>
        <v>20153</v>
      </c>
      <c r="AT46" s="155" t="s">
        <v>41</v>
      </c>
      <c r="AU46" s="155">
        <v>2054</v>
      </c>
      <c r="AV46" s="155" t="s">
        <v>304</v>
      </c>
      <c r="AW46" s="155">
        <v>2601</v>
      </c>
      <c r="AX46" s="155">
        <v>2412</v>
      </c>
      <c r="AY46" s="155" t="s">
        <v>304</v>
      </c>
      <c r="AZ46" s="155" t="s">
        <v>41</v>
      </c>
      <c r="BA46" s="155">
        <v>2320</v>
      </c>
      <c r="BB46" s="155">
        <v>15131</v>
      </c>
      <c r="BC46" s="155">
        <v>39834</v>
      </c>
      <c r="BD46" s="155">
        <v>13073</v>
      </c>
      <c r="BE46" s="155">
        <v>2383</v>
      </c>
      <c r="BF46" s="552">
        <v>17844</v>
      </c>
      <c r="BG46" s="155" t="s">
        <v>41</v>
      </c>
      <c r="BH46" s="155" t="s">
        <v>304</v>
      </c>
      <c r="BI46" s="155" t="s">
        <v>304</v>
      </c>
      <c r="BJ46" s="155">
        <v>293</v>
      </c>
      <c r="BK46" s="155" t="s">
        <v>304</v>
      </c>
      <c r="BL46" s="155" t="s">
        <v>41</v>
      </c>
      <c r="BM46" s="155">
        <v>1551</v>
      </c>
      <c r="BN46" s="155">
        <v>1152</v>
      </c>
      <c r="BO46" s="155" t="s">
        <v>304</v>
      </c>
      <c r="BP46" s="155">
        <v>296</v>
      </c>
      <c r="BQ46" s="155">
        <v>194</v>
      </c>
      <c r="BR46" s="552">
        <v>807</v>
      </c>
      <c r="BS46" s="155">
        <v>65</v>
      </c>
      <c r="BT46" s="155">
        <v>394</v>
      </c>
      <c r="BU46" s="155">
        <v>276</v>
      </c>
      <c r="BV46" s="155">
        <v>2273</v>
      </c>
      <c r="BW46" s="155">
        <v>3114</v>
      </c>
      <c r="BX46" s="155">
        <v>1600</v>
      </c>
      <c r="BY46" s="155">
        <v>1018</v>
      </c>
      <c r="BZ46" s="155">
        <v>1157</v>
      </c>
      <c r="CA46" s="155">
        <v>47</v>
      </c>
      <c r="CB46" s="552">
        <v>892</v>
      </c>
      <c r="CC46" s="155">
        <v>1884</v>
      </c>
      <c r="CD46" s="155">
        <v>673</v>
      </c>
      <c r="CE46" s="155">
        <v>561</v>
      </c>
      <c r="CF46" s="155">
        <v>886</v>
      </c>
      <c r="CG46" s="155">
        <v>19267</v>
      </c>
      <c r="CH46" s="155">
        <v>16690</v>
      </c>
      <c r="CI46" s="155">
        <v>1002</v>
      </c>
      <c r="CJ46" s="155">
        <v>6612</v>
      </c>
      <c r="CK46" s="156">
        <v>10928</v>
      </c>
      <c r="CL46" s="320">
        <v>172248</v>
      </c>
    </row>
    <row r="47" spans="1:90">
      <c r="A47" s="80">
        <f>ROWS($A$3:A45)</f>
        <v>43</v>
      </c>
      <c r="B47" s="388" t="s">
        <v>19</v>
      </c>
      <c r="C47" s="252"/>
      <c r="D47" s="259" t="s">
        <v>241</v>
      </c>
      <c r="E47" s="447">
        <v>42887</v>
      </c>
      <c r="F47" s="154">
        <f>F125/F124</f>
        <v>254.17103882476391</v>
      </c>
      <c r="G47" s="155">
        <f>G125/G124</f>
        <v>124.05225653206651</v>
      </c>
      <c r="H47" s="155">
        <f>H125/H124</f>
        <v>59.275173611111114</v>
      </c>
      <c r="I47" s="156">
        <f>I125/I124</f>
        <v>249.14727011494253</v>
      </c>
      <c r="J47" s="281"/>
      <c r="K47" s="154">
        <f t="shared" si="74"/>
        <v>159.94630872483222</v>
      </c>
      <c r="L47" s="155">
        <f t="shared" si="75"/>
        <v>69.833333333333329</v>
      </c>
      <c r="M47" s="155">
        <f t="shared" si="76"/>
        <v>227.88163265306122</v>
      </c>
      <c r="N47" s="155">
        <f t="shared" si="77"/>
        <v>187.58571428571429</v>
      </c>
      <c r="O47" s="155">
        <f t="shared" si="78"/>
        <v>283.27433628318585</v>
      </c>
      <c r="P47" s="806">
        <f>IF(ISERROR((BA45*BA47+AZ45*AZ47)/P45),BA47,(BA45*BA47+AZ45*AZ47)/P45)</f>
        <v>209.41791044776119</v>
      </c>
      <c r="Q47" s="155">
        <f>'2019'!AU47</f>
        <v>173.28070175438597</v>
      </c>
      <c r="R47" s="806">
        <f>IF(ISERROR((AT47*AT45+AX45*AX47)/R45),AX47,(AT47*AT45+AX45*AX47)/R45)</f>
        <v>285.56578947368422</v>
      </c>
      <c r="S47" s="155" t="str">
        <f>AV47</f>
        <v>*</v>
      </c>
      <c r="T47" s="155">
        <f t="shared" si="80"/>
        <v>310.25</v>
      </c>
      <c r="U47" s="552">
        <f t="shared" si="80"/>
        <v>339.61764705882354</v>
      </c>
      <c r="V47" s="806">
        <f>IF(ISERROR((BG47*BG45+BJ45*BJ47)/V45),BJ47,(BG47*BG45+BJ45*BJ47)/V45)</f>
        <v>94.037037037037038</v>
      </c>
      <c r="W47" s="155">
        <f t="shared" si="81"/>
        <v>55.912280701754383</v>
      </c>
      <c r="X47" s="806">
        <f>IF(ISERROR((BH45*BH47+BI45*BI47)/X45),BI47,(BH45*BH47+BI45*BI47)/X45)</f>
        <v>54.292682926829265</v>
      </c>
      <c r="Y47" s="806">
        <f>(BK47*BK45+BN47*BN45)/Y45</f>
        <v>168.00769213294259</v>
      </c>
      <c r="Z47" s="155">
        <f t="shared" si="82"/>
        <v>199.71929824561403</v>
      </c>
      <c r="AA47" s="806">
        <f>IF(ISERROR((BO47*BO45+BQ47*BQ45)/AA45),BQ47,(BO47*BO45+BQ47*BQ45)/AA45)</f>
        <v>122.35897435897436</v>
      </c>
      <c r="AB47" s="552">
        <f t="shared" si="83"/>
        <v>48.763636363636365</v>
      </c>
      <c r="AC47" s="155">
        <f t="shared" si="84"/>
        <v>69.83552631578948</v>
      </c>
      <c r="AD47" s="155" t="str">
        <f t="shared" si="85"/>
        <v>*</v>
      </c>
      <c r="AE47" s="806">
        <f>IF(ISERROR((BS45*BS47+BT45*BT47)/AE45),BT47,(BS45*BS47+BT45*BT47)/AE45)</f>
        <v>28.674285714285713</v>
      </c>
      <c r="AF47" s="155">
        <f t="shared" si="86"/>
        <v>30.953846153846154</v>
      </c>
      <c r="AG47" s="155">
        <f t="shared" si="87"/>
        <v>36.712871287128714</v>
      </c>
      <c r="AH47" s="155">
        <f t="shared" si="88"/>
        <v>127.88333333333334</v>
      </c>
      <c r="AI47" s="155">
        <f t="shared" si="89"/>
        <v>152.45588235294119</v>
      </c>
      <c r="AJ47" s="155">
        <f t="shared" si="90"/>
        <v>67.833333333333329</v>
      </c>
      <c r="AK47" s="552">
        <f t="shared" si="91"/>
        <v>46.847999999999999</v>
      </c>
      <c r="AL47" s="155">
        <f t="shared" si="92"/>
        <v>81.962962962962962</v>
      </c>
      <c r="AM47" s="155">
        <f t="shared" si="93"/>
        <v>298.89</v>
      </c>
      <c r="AN47" s="155">
        <f t="shared" si="94"/>
        <v>128.63448275862069</v>
      </c>
      <c r="AO47" s="155">
        <f t="shared" si="95"/>
        <v>100.92727272727272</v>
      </c>
      <c r="AP47" s="155">
        <f t="shared" si="95"/>
        <v>232.02702702702703</v>
      </c>
      <c r="AQ47" s="155">
        <f t="shared" si="96"/>
        <v>241.35680751173709</v>
      </c>
      <c r="AR47" s="155">
        <f t="shared" si="97"/>
        <v>148.87142857142857</v>
      </c>
      <c r="AS47" s="532">
        <f>(CF45*CF47+CG45*CG47)/AS45</f>
        <v>333.01720199538875</v>
      </c>
      <c r="AT47" s="155" t="s">
        <v>58</v>
      </c>
      <c r="AU47" s="155">
        <f t="shared" ref="AU47:CJ47" si="100">AU125/AU124</f>
        <v>173.28070175438597</v>
      </c>
      <c r="AV47" s="155" t="s">
        <v>233</v>
      </c>
      <c r="AW47" s="155">
        <f t="shared" si="100"/>
        <v>187.58571428571429</v>
      </c>
      <c r="AX47" s="155">
        <f t="shared" si="100"/>
        <v>285.56578947368422</v>
      </c>
      <c r="AY47" s="155">
        <f t="shared" si="100"/>
        <v>69.833333333333329</v>
      </c>
      <c r="AZ47" s="155" t="s">
        <v>58</v>
      </c>
      <c r="BA47" s="155">
        <f t="shared" si="100"/>
        <v>209.41791044776119</v>
      </c>
      <c r="BB47" s="155">
        <f t="shared" si="100"/>
        <v>310.25</v>
      </c>
      <c r="BC47" s="155">
        <f t="shared" si="100"/>
        <v>339.61764705882354</v>
      </c>
      <c r="BD47" s="155">
        <f t="shared" si="100"/>
        <v>227.88163265306122</v>
      </c>
      <c r="BE47" s="155">
        <f t="shared" si="100"/>
        <v>283.27433628318585</v>
      </c>
      <c r="BF47" s="552">
        <f t="shared" si="100"/>
        <v>159.94630872483222</v>
      </c>
      <c r="BG47" s="155" t="s">
        <v>58</v>
      </c>
      <c r="BH47" s="155" t="s">
        <v>233</v>
      </c>
      <c r="BI47" s="155">
        <f t="shared" si="100"/>
        <v>54.292682926829265</v>
      </c>
      <c r="BJ47" s="155">
        <f t="shared" si="100"/>
        <v>94.037037037037038</v>
      </c>
      <c r="BK47" s="155">
        <f t="shared" si="100"/>
        <v>82.2</v>
      </c>
      <c r="BL47" s="155" t="s">
        <v>58</v>
      </c>
      <c r="BM47" s="155">
        <f t="shared" si="100"/>
        <v>199.71929824561403</v>
      </c>
      <c r="BN47" s="155">
        <f t="shared" si="100"/>
        <v>170.27397260273972</v>
      </c>
      <c r="BO47" s="155" t="s">
        <v>58</v>
      </c>
      <c r="BP47" s="155">
        <f t="shared" si="100"/>
        <v>48.763636363636365</v>
      </c>
      <c r="BQ47" s="155">
        <f t="shared" si="100"/>
        <v>122.35897435897436</v>
      </c>
      <c r="BR47" s="552">
        <f t="shared" si="100"/>
        <v>55.912280701754383</v>
      </c>
      <c r="BS47" s="155" t="s">
        <v>233</v>
      </c>
      <c r="BT47" s="155">
        <f t="shared" si="100"/>
        <v>28.674285714285713</v>
      </c>
      <c r="BU47" s="155" t="s">
        <v>233</v>
      </c>
      <c r="BV47" s="155">
        <f t="shared" si="100"/>
        <v>36.712871287128714</v>
      </c>
      <c r="BW47" s="155">
        <f t="shared" si="100"/>
        <v>152.45588235294119</v>
      </c>
      <c r="BX47" s="155">
        <f t="shared" si="100"/>
        <v>69.83552631578948</v>
      </c>
      <c r="BY47" s="155">
        <f t="shared" si="100"/>
        <v>67.833333333333329</v>
      </c>
      <c r="BZ47" s="155">
        <f t="shared" si="100"/>
        <v>127.88333333333334</v>
      </c>
      <c r="CA47" s="155">
        <f t="shared" si="100"/>
        <v>30.953846153846154</v>
      </c>
      <c r="CB47" s="552">
        <f t="shared" si="100"/>
        <v>46.847999999999999</v>
      </c>
      <c r="CC47" s="155">
        <f t="shared" si="100"/>
        <v>100.92727272727272</v>
      </c>
      <c r="CD47" s="155">
        <f t="shared" si="100"/>
        <v>232.02702702702703</v>
      </c>
      <c r="CE47" s="155">
        <f t="shared" si="100"/>
        <v>81.962962962962962</v>
      </c>
      <c r="CF47" s="155">
        <f t="shared" si="100"/>
        <v>512.31818181818187</v>
      </c>
      <c r="CG47" s="155">
        <f t="shared" si="100"/>
        <v>320.36281179138319</v>
      </c>
      <c r="CH47" s="155">
        <f t="shared" si="100"/>
        <v>298.89</v>
      </c>
      <c r="CI47" s="155">
        <f t="shared" si="100"/>
        <v>148.87142857142857</v>
      </c>
      <c r="CJ47" s="155">
        <f t="shared" si="100"/>
        <v>128.63448275862069</v>
      </c>
      <c r="CK47" s="156">
        <f>CK125/CK124</f>
        <v>241.35680751173709</v>
      </c>
      <c r="CL47" s="320">
        <f>CL125/CL124</f>
        <v>195.39601724491891</v>
      </c>
    </row>
    <row r="48" spans="1:90">
      <c r="A48" s="80">
        <f>ROWS($A$3:A46)</f>
        <v>44</v>
      </c>
      <c r="B48" s="196" t="s">
        <v>239</v>
      </c>
      <c r="C48" s="202">
        <v>2016</v>
      </c>
      <c r="D48" s="259" t="s">
        <v>7</v>
      </c>
      <c r="E48" s="447">
        <v>42887</v>
      </c>
      <c r="F48" s="154">
        <v>19387</v>
      </c>
      <c r="G48" s="155">
        <v>11644</v>
      </c>
      <c r="H48" s="155">
        <v>14061</v>
      </c>
      <c r="I48" s="156">
        <v>17164</v>
      </c>
      <c r="J48" s="281"/>
      <c r="K48" s="154">
        <f t="shared" si="74"/>
        <v>3185</v>
      </c>
      <c r="L48" s="155">
        <f t="shared" si="75"/>
        <v>2171</v>
      </c>
      <c r="M48" s="155">
        <f t="shared" si="76"/>
        <v>905</v>
      </c>
      <c r="N48" s="155">
        <f t="shared" si="77"/>
        <v>1846</v>
      </c>
      <c r="O48" s="155">
        <f t="shared" si="78"/>
        <v>665</v>
      </c>
      <c r="P48" s="155">
        <f>'2019'!BA48</f>
        <v>1508</v>
      </c>
      <c r="Q48" s="155">
        <f>'2019'!AU48</f>
        <v>2195</v>
      </c>
      <c r="R48" s="155">
        <f>AX48</f>
        <v>1998</v>
      </c>
      <c r="S48" s="155">
        <f t="shared" si="79"/>
        <v>2667</v>
      </c>
      <c r="T48" s="155">
        <f t="shared" si="80"/>
        <v>687</v>
      </c>
      <c r="U48" s="552">
        <f t="shared" si="80"/>
        <v>1360</v>
      </c>
      <c r="V48" s="155">
        <f>BG48+BJ48</f>
        <v>909</v>
      </c>
      <c r="W48" s="155">
        <f t="shared" si="81"/>
        <v>850</v>
      </c>
      <c r="X48" s="155">
        <f>BH48+BI48</f>
        <v>2783</v>
      </c>
      <c r="Y48" s="155">
        <f>BK48+BL48+BN48</f>
        <v>2728</v>
      </c>
      <c r="Z48" s="155">
        <f t="shared" si="82"/>
        <v>1662</v>
      </c>
      <c r="AA48" s="155">
        <f>BO48+BQ48</f>
        <v>1410</v>
      </c>
      <c r="AB48" s="552">
        <f t="shared" si="83"/>
        <v>1302</v>
      </c>
      <c r="AC48" s="155">
        <f t="shared" si="84"/>
        <v>1095</v>
      </c>
      <c r="AD48" s="155">
        <f t="shared" si="85"/>
        <v>891</v>
      </c>
      <c r="AE48" s="155">
        <f>BS48+BT48</f>
        <v>2480</v>
      </c>
      <c r="AF48" s="155">
        <f t="shared" si="86"/>
        <v>1866</v>
      </c>
      <c r="AG48" s="155">
        <f t="shared" si="87"/>
        <v>1647</v>
      </c>
      <c r="AH48" s="155">
        <f t="shared" si="88"/>
        <v>1984</v>
      </c>
      <c r="AI48" s="155">
        <f t="shared" si="89"/>
        <v>968</v>
      </c>
      <c r="AJ48" s="155">
        <f t="shared" si="90"/>
        <v>729</v>
      </c>
      <c r="AK48" s="552">
        <f t="shared" si="91"/>
        <v>2401</v>
      </c>
      <c r="AL48" s="155">
        <f t="shared" si="92"/>
        <v>1654</v>
      </c>
      <c r="AM48" s="155">
        <f t="shared" si="93"/>
        <v>2123</v>
      </c>
      <c r="AN48" s="155">
        <f t="shared" si="94"/>
        <v>3599</v>
      </c>
      <c r="AO48" s="155">
        <f t="shared" si="95"/>
        <v>2927</v>
      </c>
      <c r="AP48" s="155">
        <f t="shared" si="95"/>
        <v>1187</v>
      </c>
      <c r="AQ48" s="155">
        <f t="shared" si="96"/>
        <v>1617</v>
      </c>
      <c r="AR48" s="155">
        <f t="shared" si="97"/>
        <v>1656</v>
      </c>
      <c r="AS48" s="156">
        <f>CF48+CG48</f>
        <v>2401</v>
      </c>
      <c r="AT48" s="155" t="s">
        <v>304</v>
      </c>
      <c r="AU48" s="155">
        <v>2195</v>
      </c>
      <c r="AV48" s="155">
        <v>2667</v>
      </c>
      <c r="AW48" s="155">
        <v>1846</v>
      </c>
      <c r="AX48" s="155">
        <v>1998</v>
      </c>
      <c r="AY48" s="155">
        <v>2171</v>
      </c>
      <c r="AZ48" s="155" t="s">
        <v>304</v>
      </c>
      <c r="BA48" s="155">
        <v>1508</v>
      </c>
      <c r="BB48" s="155">
        <v>687</v>
      </c>
      <c r="BC48" s="155">
        <v>1360</v>
      </c>
      <c r="BD48" s="155">
        <v>905</v>
      </c>
      <c r="BE48" s="155">
        <v>665</v>
      </c>
      <c r="BF48" s="552">
        <v>3185</v>
      </c>
      <c r="BG48" s="155">
        <v>64</v>
      </c>
      <c r="BH48" s="155">
        <v>132</v>
      </c>
      <c r="BI48" s="155">
        <v>2651</v>
      </c>
      <c r="BJ48" s="155">
        <v>845</v>
      </c>
      <c r="BK48" s="155">
        <v>52</v>
      </c>
      <c r="BL48" s="155">
        <v>452</v>
      </c>
      <c r="BM48" s="155">
        <v>1662</v>
      </c>
      <c r="BN48" s="155">
        <v>2224</v>
      </c>
      <c r="BO48" s="155">
        <v>96</v>
      </c>
      <c r="BP48" s="155">
        <v>1302</v>
      </c>
      <c r="BQ48" s="155">
        <v>1314</v>
      </c>
      <c r="BR48" s="552">
        <v>850</v>
      </c>
      <c r="BS48" s="155">
        <v>263</v>
      </c>
      <c r="BT48" s="155">
        <v>2217</v>
      </c>
      <c r="BU48" s="155">
        <v>891</v>
      </c>
      <c r="BV48" s="155">
        <v>1647</v>
      </c>
      <c r="BW48" s="155">
        <v>968</v>
      </c>
      <c r="BX48" s="155">
        <v>1095</v>
      </c>
      <c r="BY48" s="155">
        <v>729</v>
      </c>
      <c r="BZ48" s="155">
        <v>1984</v>
      </c>
      <c r="CA48" s="155">
        <v>1866</v>
      </c>
      <c r="CB48" s="552">
        <v>2401</v>
      </c>
      <c r="CC48" s="155">
        <v>2927</v>
      </c>
      <c r="CD48" s="155">
        <v>1187</v>
      </c>
      <c r="CE48" s="155">
        <v>1654</v>
      </c>
      <c r="CF48" s="155">
        <v>258</v>
      </c>
      <c r="CG48" s="155">
        <v>2143</v>
      </c>
      <c r="CH48" s="155">
        <v>2123</v>
      </c>
      <c r="CI48" s="155">
        <v>1656</v>
      </c>
      <c r="CJ48" s="155">
        <v>3599</v>
      </c>
      <c r="CK48" s="156">
        <v>1617</v>
      </c>
      <c r="CL48" s="320">
        <v>62256</v>
      </c>
    </row>
    <row r="49" spans="1:90">
      <c r="A49" s="80">
        <f>ROWS($A$3:A47)</f>
        <v>45</v>
      </c>
      <c r="B49" s="92" t="s">
        <v>75</v>
      </c>
      <c r="C49" s="202">
        <v>2016</v>
      </c>
      <c r="D49" s="259" t="s">
        <v>7</v>
      </c>
      <c r="E49" s="447">
        <v>42887</v>
      </c>
      <c r="F49" s="154">
        <v>88966</v>
      </c>
      <c r="G49" s="155">
        <v>37847</v>
      </c>
      <c r="H49" s="155">
        <v>46150</v>
      </c>
      <c r="I49" s="156">
        <v>70595</v>
      </c>
      <c r="J49" s="281"/>
      <c r="K49" s="154">
        <f t="shared" si="74"/>
        <v>10007</v>
      </c>
      <c r="L49" s="155">
        <f t="shared" si="75"/>
        <v>7356</v>
      </c>
      <c r="M49" s="155">
        <f t="shared" si="76"/>
        <v>3794</v>
      </c>
      <c r="N49" s="155">
        <f t="shared" si="77"/>
        <v>10735</v>
      </c>
      <c r="O49" s="155">
        <f t="shared" si="78"/>
        <v>9940</v>
      </c>
      <c r="P49" s="155">
        <f>'2019'!BA49</f>
        <v>9714</v>
      </c>
      <c r="Q49" s="155">
        <f>'2019'!AU49</f>
        <v>4992</v>
      </c>
      <c r="R49" s="155">
        <f>AX49</f>
        <v>2478</v>
      </c>
      <c r="S49" s="155">
        <f t="shared" si="79"/>
        <v>13335</v>
      </c>
      <c r="T49" s="155">
        <f t="shared" si="80"/>
        <v>4598</v>
      </c>
      <c r="U49" s="552">
        <f t="shared" si="80"/>
        <v>11970</v>
      </c>
      <c r="V49" s="155">
        <f>BG49+BJ49</f>
        <v>4376</v>
      </c>
      <c r="W49" s="155">
        <f t="shared" si="81"/>
        <v>8282</v>
      </c>
      <c r="X49" s="155">
        <f>BH49+BI49</f>
        <v>4500</v>
      </c>
      <c r="Y49" s="155">
        <f>BN49</f>
        <v>4293</v>
      </c>
      <c r="Z49" s="155">
        <f t="shared" si="82"/>
        <v>2407</v>
      </c>
      <c r="AA49" s="155">
        <f>BQ49</f>
        <v>1704</v>
      </c>
      <c r="AB49" s="552">
        <f t="shared" si="83"/>
        <v>11540</v>
      </c>
      <c r="AC49" s="155">
        <f t="shared" si="84"/>
        <v>3319</v>
      </c>
      <c r="AD49" s="155">
        <f t="shared" si="85"/>
        <v>2192</v>
      </c>
      <c r="AE49" s="155">
        <f>BS49+BT49</f>
        <v>8937</v>
      </c>
      <c r="AF49" s="155">
        <f t="shared" si="86"/>
        <v>4375</v>
      </c>
      <c r="AG49" s="155">
        <f t="shared" si="87"/>
        <v>6491</v>
      </c>
      <c r="AH49" s="155">
        <f t="shared" si="88"/>
        <v>4388</v>
      </c>
      <c r="AI49" s="155">
        <f t="shared" si="89"/>
        <v>7360</v>
      </c>
      <c r="AJ49" s="155">
        <f t="shared" si="90"/>
        <v>5083</v>
      </c>
      <c r="AK49" s="552">
        <f t="shared" si="91"/>
        <v>4005</v>
      </c>
      <c r="AL49" s="155">
        <f t="shared" si="92"/>
        <v>15072</v>
      </c>
      <c r="AM49" s="155">
        <f t="shared" si="93"/>
        <v>3505</v>
      </c>
      <c r="AN49" s="155">
        <f t="shared" si="94"/>
        <v>5279</v>
      </c>
      <c r="AO49" s="155">
        <f t="shared" si="95"/>
        <v>19763</v>
      </c>
      <c r="AP49" s="155">
        <f t="shared" si="95"/>
        <v>6568</v>
      </c>
      <c r="AQ49" s="155">
        <f t="shared" si="96"/>
        <v>3887</v>
      </c>
      <c r="AR49" s="155">
        <f t="shared" si="97"/>
        <v>4296</v>
      </c>
      <c r="AS49" s="156">
        <f>CG49</f>
        <v>12104</v>
      </c>
      <c r="AT49" s="155" t="s">
        <v>304</v>
      </c>
      <c r="AU49" s="155">
        <v>4992</v>
      </c>
      <c r="AV49" s="155">
        <v>13335</v>
      </c>
      <c r="AW49" s="155">
        <v>10735</v>
      </c>
      <c r="AX49" s="155">
        <v>2478</v>
      </c>
      <c r="AY49" s="155">
        <v>7356</v>
      </c>
      <c r="AZ49" s="155" t="s">
        <v>304</v>
      </c>
      <c r="BA49" s="155">
        <v>9714</v>
      </c>
      <c r="BB49" s="155">
        <v>4598</v>
      </c>
      <c r="BC49" s="155">
        <v>11970</v>
      </c>
      <c r="BD49" s="155">
        <v>3794</v>
      </c>
      <c r="BE49" s="155">
        <v>9940</v>
      </c>
      <c r="BF49" s="552">
        <v>10007</v>
      </c>
      <c r="BG49" s="155">
        <v>1726</v>
      </c>
      <c r="BH49" s="155">
        <v>153</v>
      </c>
      <c r="BI49" s="155">
        <v>4347</v>
      </c>
      <c r="BJ49" s="155">
        <v>2650</v>
      </c>
      <c r="BK49" s="155" t="s">
        <v>304</v>
      </c>
      <c r="BL49" s="155" t="s">
        <v>304</v>
      </c>
      <c r="BM49" s="155">
        <v>2407</v>
      </c>
      <c r="BN49" s="155">
        <v>4293</v>
      </c>
      <c r="BO49" s="155">
        <v>554</v>
      </c>
      <c r="BP49" s="155">
        <v>11540</v>
      </c>
      <c r="BQ49" s="155">
        <v>1704</v>
      </c>
      <c r="BR49" s="552">
        <v>8282</v>
      </c>
      <c r="BS49" s="155">
        <v>3087</v>
      </c>
      <c r="BT49" s="155">
        <v>5850</v>
      </c>
      <c r="BU49" s="155">
        <v>2192</v>
      </c>
      <c r="BV49" s="155">
        <v>6491</v>
      </c>
      <c r="BW49" s="155">
        <v>7360</v>
      </c>
      <c r="BX49" s="155">
        <v>3319</v>
      </c>
      <c r="BY49" s="155">
        <v>5083</v>
      </c>
      <c r="BZ49" s="155">
        <v>4388</v>
      </c>
      <c r="CA49" s="155">
        <v>4375</v>
      </c>
      <c r="CB49" s="552">
        <v>4005</v>
      </c>
      <c r="CC49" s="155">
        <v>19763</v>
      </c>
      <c r="CD49" s="155">
        <v>6568</v>
      </c>
      <c r="CE49" s="155">
        <v>15072</v>
      </c>
      <c r="CF49" s="155">
        <v>121</v>
      </c>
      <c r="CG49" s="155">
        <v>12104</v>
      </c>
      <c r="CH49" s="155">
        <v>3505</v>
      </c>
      <c r="CI49" s="155">
        <v>4296</v>
      </c>
      <c r="CJ49" s="155">
        <v>5279</v>
      </c>
      <c r="CK49" s="156">
        <v>3887</v>
      </c>
      <c r="CL49" s="320">
        <v>243558</v>
      </c>
    </row>
    <row r="50" spans="1:90">
      <c r="A50" s="80">
        <f>ROWS($A$3:A48)</f>
        <v>46</v>
      </c>
      <c r="B50" s="52" t="s">
        <v>76</v>
      </c>
      <c r="C50" s="202">
        <v>2016</v>
      </c>
      <c r="D50" s="259" t="s">
        <v>21</v>
      </c>
      <c r="E50" s="447">
        <v>42888</v>
      </c>
      <c r="F50" s="154">
        <v>61.56</v>
      </c>
      <c r="G50" s="155">
        <v>33.86</v>
      </c>
      <c r="H50" s="155">
        <v>56.13</v>
      </c>
      <c r="I50" s="156">
        <v>78.58</v>
      </c>
      <c r="J50" s="281"/>
      <c r="K50" s="154">
        <f t="shared" si="74"/>
        <v>107.60000000000001</v>
      </c>
      <c r="L50" s="155">
        <f t="shared" si="75"/>
        <v>78.5</v>
      </c>
      <c r="M50" s="155">
        <f t="shared" si="76"/>
        <v>37.6</v>
      </c>
      <c r="N50" s="155">
        <f t="shared" si="77"/>
        <v>96</v>
      </c>
      <c r="O50" s="155">
        <f t="shared" si="78"/>
        <v>76.8</v>
      </c>
      <c r="P50" s="531">
        <f>(AZ50*AZ35+BA50*BA35)/P35</f>
        <v>24.154275477158411</v>
      </c>
      <c r="Q50" s="155">
        <f>'2019'!AU50</f>
        <v>48.699999999999996</v>
      </c>
      <c r="R50" s="531">
        <f>(AT50*AT35+AX50*AX35)/R35</f>
        <v>47.415034383954151</v>
      </c>
      <c r="S50" s="155">
        <f t="shared" si="79"/>
        <v>51.7</v>
      </c>
      <c r="T50" s="155">
        <f t="shared" si="80"/>
        <v>74.599999999999994</v>
      </c>
      <c r="U50" s="552">
        <f t="shared" si="80"/>
        <v>116.10000000000001</v>
      </c>
      <c r="V50" s="531">
        <f>(BG50*BG35+BJ50*BJ35)/V35</f>
        <v>21.771964679911701</v>
      </c>
      <c r="W50" s="155">
        <f t="shared" si="81"/>
        <v>57.699999999999996</v>
      </c>
      <c r="X50" s="531">
        <f>(BH50*BH35+BI50*BI35)/X35</f>
        <v>18.946813229666823</v>
      </c>
      <c r="Y50" s="531">
        <f>(BK50*BK35+BL50*BL35+BN50*BN35)/Y35</f>
        <v>32.920552478569618</v>
      </c>
      <c r="Z50" s="155">
        <f t="shared" si="82"/>
        <v>47.8</v>
      </c>
      <c r="AA50" s="531">
        <f>(BO50*BO35+BQ50*BQ35)/AA35</f>
        <v>47.88103774959918</v>
      </c>
      <c r="AB50" s="552">
        <f t="shared" si="83"/>
        <v>67.400000000000006</v>
      </c>
      <c r="AC50" s="155">
        <f t="shared" si="84"/>
        <v>71.099999999999994</v>
      </c>
      <c r="AD50" s="155">
        <f t="shared" si="85"/>
        <v>51.6</v>
      </c>
      <c r="AE50" s="531">
        <f>(BS50*BS35+BT50*BT35)/AE35</f>
        <v>49.55497801864626</v>
      </c>
      <c r="AF50" s="155">
        <f t="shared" si="86"/>
        <v>57.099999999999994</v>
      </c>
      <c r="AG50" s="155">
        <f t="shared" si="87"/>
        <v>44.2</v>
      </c>
      <c r="AH50" s="155">
        <f t="shared" si="88"/>
        <v>67.2</v>
      </c>
      <c r="AI50" s="155">
        <f t="shared" si="89"/>
        <v>57.999999999999993</v>
      </c>
      <c r="AJ50" s="155">
        <f t="shared" si="90"/>
        <v>60</v>
      </c>
      <c r="AK50" s="552">
        <f t="shared" si="91"/>
        <v>76.2</v>
      </c>
      <c r="AL50" s="155">
        <f t="shared" si="92"/>
        <v>41.3</v>
      </c>
      <c r="AM50" s="155">
        <f t="shared" si="93"/>
        <v>112.3</v>
      </c>
      <c r="AN50" s="155">
        <f t="shared" si="94"/>
        <v>141.30000000000001</v>
      </c>
      <c r="AO50" s="155">
        <f t="shared" si="95"/>
        <v>62</v>
      </c>
      <c r="AP50" s="155">
        <f t="shared" si="95"/>
        <v>38.299999999999997</v>
      </c>
      <c r="AQ50" s="155">
        <f t="shared" si="96"/>
        <v>72.599999999999994</v>
      </c>
      <c r="AR50" s="155">
        <f t="shared" si="97"/>
        <v>61.7</v>
      </c>
      <c r="AS50" s="532">
        <f>(CF50*CF35+CG50*CG35)/AS35</f>
        <v>89.070658448169155</v>
      </c>
      <c r="AT50" s="466">
        <v>36</v>
      </c>
      <c r="AU50" s="466">
        <v>48.699999999999996</v>
      </c>
      <c r="AV50" s="466">
        <v>51.7</v>
      </c>
      <c r="AW50" s="466">
        <v>96</v>
      </c>
      <c r="AX50" s="466">
        <v>48.3</v>
      </c>
      <c r="AY50" s="466">
        <v>78.5</v>
      </c>
      <c r="AZ50" s="466">
        <v>2.6</v>
      </c>
      <c r="BA50" s="466">
        <v>25.8</v>
      </c>
      <c r="BB50" s="466">
        <v>74.599999999999994</v>
      </c>
      <c r="BC50" s="466">
        <v>116.10000000000001</v>
      </c>
      <c r="BD50" s="466">
        <v>37.6</v>
      </c>
      <c r="BE50" s="466">
        <v>76.8</v>
      </c>
      <c r="BF50" s="558">
        <v>107.60000000000001</v>
      </c>
      <c r="BG50" s="466">
        <v>24.3</v>
      </c>
      <c r="BH50" s="466">
        <v>15.2</v>
      </c>
      <c r="BI50" s="466">
        <v>19.2</v>
      </c>
      <c r="BJ50" s="466">
        <v>21.5</v>
      </c>
      <c r="BK50" s="466">
        <v>24.9</v>
      </c>
      <c r="BL50" s="466">
        <v>15.6</v>
      </c>
      <c r="BM50" s="466">
        <v>47.8</v>
      </c>
      <c r="BN50" s="466">
        <v>34.599999999999994</v>
      </c>
      <c r="BO50" s="466">
        <v>29.299999999999997</v>
      </c>
      <c r="BP50" s="466">
        <v>67.400000000000006</v>
      </c>
      <c r="BQ50" s="466">
        <v>48.8</v>
      </c>
      <c r="BR50" s="558">
        <v>57.699999999999996</v>
      </c>
      <c r="BS50" s="466">
        <v>24.6</v>
      </c>
      <c r="BT50" s="466">
        <v>51.300000000000004</v>
      </c>
      <c r="BU50" s="466">
        <v>51.6</v>
      </c>
      <c r="BV50" s="466">
        <v>44.2</v>
      </c>
      <c r="BW50" s="466">
        <v>57.999999999999993</v>
      </c>
      <c r="BX50" s="466">
        <v>71.099999999999994</v>
      </c>
      <c r="BY50" s="466">
        <v>60</v>
      </c>
      <c r="BZ50" s="466">
        <v>67.2</v>
      </c>
      <c r="CA50" s="466">
        <v>57.099999999999994</v>
      </c>
      <c r="CB50" s="558">
        <v>76.2</v>
      </c>
      <c r="CC50" s="466">
        <v>62</v>
      </c>
      <c r="CD50" s="466">
        <v>38.299999999999997</v>
      </c>
      <c r="CE50" s="466">
        <v>41.3</v>
      </c>
      <c r="CF50" s="466">
        <v>88.6</v>
      </c>
      <c r="CG50" s="466">
        <v>89.1</v>
      </c>
      <c r="CH50" s="466">
        <v>112.3</v>
      </c>
      <c r="CI50" s="466">
        <v>61.7</v>
      </c>
      <c r="CJ50" s="466">
        <v>141.30000000000001</v>
      </c>
      <c r="CK50" s="466">
        <v>72.599999999999994</v>
      </c>
      <c r="CL50" s="319">
        <v>76</v>
      </c>
    </row>
    <row r="51" spans="1:90">
      <c r="A51" s="80">
        <f>ROWS($A$3:A49)</f>
        <v>47</v>
      </c>
      <c r="B51" s="388" t="s">
        <v>92</v>
      </c>
      <c r="C51" s="684">
        <v>2018</v>
      </c>
      <c r="D51" s="685" t="s">
        <v>9</v>
      </c>
      <c r="E51" s="447">
        <v>43860</v>
      </c>
      <c r="F51" s="541">
        <v>7634</v>
      </c>
      <c r="G51" s="542">
        <v>7695</v>
      </c>
      <c r="H51" s="542">
        <v>6750</v>
      </c>
      <c r="I51" s="543">
        <v>7742</v>
      </c>
      <c r="J51" s="281"/>
      <c r="K51" s="541">
        <f t="shared" si="74"/>
        <v>8199</v>
      </c>
      <c r="L51" s="542">
        <f t="shared" si="75"/>
        <v>7411</v>
      </c>
      <c r="M51" s="542">
        <f t="shared" si="76"/>
        <v>7878</v>
      </c>
      <c r="N51" s="542">
        <f t="shared" si="77"/>
        <v>7056</v>
      </c>
      <c r="O51" s="542">
        <f t="shared" si="78"/>
        <v>6786</v>
      </c>
      <c r="P51" s="531">
        <f>IF(ISERROR(P95/P42)=TRUE,0,ROUND(P95/P42*1000,0))</f>
        <v>6598</v>
      </c>
      <c r="Q51" s="542">
        <f>'2010'!AU51</f>
        <v>4651</v>
      </c>
      <c r="R51" s="531">
        <f>IF(ISERROR(R95/R42)=TRUE,0,ROUND(R95/R42*1000,0))</f>
        <v>6593</v>
      </c>
      <c r="S51" s="542">
        <f t="shared" si="79"/>
        <v>6445</v>
      </c>
      <c r="T51" s="542">
        <f t="shared" si="80"/>
        <v>7825</v>
      </c>
      <c r="U51" s="554">
        <f t="shared" si="80"/>
        <v>7651</v>
      </c>
      <c r="V51" s="531">
        <f>IF(ISERROR(V95/V42)=TRUE,0,ROUND(V95/V42*1000,0))</f>
        <v>2202</v>
      </c>
      <c r="W51" s="542">
        <f t="shared" si="81"/>
        <v>7398</v>
      </c>
      <c r="X51" s="531">
        <f>IF(ISERROR(X95/X42)=TRUE,0,ROUND(X95/X42*1000,0))</f>
        <v>3134</v>
      </c>
      <c r="Y51" s="531">
        <f>IF(ISERROR(Y95/Y42)=TRUE,0,ROUND(Y95/Y42*1000,0))</f>
        <v>5672</v>
      </c>
      <c r="Z51" s="542">
        <f t="shared" si="82"/>
        <v>7968</v>
      </c>
      <c r="AA51" s="531">
        <f>IF(ISERROR(AA95/AA42)=TRUE,0,ROUND(AA95/AA42*1000,0))</f>
        <v>5067</v>
      </c>
      <c r="AB51" s="554">
        <f t="shared" si="83"/>
        <v>7631</v>
      </c>
      <c r="AC51" s="542">
        <f t="shared" si="84"/>
        <v>6804</v>
      </c>
      <c r="AD51" s="542">
        <f t="shared" si="85"/>
        <v>5435</v>
      </c>
      <c r="AE51" s="531">
        <f>IF(ISERROR(AE95/AE42)=TRUE,0,ROUND(AE95/AE42*1000,0))</f>
        <v>4413</v>
      </c>
      <c r="AF51" s="542">
        <f t="shared" si="86"/>
        <v>6005</v>
      </c>
      <c r="AG51" s="542">
        <f t="shared" si="87"/>
        <v>4768</v>
      </c>
      <c r="AH51" s="542">
        <f t="shared" si="88"/>
        <v>7825</v>
      </c>
      <c r="AI51" s="542">
        <f t="shared" si="89"/>
        <v>6541</v>
      </c>
      <c r="AJ51" s="542">
        <f t="shared" si="90"/>
        <v>7960</v>
      </c>
      <c r="AK51" s="554">
        <f t="shared" si="91"/>
        <v>7464</v>
      </c>
      <c r="AL51" s="542">
        <f t="shared" si="92"/>
        <v>8060</v>
      </c>
      <c r="AM51" s="542">
        <f t="shared" si="93"/>
        <v>7698</v>
      </c>
      <c r="AN51" s="542">
        <f t="shared" si="94"/>
        <v>7819</v>
      </c>
      <c r="AO51" s="542">
        <f t="shared" si="95"/>
        <v>7418</v>
      </c>
      <c r="AP51" s="542">
        <f t="shared" si="95"/>
        <v>8720</v>
      </c>
      <c r="AQ51" s="542">
        <f t="shared" si="96"/>
        <v>7889</v>
      </c>
      <c r="AR51" s="542">
        <f t="shared" si="97"/>
        <v>7241</v>
      </c>
      <c r="AS51" s="532">
        <f>IF(ISERROR(AS95/AS42)=TRUE,0,ROUND(AS95/AS42*1000,0))</f>
        <v>6209</v>
      </c>
      <c r="AT51" s="542" t="s">
        <v>233</v>
      </c>
      <c r="AU51" s="542">
        <v>7313</v>
      </c>
      <c r="AV51" s="542">
        <v>6445</v>
      </c>
      <c r="AW51" s="542">
        <v>7056</v>
      </c>
      <c r="AX51" s="542">
        <v>7743</v>
      </c>
      <c r="AY51" s="542">
        <v>7411</v>
      </c>
      <c r="AZ51" s="542" t="s">
        <v>233</v>
      </c>
      <c r="BA51" s="542">
        <v>7671</v>
      </c>
      <c r="BB51" s="542">
        <v>7825</v>
      </c>
      <c r="BC51" s="542">
        <v>7651</v>
      </c>
      <c r="BD51" s="542">
        <v>7878</v>
      </c>
      <c r="BE51" s="542">
        <v>6786</v>
      </c>
      <c r="BF51" s="562">
        <v>8199</v>
      </c>
      <c r="BG51" s="542" t="s">
        <v>233</v>
      </c>
      <c r="BH51" s="542" t="s">
        <v>233</v>
      </c>
      <c r="BI51" s="542">
        <v>6571</v>
      </c>
      <c r="BJ51" s="542">
        <v>4632</v>
      </c>
      <c r="BK51" s="542" t="s">
        <v>233</v>
      </c>
      <c r="BL51" s="542" t="s">
        <v>233</v>
      </c>
      <c r="BM51" s="542">
        <v>7968</v>
      </c>
      <c r="BN51" s="542">
        <v>8432</v>
      </c>
      <c r="BO51" s="542" t="s">
        <v>233</v>
      </c>
      <c r="BP51" s="542">
        <v>7631</v>
      </c>
      <c r="BQ51" s="542">
        <v>7465</v>
      </c>
      <c r="BR51" s="562">
        <v>7398</v>
      </c>
      <c r="BS51" s="542" t="s">
        <v>233</v>
      </c>
      <c r="BT51" s="542">
        <v>6232</v>
      </c>
      <c r="BU51" s="542">
        <v>5435</v>
      </c>
      <c r="BV51" s="542">
        <v>4768</v>
      </c>
      <c r="BW51" s="542">
        <v>6541</v>
      </c>
      <c r="BX51" s="542">
        <v>6804</v>
      </c>
      <c r="BY51" s="542">
        <v>7960</v>
      </c>
      <c r="BZ51" s="542">
        <v>7825</v>
      </c>
      <c r="CA51" s="542">
        <v>6005</v>
      </c>
      <c r="CB51" s="562">
        <v>7464</v>
      </c>
      <c r="CC51" s="542">
        <v>7418</v>
      </c>
      <c r="CD51" s="542">
        <v>8720</v>
      </c>
      <c r="CE51" s="542">
        <v>8060</v>
      </c>
      <c r="CF51" s="542" t="s">
        <v>233</v>
      </c>
      <c r="CG51" s="542">
        <v>7665</v>
      </c>
      <c r="CH51" s="542">
        <v>7698</v>
      </c>
      <c r="CI51" s="542">
        <v>7241</v>
      </c>
      <c r="CJ51" s="542">
        <v>7819</v>
      </c>
      <c r="CK51" s="543">
        <v>7889</v>
      </c>
      <c r="CL51" s="553">
        <v>7521</v>
      </c>
    </row>
    <row r="52" spans="1:90">
      <c r="A52" s="80">
        <f>ROWS($A$3:A50)</f>
        <v>48</v>
      </c>
      <c r="B52" s="388" t="s">
        <v>357</v>
      </c>
      <c r="C52" s="688">
        <v>2018</v>
      </c>
      <c r="D52" s="685" t="s">
        <v>358</v>
      </c>
      <c r="E52" s="447">
        <v>43860</v>
      </c>
      <c r="F52" s="536">
        <v>735.8</v>
      </c>
      <c r="G52" s="537">
        <v>172.3</v>
      </c>
      <c r="H52" s="537">
        <v>425.7</v>
      </c>
      <c r="I52" s="538">
        <v>1179</v>
      </c>
      <c r="J52" s="281"/>
      <c r="K52" s="536">
        <f t="shared" si="74"/>
        <v>201.7</v>
      </c>
      <c r="L52" s="537">
        <f t="shared" si="75"/>
        <v>51.1</v>
      </c>
      <c r="M52" s="537">
        <f t="shared" si="76"/>
        <v>48.5</v>
      </c>
      <c r="N52" s="537">
        <f t="shared" si="77"/>
        <v>75.599999999999994</v>
      </c>
      <c r="O52" s="537">
        <f t="shared" si="78"/>
        <v>46.7</v>
      </c>
      <c r="P52" s="537">
        <f>BA52</f>
        <v>26.5</v>
      </c>
      <c r="Q52" s="537">
        <f>'2009'!AU52</f>
        <v>18.2</v>
      </c>
      <c r="R52" s="537">
        <f>+AX52</f>
        <v>32.200000000000003</v>
      </c>
      <c r="S52" s="537">
        <f t="shared" si="79"/>
        <v>14.1</v>
      </c>
      <c r="T52" s="537">
        <f t="shared" si="80"/>
        <v>59.3</v>
      </c>
      <c r="U52" s="561">
        <f t="shared" si="80"/>
        <v>156</v>
      </c>
      <c r="V52" s="537">
        <f>BJ52</f>
        <v>1.1000000000000001</v>
      </c>
      <c r="W52" s="537">
        <f t="shared" si="81"/>
        <v>29.1</v>
      </c>
      <c r="X52" s="537">
        <f>BI52</f>
        <v>8.8000000000000007</v>
      </c>
      <c r="Y52" s="537">
        <f>BN52</f>
        <v>26.5</v>
      </c>
      <c r="Z52" s="537">
        <f t="shared" si="82"/>
        <v>57.1</v>
      </c>
      <c r="AA52" s="537">
        <f>BQ52</f>
        <v>21.2</v>
      </c>
      <c r="AB52" s="561">
        <f t="shared" si="83"/>
        <v>28.5</v>
      </c>
      <c r="AC52" s="537">
        <f t="shared" si="84"/>
        <v>83.1</v>
      </c>
      <c r="AD52" s="537">
        <f t="shared" si="85"/>
        <v>15.8</v>
      </c>
      <c r="AE52" s="537">
        <f>BT52</f>
        <v>56.6</v>
      </c>
      <c r="AF52" s="537">
        <f t="shared" si="86"/>
        <v>17.7</v>
      </c>
      <c r="AG52" s="537">
        <f t="shared" si="87"/>
        <v>31.1</v>
      </c>
      <c r="AH52" s="537">
        <f t="shared" si="88"/>
        <v>67.400000000000006</v>
      </c>
      <c r="AI52" s="537">
        <f t="shared" si="89"/>
        <v>28.6</v>
      </c>
      <c r="AJ52" s="537">
        <f t="shared" si="90"/>
        <v>48</v>
      </c>
      <c r="AK52" s="561">
        <f t="shared" si="91"/>
        <v>77.5</v>
      </c>
      <c r="AL52" s="537">
        <f t="shared" si="92"/>
        <v>28</v>
      </c>
      <c r="AM52" s="537">
        <f t="shared" si="93"/>
        <v>249.9</v>
      </c>
      <c r="AN52" s="537">
        <f t="shared" si="94"/>
        <v>522.1</v>
      </c>
      <c r="AO52" s="537">
        <f t="shared" si="95"/>
        <v>58.3</v>
      </c>
      <c r="AP52" s="537">
        <f t="shared" si="95"/>
        <v>13</v>
      </c>
      <c r="AQ52" s="537">
        <f t="shared" si="96"/>
        <v>103.2</v>
      </c>
      <c r="AR52" s="537">
        <f t="shared" si="97"/>
        <v>60</v>
      </c>
      <c r="AS52" s="538">
        <f>CG52</f>
        <v>144.5</v>
      </c>
      <c r="AT52" s="537" t="s">
        <v>233</v>
      </c>
      <c r="AU52" s="537">
        <v>22</v>
      </c>
      <c r="AV52" s="537">
        <v>14.1</v>
      </c>
      <c r="AW52" s="537">
        <v>75.599999999999994</v>
      </c>
      <c r="AX52" s="537">
        <v>32.200000000000003</v>
      </c>
      <c r="AY52" s="537">
        <v>51.1</v>
      </c>
      <c r="AZ52" s="537" t="s">
        <v>233</v>
      </c>
      <c r="BA52" s="537">
        <v>26.5</v>
      </c>
      <c r="BB52" s="537">
        <v>59.3</v>
      </c>
      <c r="BC52" s="537">
        <v>156</v>
      </c>
      <c r="BD52" s="537">
        <v>48.5</v>
      </c>
      <c r="BE52" s="537">
        <v>46.7</v>
      </c>
      <c r="BF52" s="563">
        <v>201.7</v>
      </c>
      <c r="BG52" s="537" t="s">
        <v>233</v>
      </c>
      <c r="BH52" s="537" t="s">
        <v>233</v>
      </c>
      <c r="BI52" s="537">
        <v>8.8000000000000007</v>
      </c>
      <c r="BJ52" s="537">
        <v>1.1000000000000001</v>
      </c>
      <c r="BK52" s="537" t="s">
        <v>233</v>
      </c>
      <c r="BL52" s="537" t="s">
        <v>233</v>
      </c>
      <c r="BM52" s="537">
        <v>57.1</v>
      </c>
      <c r="BN52" s="537">
        <v>26.5</v>
      </c>
      <c r="BO52" s="537" t="s">
        <v>233</v>
      </c>
      <c r="BP52" s="537">
        <v>28.5</v>
      </c>
      <c r="BQ52" s="537">
        <v>21.2</v>
      </c>
      <c r="BR52" s="563">
        <v>29.1</v>
      </c>
      <c r="BS52" s="537" t="s">
        <v>233</v>
      </c>
      <c r="BT52" s="537">
        <v>56.6</v>
      </c>
      <c r="BU52" s="537">
        <v>15.8</v>
      </c>
      <c r="BV52" s="537">
        <v>31.1</v>
      </c>
      <c r="BW52" s="537">
        <v>28.6</v>
      </c>
      <c r="BX52" s="537">
        <v>83.1</v>
      </c>
      <c r="BY52" s="537">
        <v>48</v>
      </c>
      <c r="BZ52" s="537">
        <v>67.400000000000006</v>
      </c>
      <c r="CA52" s="537">
        <v>17.7</v>
      </c>
      <c r="CB52" s="563">
        <v>77.5</v>
      </c>
      <c r="CC52" s="537">
        <v>58.3</v>
      </c>
      <c r="CD52" s="537">
        <v>13</v>
      </c>
      <c r="CE52" s="537">
        <v>28</v>
      </c>
      <c r="CF52" s="537" t="s">
        <v>233</v>
      </c>
      <c r="CG52" s="537">
        <v>144.5</v>
      </c>
      <c r="CH52" s="537">
        <v>249.9</v>
      </c>
      <c r="CI52" s="537">
        <v>60</v>
      </c>
      <c r="CJ52" s="537">
        <v>522.1</v>
      </c>
      <c r="CK52" s="538">
        <v>103.2</v>
      </c>
      <c r="CL52" s="564">
        <v>2512.8000000000002</v>
      </c>
    </row>
    <row r="53" spans="1:90">
      <c r="A53" s="80">
        <f>ROWS($A$3:A51)</f>
        <v>49</v>
      </c>
      <c r="B53" s="498" t="str">
        <f>"Änderung der Milcherzeugung "&amp;C51&amp;"/"&amp;"2010"</f>
        <v>Änderung der Milcherzeugung 2018/2010</v>
      </c>
      <c r="C53" s="687">
        <v>2018</v>
      </c>
      <c r="D53" s="685" t="s">
        <v>3</v>
      </c>
      <c r="E53" s="447">
        <v>43860</v>
      </c>
      <c r="F53" s="539">
        <f>F52/'2010'!F52%-100</f>
        <v>13.689740420271931</v>
      </c>
      <c r="G53" s="521">
        <f>G52/'2010'!G52%-100</f>
        <v>15.096860387441566</v>
      </c>
      <c r="H53" s="521">
        <f>H52/'2010'!H52%-100</f>
        <v>9.6317280453257723</v>
      </c>
      <c r="I53" s="540">
        <f>I52/'2010'!I52%-100</f>
        <v>11.955179944924524</v>
      </c>
      <c r="J53" s="382"/>
      <c r="K53" s="536">
        <f>K52/'2010'!K52%-100</f>
        <v>16.052934407364774</v>
      </c>
      <c r="L53" s="537">
        <f>L52/'2010'!L52%-100</f>
        <v>16.13636363636364</v>
      </c>
      <c r="M53" s="537">
        <f>M52/'2010'!M52%-100</f>
        <v>10.478359908883832</v>
      </c>
      <c r="N53" s="537">
        <f>N52/'2010'!N52%-100</f>
        <v>25.373134328358205</v>
      </c>
      <c r="O53" s="537">
        <f>O52/'2010'!O52%-100</f>
        <v>1.3015184381778795</v>
      </c>
      <c r="P53" s="521">
        <f>P52/'2010'!P52%-100</f>
        <v>-7.6655052264808319</v>
      </c>
      <c r="Q53" s="537">
        <f>Q52/'2010'!Q52%-100</f>
        <v>0</v>
      </c>
      <c r="R53" s="521">
        <f>R52/'2010'!R52%-100</f>
        <v>-0.61728395061727781</v>
      </c>
      <c r="S53" s="537">
        <f>S52/'2010'!S52%-100</f>
        <v>9.3023255813953369</v>
      </c>
      <c r="T53" s="537">
        <f>T52/'2010'!T52%-100</f>
        <v>30.905077262693169</v>
      </c>
      <c r="U53" s="561">
        <f>U52/'2010'!U52%-100</f>
        <v>10.09174311926607</v>
      </c>
      <c r="V53" s="521">
        <f>V52/'2010'!V52%-100</f>
        <v>-45</v>
      </c>
      <c r="W53" s="537">
        <f>W52/'2010'!W52%-100</f>
        <v>20.746887966804977</v>
      </c>
      <c r="X53" s="521">
        <f>X52/'2010'!X52%-100</f>
        <v>31.343283582089555</v>
      </c>
      <c r="Y53" s="521">
        <f>Y52/'2010'!Y52%-100</f>
        <v>6</v>
      </c>
      <c r="Z53" s="537">
        <f>Z52/'2010'!Z52%-100</f>
        <v>13.518886679920485</v>
      </c>
      <c r="AA53" s="521">
        <f>AA52/'2010'!AA52%-100</f>
        <v>-45.641025641025642</v>
      </c>
      <c r="AB53" s="561">
        <f>AB52/'2010'!AB52%-100</f>
        <v>28.959276018099558</v>
      </c>
      <c r="AC53" s="537">
        <f>AC52/'2010'!AC52%-100</f>
        <v>22.026431718061673</v>
      </c>
      <c r="AD53" s="537">
        <f>AD52/'2010'!AD52%-100</f>
        <v>-17.708333333333329</v>
      </c>
      <c r="AE53" s="521">
        <f>AE52/'2010'!AE52%-100</f>
        <v>-4.0677966101694807</v>
      </c>
      <c r="AF53" s="537">
        <f>AF52/'2010'!AF52%-100</f>
        <v>-5.8510638297872362</v>
      </c>
      <c r="AG53" s="537">
        <f>AG52/'2010'!AG52%-100</f>
        <v>-23.58722358722359</v>
      </c>
      <c r="AH53" s="537">
        <f>AH52/'2010'!AH52%-100</f>
        <v>13.85135135135134</v>
      </c>
      <c r="AI53" s="537">
        <f>AI52/'2010'!AI52%-100</f>
        <v>1.418439716312065</v>
      </c>
      <c r="AJ53" s="537">
        <f>AJ52/'2010'!AJ52%-100</f>
        <v>39.130434782608717</v>
      </c>
      <c r="AK53" s="561">
        <f>AK52/'2010'!AK52%-100</f>
        <v>27.467105263157904</v>
      </c>
      <c r="AL53" s="537">
        <f>AL52/'2010'!AL52%-100</f>
        <v>26.126126126126124</v>
      </c>
      <c r="AM53" s="537">
        <f>AM52/'2010'!AM52%-100</f>
        <v>9.7978910369068615</v>
      </c>
      <c r="AN53" s="537">
        <f>AN52/'2010'!AN52%-100</f>
        <v>12.207178164624963</v>
      </c>
      <c r="AO53" s="537">
        <f>AO52/'2010'!AO52%-100</f>
        <v>11.685823754789268</v>
      </c>
      <c r="AP53" s="537">
        <f>AP52/'2010'!AP52%-100</f>
        <v>35.416666666666657</v>
      </c>
      <c r="AQ53" s="537">
        <f>AQ52/'2010'!AQ52%-100</f>
        <v>26.161369193154044</v>
      </c>
      <c r="AR53" s="537">
        <f>AR52/'2010'!AR52%-100</f>
        <v>-7.5500770416024636</v>
      </c>
      <c r="AS53" s="540">
        <f>AS52/'2010'!AS52%-100</f>
        <v>11.583011583011583</v>
      </c>
      <c r="AT53" s="521" t="s">
        <v>233</v>
      </c>
      <c r="AU53" s="521">
        <f>AU52/'2010'!AU52%-100</f>
        <v>22.222222222222229</v>
      </c>
      <c r="AV53" s="521">
        <f>AV52/'2010'!AV52%-100</f>
        <v>9.3023255813953369</v>
      </c>
      <c r="AW53" s="521">
        <f>AW52/'2010'!AW52%-100</f>
        <v>25.373134328358205</v>
      </c>
      <c r="AX53" s="521">
        <f>AX52/'2010'!AX52%-100</f>
        <v>6.6225165562914015</v>
      </c>
      <c r="AY53" s="521">
        <f>AY52/'2010'!AY52%-100</f>
        <v>16.13636363636364</v>
      </c>
      <c r="AZ53" s="521" t="s">
        <v>233</v>
      </c>
      <c r="BA53" s="521">
        <f>BA52/'2010'!BA52%-100</f>
        <v>-7.6655052264808319</v>
      </c>
      <c r="BB53" s="521">
        <f>BB52/'2010'!BB52%-100</f>
        <v>30.905077262693169</v>
      </c>
      <c r="BC53" s="521">
        <f>BC52/'2010'!BC52%-100</f>
        <v>10.09174311926607</v>
      </c>
      <c r="BD53" s="521">
        <f>BD52/'2010'!BD52%-100</f>
        <v>10.478359908883832</v>
      </c>
      <c r="BE53" s="521">
        <f>BE52/'2010'!BE52%-100</f>
        <v>1.3015184381778795</v>
      </c>
      <c r="BF53" s="559">
        <f>BF52/'2010'!BF52%-100</f>
        <v>16.052934407364774</v>
      </c>
      <c r="BG53" s="521" t="s">
        <v>233</v>
      </c>
      <c r="BH53" s="521" t="s">
        <v>233</v>
      </c>
      <c r="BI53" s="521">
        <f>BI52/'2010'!BI52%-100</f>
        <v>31.343283582089555</v>
      </c>
      <c r="BJ53" s="521">
        <f>BJ52/'2010'!BJ52%-100</f>
        <v>-45</v>
      </c>
      <c r="BK53" s="521" t="s">
        <v>233</v>
      </c>
      <c r="BL53" s="521" t="s">
        <v>233</v>
      </c>
      <c r="BM53" s="521">
        <f>BM52/'2010'!BM52%-100</f>
        <v>13.518886679920485</v>
      </c>
      <c r="BN53" s="521">
        <f>BN52/'2010'!BN52%-100</f>
        <v>6</v>
      </c>
      <c r="BO53" s="521" t="s">
        <v>233</v>
      </c>
      <c r="BP53" s="521">
        <f>BP52/'2010'!BP52%-100</f>
        <v>28.959276018099558</v>
      </c>
      <c r="BQ53" s="521">
        <f>BQ52/'2010'!BQ52%-100</f>
        <v>8.7179487179487154</v>
      </c>
      <c r="BR53" s="559">
        <f>BR52/'2010'!BR52%-100</f>
        <v>20.746887966804977</v>
      </c>
      <c r="BS53" s="521" t="s">
        <v>233</v>
      </c>
      <c r="BT53" s="521">
        <f>BT52/'2010'!BT52%-100</f>
        <v>-4.0677966101694807</v>
      </c>
      <c r="BU53" s="521">
        <f>BU52/'2010'!BU52%-100</f>
        <v>-17.708333333333329</v>
      </c>
      <c r="BV53" s="521">
        <f>BV52/'2010'!BV52%-100</f>
        <v>-23.58722358722359</v>
      </c>
      <c r="BW53" s="521">
        <f>BW52/'2010'!BW52%-100</f>
        <v>1.418439716312065</v>
      </c>
      <c r="BX53" s="521">
        <f>BX52/'2010'!BX52%-100</f>
        <v>22.026431718061673</v>
      </c>
      <c r="BY53" s="521">
        <f>BY52/'2010'!BY52%-100</f>
        <v>39.130434782608717</v>
      </c>
      <c r="BZ53" s="521">
        <f>BZ52/'2010'!BZ52%-100</f>
        <v>13.85135135135134</v>
      </c>
      <c r="CA53" s="521">
        <f>CA52/'2010'!CA52%-100</f>
        <v>-5.8510638297872362</v>
      </c>
      <c r="CB53" s="559">
        <f>CB52/'2010'!CB52%-100</f>
        <v>27.467105263157904</v>
      </c>
      <c r="CC53" s="521">
        <f>CC52/'2010'!CC52%-100</f>
        <v>11.685823754789268</v>
      </c>
      <c r="CD53" s="521">
        <f>CD52/'2010'!CD52%-100</f>
        <v>35.416666666666657</v>
      </c>
      <c r="CE53" s="521">
        <f>CE52/'2010'!CE52%-100</f>
        <v>26.126126126126124</v>
      </c>
      <c r="CF53" s="521" t="s">
        <v>233</v>
      </c>
      <c r="CG53" s="521">
        <f>CG52/'2010'!CG52%-100</f>
        <v>11.583011583011583</v>
      </c>
      <c r="CH53" s="521">
        <f>CH52/'2010'!CH52%-100</f>
        <v>9.7978910369068615</v>
      </c>
      <c r="CI53" s="521">
        <f>CI52/'2010'!CI52%-100</f>
        <v>-7.5500770416024636</v>
      </c>
      <c r="CJ53" s="521">
        <f>CJ52/'2010'!CJ52%-100</f>
        <v>12.207178164624963</v>
      </c>
      <c r="CK53" s="540">
        <f>CK52/'2010'!CK52%-100</f>
        <v>26.161369193154044</v>
      </c>
      <c r="CL53" s="560">
        <f>CL52/'2010'!CL52%-100</f>
        <v>12.605870490701321</v>
      </c>
    </row>
    <row r="54" spans="1:90">
      <c r="A54" s="80">
        <f>ROWS($A$3:A52)</f>
        <v>50</v>
      </c>
      <c r="B54" s="499" t="str">
        <f>"Änderung der Milchkühe "&amp;C51&amp;"/"&amp;C97</f>
        <v>Änderung der Milchkühe 2018/2001</v>
      </c>
      <c r="C54" s="689">
        <v>2018</v>
      </c>
      <c r="D54" s="690" t="s">
        <v>3</v>
      </c>
      <c r="E54" s="452">
        <v>43860</v>
      </c>
      <c r="F54" s="544">
        <f>IF(ISERROR(F42/F97)=FALSE,ROUND((F42-F97)/F97%,3)," -")</f>
        <v>-10.95</v>
      </c>
      <c r="G54" s="545">
        <f>IF(ISERROR(G42/G97)=FALSE,ROUND((G42-G97)/G97%,3)," -")</f>
        <v>-2.98</v>
      </c>
      <c r="H54" s="545">
        <f>IF(ISERROR(H42/H97)=FALSE,ROUND((H42-H97)/H97%,3)," -")</f>
        <v>1.9139999999999999</v>
      </c>
      <c r="I54" s="546">
        <f>IF(ISERROR(I42/I97)=FALSE,ROUND((I42-I97)/I97%,3)," -")</f>
        <v>-13.082000000000001</v>
      </c>
      <c r="J54" s="597"/>
      <c r="K54" s="565">
        <f t="shared" si="74"/>
        <v>-4.4180000000000001</v>
      </c>
      <c r="L54" s="566">
        <f t="shared" si="75"/>
        <v>-4.4749999999999996</v>
      </c>
      <c r="M54" s="566">
        <f t="shared" si="76"/>
        <v>-26.329000000000001</v>
      </c>
      <c r="N54" s="566">
        <f t="shared" si="77"/>
        <v>0.37</v>
      </c>
      <c r="O54" s="566">
        <f t="shared" si="78"/>
        <v>-20.491</v>
      </c>
      <c r="P54" s="545">
        <f>IF(ISERROR(P42/P97)=FALSE,ROUND((P42-P97)/P97%,3)," -")</f>
        <v>-38.473999999999997</v>
      </c>
      <c r="Q54" s="566">
        <f>'2010'!AU54</f>
        <v>2.2530000000000001</v>
      </c>
      <c r="R54" s="545">
        <f>IF(ISERROR(R42/R97)=FALSE,ROUND((R42-R97)/R97%,3)," -")</f>
        <v>-31.31</v>
      </c>
      <c r="S54" s="566">
        <f t="shared" si="79"/>
        <v>-14.568</v>
      </c>
      <c r="T54" s="566">
        <f t="shared" si="80"/>
        <v>-1.956</v>
      </c>
      <c r="U54" s="567">
        <f t="shared" si="80"/>
        <v>-10.776</v>
      </c>
      <c r="V54" s="545">
        <f>IF(ISERROR(V42/V97)=FALSE,ROUND((V42-V97)/V97%,3)," -")</f>
        <v>17.734999999999999</v>
      </c>
      <c r="W54" s="566">
        <f t="shared" si="81"/>
        <v>1.792</v>
      </c>
      <c r="X54" s="545">
        <f>IF(ISERROR(X42/X97)=FALSE,ROUND((X42-X97)/X97%,3)," -")</f>
        <v>-2.8540000000000001</v>
      </c>
      <c r="Y54" s="545">
        <f>IF(ISERROR(Y42/Y97)=FALSE,ROUND((Y42-Y97)/Y97%,3)," -")</f>
        <v>-22.667000000000002</v>
      </c>
      <c r="Z54" s="566">
        <f t="shared" si="82"/>
        <v>-14.3</v>
      </c>
      <c r="AA54" s="545">
        <f>IF(ISERROR(AA42/AA97)=FALSE,ROUND((AA42-AA97)/AA97%,3)," -")</f>
        <v>11.175000000000001</v>
      </c>
      <c r="AB54" s="567">
        <f t="shared" si="83"/>
        <v>18.120999999999999</v>
      </c>
      <c r="AC54" s="566">
        <f t="shared" si="84"/>
        <v>2.9239999999999999</v>
      </c>
      <c r="AD54" s="566">
        <f t="shared" si="85"/>
        <v>2.1190000000000002</v>
      </c>
      <c r="AE54" s="545">
        <f>IF(ISERROR(AE42/AE97)=FALSE,ROUND((AE42-AE97)/AE97%,3)," -")</f>
        <v>1.4550000000000001</v>
      </c>
      <c r="AF54" s="566">
        <f t="shared" si="86"/>
        <v>12.266</v>
      </c>
      <c r="AG54" s="566">
        <f t="shared" si="87"/>
        <v>-9.3529999999999998</v>
      </c>
      <c r="AH54" s="566">
        <f t="shared" si="88"/>
        <v>-6.9109999999999996</v>
      </c>
      <c r="AI54" s="566">
        <f t="shared" si="89"/>
        <v>-15.403</v>
      </c>
      <c r="AJ54" s="566">
        <f t="shared" si="90"/>
        <v>22.067</v>
      </c>
      <c r="AK54" s="567">
        <f t="shared" si="91"/>
        <v>15.727</v>
      </c>
      <c r="AL54" s="566">
        <f t="shared" si="92"/>
        <v>51.82</v>
      </c>
      <c r="AM54" s="566">
        <f t="shared" si="93"/>
        <v>-15.364000000000001</v>
      </c>
      <c r="AN54" s="566">
        <f t="shared" si="94"/>
        <v>-12.602</v>
      </c>
      <c r="AO54" s="566">
        <f t="shared" si="95"/>
        <v>-13.553000000000001</v>
      </c>
      <c r="AP54" s="566">
        <f t="shared" si="95"/>
        <v>-2.879</v>
      </c>
      <c r="AQ54" s="566">
        <f t="shared" si="96"/>
        <v>-8.15</v>
      </c>
      <c r="AR54" s="566">
        <f t="shared" si="97"/>
        <v>-31.771999999999998</v>
      </c>
      <c r="AS54" s="546">
        <f>IF(ISERROR(AS42/AS97)=FALSE,ROUND((AS42-AS97)/AS97%,3)," -")</f>
        <v>-14.551</v>
      </c>
      <c r="AT54" s="545">
        <f>IF(ISERROR(AT42/AT97)=FALSE,ROUND((AT42-AT97)/AT97%,3)," -")</f>
        <v>-100</v>
      </c>
      <c r="AU54" s="545">
        <f t="shared" ref="AU54:CL54" si="101">IF(ISERROR(AU42/AU97)=FALSE,ROUND((AU42-AU97)/AU97%,3)," -")</f>
        <v>1.0009999999999999</v>
      </c>
      <c r="AV54" s="545">
        <f t="shared" si="101"/>
        <v>-14.568</v>
      </c>
      <c r="AW54" s="545">
        <f t="shared" si="101"/>
        <v>0.37</v>
      </c>
      <c r="AX54" s="545">
        <f t="shared" si="101"/>
        <v>-25.6</v>
      </c>
      <c r="AY54" s="545">
        <f t="shared" si="101"/>
        <v>-4.4749999999999996</v>
      </c>
      <c r="AZ54" s="545">
        <f t="shared" si="101"/>
        <v>-100</v>
      </c>
      <c r="BA54" s="545">
        <f t="shared" si="101"/>
        <v>-35.950000000000003</v>
      </c>
      <c r="BB54" s="545">
        <f t="shared" si="101"/>
        <v>-1.956</v>
      </c>
      <c r="BC54" s="545">
        <f t="shared" si="101"/>
        <v>-10.776</v>
      </c>
      <c r="BD54" s="545">
        <f t="shared" si="101"/>
        <v>-26.329000000000001</v>
      </c>
      <c r="BE54" s="545">
        <f t="shared" si="101"/>
        <v>-20.491</v>
      </c>
      <c r="BF54" s="568">
        <f t="shared" si="101"/>
        <v>-4.4180000000000001</v>
      </c>
      <c r="BG54" s="545" t="str">
        <f t="shared" si="101"/>
        <v xml:space="preserve"> -</v>
      </c>
      <c r="BH54" s="545">
        <f t="shared" si="101"/>
        <v>-100</v>
      </c>
      <c r="BI54" s="545">
        <f t="shared" si="101"/>
        <v>2.665</v>
      </c>
      <c r="BJ54" s="545">
        <f t="shared" si="101"/>
        <v>17.734999999999999</v>
      </c>
      <c r="BK54" s="545">
        <f t="shared" si="101"/>
        <v>-57.421999999999997</v>
      </c>
      <c r="BL54" s="545">
        <f t="shared" si="101"/>
        <v>-66.667000000000002</v>
      </c>
      <c r="BM54" s="545">
        <f t="shared" si="101"/>
        <v>-14.3</v>
      </c>
      <c r="BN54" s="545">
        <f t="shared" si="101"/>
        <v>-17.992000000000001</v>
      </c>
      <c r="BO54" s="545">
        <f t="shared" si="101"/>
        <v>-100</v>
      </c>
      <c r="BP54" s="545">
        <f t="shared" si="101"/>
        <v>18.120999999999999</v>
      </c>
      <c r="BQ54" s="545">
        <f t="shared" si="101"/>
        <v>15.114000000000001</v>
      </c>
      <c r="BR54" s="568">
        <f t="shared" si="101"/>
        <v>1.792</v>
      </c>
      <c r="BS54" s="545" t="str">
        <f t="shared" si="101"/>
        <v xml:space="preserve"> -</v>
      </c>
      <c r="BT54" s="545">
        <f t="shared" si="101"/>
        <v>-3.2000000000000001E-2</v>
      </c>
      <c r="BU54" s="545">
        <f t="shared" si="101"/>
        <v>2.1190000000000002</v>
      </c>
      <c r="BV54" s="545">
        <f t="shared" si="101"/>
        <v>-9.3529999999999998</v>
      </c>
      <c r="BW54" s="545">
        <f t="shared" si="101"/>
        <v>-15.403</v>
      </c>
      <c r="BX54" s="545">
        <f t="shared" si="101"/>
        <v>2.9239999999999999</v>
      </c>
      <c r="BY54" s="545">
        <f t="shared" si="101"/>
        <v>22.067</v>
      </c>
      <c r="BZ54" s="545">
        <f t="shared" si="101"/>
        <v>-6.9109999999999996</v>
      </c>
      <c r="CA54" s="545">
        <f t="shared" si="101"/>
        <v>12.266</v>
      </c>
      <c r="CB54" s="568">
        <f t="shared" si="101"/>
        <v>15.727</v>
      </c>
      <c r="CC54" s="545">
        <f t="shared" si="101"/>
        <v>-13.553000000000001</v>
      </c>
      <c r="CD54" s="545">
        <f t="shared" si="101"/>
        <v>-2.879</v>
      </c>
      <c r="CE54" s="545">
        <f t="shared" si="101"/>
        <v>51.82</v>
      </c>
      <c r="CF54" s="545">
        <f t="shared" si="101"/>
        <v>9.1820000000000004</v>
      </c>
      <c r="CG54" s="545">
        <f t="shared" si="101"/>
        <v>-15.618</v>
      </c>
      <c r="CH54" s="545">
        <f t="shared" si="101"/>
        <v>-15.364000000000001</v>
      </c>
      <c r="CI54" s="545">
        <f t="shared" si="101"/>
        <v>-31.771999999999998</v>
      </c>
      <c r="CJ54" s="545">
        <f t="shared" si="101"/>
        <v>-12.602</v>
      </c>
      <c r="CK54" s="546">
        <f t="shared" si="101"/>
        <v>-8.15</v>
      </c>
      <c r="CL54" s="569">
        <f t="shared" si="101"/>
        <v>-8.82</v>
      </c>
    </row>
    <row r="55" spans="1:90" ht="14.25">
      <c r="A55" s="80">
        <f>ROWS($A$3:A53)</f>
        <v>51</v>
      </c>
      <c r="B55" s="59" t="s">
        <v>208</v>
      </c>
      <c r="C55" s="203"/>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c r="A56" s="80">
        <f>ROWS($A$3:A54)</f>
        <v>52</v>
      </c>
      <c r="B56" s="92" t="s">
        <v>54</v>
      </c>
      <c r="C56" s="684">
        <v>2019</v>
      </c>
      <c r="D56" s="685" t="s">
        <v>13</v>
      </c>
      <c r="E56" s="447">
        <v>43901</v>
      </c>
      <c r="F56" s="154">
        <f>SUM(AT56:BF56)</f>
        <v>279</v>
      </c>
      <c r="G56" s="155">
        <f>SUM(BG56:BR56)</f>
        <v>256</v>
      </c>
      <c r="H56" s="155">
        <f>SUM(BS56:CB56)</f>
        <v>287</v>
      </c>
      <c r="I56" s="156">
        <f>SUM(CC56:CK56)</f>
        <v>315</v>
      </c>
      <c r="J56" s="281"/>
      <c r="K56" s="154">
        <f t="shared" ref="K56:K63" si="102">BF56</f>
        <v>42</v>
      </c>
      <c r="L56" s="155">
        <f t="shared" ref="L56:L63" si="103">AY56</f>
        <v>26</v>
      </c>
      <c r="M56" s="155">
        <f t="shared" ref="M56:M63" si="104">BD56</f>
        <v>36</v>
      </c>
      <c r="N56" s="155">
        <f t="shared" ref="N56:N63" si="105">AW56</f>
        <v>20</v>
      </c>
      <c r="O56" s="155">
        <f t="shared" ref="O56:O63" si="106">BE56</f>
        <v>15</v>
      </c>
      <c r="P56" s="155">
        <f>'2019'!AZ56+'2019'!BA56</f>
        <v>25</v>
      </c>
      <c r="Q56" s="155">
        <f>'2019'!AU56</f>
        <v>20</v>
      </c>
      <c r="R56" s="155">
        <f t="shared" ref="R56:R63" si="107">AT56+AX56</f>
        <v>27</v>
      </c>
      <c r="S56" s="155">
        <f t="shared" ref="S56:S63" si="108">AV56</f>
        <v>29</v>
      </c>
      <c r="T56" s="155">
        <f t="shared" ref="T56:U63" si="109">BB56</f>
        <v>21</v>
      </c>
      <c r="U56" s="552">
        <f t="shared" si="109"/>
        <v>18</v>
      </c>
      <c r="V56" s="155">
        <f t="shared" ref="V56:V63" si="110">BG56+BJ56</f>
        <v>49</v>
      </c>
      <c r="W56" s="155">
        <f t="shared" ref="W56:W63" si="111">BR56</f>
        <v>18</v>
      </c>
      <c r="X56" s="155">
        <f t="shared" ref="X56:X63" si="112">BH56+BI56</f>
        <v>38</v>
      </c>
      <c r="Y56" s="155">
        <f t="shared" ref="Y56:Y63" si="113">BK56+BL56+BN56</f>
        <v>41</v>
      </c>
      <c r="Z56" s="155">
        <f t="shared" ref="Z56:Z63" si="114">BM56</f>
        <v>50</v>
      </c>
      <c r="AA56" s="155">
        <f t="shared" ref="AA56:AA63" si="115">BO56+BQ56</f>
        <v>29</v>
      </c>
      <c r="AB56" s="552">
        <f t="shared" ref="AB56:AB63" si="116">BP56</f>
        <v>31</v>
      </c>
      <c r="AC56" s="155">
        <f t="shared" ref="AC56:AC63" si="117">BX56</f>
        <v>26</v>
      </c>
      <c r="AD56" s="155">
        <f t="shared" ref="AD56:AD63" si="118">BU56</f>
        <v>19</v>
      </c>
      <c r="AE56" s="155">
        <f t="shared" ref="AE56:AE63" si="119">BS56+BT56</f>
        <v>56</v>
      </c>
      <c r="AF56" s="155">
        <f t="shared" ref="AF56:AF63" si="120">CA56</f>
        <v>26</v>
      </c>
      <c r="AG56" s="155">
        <f t="shared" ref="AG56:AG63" si="121">BV56</f>
        <v>23</v>
      </c>
      <c r="AH56" s="155">
        <f t="shared" ref="AH56:AH63" si="122">BZ56</f>
        <v>65</v>
      </c>
      <c r="AI56" s="155">
        <f t="shared" ref="AI56:AI63" si="123">BW56</f>
        <v>10</v>
      </c>
      <c r="AJ56" s="155">
        <f t="shared" ref="AJ56:AJ63" si="124">BY56</f>
        <v>25</v>
      </c>
      <c r="AK56" s="552">
        <f t="shared" ref="AK56:AK63" si="125">CB56</f>
        <v>37</v>
      </c>
      <c r="AL56" s="155">
        <f t="shared" ref="AL56:AL63" si="126">CE56</f>
        <v>53</v>
      </c>
      <c r="AM56" s="155">
        <f t="shared" ref="AM56:AM63" si="127">CH56</f>
        <v>31</v>
      </c>
      <c r="AN56" s="155">
        <f t="shared" ref="AN56:AN63" si="128">CJ56</f>
        <v>75</v>
      </c>
      <c r="AO56" s="155">
        <f t="shared" ref="AO56:AP63" si="129">CC56</f>
        <v>42</v>
      </c>
      <c r="AP56" s="155">
        <f t="shared" si="129"/>
        <v>22</v>
      </c>
      <c r="AQ56" s="155">
        <f t="shared" ref="AQ56:AQ63" si="130">CK56</f>
        <v>24</v>
      </c>
      <c r="AR56" s="155">
        <f t="shared" ref="AR56:AR63" si="131">CI56</f>
        <v>33</v>
      </c>
      <c r="AS56" s="156">
        <f t="shared" ref="AS56:AS63" si="132">CF56+CG56</f>
        <v>35</v>
      </c>
      <c r="AT56">
        <v>7</v>
      </c>
      <c r="AU56">
        <v>20</v>
      </c>
      <c r="AV56">
        <v>29</v>
      </c>
      <c r="AW56">
        <v>20</v>
      </c>
      <c r="AX56">
        <v>20</v>
      </c>
      <c r="AY56">
        <v>26</v>
      </c>
      <c r="AZ56">
        <v>5</v>
      </c>
      <c r="BA56">
        <v>20</v>
      </c>
      <c r="BB56">
        <v>21</v>
      </c>
      <c r="BC56">
        <v>18</v>
      </c>
      <c r="BD56">
        <v>36</v>
      </c>
      <c r="BE56">
        <v>15</v>
      </c>
      <c r="BF56" s="703">
        <v>42</v>
      </c>
      <c r="BG56">
        <v>7</v>
      </c>
      <c r="BH56">
        <v>29</v>
      </c>
      <c r="BI56">
        <v>9</v>
      </c>
      <c r="BJ56">
        <v>42</v>
      </c>
      <c r="BK56">
        <v>5</v>
      </c>
      <c r="BL56">
        <v>9</v>
      </c>
      <c r="BM56">
        <v>50</v>
      </c>
      <c r="BN56">
        <v>27</v>
      </c>
      <c r="BO56">
        <v>3</v>
      </c>
      <c r="BP56">
        <v>31</v>
      </c>
      <c r="BQ56">
        <v>26</v>
      </c>
      <c r="BR56" s="703">
        <v>18</v>
      </c>
      <c r="BS56">
        <v>7</v>
      </c>
      <c r="BT56">
        <v>49</v>
      </c>
      <c r="BU56">
        <v>19</v>
      </c>
      <c r="BV56">
        <v>23</v>
      </c>
      <c r="BW56">
        <v>10</v>
      </c>
      <c r="BX56">
        <v>26</v>
      </c>
      <c r="BY56">
        <v>25</v>
      </c>
      <c r="BZ56">
        <v>65</v>
      </c>
      <c r="CA56">
        <v>26</v>
      </c>
      <c r="CB56" s="703">
        <v>37</v>
      </c>
      <c r="CC56">
        <v>42</v>
      </c>
      <c r="CD56">
        <v>22</v>
      </c>
      <c r="CE56">
        <v>53</v>
      </c>
      <c r="CF56">
        <v>2</v>
      </c>
      <c r="CG56">
        <v>33</v>
      </c>
      <c r="CH56">
        <v>31</v>
      </c>
      <c r="CI56">
        <v>33</v>
      </c>
      <c r="CJ56">
        <v>75</v>
      </c>
      <c r="CK56" s="702">
        <v>24</v>
      </c>
      <c r="CL56" s="320">
        <f>SUM(AT56:CK56)</f>
        <v>1137</v>
      </c>
    </row>
    <row r="57" spans="1:90">
      <c r="A57" s="80">
        <f>ROWS($A$3:A55)</f>
        <v>53</v>
      </c>
      <c r="B57" s="92"/>
      <c r="C57" s="686"/>
      <c r="D57" s="685" t="s">
        <v>1</v>
      </c>
      <c r="E57" s="451"/>
      <c r="F57" s="154">
        <f>SUM(AT57:BF57)</f>
        <v>15641</v>
      </c>
      <c r="G57" s="155">
        <f>SUM(BG57:BR57)</f>
        <v>18920</v>
      </c>
      <c r="H57" s="155">
        <f>SUM(BS57:CB57)</f>
        <v>32120</v>
      </c>
      <c r="I57" s="156">
        <f>SUM(CC57:CK57)</f>
        <v>19252</v>
      </c>
      <c r="J57" s="281"/>
      <c r="K57" s="154">
        <f t="shared" si="102"/>
        <v>2049</v>
      </c>
      <c r="L57" s="155">
        <f t="shared" si="103"/>
        <v>833</v>
      </c>
      <c r="M57" s="155">
        <f t="shared" si="104"/>
        <v>1094</v>
      </c>
      <c r="N57" s="155">
        <f t="shared" si="105"/>
        <v>2888</v>
      </c>
      <c r="O57" s="155">
        <f t="shared" si="106"/>
        <v>1365</v>
      </c>
      <c r="P57" s="155">
        <f>'2019'!AZ57+'2019'!BA57</f>
        <v>489</v>
      </c>
      <c r="Q57" s="155">
        <f>'2019'!AU57</f>
        <v>734</v>
      </c>
      <c r="R57" s="155">
        <f t="shared" si="107"/>
        <v>1999</v>
      </c>
      <c r="S57" s="155">
        <f t="shared" si="108"/>
        <v>2321</v>
      </c>
      <c r="T57" s="155">
        <f t="shared" si="109"/>
        <v>486</v>
      </c>
      <c r="U57" s="552">
        <f t="shared" si="109"/>
        <v>1383</v>
      </c>
      <c r="V57" s="155">
        <f t="shared" si="110"/>
        <v>3910</v>
      </c>
      <c r="W57" s="155">
        <f t="shared" si="111"/>
        <v>1206</v>
      </c>
      <c r="X57" s="155">
        <f t="shared" si="112"/>
        <v>4756</v>
      </c>
      <c r="Y57" s="155">
        <f>BK57+BL57+BN57</f>
        <v>1855</v>
      </c>
      <c r="Z57" s="155">
        <f t="shared" si="114"/>
        <v>3029</v>
      </c>
      <c r="AA57" s="155">
        <f t="shared" si="115"/>
        <v>2428</v>
      </c>
      <c r="AB57" s="552">
        <f t="shared" si="116"/>
        <v>1736</v>
      </c>
      <c r="AC57" s="155">
        <f t="shared" si="117"/>
        <v>2085</v>
      </c>
      <c r="AD57" s="155">
        <f t="shared" si="118"/>
        <v>3873</v>
      </c>
      <c r="AE57" s="155">
        <f t="shared" si="119"/>
        <v>6679</v>
      </c>
      <c r="AF57" s="155">
        <f t="shared" si="120"/>
        <v>6163</v>
      </c>
      <c r="AG57" s="155">
        <f t="shared" si="121"/>
        <v>3110</v>
      </c>
      <c r="AH57" s="155">
        <f t="shared" si="122"/>
        <v>3679</v>
      </c>
      <c r="AI57" s="155">
        <f t="shared" si="123"/>
        <v>437</v>
      </c>
      <c r="AJ57" s="155">
        <f t="shared" si="124"/>
        <v>2444</v>
      </c>
      <c r="AK57" s="552">
        <f t="shared" si="125"/>
        <v>3650</v>
      </c>
      <c r="AL57" s="155">
        <f t="shared" si="126"/>
        <v>1562</v>
      </c>
      <c r="AM57" s="155">
        <f t="shared" si="127"/>
        <v>3593</v>
      </c>
      <c r="AN57" s="155">
        <f t="shared" si="128"/>
        <v>5858</v>
      </c>
      <c r="AO57" s="155">
        <f t="shared" si="129"/>
        <v>1973</v>
      </c>
      <c r="AP57" s="155">
        <f t="shared" si="129"/>
        <v>1194</v>
      </c>
      <c r="AQ57" s="155">
        <f t="shared" si="130"/>
        <v>1966</v>
      </c>
      <c r="AR57" s="155">
        <f t="shared" si="131"/>
        <v>1205</v>
      </c>
      <c r="AS57" s="156">
        <f t="shared" si="132"/>
        <v>1901</v>
      </c>
      <c r="AT57" s="604">
        <v>1353</v>
      </c>
      <c r="AU57">
        <v>734</v>
      </c>
      <c r="AV57" s="604">
        <v>2321</v>
      </c>
      <c r="AW57" s="604">
        <v>2888</v>
      </c>
      <c r="AX57">
        <v>646</v>
      </c>
      <c r="AY57">
        <v>833</v>
      </c>
      <c r="AZ57">
        <v>98</v>
      </c>
      <c r="BA57">
        <v>391</v>
      </c>
      <c r="BB57">
        <v>486</v>
      </c>
      <c r="BC57" s="604">
        <v>1383</v>
      </c>
      <c r="BD57" s="604">
        <v>1094</v>
      </c>
      <c r="BE57" s="604">
        <v>1365</v>
      </c>
      <c r="BF57" s="704">
        <v>2049</v>
      </c>
      <c r="BG57">
        <v>693</v>
      </c>
      <c r="BH57" s="604">
        <v>4027</v>
      </c>
      <c r="BI57">
        <v>729</v>
      </c>
      <c r="BJ57" s="604">
        <v>3217</v>
      </c>
      <c r="BK57">
        <v>85</v>
      </c>
      <c r="BL57">
        <v>700</v>
      </c>
      <c r="BM57" s="604">
        <v>3029</v>
      </c>
      <c r="BN57" s="604">
        <v>1070</v>
      </c>
      <c r="BO57">
        <v>197</v>
      </c>
      <c r="BP57" s="604">
        <v>1736</v>
      </c>
      <c r="BQ57" s="604">
        <v>2231</v>
      </c>
      <c r="BR57" s="704">
        <v>1206</v>
      </c>
      <c r="BS57">
        <v>683</v>
      </c>
      <c r="BT57" s="604">
        <v>5996</v>
      </c>
      <c r="BU57" s="604">
        <v>3873</v>
      </c>
      <c r="BV57" s="604">
        <v>3110</v>
      </c>
      <c r="BW57">
        <v>437</v>
      </c>
      <c r="BX57" s="604">
        <v>2085</v>
      </c>
      <c r="BY57" s="604">
        <v>2444</v>
      </c>
      <c r="BZ57" s="604">
        <v>3679</v>
      </c>
      <c r="CA57" s="604">
        <v>6163</v>
      </c>
      <c r="CB57" s="704">
        <v>3650</v>
      </c>
      <c r="CC57" s="604">
        <v>1973</v>
      </c>
      <c r="CD57" s="604">
        <v>1194</v>
      </c>
      <c r="CE57" s="604">
        <v>1562</v>
      </c>
      <c r="CF57">
        <v>137</v>
      </c>
      <c r="CG57" s="604">
        <v>1764</v>
      </c>
      <c r="CH57" s="604">
        <v>3593</v>
      </c>
      <c r="CI57" s="604">
        <v>1205</v>
      </c>
      <c r="CJ57" s="604">
        <v>5858</v>
      </c>
      <c r="CK57" s="604">
        <v>1966</v>
      </c>
      <c r="CL57" s="320">
        <f>SUM(AT57:CK57)</f>
        <v>85933</v>
      </c>
    </row>
    <row r="58" spans="1:90">
      <c r="A58" s="80">
        <f>ROWS($A$3:A56)</f>
        <v>54</v>
      </c>
      <c r="B58" s="92" t="s">
        <v>231</v>
      </c>
      <c r="C58" s="684">
        <v>2019</v>
      </c>
      <c r="D58" s="685" t="s">
        <v>13</v>
      </c>
      <c r="E58" s="447">
        <v>43860</v>
      </c>
      <c r="F58" s="154">
        <v>56</v>
      </c>
      <c r="G58" s="155">
        <v>53</v>
      </c>
      <c r="H58" s="155">
        <v>67</v>
      </c>
      <c r="I58" s="156">
        <v>62</v>
      </c>
      <c r="J58" s="281"/>
      <c r="K58" s="154">
        <f t="shared" si="102"/>
        <v>14</v>
      </c>
      <c r="L58" s="155">
        <f t="shared" si="103"/>
        <v>5</v>
      </c>
      <c r="M58" s="155">
        <f t="shared" si="104"/>
        <v>10</v>
      </c>
      <c r="N58" s="155">
        <f t="shared" si="105"/>
        <v>8</v>
      </c>
      <c r="O58" s="155">
        <f t="shared" si="106"/>
        <v>6</v>
      </c>
      <c r="P58" s="155">
        <f>'2019'!AZ58+'2019'!BA58</f>
        <v>12</v>
      </c>
      <c r="Q58" s="155">
        <f>'2019'!AU58</f>
        <v>5</v>
      </c>
      <c r="R58" s="155">
        <f t="shared" si="107"/>
        <v>9</v>
      </c>
      <c r="S58" s="155">
        <f t="shared" si="108"/>
        <v>7</v>
      </c>
      <c r="T58" s="155">
        <f t="shared" si="109"/>
        <v>6</v>
      </c>
      <c r="U58" s="552">
        <f t="shared" si="109"/>
        <v>13</v>
      </c>
      <c r="V58" s="155">
        <f t="shared" si="110"/>
        <v>18</v>
      </c>
      <c r="W58" s="155">
        <f t="shared" si="111"/>
        <v>7</v>
      </c>
      <c r="X58" s="155">
        <f t="shared" si="112"/>
        <v>25</v>
      </c>
      <c r="Y58" s="155">
        <f t="shared" si="113"/>
        <v>18</v>
      </c>
      <c r="Z58" s="155">
        <f t="shared" si="114"/>
        <v>8</v>
      </c>
      <c r="AA58" s="155">
        <f t="shared" si="115"/>
        <v>12</v>
      </c>
      <c r="AB58" s="552">
        <f t="shared" si="116"/>
        <v>8</v>
      </c>
      <c r="AC58" s="155">
        <f t="shared" si="117"/>
        <v>8</v>
      </c>
      <c r="AD58" s="155">
        <f t="shared" si="118"/>
        <v>8</v>
      </c>
      <c r="AE58" s="155">
        <f t="shared" si="119"/>
        <v>21</v>
      </c>
      <c r="AF58" s="155">
        <f t="shared" si="120"/>
        <v>9</v>
      </c>
      <c r="AG58" s="155">
        <f t="shared" si="121"/>
        <v>14</v>
      </c>
      <c r="AH58" s="155">
        <f t="shared" si="122"/>
        <v>9</v>
      </c>
      <c r="AI58" s="155">
        <f t="shared" si="123"/>
        <v>8</v>
      </c>
      <c r="AJ58" s="155">
        <f t="shared" si="124"/>
        <v>8</v>
      </c>
      <c r="AK58" s="552">
        <f t="shared" si="125"/>
        <v>13</v>
      </c>
      <c r="AL58" s="155">
        <f t="shared" si="126"/>
        <v>17</v>
      </c>
      <c r="AM58" s="155">
        <f t="shared" si="127"/>
        <v>9</v>
      </c>
      <c r="AN58" s="155">
        <f t="shared" si="128"/>
        <v>16</v>
      </c>
      <c r="AO58" s="155">
        <f t="shared" si="129"/>
        <v>14</v>
      </c>
      <c r="AP58" s="155">
        <f t="shared" si="129"/>
        <v>6</v>
      </c>
      <c r="AQ58" s="155">
        <f t="shared" si="130"/>
        <v>12</v>
      </c>
      <c r="AR58" s="155">
        <f t="shared" si="131"/>
        <v>9</v>
      </c>
      <c r="AS58" s="156">
        <f t="shared" si="132"/>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212</v>
      </c>
    </row>
    <row r="59" spans="1:90">
      <c r="A59" s="80">
        <f>ROWS($A$3:A57)</f>
        <v>55</v>
      </c>
      <c r="B59" s="92"/>
      <c r="C59" s="686"/>
      <c r="D59" s="685" t="s">
        <v>1</v>
      </c>
      <c r="E59" s="451"/>
      <c r="F59" s="154">
        <v>93048.61</v>
      </c>
      <c r="G59" s="155">
        <v>97804.2</v>
      </c>
      <c r="H59" s="155">
        <v>132519.88</v>
      </c>
      <c r="I59" s="156">
        <v>94581.15</v>
      </c>
      <c r="J59" s="281"/>
      <c r="K59" s="154">
        <f t="shared" si="102"/>
        <v>10672.53</v>
      </c>
      <c r="L59" s="155">
        <f t="shared" si="103"/>
        <v>3129.65</v>
      </c>
      <c r="M59" s="155">
        <f t="shared" si="104"/>
        <v>8345.65</v>
      </c>
      <c r="N59" s="155">
        <f t="shared" si="105"/>
        <v>9512.31</v>
      </c>
      <c r="O59" s="155">
        <f t="shared" si="106"/>
        <v>7320.3</v>
      </c>
      <c r="P59" s="155">
        <f>'2019'!AZ59+'2019'!BA59</f>
        <v>11693.300000000001</v>
      </c>
      <c r="Q59" s="155">
        <f>'2019'!AU59</f>
        <v>6968.23</v>
      </c>
      <c r="R59" s="155">
        <f t="shared" si="107"/>
        <v>10380.52</v>
      </c>
      <c r="S59" s="155">
        <f t="shared" si="108"/>
        <v>9004.48</v>
      </c>
      <c r="T59" s="155">
        <f t="shared" si="109"/>
        <v>8654.1299999999992</v>
      </c>
      <c r="U59" s="552">
        <f t="shared" si="109"/>
        <v>7367.52</v>
      </c>
      <c r="V59" s="155">
        <f t="shared" si="110"/>
        <v>14852.68</v>
      </c>
      <c r="W59" s="155">
        <f t="shared" si="111"/>
        <v>5795.21</v>
      </c>
      <c r="X59" s="155">
        <f t="shared" si="112"/>
        <v>30194.800000000003</v>
      </c>
      <c r="Y59" s="155">
        <f t="shared" si="113"/>
        <v>19870.919999999998</v>
      </c>
      <c r="Z59" s="155">
        <f t="shared" si="114"/>
        <v>9713.0400000000009</v>
      </c>
      <c r="AA59" s="155">
        <f t="shared" si="115"/>
        <v>11902.8</v>
      </c>
      <c r="AB59" s="552">
        <f t="shared" si="116"/>
        <v>5474.77</v>
      </c>
      <c r="AC59" s="155">
        <f t="shared" si="117"/>
        <v>8463.31</v>
      </c>
      <c r="AD59" s="155">
        <f t="shared" si="118"/>
        <v>10471.969999999999</v>
      </c>
      <c r="AE59" s="155">
        <f t="shared" si="119"/>
        <v>23006.15</v>
      </c>
      <c r="AF59" s="155">
        <f t="shared" si="120"/>
        <v>16168.5</v>
      </c>
      <c r="AG59" s="155">
        <f t="shared" si="121"/>
        <v>18712.52</v>
      </c>
      <c r="AH59" s="155">
        <f t="shared" si="122"/>
        <v>14590.58</v>
      </c>
      <c r="AI59" s="155">
        <f t="shared" si="123"/>
        <v>6020.15</v>
      </c>
      <c r="AJ59" s="155">
        <f t="shared" si="124"/>
        <v>12388.04</v>
      </c>
      <c r="AK59" s="552">
        <f t="shared" si="125"/>
        <v>22698.65</v>
      </c>
      <c r="AL59" s="155">
        <f t="shared" si="126"/>
        <v>12361.67</v>
      </c>
      <c r="AM59" s="155">
        <f t="shared" si="127"/>
        <v>8293.2900000000009</v>
      </c>
      <c r="AN59" s="155">
        <f t="shared" si="128"/>
        <v>12823.6</v>
      </c>
      <c r="AO59" s="155">
        <f t="shared" si="129"/>
        <v>22552.34</v>
      </c>
      <c r="AP59" s="155">
        <f t="shared" si="129"/>
        <v>12979.59</v>
      </c>
      <c r="AQ59" s="155">
        <f t="shared" si="130"/>
        <v>9901.57</v>
      </c>
      <c r="AR59" s="155">
        <f t="shared" si="131"/>
        <v>4021.54</v>
      </c>
      <c r="AS59" s="156">
        <f t="shared" si="132"/>
        <v>11647.560000000001</v>
      </c>
      <c r="AT59" s="155">
        <v>2327.62</v>
      </c>
      <c r="AU59" s="155">
        <v>6968.23</v>
      </c>
      <c r="AV59" s="155">
        <v>9004.48</v>
      </c>
      <c r="AW59" s="155">
        <v>9512.31</v>
      </c>
      <c r="AX59" s="155">
        <v>8052.9</v>
      </c>
      <c r="AY59" s="155">
        <v>3129.65</v>
      </c>
      <c r="AZ59" s="155">
        <v>1059.26</v>
      </c>
      <c r="BA59" s="155">
        <v>10634.04</v>
      </c>
      <c r="BB59" s="155">
        <v>8654.1299999999992</v>
      </c>
      <c r="BC59" s="155">
        <v>7367.52</v>
      </c>
      <c r="BD59" s="155">
        <v>8345.65</v>
      </c>
      <c r="BE59" s="155">
        <v>7320.3</v>
      </c>
      <c r="BF59" s="552">
        <v>10672.53</v>
      </c>
      <c r="BG59" s="155">
        <v>1507</v>
      </c>
      <c r="BH59" s="155">
        <v>4343.0600000000004</v>
      </c>
      <c r="BI59" s="155">
        <v>25851.74</v>
      </c>
      <c r="BJ59" s="155">
        <v>13345.68</v>
      </c>
      <c r="BK59" s="155">
        <v>2366.7600000000002</v>
      </c>
      <c r="BL59" s="155">
        <v>1719.25</v>
      </c>
      <c r="BM59" s="155">
        <v>9713.0400000000009</v>
      </c>
      <c r="BN59" s="155">
        <v>15784.91</v>
      </c>
      <c r="BO59" s="155">
        <v>1452.84</v>
      </c>
      <c r="BP59" s="155">
        <v>5474.77</v>
      </c>
      <c r="BQ59" s="155">
        <v>10449.959999999999</v>
      </c>
      <c r="BR59" s="552">
        <v>5795.21</v>
      </c>
      <c r="BS59" s="155">
        <v>3366.29</v>
      </c>
      <c r="BT59" s="155">
        <v>19639.86</v>
      </c>
      <c r="BU59" s="155">
        <v>10471.969999999999</v>
      </c>
      <c r="BV59" s="155">
        <v>18712.52</v>
      </c>
      <c r="BW59" s="155">
        <v>6020.15</v>
      </c>
      <c r="BX59" s="155">
        <v>8463.31</v>
      </c>
      <c r="BY59" s="155">
        <v>12388.04</v>
      </c>
      <c r="BZ59" s="155">
        <v>14590.58</v>
      </c>
      <c r="CA59" s="155">
        <v>16168.5</v>
      </c>
      <c r="CB59" s="552">
        <v>22698.65</v>
      </c>
      <c r="CC59" s="155">
        <v>22552.34</v>
      </c>
      <c r="CD59" s="155">
        <v>12979.59</v>
      </c>
      <c r="CE59" s="155">
        <v>12361.67</v>
      </c>
      <c r="CF59" s="155">
        <v>539.45000000000005</v>
      </c>
      <c r="CG59" s="155">
        <v>11108.11</v>
      </c>
      <c r="CH59" s="155">
        <v>8293.2900000000009</v>
      </c>
      <c r="CI59" s="155">
        <v>4021.54</v>
      </c>
      <c r="CJ59" s="155">
        <v>12823.6</v>
      </c>
      <c r="CK59" s="156">
        <v>9901.57</v>
      </c>
      <c r="CL59" s="320">
        <v>431236.54</v>
      </c>
    </row>
    <row r="60" spans="1:90">
      <c r="A60" s="80">
        <f>ROWS($A$3:A58)</f>
        <v>56</v>
      </c>
      <c r="B60" s="92" t="s">
        <v>232</v>
      </c>
      <c r="C60" s="684">
        <v>2019</v>
      </c>
      <c r="D60" s="685" t="s">
        <v>13</v>
      </c>
      <c r="E60" s="447">
        <v>43860</v>
      </c>
      <c r="F60" s="154">
        <v>21</v>
      </c>
      <c r="G60" s="281">
        <v>23</v>
      </c>
      <c r="H60" s="281">
        <v>34</v>
      </c>
      <c r="I60" s="156">
        <v>23</v>
      </c>
      <c r="J60" s="281"/>
      <c r="K60" s="154">
        <f t="shared" si="102"/>
        <v>6</v>
      </c>
      <c r="L60" s="155">
        <f t="shared" si="103"/>
        <v>2</v>
      </c>
      <c r="M60" s="155">
        <f t="shared" si="104"/>
        <v>2</v>
      </c>
      <c r="N60" s="155">
        <f t="shared" si="105"/>
        <v>3</v>
      </c>
      <c r="O60" s="155">
        <f t="shared" si="106"/>
        <v>3</v>
      </c>
      <c r="P60" s="155">
        <f>'2019'!BA60</f>
        <v>3</v>
      </c>
      <c r="Q60" s="155">
        <f>'2019'!AU60</f>
        <v>1</v>
      </c>
      <c r="R60" s="155">
        <f t="shared" si="107"/>
        <v>5</v>
      </c>
      <c r="S60" s="155">
        <f t="shared" si="108"/>
        <v>4</v>
      </c>
      <c r="T60" s="155">
        <f t="shared" si="109"/>
        <v>2</v>
      </c>
      <c r="U60" s="552">
        <f t="shared" si="109"/>
        <v>3</v>
      </c>
      <c r="V60" s="155">
        <f t="shared" si="110"/>
        <v>6</v>
      </c>
      <c r="W60" s="155">
        <f t="shared" si="111"/>
        <v>1</v>
      </c>
      <c r="X60" s="155">
        <f t="shared" si="112"/>
        <v>10</v>
      </c>
      <c r="Y60" s="155">
        <f t="shared" si="113"/>
        <v>9</v>
      </c>
      <c r="Z60" s="155">
        <f t="shared" si="114"/>
        <v>3</v>
      </c>
      <c r="AA60" s="155">
        <f>BQ60</f>
        <v>3</v>
      </c>
      <c r="AB60" s="552">
        <f t="shared" si="116"/>
        <v>2</v>
      </c>
      <c r="AC60" s="155">
        <f t="shared" si="117"/>
        <v>3</v>
      </c>
      <c r="AD60" s="155">
        <f t="shared" si="118"/>
        <v>7</v>
      </c>
      <c r="AE60" s="155">
        <f t="shared" si="119"/>
        <v>14</v>
      </c>
      <c r="AF60" s="155">
        <f t="shared" si="120"/>
        <v>3</v>
      </c>
      <c r="AG60" s="155">
        <f t="shared" si="121"/>
        <v>12</v>
      </c>
      <c r="AH60" s="155">
        <f t="shared" si="122"/>
        <v>6</v>
      </c>
      <c r="AI60" s="155">
        <f t="shared" si="123"/>
        <v>6</v>
      </c>
      <c r="AJ60" s="155">
        <f t="shared" si="124"/>
        <v>3</v>
      </c>
      <c r="AK60" s="552">
        <f t="shared" si="125"/>
        <v>2</v>
      </c>
      <c r="AL60" s="155">
        <f t="shared" si="126"/>
        <v>3</v>
      </c>
      <c r="AM60" s="155">
        <f t="shared" si="127"/>
        <v>3</v>
      </c>
      <c r="AN60" s="155">
        <f t="shared" si="128"/>
        <v>7</v>
      </c>
      <c r="AO60" s="155">
        <f t="shared" si="129"/>
        <v>3</v>
      </c>
      <c r="AP60" s="155">
        <f t="shared" si="129"/>
        <v>5</v>
      </c>
      <c r="AQ60" s="155">
        <f t="shared" si="130"/>
        <v>3</v>
      </c>
      <c r="AR60" s="155">
        <f t="shared" si="131"/>
        <v>3</v>
      </c>
      <c r="AS60" s="156">
        <f t="shared" si="132"/>
        <v>6</v>
      </c>
      <c r="AT60" s="155">
        <v>1</v>
      </c>
      <c r="AU60" s="281">
        <v>1</v>
      </c>
      <c r="AV60" s="281">
        <v>4</v>
      </c>
      <c r="AW60" s="281">
        <v>3</v>
      </c>
      <c r="AX60" s="281">
        <v>4</v>
      </c>
      <c r="AY60" s="281">
        <v>2</v>
      </c>
      <c r="AZ60" s="281">
        <v>0</v>
      </c>
      <c r="BA60" s="281">
        <v>3</v>
      </c>
      <c r="BB60" s="281">
        <v>2</v>
      </c>
      <c r="BC60" s="281">
        <v>3</v>
      </c>
      <c r="BD60" s="281">
        <v>2</v>
      </c>
      <c r="BE60" s="281">
        <v>3</v>
      </c>
      <c r="BF60" s="552">
        <v>6</v>
      </c>
      <c r="BG60" s="281">
        <v>1</v>
      </c>
      <c r="BH60" s="281">
        <v>4</v>
      </c>
      <c r="BI60" s="281">
        <v>6</v>
      </c>
      <c r="BJ60" s="281">
        <v>5</v>
      </c>
      <c r="BK60" s="281">
        <v>1</v>
      </c>
      <c r="BL60" s="281">
        <v>1</v>
      </c>
      <c r="BM60" s="281">
        <v>3</v>
      </c>
      <c r="BN60" s="281">
        <v>7</v>
      </c>
      <c r="BO60" s="281">
        <v>1</v>
      </c>
      <c r="BP60" s="281">
        <v>2</v>
      </c>
      <c r="BQ60" s="281">
        <v>3</v>
      </c>
      <c r="BR60" s="552">
        <v>1</v>
      </c>
      <c r="BS60" s="281">
        <v>3</v>
      </c>
      <c r="BT60" s="281">
        <v>11</v>
      </c>
      <c r="BU60" s="281">
        <v>7</v>
      </c>
      <c r="BV60" s="281">
        <v>12</v>
      </c>
      <c r="BW60" s="281">
        <v>6</v>
      </c>
      <c r="BX60" s="281">
        <v>3</v>
      </c>
      <c r="BY60" s="281">
        <v>3</v>
      </c>
      <c r="BZ60" s="281">
        <v>6</v>
      </c>
      <c r="CA60" s="281">
        <v>3</v>
      </c>
      <c r="CB60" s="552">
        <v>2</v>
      </c>
      <c r="CC60" s="281">
        <v>3</v>
      </c>
      <c r="CD60" s="281">
        <v>5</v>
      </c>
      <c r="CE60" s="281">
        <v>3</v>
      </c>
      <c r="CF60" s="281">
        <v>1</v>
      </c>
      <c r="CG60" s="281">
        <v>5</v>
      </c>
      <c r="CH60" s="281">
        <v>3</v>
      </c>
      <c r="CI60" s="281">
        <v>3</v>
      </c>
      <c r="CJ60" s="281">
        <v>7</v>
      </c>
      <c r="CK60" s="156">
        <v>3</v>
      </c>
      <c r="CL60" s="320">
        <v>90</v>
      </c>
    </row>
    <row r="61" spans="1:90">
      <c r="A61" s="80">
        <f>ROWS($A$3:A59)</f>
        <v>57</v>
      </c>
      <c r="B61" s="52"/>
      <c r="C61" s="203"/>
      <c r="D61" s="259" t="s">
        <v>1</v>
      </c>
      <c r="E61" s="451"/>
      <c r="F61" s="154">
        <v>68891.14</v>
      </c>
      <c r="G61" s="155">
        <v>56091.88</v>
      </c>
      <c r="H61" s="155">
        <v>182455.92</v>
      </c>
      <c r="I61" s="156">
        <v>84327.33</v>
      </c>
      <c r="J61" s="281"/>
      <c r="K61" s="154">
        <f t="shared" si="102"/>
        <v>3634.42</v>
      </c>
      <c r="L61" s="155">
        <f t="shared" si="103"/>
        <v>2443.54</v>
      </c>
      <c r="M61" s="155">
        <f t="shared" si="104"/>
        <v>2641.61</v>
      </c>
      <c r="N61" s="155">
        <f t="shared" si="105"/>
        <v>19363.93</v>
      </c>
      <c r="O61" s="155">
        <f t="shared" si="106"/>
        <v>7564.35</v>
      </c>
      <c r="P61" s="155">
        <f>'2019'!BA61</f>
        <v>2388.2199999999998</v>
      </c>
      <c r="Q61" s="155">
        <f>'2019'!AU61</f>
        <v>5376.71</v>
      </c>
      <c r="R61" s="155">
        <f t="shared" si="107"/>
        <v>6533.71</v>
      </c>
      <c r="S61" s="155">
        <f t="shared" si="108"/>
        <v>17053.38</v>
      </c>
      <c r="T61" s="155">
        <f t="shared" si="109"/>
        <v>688.8</v>
      </c>
      <c r="U61" s="552">
        <f t="shared" si="109"/>
        <v>1202.48</v>
      </c>
      <c r="V61" s="155">
        <f t="shared" si="110"/>
        <v>14584.45</v>
      </c>
      <c r="W61" s="155">
        <f t="shared" si="111"/>
        <v>17301.650000000001</v>
      </c>
      <c r="X61" s="155">
        <f t="shared" si="112"/>
        <v>12587.51</v>
      </c>
      <c r="Y61" s="155">
        <f t="shared" si="113"/>
        <v>6428.2</v>
      </c>
      <c r="Z61" s="155">
        <f t="shared" si="114"/>
        <v>213.7</v>
      </c>
      <c r="AA61" s="155">
        <f>BQ61</f>
        <v>2397.67</v>
      </c>
      <c r="AB61" s="552">
        <f t="shared" si="116"/>
        <v>2578.6999999999998</v>
      </c>
      <c r="AC61" s="155">
        <f t="shared" si="117"/>
        <v>49856.34</v>
      </c>
      <c r="AD61" s="155">
        <f t="shared" si="118"/>
        <v>12424.61</v>
      </c>
      <c r="AE61" s="155">
        <f t="shared" si="119"/>
        <v>30539.51</v>
      </c>
      <c r="AF61" s="155">
        <f t="shared" si="120"/>
        <v>10872.16</v>
      </c>
      <c r="AG61" s="155">
        <f t="shared" si="121"/>
        <v>27067.919999999998</v>
      </c>
      <c r="AH61" s="155">
        <f t="shared" si="122"/>
        <v>9510.5499999999993</v>
      </c>
      <c r="AI61" s="155">
        <f t="shared" si="123"/>
        <v>3033.91</v>
      </c>
      <c r="AJ61" s="155">
        <f t="shared" si="124"/>
        <v>21433.61</v>
      </c>
      <c r="AK61" s="552">
        <f t="shared" si="125"/>
        <v>17717.32</v>
      </c>
      <c r="AL61" s="155">
        <f t="shared" si="126"/>
        <v>20299.060000000001</v>
      </c>
      <c r="AM61" s="155">
        <f t="shared" si="127"/>
        <v>2946.88</v>
      </c>
      <c r="AN61" s="155">
        <f t="shared" si="128"/>
        <v>8770.92</v>
      </c>
      <c r="AO61" s="155">
        <f t="shared" si="129"/>
        <v>22418.87</v>
      </c>
      <c r="AP61" s="155">
        <f t="shared" si="129"/>
        <v>13819.81</v>
      </c>
      <c r="AQ61" s="155">
        <f t="shared" si="130"/>
        <v>8215.6299999999992</v>
      </c>
      <c r="AR61" s="155">
        <f t="shared" si="131"/>
        <v>877</v>
      </c>
      <c r="AS61" s="156">
        <f t="shared" si="132"/>
        <v>6979.1500000000005</v>
      </c>
      <c r="AT61" s="155">
        <v>3.01</v>
      </c>
      <c r="AU61" s="155">
        <v>5376.71</v>
      </c>
      <c r="AV61" s="155">
        <v>17053.38</v>
      </c>
      <c r="AW61" s="155">
        <v>19363.93</v>
      </c>
      <c r="AX61" s="155">
        <v>6530.7</v>
      </c>
      <c r="AY61" s="155">
        <v>2443.54</v>
      </c>
      <c r="AZ61" s="155">
        <v>0</v>
      </c>
      <c r="BA61" s="155">
        <v>2388.2199999999998</v>
      </c>
      <c r="BB61" s="155">
        <v>688.8</v>
      </c>
      <c r="BC61" s="155">
        <v>1202.48</v>
      </c>
      <c r="BD61" s="155">
        <v>2641.61</v>
      </c>
      <c r="BE61" s="155">
        <v>7564.35</v>
      </c>
      <c r="BF61" s="552">
        <v>3634.42</v>
      </c>
      <c r="BG61" s="155">
        <v>360.45</v>
      </c>
      <c r="BH61" s="155">
        <v>2915.73</v>
      </c>
      <c r="BI61" s="155">
        <v>9671.7800000000007</v>
      </c>
      <c r="BJ61" s="155">
        <v>14224</v>
      </c>
      <c r="BK61" s="155">
        <v>3.96</v>
      </c>
      <c r="BL61" s="155">
        <v>400.67</v>
      </c>
      <c r="BM61" s="155">
        <v>213.7</v>
      </c>
      <c r="BN61" s="155">
        <v>6023.57</v>
      </c>
      <c r="BO61" s="155">
        <v>3.9</v>
      </c>
      <c r="BP61" s="155">
        <v>2578.6999999999998</v>
      </c>
      <c r="BQ61" s="155">
        <v>2397.67</v>
      </c>
      <c r="BR61" s="552">
        <v>17301.650000000001</v>
      </c>
      <c r="BS61" s="155">
        <v>3003.57</v>
      </c>
      <c r="BT61" s="155">
        <v>27535.94</v>
      </c>
      <c r="BU61" s="155">
        <v>12424.61</v>
      </c>
      <c r="BV61" s="155">
        <v>27067.919999999998</v>
      </c>
      <c r="BW61" s="155">
        <v>3033.91</v>
      </c>
      <c r="BX61" s="155">
        <v>49856.34</v>
      </c>
      <c r="BY61" s="155">
        <v>21433.61</v>
      </c>
      <c r="BZ61" s="155">
        <v>9510.5499999999993</v>
      </c>
      <c r="CA61" s="155">
        <v>10872.16</v>
      </c>
      <c r="CB61" s="552">
        <v>17717.32</v>
      </c>
      <c r="CC61" s="155">
        <v>22418.87</v>
      </c>
      <c r="CD61" s="155">
        <v>13819.81</v>
      </c>
      <c r="CE61" s="155">
        <v>20299.060000000001</v>
      </c>
      <c r="CF61" s="155">
        <v>113.85</v>
      </c>
      <c r="CG61" s="155">
        <v>6865.3</v>
      </c>
      <c r="CH61" s="155">
        <v>2946.88</v>
      </c>
      <c r="CI61" s="155">
        <v>877</v>
      </c>
      <c r="CJ61" s="155">
        <v>8770.92</v>
      </c>
      <c r="CK61" s="156">
        <v>8215.6299999999992</v>
      </c>
      <c r="CL61" s="320">
        <v>398215.08</v>
      </c>
    </row>
    <row r="62" spans="1:90">
      <c r="A62" s="80">
        <f>ROWS($A$3:A60)</f>
        <v>58</v>
      </c>
      <c r="B62" s="92" t="s">
        <v>56</v>
      </c>
      <c r="C62" s="684">
        <v>2019</v>
      </c>
      <c r="D62" s="685" t="s">
        <v>13</v>
      </c>
      <c r="E62" s="447">
        <v>43901</v>
      </c>
      <c r="F62" s="154">
        <f>SUM(AT62:BF62)</f>
        <v>766</v>
      </c>
      <c r="G62" s="155">
        <f>SUM(BG62:BR62)</f>
        <v>405</v>
      </c>
      <c r="H62" s="155">
        <f>SUM(BS62:CB62)</f>
        <v>972</v>
      </c>
      <c r="I62" s="156">
        <f>SUM(CC62:CK62)</f>
        <v>377</v>
      </c>
      <c r="J62" s="281"/>
      <c r="K62" s="154">
        <f t="shared" si="102"/>
        <v>79</v>
      </c>
      <c r="L62" s="155">
        <f t="shared" si="103"/>
        <v>179</v>
      </c>
      <c r="M62" s="155">
        <f t="shared" si="104"/>
        <v>49</v>
      </c>
      <c r="N62" s="155">
        <f t="shared" si="105"/>
        <v>42</v>
      </c>
      <c r="O62" s="155">
        <f t="shared" si="106"/>
        <v>18</v>
      </c>
      <c r="P62" s="155">
        <f>'2019'!AZ62+'2019'!BA62</f>
        <v>117</v>
      </c>
      <c r="Q62" s="155">
        <f>'2019'!AU62</f>
        <v>32</v>
      </c>
      <c r="R62" s="155">
        <f t="shared" si="107"/>
        <v>49</v>
      </c>
      <c r="S62" s="155">
        <f t="shared" si="108"/>
        <v>42</v>
      </c>
      <c r="T62" s="155">
        <f t="shared" si="109"/>
        <v>69</v>
      </c>
      <c r="U62" s="552">
        <f t="shared" si="109"/>
        <v>90</v>
      </c>
      <c r="V62" s="155">
        <f t="shared" si="110"/>
        <v>62</v>
      </c>
      <c r="W62" s="155">
        <f t="shared" si="111"/>
        <v>47</v>
      </c>
      <c r="X62" s="155">
        <f t="shared" si="112"/>
        <v>76</v>
      </c>
      <c r="Y62" s="155">
        <f t="shared" si="113"/>
        <v>53</v>
      </c>
      <c r="Z62" s="155">
        <f t="shared" si="114"/>
        <v>56</v>
      </c>
      <c r="AA62" s="155">
        <f t="shared" si="115"/>
        <v>70</v>
      </c>
      <c r="AB62" s="552">
        <f t="shared" si="116"/>
        <v>41</v>
      </c>
      <c r="AC62" s="155">
        <f t="shared" si="117"/>
        <v>125</v>
      </c>
      <c r="AD62" s="155">
        <f t="shared" si="118"/>
        <v>71</v>
      </c>
      <c r="AE62" s="155">
        <f t="shared" si="119"/>
        <v>137</v>
      </c>
      <c r="AF62" s="155">
        <f t="shared" si="120"/>
        <v>134</v>
      </c>
      <c r="AG62" s="155">
        <f t="shared" si="121"/>
        <v>138</v>
      </c>
      <c r="AH62" s="155">
        <f t="shared" si="122"/>
        <v>100</v>
      </c>
      <c r="AI62" s="155">
        <f t="shared" si="123"/>
        <v>42</v>
      </c>
      <c r="AJ62" s="155">
        <f t="shared" si="124"/>
        <v>46</v>
      </c>
      <c r="AK62" s="552">
        <f t="shared" si="125"/>
        <v>179</v>
      </c>
      <c r="AL62" s="155">
        <f t="shared" si="126"/>
        <v>41</v>
      </c>
      <c r="AM62" s="155">
        <f t="shared" si="127"/>
        <v>48</v>
      </c>
      <c r="AN62" s="155">
        <f t="shared" si="128"/>
        <v>80</v>
      </c>
      <c r="AO62" s="155">
        <f t="shared" si="129"/>
        <v>44</v>
      </c>
      <c r="AP62" s="155">
        <f t="shared" si="129"/>
        <v>16</v>
      </c>
      <c r="AQ62" s="155">
        <f t="shared" si="130"/>
        <v>65</v>
      </c>
      <c r="AR62" s="155">
        <f t="shared" si="131"/>
        <v>42</v>
      </c>
      <c r="AS62" s="156">
        <f t="shared" si="132"/>
        <v>41</v>
      </c>
      <c r="AT62" s="155">
        <v>3</v>
      </c>
      <c r="AU62" s="281">
        <v>32</v>
      </c>
      <c r="AV62" s="281">
        <v>42</v>
      </c>
      <c r="AW62" s="281">
        <v>42</v>
      </c>
      <c r="AX62" s="281">
        <v>46</v>
      </c>
      <c r="AY62" s="281">
        <v>179</v>
      </c>
      <c r="AZ62" s="281">
        <v>9</v>
      </c>
      <c r="BA62" s="281">
        <v>108</v>
      </c>
      <c r="BB62" s="281">
        <v>69</v>
      </c>
      <c r="BC62" s="281">
        <v>90</v>
      </c>
      <c r="BD62" s="281">
        <v>49</v>
      </c>
      <c r="BE62" s="281">
        <v>18</v>
      </c>
      <c r="BF62" s="552">
        <v>79</v>
      </c>
      <c r="BG62" s="281">
        <v>10</v>
      </c>
      <c r="BH62" s="281">
        <v>71</v>
      </c>
      <c r="BI62" s="281">
        <v>5</v>
      </c>
      <c r="BJ62" s="281">
        <v>52</v>
      </c>
      <c r="BK62" s="281">
        <v>9</v>
      </c>
      <c r="BL62" s="281">
        <v>3</v>
      </c>
      <c r="BM62" s="281">
        <v>56</v>
      </c>
      <c r="BN62" s="281">
        <v>41</v>
      </c>
      <c r="BO62" s="281">
        <v>7</v>
      </c>
      <c r="BP62" s="281">
        <v>41</v>
      </c>
      <c r="BQ62" s="281">
        <v>63</v>
      </c>
      <c r="BR62" s="552">
        <v>47</v>
      </c>
      <c r="BS62" s="281">
        <v>10</v>
      </c>
      <c r="BT62" s="281">
        <v>127</v>
      </c>
      <c r="BU62" s="281">
        <v>71</v>
      </c>
      <c r="BV62" s="281">
        <v>138</v>
      </c>
      <c r="BW62" s="281">
        <v>42</v>
      </c>
      <c r="BX62" s="281">
        <v>125</v>
      </c>
      <c r="BY62" s="281">
        <v>46</v>
      </c>
      <c r="BZ62" s="281">
        <v>100</v>
      </c>
      <c r="CA62" s="281">
        <v>134</v>
      </c>
      <c r="CB62" s="552">
        <v>179</v>
      </c>
      <c r="CC62" s="281">
        <v>44</v>
      </c>
      <c r="CD62" s="281">
        <v>16</v>
      </c>
      <c r="CE62" s="281">
        <v>41</v>
      </c>
      <c r="CF62" s="281">
        <v>3</v>
      </c>
      <c r="CG62" s="281">
        <v>38</v>
      </c>
      <c r="CH62" s="281">
        <v>48</v>
      </c>
      <c r="CI62" s="281">
        <v>42</v>
      </c>
      <c r="CJ62" s="281">
        <v>80</v>
      </c>
      <c r="CK62" s="156">
        <v>65</v>
      </c>
      <c r="CL62" s="320">
        <f>SUM(AT62:CK62)</f>
        <v>2520</v>
      </c>
    </row>
    <row r="63" spans="1:90">
      <c r="A63" s="80">
        <f>ROWS($A$3:A61)</f>
        <v>59</v>
      </c>
      <c r="B63" s="92"/>
      <c r="C63" s="203"/>
      <c r="D63" s="259" t="s">
        <v>1</v>
      </c>
      <c r="E63" s="451"/>
      <c r="F63" s="154">
        <f>SUM(AT63:BF63)</f>
        <v>276518</v>
      </c>
      <c r="G63" s="155">
        <f>SUM(BG63:BR63)</f>
        <v>204270</v>
      </c>
      <c r="H63" s="155">
        <f>SUM(BS63:CB63)</f>
        <v>161599</v>
      </c>
      <c r="I63" s="156">
        <f>SUM(CC63:CK63)</f>
        <v>309125</v>
      </c>
      <c r="J63" s="281"/>
      <c r="K63" s="154">
        <f t="shared" si="102"/>
        <v>39910</v>
      </c>
      <c r="L63" s="155">
        <f t="shared" si="103"/>
        <v>8034</v>
      </c>
      <c r="M63" s="155">
        <f t="shared" si="104"/>
        <v>50169</v>
      </c>
      <c r="N63" s="155">
        <f t="shared" si="105"/>
        <v>21150</v>
      </c>
      <c r="O63" s="155">
        <f t="shared" si="106"/>
        <v>57769</v>
      </c>
      <c r="P63" s="155">
        <f>'2019'!AZ63+'2019'!BA63</f>
        <v>27174</v>
      </c>
      <c r="Q63" s="155">
        <f>'2019'!AU63</f>
        <v>26994</v>
      </c>
      <c r="R63" s="155">
        <f t="shared" si="107"/>
        <v>16283</v>
      </c>
      <c r="S63" s="155">
        <f t="shared" si="108"/>
        <v>9237</v>
      </c>
      <c r="T63" s="155">
        <f t="shared" si="109"/>
        <v>13379</v>
      </c>
      <c r="U63" s="552">
        <f t="shared" si="109"/>
        <v>6419</v>
      </c>
      <c r="V63" s="155">
        <f t="shared" si="110"/>
        <v>39956</v>
      </c>
      <c r="W63" s="155">
        <f t="shared" si="111"/>
        <v>15222</v>
      </c>
      <c r="X63" s="155">
        <f t="shared" si="112"/>
        <v>24198</v>
      </c>
      <c r="Y63" s="155">
        <f t="shared" si="113"/>
        <v>34485</v>
      </c>
      <c r="Z63" s="155">
        <f t="shared" si="114"/>
        <v>34552</v>
      </c>
      <c r="AA63" s="155">
        <f t="shared" si="115"/>
        <v>32660</v>
      </c>
      <c r="AB63" s="552">
        <f t="shared" si="116"/>
        <v>23197</v>
      </c>
      <c r="AC63" s="155">
        <f t="shared" si="117"/>
        <v>21036</v>
      </c>
      <c r="AD63" s="155">
        <f t="shared" si="118"/>
        <v>9083</v>
      </c>
      <c r="AE63" s="155">
        <f t="shared" si="119"/>
        <v>22557</v>
      </c>
      <c r="AF63" s="155">
        <f t="shared" si="120"/>
        <v>10107</v>
      </c>
      <c r="AG63" s="155">
        <f t="shared" si="121"/>
        <v>19348</v>
      </c>
      <c r="AH63" s="155">
        <f t="shared" si="122"/>
        <v>23278</v>
      </c>
      <c r="AI63" s="155">
        <f t="shared" si="123"/>
        <v>17848</v>
      </c>
      <c r="AJ63" s="155">
        <f t="shared" si="124"/>
        <v>17065</v>
      </c>
      <c r="AK63" s="552">
        <f t="shared" si="125"/>
        <v>21277</v>
      </c>
      <c r="AL63" s="155">
        <f t="shared" si="126"/>
        <v>30644</v>
      </c>
      <c r="AM63" s="155">
        <f t="shared" si="127"/>
        <v>30394</v>
      </c>
      <c r="AN63" s="155">
        <f t="shared" si="128"/>
        <v>23782</v>
      </c>
      <c r="AO63" s="155">
        <f t="shared" si="129"/>
        <v>65506</v>
      </c>
      <c r="AP63" s="155">
        <f t="shared" si="129"/>
        <v>12293</v>
      </c>
      <c r="AQ63" s="155">
        <f t="shared" si="130"/>
        <v>43916</v>
      </c>
      <c r="AR63" s="155">
        <f t="shared" si="131"/>
        <v>8775</v>
      </c>
      <c r="AS63" s="156">
        <f t="shared" si="132"/>
        <v>93815</v>
      </c>
      <c r="AT63" s="155">
        <v>1242</v>
      </c>
      <c r="AU63" s="155">
        <v>26994</v>
      </c>
      <c r="AV63" s="155">
        <v>9237</v>
      </c>
      <c r="AW63" s="155">
        <v>21150</v>
      </c>
      <c r="AX63" s="155">
        <v>15041</v>
      </c>
      <c r="AY63" s="155">
        <v>8034</v>
      </c>
      <c r="AZ63" s="155">
        <v>2754</v>
      </c>
      <c r="BA63" s="155">
        <v>24420</v>
      </c>
      <c r="BB63" s="155">
        <v>13379</v>
      </c>
      <c r="BC63" s="155">
        <v>6419</v>
      </c>
      <c r="BD63" s="155">
        <v>50169</v>
      </c>
      <c r="BE63" s="155">
        <v>57769</v>
      </c>
      <c r="BF63" s="552">
        <v>39910</v>
      </c>
      <c r="BG63" s="155">
        <v>3657</v>
      </c>
      <c r="BH63" s="155">
        <v>17462</v>
      </c>
      <c r="BI63" s="155">
        <v>6736</v>
      </c>
      <c r="BJ63" s="155">
        <v>36299</v>
      </c>
      <c r="BK63" s="155">
        <v>3735</v>
      </c>
      <c r="BL63" s="155">
        <v>1624</v>
      </c>
      <c r="BM63" s="155">
        <v>34552</v>
      </c>
      <c r="BN63" s="155">
        <v>29126</v>
      </c>
      <c r="BO63" s="155">
        <v>3966</v>
      </c>
      <c r="BP63" s="155">
        <v>23197</v>
      </c>
      <c r="BQ63" s="155">
        <v>28694</v>
      </c>
      <c r="BR63" s="552">
        <v>15222</v>
      </c>
      <c r="BS63" s="155">
        <v>1941</v>
      </c>
      <c r="BT63" s="155">
        <v>20616</v>
      </c>
      <c r="BU63" s="155">
        <v>9083</v>
      </c>
      <c r="BV63" s="155">
        <v>19348</v>
      </c>
      <c r="BW63" s="155">
        <v>17848</v>
      </c>
      <c r="BX63" s="155">
        <v>21036</v>
      </c>
      <c r="BY63" s="155">
        <v>17065</v>
      </c>
      <c r="BZ63" s="155">
        <v>23278</v>
      </c>
      <c r="CA63" s="155">
        <v>10107</v>
      </c>
      <c r="CB63" s="552">
        <v>21277</v>
      </c>
      <c r="CC63" s="155">
        <v>65506</v>
      </c>
      <c r="CD63" s="155">
        <v>12293</v>
      </c>
      <c r="CE63" s="155">
        <v>30644</v>
      </c>
      <c r="CF63" s="155">
        <v>834</v>
      </c>
      <c r="CG63" s="155">
        <v>92981</v>
      </c>
      <c r="CH63" s="155">
        <v>30394</v>
      </c>
      <c r="CI63" s="155">
        <v>8775</v>
      </c>
      <c r="CJ63" s="155">
        <v>23782</v>
      </c>
      <c r="CK63" s="156">
        <v>43916</v>
      </c>
      <c r="CL63" s="320">
        <f>SUM(AT63:CK63)</f>
        <v>951512</v>
      </c>
    </row>
    <row r="64" spans="1:90">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c r="A65" s="80">
        <f>ROWS($A$3:A63)</f>
        <v>61</v>
      </c>
      <c r="B65" s="53" t="str">
        <f>'Stand der Daten'!B66</f>
        <v>Gebietskulisse</v>
      </c>
      <c r="C65" s="202">
        <v>2019</v>
      </c>
      <c r="D65" s="259" t="s">
        <v>59</v>
      </c>
      <c r="E65" s="447">
        <v>43860</v>
      </c>
      <c r="F65" s="530">
        <f>SUM(AT65:BF65)</f>
        <v>64403.466557905129</v>
      </c>
      <c r="G65" s="531">
        <f>SUM(BG65:BR65)</f>
        <v>55069.179884697733</v>
      </c>
      <c r="H65" s="531">
        <f>SUM(BS65:CB65)</f>
        <v>211488.15394942311</v>
      </c>
      <c r="I65" s="532">
        <f>SUM(CC65:CK65)</f>
        <v>230810.96969766798</v>
      </c>
      <c r="J65" s="281"/>
      <c r="K65" s="541">
        <f>BF65</f>
        <v>5383.3563707414205</v>
      </c>
      <c r="L65" s="542">
        <f>AY65</f>
        <v>4544.1441758256005</v>
      </c>
      <c r="M65" s="542">
        <f>BD65</f>
        <v>12278.139674535201</v>
      </c>
      <c r="N65" s="542">
        <f>AW65</f>
        <v>18848.789131893598</v>
      </c>
      <c r="O65" s="542">
        <f>BE65</f>
        <v>5106.5510215600007</v>
      </c>
      <c r="P65" s="542">
        <f>'2019'!AZ65+'2019'!BA65</f>
        <v>490.25860488580003</v>
      </c>
      <c r="Q65" s="542">
        <f>'2019'!AU65</f>
        <v>7023.7743055210003</v>
      </c>
      <c r="R65" s="542">
        <f>AT65+AX65</f>
        <v>354.22069278660001</v>
      </c>
      <c r="S65" s="542">
        <f>AV65</f>
        <v>5637.7571642649</v>
      </c>
      <c r="T65" s="542">
        <f>BB65</f>
        <v>2791.6485370519999</v>
      </c>
      <c r="U65" s="554">
        <f>BC65</f>
        <v>1944.8268788390001</v>
      </c>
      <c r="V65" s="542">
        <f>BG65+BJ65</f>
        <v>3522.9524985498001</v>
      </c>
      <c r="W65" s="542">
        <f>BR65</f>
        <v>18241.2110589365</v>
      </c>
      <c r="X65" s="542">
        <f>BH65+BI65</f>
        <v>154.55518931700001</v>
      </c>
      <c r="Y65" s="542">
        <f>BK65+BL65+BN65</f>
        <v>2522.5997266507002</v>
      </c>
      <c r="Z65" s="542">
        <f>BM65</f>
        <v>7029.9205281469995</v>
      </c>
      <c r="AA65" s="542">
        <f>BO65+BQ65</f>
        <v>4823.5501714165002</v>
      </c>
      <c r="AB65" s="554">
        <f>BP65</f>
        <v>18774.390711680226</v>
      </c>
      <c r="AC65" s="542">
        <f>BX65</f>
        <v>41771.511534796999</v>
      </c>
      <c r="AD65" s="542">
        <f>BU65</f>
        <v>8919.7148118177029</v>
      </c>
      <c r="AE65" s="542">
        <f>BS65+BT65</f>
        <v>27853.085563701999</v>
      </c>
      <c r="AF65" s="542">
        <f>CA65</f>
        <v>10631.233575471197</v>
      </c>
      <c r="AG65" s="542">
        <f>BV65</f>
        <v>18796.015240771303</v>
      </c>
      <c r="AH65" s="542">
        <f>BZ65</f>
        <v>11679.314338038899</v>
      </c>
      <c r="AI65" s="542">
        <f>BW65</f>
        <v>31623.611023113306</v>
      </c>
      <c r="AJ65" s="542">
        <f>BY65</f>
        <v>27337.876733838995</v>
      </c>
      <c r="AK65" s="554">
        <f>CB65</f>
        <v>32875.791127872704</v>
      </c>
      <c r="AL65" s="542">
        <f>CE65</f>
        <v>31268.431544586594</v>
      </c>
      <c r="AM65" s="542">
        <f>CH65</f>
        <v>19001.260733014002</v>
      </c>
      <c r="AN65" s="542">
        <f>CJ65</f>
        <v>59922.036230001002</v>
      </c>
      <c r="AO65" s="542">
        <f>CC65</f>
        <v>43651.760237879185</v>
      </c>
      <c r="AP65" s="542">
        <f>CD65</f>
        <v>2135.763800015</v>
      </c>
      <c r="AQ65" s="542">
        <f>CK65</f>
        <v>41720.13034446798</v>
      </c>
      <c r="AR65" s="542">
        <f>CI65</f>
        <v>3125.2833361050002</v>
      </c>
      <c r="AS65" s="543">
        <f>CF65+CG65</f>
        <v>29986.3034715992</v>
      </c>
      <c r="AT65" s="155">
        <v>354.22069278660001</v>
      </c>
      <c r="AU65" s="155">
        <v>7023.7743055210003</v>
      </c>
      <c r="AV65" s="155">
        <v>5637.7571642649</v>
      </c>
      <c r="AW65" s="155">
        <v>18848.789131893598</v>
      </c>
      <c r="AX65" s="155">
        <v>0</v>
      </c>
      <c r="AY65" s="155">
        <v>4544.1441758256005</v>
      </c>
      <c r="AZ65" s="155">
        <v>0</v>
      </c>
      <c r="BA65" s="155">
        <v>490.25860488580003</v>
      </c>
      <c r="BB65" s="155">
        <v>2791.6485370519999</v>
      </c>
      <c r="BC65" s="155">
        <v>1944.8268788390001</v>
      </c>
      <c r="BD65" s="155">
        <v>12278.139674535201</v>
      </c>
      <c r="BE65" s="155">
        <v>5106.5510215600007</v>
      </c>
      <c r="BF65" s="552">
        <v>5383.3563707414205</v>
      </c>
      <c r="BG65" s="155">
        <v>574.51171568120003</v>
      </c>
      <c r="BH65" s="155">
        <v>0</v>
      </c>
      <c r="BI65" s="155">
        <v>154.55518931700001</v>
      </c>
      <c r="BJ65" s="155">
        <v>2948.4407828685999</v>
      </c>
      <c r="BK65" s="155">
        <v>0</v>
      </c>
      <c r="BL65" s="155">
        <v>0</v>
      </c>
      <c r="BM65" s="155">
        <v>7029.9205281469995</v>
      </c>
      <c r="BN65" s="155">
        <v>2522.5997266507002</v>
      </c>
      <c r="BO65" s="155">
        <v>408.51585075379995</v>
      </c>
      <c r="BP65" s="155">
        <v>18774.390711680226</v>
      </c>
      <c r="BQ65" s="155">
        <v>4415.0343206627003</v>
      </c>
      <c r="BR65" s="552">
        <v>18241.2110589365</v>
      </c>
      <c r="BS65" s="155">
        <v>226.15952893799999</v>
      </c>
      <c r="BT65" s="155">
        <v>27626.926034764001</v>
      </c>
      <c r="BU65" s="155">
        <v>8919.7148118177029</v>
      </c>
      <c r="BV65" s="155">
        <v>18796.015240771303</v>
      </c>
      <c r="BW65" s="155">
        <v>31623.611023113306</v>
      </c>
      <c r="BX65" s="155">
        <v>41771.511534796999</v>
      </c>
      <c r="BY65" s="155">
        <v>27337.876733838995</v>
      </c>
      <c r="BZ65" s="155">
        <v>11679.314338038899</v>
      </c>
      <c r="CA65" s="155">
        <v>10631.233575471197</v>
      </c>
      <c r="CB65" s="552">
        <v>32875.791127872704</v>
      </c>
      <c r="CC65" s="155">
        <v>43651.760237879185</v>
      </c>
      <c r="CD65" s="155">
        <v>2135.763800015</v>
      </c>
      <c r="CE65" s="155">
        <v>31268.431544586594</v>
      </c>
      <c r="CF65" s="155">
        <v>0</v>
      </c>
      <c r="CG65" s="155">
        <v>29986.3034715992</v>
      </c>
      <c r="CH65" s="155">
        <v>19001.260733014002</v>
      </c>
      <c r="CI65" s="155">
        <v>3125.2833361050002</v>
      </c>
      <c r="CJ65" s="155">
        <v>59922.036230001002</v>
      </c>
      <c r="CK65" s="156">
        <v>41720.13034446798</v>
      </c>
      <c r="CL65" s="320">
        <v>561771.77008969383</v>
      </c>
    </row>
    <row r="66" spans="1:90" ht="13.5" customHeight="1">
      <c r="A66" s="80">
        <f>ROWS($A$3:A64)</f>
        <v>62</v>
      </c>
      <c r="B66" s="92" t="s">
        <v>364</v>
      </c>
      <c r="C66" s="203">
        <v>2019</v>
      </c>
      <c r="D66" s="259" t="s">
        <v>59</v>
      </c>
      <c r="E66" s="447">
        <v>43860</v>
      </c>
      <c r="F66" s="530">
        <f>SUM(AT66:BF66)</f>
        <v>7436.7885428110003</v>
      </c>
      <c r="G66" s="531">
        <f>SUM(BG66:BR66)</f>
        <v>3765.9288346204003</v>
      </c>
      <c r="H66" s="531">
        <f>SUM(BS66:CB66)</f>
        <v>77864.359661972689</v>
      </c>
      <c r="I66" s="532">
        <f>SUM(CC66:CK66)</f>
        <v>22791.065702010997</v>
      </c>
      <c r="J66" s="281"/>
      <c r="K66" s="154">
        <f>BF66</f>
        <v>416.33703661499999</v>
      </c>
      <c r="L66" s="155">
        <f>AY66</f>
        <v>0</v>
      </c>
      <c r="M66" s="155">
        <f>BD66</f>
        <v>0</v>
      </c>
      <c r="N66" s="155">
        <f>AW66</f>
        <v>5857.7006042200001</v>
      </c>
      <c r="O66" s="155">
        <f>BE66</f>
        <v>0</v>
      </c>
      <c r="P66" s="155">
        <f>'2019'!AZ66+'2019'!BA66</f>
        <v>0</v>
      </c>
      <c r="Q66" s="155">
        <f>'2019'!AU66</f>
        <v>0</v>
      </c>
      <c r="R66" s="155">
        <f>AT66+AX66</f>
        <v>0</v>
      </c>
      <c r="S66" s="155">
        <f>AV66</f>
        <v>1162.750901976</v>
      </c>
      <c r="T66" s="155">
        <f>BB66</f>
        <v>0</v>
      </c>
      <c r="U66" s="552">
        <f>BC66</f>
        <v>0</v>
      </c>
      <c r="V66" s="155">
        <f>BG66+BJ66</f>
        <v>668.76421030620008</v>
      </c>
      <c r="W66" s="155">
        <f>BR66</f>
        <v>2289.1442515935</v>
      </c>
      <c r="X66" s="155">
        <f>BH66+BI66</f>
        <v>0</v>
      </c>
      <c r="Y66" s="155">
        <f>BK66+BL66+BN66</f>
        <v>0</v>
      </c>
      <c r="Z66" s="155">
        <f>BM66</f>
        <v>0</v>
      </c>
      <c r="AA66" s="155">
        <f>BO66+BQ66</f>
        <v>0</v>
      </c>
      <c r="AB66" s="552">
        <f>BP66</f>
        <v>808.02037272069992</v>
      </c>
      <c r="AC66" s="155">
        <f>BX66</f>
        <v>14517.162164764197</v>
      </c>
      <c r="AD66" s="155">
        <f>BU66</f>
        <v>2623.1023695867007</v>
      </c>
      <c r="AE66" s="155">
        <f>BS66+BT66</f>
        <v>20377.447228192701</v>
      </c>
      <c r="AF66" s="155">
        <f>CA66</f>
        <v>9390.6681998048971</v>
      </c>
      <c r="AG66" s="155">
        <f>BV66</f>
        <v>2963.5457446890005</v>
      </c>
      <c r="AH66" s="155">
        <f>BZ66</f>
        <v>0</v>
      </c>
      <c r="AI66" s="155">
        <f>BW66</f>
        <v>2425.9749961440002</v>
      </c>
      <c r="AJ66" s="155">
        <f>BY66</f>
        <v>10801.685651058999</v>
      </c>
      <c r="AK66" s="552">
        <f>CB66</f>
        <v>14764.773307732199</v>
      </c>
      <c r="AL66" s="155">
        <f>CE66</f>
        <v>15108.235963312998</v>
      </c>
      <c r="AM66" s="155">
        <f>CH66</f>
        <v>0</v>
      </c>
      <c r="AN66" s="155">
        <f>CJ66</f>
        <v>1466.1909424380001</v>
      </c>
      <c r="AO66" s="155">
        <f>CC66</f>
        <v>1458.0989126950001</v>
      </c>
      <c r="AP66" s="155">
        <f>CD66</f>
        <v>0</v>
      </c>
      <c r="AQ66" s="155">
        <f>CK66</f>
        <v>2934.8942296199998</v>
      </c>
      <c r="AR66" s="155">
        <f>CI66</f>
        <v>401.156976015</v>
      </c>
      <c r="AS66" s="156">
        <f>CF66+CG66</f>
        <v>1422.48867793</v>
      </c>
      <c r="AT66" s="155">
        <v>0</v>
      </c>
      <c r="AU66" s="155">
        <v>0</v>
      </c>
      <c r="AV66" s="155">
        <v>1162.750901976</v>
      </c>
      <c r="AW66" s="155">
        <v>5857.7006042200001</v>
      </c>
      <c r="AX66" s="155">
        <v>0</v>
      </c>
      <c r="AY66" s="155">
        <v>0</v>
      </c>
      <c r="AZ66" s="155">
        <v>0</v>
      </c>
      <c r="BA66" s="155">
        <v>0</v>
      </c>
      <c r="BB66" s="155">
        <v>0</v>
      </c>
      <c r="BC66" s="155">
        <v>0</v>
      </c>
      <c r="BD66" s="155">
        <v>0</v>
      </c>
      <c r="BE66" s="155">
        <v>0</v>
      </c>
      <c r="BF66" s="552">
        <v>416.33703661499999</v>
      </c>
      <c r="BG66" s="155">
        <v>0</v>
      </c>
      <c r="BH66" s="155">
        <v>0</v>
      </c>
      <c r="BI66" s="155">
        <v>0</v>
      </c>
      <c r="BJ66" s="155">
        <v>668.76421030620008</v>
      </c>
      <c r="BK66" s="155">
        <v>0</v>
      </c>
      <c r="BL66" s="155">
        <v>0</v>
      </c>
      <c r="BM66" s="155">
        <v>0</v>
      </c>
      <c r="BN66" s="155">
        <v>0</v>
      </c>
      <c r="BO66" s="155">
        <v>0</v>
      </c>
      <c r="BP66" s="155">
        <v>808.02037272069992</v>
      </c>
      <c r="BQ66" s="155">
        <v>0</v>
      </c>
      <c r="BR66" s="552">
        <v>2289.1442515935</v>
      </c>
      <c r="BS66" s="155">
        <v>0</v>
      </c>
      <c r="BT66" s="155">
        <v>20377.447228192701</v>
      </c>
      <c r="BU66" s="155">
        <v>2623.1023695867007</v>
      </c>
      <c r="BV66" s="155">
        <v>2963.5457446890005</v>
      </c>
      <c r="BW66" s="155">
        <v>2425.9749961440002</v>
      </c>
      <c r="BX66" s="155">
        <v>14517.162164764197</v>
      </c>
      <c r="BY66" s="155">
        <v>10801.685651058999</v>
      </c>
      <c r="BZ66" s="155">
        <v>0</v>
      </c>
      <c r="CA66" s="155">
        <v>9390.6681998048971</v>
      </c>
      <c r="CB66" s="552">
        <v>14764.773307732199</v>
      </c>
      <c r="CC66" s="155">
        <v>1458.0989126950001</v>
      </c>
      <c r="CD66" s="155">
        <v>0</v>
      </c>
      <c r="CE66" s="155">
        <v>15108.235963312998</v>
      </c>
      <c r="CF66" s="155">
        <v>0</v>
      </c>
      <c r="CG66" s="155">
        <v>1422.48867793</v>
      </c>
      <c r="CH66" s="155">
        <v>0</v>
      </c>
      <c r="CI66" s="155">
        <v>401.156976015</v>
      </c>
      <c r="CJ66" s="155">
        <v>1466.1909424380001</v>
      </c>
      <c r="CK66" s="156">
        <v>2934.8942296199998</v>
      </c>
      <c r="CL66" s="320">
        <f>SUM(AT66:CK66)</f>
        <v>111858.1427414151</v>
      </c>
    </row>
    <row r="67" spans="1:90">
      <c r="A67" s="80">
        <f>ROWS($A$3:A65)</f>
        <v>63</v>
      </c>
      <c r="B67" s="92" t="s">
        <v>363</v>
      </c>
      <c r="C67" s="203">
        <v>2019</v>
      </c>
      <c r="D67" s="259" t="s">
        <v>3</v>
      </c>
      <c r="E67" s="447">
        <v>43860</v>
      </c>
      <c r="F67" s="381">
        <f>IF(F65/F35%&gt;100,100,F65/F35%)</f>
        <v>13.827014160742223</v>
      </c>
      <c r="G67" s="384">
        <f t="shared" ref="G67:BR67" si="133">IF(G65/G35%&gt;100,100,G65/G35%)</f>
        <v>26.94463711276488</v>
      </c>
      <c r="H67" s="384">
        <f t="shared" si="133"/>
        <v>66.461192330113192</v>
      </c>
      <c r="I67" s="383">
        <f t="shared" si="133"/>
        <v>53.977233750927951</v>
      </c>
      <c r="J67" s="382"/>
      <c r="K67" s="381">
        <f>IF(K65/K35%&gt;100,100,K65/K35%)</f>
        <v>8.425844595860795</v>
      </c>
      <c r="L67" s="384">
        <f t="shared" si="133"/>
        <v>17.72079778429045</v>
      </c>
      <c r="M67" s="384">
        <f t="shared" si="133"/>
        <v>17.935026328949007</v>
      </c>
      <c r="N67" s="384">
        <f t="shared" si="133"/>
        <v>67.020299857394392</v>
      </c>
      <c r="O67" s="384">
        <f t="shared" si="133"/>
        <v>19.333476021504566</v>
      </c>
      <c r="P67" s="384">
        <f t="shared" si="133"/>
        <v>0.84451630415110601</v>
      </c>
      <c r="Q67" s="384">
        <f t="shared" si="133"/>
        <v>31.289087248400751</v>
      </c>
      <c r="R67" s="384">
        <f t="shared" si="133"/>
        <v>1.0149590051191977</v>
      </c>
      <c r="S67" s="384">
        <f t="shared" si="133"/>
        <v>28.319053467273957</v>
      </c>
      <c r="T67" s="384">
        <f t="shared" si="133"/>
        <v>6.6725190904249727</v>
      </c>
      <c r="U67" s="385">
        <f t="shared" si="133"/>
        <v>2.5554521763865714</v>
      </c>
      <c r="V67" s="384">
        <f t="shared" si="133"/>
        <v>21.60260300803164</v>
      </c>
      <c r="W67" s="384">
        <f t="shared" si="133"/>
        <v>96.173412025815892</v>
      </c>
      <c r="X67" s="384">
        <f t="shared" si="133"/>
        <v>0.37669743185795412</v>
      </c>
      <c r="Y67" s="384">
        <f t="shared" si="133"/>
        <v>5.7973472908112527</v>
      </c>
      <c r="Z67" s="384">
        <f t="shared" si="133"/>
        <v>15.248623765014532</v>
      </c>
      <c r="AA67" s="384">
        <f t="shared" si="133"/>
        <v>23.434631353138514</v>
      </c>
      <c r="AB67" s="385">
        <f t="shared" si="133"/>
        <v>100</v>
      </c>
      <c r="AC67" s="384">
        <f t="shared" si="133"/>
        <v>100</v>
      </c>
      <c r="AD67" s="384">
        <f t="shared" si="133"/>
        <v>40.186136294006587</v>
      </c>
      <c r="AE67" s="384">
        <f t="shared" si="133"/>
        <v>52.780045409880238</v>
      </c>
      <c r="AF67" s="384">
        <f t="shared" si="133"/>
        <v>45.907390860485343</v>
      </c>
      <c r="AG67" s="384">
        <f t="shared" si="133"/>
        <v>33.558320372739338</v>
      </c>
      <c r="AH67" s="384">
        <f t="shared" si="133"/>
        <v>34.997346092649224</v>
      </c>
      <c r="AI67" s="384">
        <f t="shared" si="133"/>
        <v>100</v>
      </c>
      <c r="AJ67" s="384">
        <f t="shared" si="133"/>
        <v>100</v>
      </c>
      <c r="AK67" s="385">
        <f t="shared" si="133"/>
        <v>86.456085646328049</v>
      </c>
      <c r="AL67" s="384">
        <f t="shared" si="133"/>
        <v>90.144525455030973</v>
      </c>
      <c r="AM67" s="384">
        <f t="shared" si="133"/>
        <v>25.10836942930349</v>
      </c>
      <c r="AN67" s="384">
        <f t="shared" si="133"/>
        <v>69.642774726297631</v>
      </c>
      <c r="AO67" s="384">
        <f t="shared" si="133"/>
        <v>100</v>
      </c>
      <c r="AP67" s="384">
        <f t="shared" si="133"/>
        <v>10.594591993724887</v>
      </c>
      <c r="AQ67" s="384">
        <f t="shared" si="133"/>
        <v>76.169153313617983</v>
      </c>
      <c r="AR67" s="384">
        <f t="shared" si="133"/>
        <v>9.3208569522964506</v>
      </c>
      <c r="AS67" s="383">
        <f t="shared" si="133"/>
        <v>37.875362786372783</v>
      </c>
      <c r="AT67" s="384">
        <f t="shared" si="133"/>
        <v>14.106757976367982</v>
      </c>
      <c r="AU67" s="384">
        <f t="shared" si="133"/>
        <v>31.289087248400751</v>
      </c>
      <c r="AV67" s="384">
        <f t="shared" si="133"/>
        <v>28.319053467273957</v>
      </c>
      <c r="AW67" s="384">
        <f t="shared" si="133"/>
        <v>67.020299857394392</v>
      </c>
      <c r="AX67" s="384">
        <f t="shared" si="133"/>
        <v>0</v>
      </c>
      <c r="AY67" s="384">
        <f t="shared" si="133"/>
        <v>17.72079778429045</v>
      </c>
      <c r="AZ67" s="384">
        <f t="shared" si="133"/>
        <v>0</v>
      </c>
      <c r="BA67" s="384">
        <f t="shared" si="133"/>
        <v>0.90899730204657547</v>
      </c>
      <c r="BB67" s="384">
        <f t="shared" si="133"/>
        <v>6.6725190904249727</v>
      </c>
      <c r="BC67" s="384">
        <f t="shared" si="133"/>
        <v>2.5554521763865714</v>
      </c>
      <c r="BD67" s="384">
        <f t="shared" si="133"/>
        <v>17.935026328949007</v>
      </c>
      <c r="BE67" s="384">
        <f t="shared" si="133"/>
        <v>19.333476021504566</v>
      </c>
      <c r="BF67" s="385">
        <f t="shared" si="133"/>
        <v>8.425844595860795</v>
      </c>
      <c r="BG67" s="384">
        <f t="shared" si="133"/>
        <v>36.269679020277778</v>
      </c>
      <c r="BH67" s="384">
        <f t="shared" si="133"/>
        <v>0</v>
      </c>
      <c r="BI67" s="384">
        <f t="shared" si="133"/>
        <v>0.40215234522533311</v>
      </c>
      <c r="BJ67" s="384">
        <f t="shared" si="133"/>
        <v>20.02472686001494</v>
      </c>
      <c r="BK67" s="384">
        <f t="shared" si="133"/>
        <v>0</v>
      </c>
      <c r="BL67" s="384">
        <f t="shared" si="133"/>
        <v>0</v>
      </c>
      <c r="BM67" s="384">
        <f t="shared" si="133"/>
        <v>15.248623765014532</v>
      </c>
      <c r="BN67" s="384">
        <f t="shared" si="133"/>
        <v>6.5059053145166867</v>
      </c>
      <c r="BO67" s="384">
        <f t="shared" si="133"/>
        <v>42.115036160185568</v>
      </c>
      <c r="BP67" s="384">
        <f t="shared" si="133"/>
        <v>100</v>
      </c>
      <c r="BQ67" s="384">
        <f t="shared" si="133"/>
        <v>22.510754706891859</v>
      </c>
      <c r="BR67" s="385">
        <f t="shared" si="133"/>
        <v>96.173412025815892</v>
      </c>
      <c r="BS67" s="384">
        <f t="shared" ref="BS67:CL67" si="134">IF(BS65/BS35%&gt;100,100,BS65/BS35%)</f>
        <v>6.5572493168454615</v>
      </c>
      <c r="BT67" s="384">
        <f t="shared" si="134"/>
        <v>56.012258043436127</v>
      </c>
      <c r="BU67" s="384">
        <f t="shared" si="134"/>
        <v>40.186136294006587</v>
      </c>
      <c r="BV67" s="384">
        <f t="shared" si="134"/>
        <v>33.558320372739338</v>
      </c>
      <c r="BW67" s="384">
        <f t="shared" si="134"/>
        <v>100</v>
      </c>
      <c r="BX67" s="384">
        <f t="shared" si="134"/>
        <v>100</v>
      </c>
      <c r="BY67" s="384">
        <f t="shared" si="134"/>
        <v>100</v>
      </c>
      <c r="BZ67" s="384">
        <f t="shared" si="134"/>
        <v>34.997346092649224</v>
      </c>
      <c r="CA67" s="384">
        <f t="shared" si="134"/>
        <v>45.907390860485343</v>
      </c>
      <c r="CB67" s="385">
        <f t="shared" si="134"/>
        <v>86.456085646328049</v>
      </c>
      <c r="CC67" s="384">
        <f t="shared" si="134"/>
        <v>100</v>
      </c>
      <c r="CD67" s="384">
        <f t="shared" si="134"/>
        <v>10.594591993724887</v>
      </c>
      <c r="CE67" s="384">
        <f t="shared" si="134"/>
        <v>90.144525455030973</v>
      </c>
      <c r="CF67" s="384">
        <f t="shared" si="134"/>
        <v>0</v>
      </c>
      <c r="CG67" s="384">
        <f t="shared" si="134"/>
        <v>40.236569569405162</v>
      </c>
      <c r="CH67" s="384">
        <f t="shared" si="134"/>
        <v>25.10836942930349</v>
      </c>
      <c r="CI67" s="384">
        <f t="shared" si="134"/>
        <v>9.3208569522964506</v>
      </c>
      <c r="CJ67" s="384">
        <f t="shared" si="134"/>
        <v>69.642774726297631</v>
      </c>
      <c r="CK67" s="383">
        <f t="shared" si="134"/>
        <v>76.169153313617983</v>
      </c>
      <c r="CL67" s="319">
        <f t="shared" si="134"/>
        <v>39.673707968311263</v>
      </c>
    </row>
    <row r="68" spans="1:90">
      <c r="A68" s="80">
        <f>ROWS($A$3:A66)</f>
        <v>64</v>
      </c>
      <c r="B68" s="59" t="s">
        <v>81</v>
      </c>
      <c r="C68" s="203"/>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c r="A69" s="80">
        <f>ROWS($A$3:A67)</f>
        <v>65</v>
      </c>
      <c r="B69" s="92" t="s">
        <v>265</v>
      </c>
      <c r="C69" s="202">
        <v>2019</v>
      </c>
      <c r="D69" s="259" t="s">
        <v>13</v>
      </c>
      <c r="E69" s="447">
        <v>42920</v>
      </c>
      <c r="F69" s="154">
        <f>SUM(AT69:BF69)</f>
        <v>936</v>
      </c>
      <c r="G69" s="155">
        <f>SUM(BG69:BR69)</f>
        <v>321</v>
      </c>
      <c r="H69" s="155">
        <f>SUM(BS69:CB69)</f>
        <v>1192</v>
      </c>
      <c r="I69" s="156">
        <f>SUM(CC69:CK69)</f>
        <v>1144</v>
      </c>
      <c r="J69" s="281"/>
      <c r="K69" s="154">
        <f>BF69</f>
        <v>144</v>
      </c>
      <c r="L69" s="155">
        <f>AY69</f>
        <v>96</v>
      </c>
      <c r="M69" s="155">
        <f>BD69</f>
        <v>156</v>
      </c>
      <c r="N69" s="155">
        <f>AW69</f>
        <v>54</v>
      </c>
      <c r="O69" s="155">
        <f>BE69</f>
        <v>62</v>
      </c>
      <c r="P69" s="155">
        <f>SUM(AZ69,BA69)</f>
        <v>76</v>
      </c>
      <c r="Q69" s="155">
        <f>'2010'!AU69</f>
        <v>29</v>
      </c>
      <c r="R69" s="155">
        <f>SUM(AT69+AX69)</f>
        <v>45</v>
      </c>
      <c r="S69" s="155">
        <f>AV69</f>
        <v>45</v>
      </c>
      <c r="T69" s="155">
        <f>BB69</f>
        <v>63</v>
      </c>
      <c r="U69" s="552">
        <f>BC69</f>
        <v>160</v>
      </c>
      <c r="V69" s="155">
        <f>SUM(BG69,BJ69)</f>
        <v>18</v>
      </c>
      <c r="W69" s="155">
        <f>BR69</f>
        <v>44</v>
      </c>
      <c r="X69" s="155">
        <f>SUM(BH69,BI69)</f>
        <v>56</v>
      </c>
      <c r="Y69" s="155">
        <f>SUM(BK69,BL69,BN69)</f>
        <v>46</v>
      </c>
      <c r="Z69" s="155">
        <f>BM69</f>
        <v>56</v>
      </c>
      <c r="AA69" s="155">
        <f>SUM(BO69,BQ69)</f>
        <v>61</v>
      </c>
      <c r="AB69" s="552">
        <f>BP69</f>
        <v>40</v>
      </c>
      <c r="AC69" s="155">
        <f>BX69</f>
        <v>156</v>
      </c>
      <c r="AD69" s="155">
        <f>BU69</f>
        <v>70</v>
      </c>
      <c r="AE69" s="155">
        <f>SUM(BS69+BT69)</f>
        <v>296</v>
      </c>
      <c r="AF69" s="155">
        <f>CA69</f>
        <v>98</v>
      </c>
      <c r="AG69" s="155">
        <f>BV69</f>
        <v>144</v>
      </c>
      <c r="AH69" s="155">
        <f>BZ69</f>
        <v>96</v>
      </c>
      <c r="AI69" s="155">
        <f>BW69</f>
        <v>84</v>
      </c>
      <c r="AJ69" s="155">
        <f>BY69</f>
        <v>55</v>
      </c>
      <c r="AK69" s="552">
        <f>CB69</f>
        <v>193</v>
      </c>
      <c r="AL69" s="155">
        <f>CE69</f>
        <v>101</v>
      </c>
      <c r="AM69" s="155">
        <f>CH69</f>
        <v>105</v>
      </c>
      <c r="AN69" s="155">
        <f>CJ69</f>
        <v>374</v>
      </c>
      <c r="AO69" s="155">
        <f>CC69</f>
        <v>135</v>
      </c>
      <c r="AP69" s="155">
        <f>CD69</f>
        <v>60</v>
      </c>
      <c r="AQ69" s="155">
        <f>CK69</f>
        <v>110</v>
      </c>
      <c r="AR69" s="155">
        <f>CI69</f>
        <v>133</v>
      </c>
      <c r="AS69" s="156">
        <f>SUM(CF69:CG69)</f>
        <v>126</v>
      </c>
      <c r="AT69" s="155">
        <v>7</v>
      </c>
      <c r="AU69" s="281">
        <v>35</v>
      </c>
      <c r="AV69" s="281">
        <v>45</v>
      </c>
      <c r="AW69" s="281">
        <v>54</v>
      </c>
      <c r="AX69" s="281">
        <v>38</v>
      </c>
      <c r="AY69" s="281">
        <v>96</v>
      </c>
      <c r="AZ69" s="281">
        <v>5</v>
      </c>
      <c r="BA69" s="281">
        <v>71</v>
      </c>
      <c r="BB69" s="281">
        <v>63</v>
      </c>
      <c r="BC69" s="281">
        <v>160</v>
      </c>
      <c r="BD69" s="281">
        <v>156</v>
      </c>
      <c r="BE69" s="281">
        <v>62</v>
      </c>
      <c r="BF69" s="552">
        <v>144</v>
      </c>
      <c r="BG69" s="281">
        <v>5</v>
      </c>
      <c r="BH69" s="281">
        <v>6</v>
      </c>
      <c r="BI69" s="281">
        <v>50</v>
      </c>
      <c r="BJ69" s="281">
        <v>13</v>
      </c>
      <c r="BK69" s="281">
        <v>4</v>
      </c>
      <c r="BL69" s="281">
        <v>0</v>
      </c>
      <c r="BM69" s="281">
        <v>56</v>
      </c>
      <c r="BN69" s="281">
        <v>42</v>
      </c>
      <c r="BO69" s="281">
        <v>1</v>
      </c>
      <c r="BP69" s="281">
        <v>40</v>
      </c>
      <c r="BQ69" s="281">
        <v>60</v>
      </c>
      <c r="BR69" s="552">
        <v>44</v>
      </c>
      <c r="BS69" s="281">
        <v>12</v>
      </c>
      <c r="BT69" s="281">
        <v>284</v>
      </c>
      <c r="BU69" s="281">
        <v>70</v>
      </c>
      <c r="BV69" s="281">
        <v>144</v>
      </c>
      <c r="BW69" s="281">
        <v>84</v>
      </c>
      <c r="BX69" s="281">
        <v>156</v>
      </c>
      <c r="BY69" s="281">
        <v>55</v>
      </c>
      <c r="BZ69" s="281">
        <v>96</v>
      </c>
      <c r="CA69" s="281">
        <v>98</v>
      </c>
      <c r="CB69" s="552">
        <v>193</v>
      </c>
      <c r="CC69" s="281">
        <v>135</v>
      </c>
      <c r="CD69" s="281">
        <v>60</v>
      </c>
      <c r="CE69" s="281">
        <v>101</v>
      </c>
      <c r="CF69" s="281">
        <v>2</v>
      </c>
      <c r="CG69" s="281">
        <v>124</v>
      </c>
      <c r="CH69" s="281">
        <v>105</v>
      </c>
      <c r="CI69" s="281">
        <v>133</v>
      </c>
      <c r="CJ69" s="281">
        <v>374</v>
      </c>
      <c r="CK69" s="156">
        <v>110</v>
      </c>
      <c r="CL69" s="320">
        <v>3593</v>
      </c>
    </row>
    <row r="70" spans="1:90">
      <c r="A70" s="80">
        <f>ROWS($A$3:A68)</f>
        <v>66</v>
      </c>
      <c r="B70" s="92" t="s">
        <v>70</v>
      </c>
      <c r="C70" s="252"/>
      <c r="D70" s="259" t="s">
        <v>1</v>
      </c>
      <c r="E70" s="451"/>
      <c r="F70" s="154">
        <v>34156</v>
      </c>
      <c r="G70" s="155">
        <v>14204</v>
      </c>
      <c r="H70" s="155">
        <f>SUM(BS70:CB70)</f>
        <v>46882.946000000011</v>
      </c>
      <c r="I70" s="156">
        <v>43866</v>
      </c>
      <c r="J70" s="281"/>
      <c r="K70" s="154">
        <f>BF70</f>
        <v>6209.9476999999979</v>
      </c>
      <c r="L70" s="155">
        <f>AY70</f>
        <v>3329.7962000000011</v>
      </c>
      <c r="M70" s="155">
        <f>BD70</f>
        <v>9093.1411999999928</v>
      </c>
      <c r="N70" s="155">
        <f>AW70</f>
        <v>2676.3726000000001</v>
      </c>
      <c r="O70" s="155">
        <f>BE70</f>
        <v>3528.0545999999999</v>
      </c>
      <c r="P70" s="155">
        <f>SUM(AZ70,BA70)</f>
        <v>3368.8650000000007</v>
      </c>
      <c r="Q70" s="155">
        <f>'2010'!AU70</f>
        <v>1115</v>
      </c>
      <c r="R70" s="155">
        <f>SUM(AT70+AX70)</f>
        <v>1969.5743000000004</v>
      </c>
      <c r="S70" s="155">
        <f>AV70</f>
        <v>1830.4132000000002</v>
      </c>
      <c r="T70" s="155">
        <f>BB70</f>
        <v>3462.2605999999996</v>
      </c>
      <c r="U70" s="552">
        <f>BC70</f>
        <v>6706.0216999999966</v>
      </c>
      <c r="V70" s="155">
        <f>SUM(BG70,BJ70)</f>
        <v>991.82379999999989</v>
      </c>
      <c r="W70" s="155">
        <f>BR70</f>
        <v>2024.2134999999996</v>
      </c>
      <c r="X70" s="155">
        <f>SUM(BH70,BI70)</f>
        <v>3341.4321999999993</v>
      </c>
      <c r="Y70" s="155">
        <f>SUM(BK70,BL70,BN70)</f>
        <v>2477.7721999999999</v>
      </c>
      <c r="Z70" s="155">
        <f>BM70</f>
        <v>3424.2837999999992</v>
      </c>
      <c r="AA70" s="155">
        <f>SUM(BO70,BQ70)</f>
        <v>3790.4660000000013</v>
      </c>
      <c r="AB70" s="552">
        <f>BP70</f>
        <v>1586.0567000000001</v>
      </c>
      <c r="AC70" s="155">
        <f>BX70</f>
        <v>6362.1308000000026</v>
      </c>
      <c r="AD70" s="155">
        <f>BU70</f>
        <v>1960.7582</v>
      </c>
      <c r="AE70" s="155">
        <f>SUM(BS70+BT70)</f>
        <v>9218.4628999999986</v>
      </c>
      <c r="AF70" s="155">
        <f>CA70</f>
        <v>3473.5145999999995</v>
      </c>
      <c r="AG70" s="155">
        <f>BV70</f>
        <v>4911.0348000000004</v>
      </c>
      <c r="AH70" s="155">
        <f>BZ70</f>
        <v>5269.2603000000008</v>
      </c>
      <c r="AI70" s="155">
        <f>BW70</f>
        <v>3853.7924000000012</v>
      </c>
      <c r="AJ70" s="155">
        <f>BY70</f>
        <v>3305.8854999999994</v>
      </c>
      <c r="AK70" s="552">
        <f>CB70</f>
        <v>8528.1064999999999</v>
      </c>
      <c r="AL70" s="155">
        <f>CE70</f>
        <v>6625.2614999999996</v>
      </c>
      <c r="AM70" s="155">
        <f>CH70</f>
        <v>5775.9260999999997</v>
      </c>
      <c r="AN70" s="155">
        <f>CJ70</f>
        <v>15408.353300000008</v>
      </c>
      <c r="AO70" s="155">
        <f>CC70</f>
        <v>6064.3022000000028</v>
      </c>
      <c r="AP70" s="155">
        <f>CD70</f>
        <v>4673.721599999998</v>
      </c>
      <c r="AQ70" s="155">
        <f>CK70</f>
        <v>6164.5135999999984</v>
      </c>
      <c r="AR70" s="155">
        <f>CI70</f>
        <v>4306.7891000000009</v>
      </c>
      <c r="AS70" s="156">
        <f>SUM(CF70:CG70)</f>
        <v>6202.1849000000057</v>
      </c>
      <c r="AT70" s="155">
        <v>202.0052</v>
      </c>
      <c r="AU70" s="155">
        <v>1591.9558000000002</v>
      </c>
      <c r="AV70" s="155">
        <v>1830.4132000000002</v>
      </c>
      <c r="AW70" s="155">
        <v>2676.3726000000001</v>
      </c>
      <c r="AX70" s="155">
        <v>1767.5691000000004</v>
      </c>
      <c r="AY70" s="155">
        <v>3329.7962000000011</v>
      </c>
      <c r="AZ70" s="155">
        <v>135.44160000000002</v>
      </c>
      <c r="BA70" s="155">
        <v>3233.4234000000006</v>
      </c>
      <c r="BB70" s="155">
        <v>3462.2605999999996</v>
      </c>
      <c r="BC70" s="155">
        <v>6706.0216999999966</v>
      </c>
      <c r="BD70" s="155">
        <v>9093.1411999999928</v>
      </c>
      <c r="BE70" s="155">
        <v>3528.0545999999999</v>
      </c>
      <c r="BF70" s="552">
        <v>6209.9476999999979</v>
      </c>
      <c r="BG70" s="155">
        <v>261.923</v>
      </c>
      <c r="BH70" s="155">
        <v>169.74880000000005</v>
      </c>
      <c r="BI70" s="155">
        <v>3171.6833999999994</v>
      </c>
      <c r="BJ70" s="155">
        <v>729.90079999999989</v>
      </c>
      <c r="BK70" s="155">
        <v>96.103699999999989</v>
      </c>
      <c r="BL70" s="155">
        <v>0</v>
      </c>
      <c r="BM70" s="155">
        <v>3424.2837999999992</v>
      </c>
      <c r="BN70" s="155">
        <v>2381.6684999999998</v>
      </c>
      <c r="BO70" s="155">
        <v>88.537300000000002</v>
      </c>
      <c r="BP70" s="155">
        <v>1586.0567000000001</v>
      </c>
      <c r="BQ70" s="155">
        <v>3701.9287000000013</v>
      </c>
      <c r="BR70" s="552">
        <v>2024.2134999999996</v>
      </c>
      <c r="BS70" s="155">
        <v>472.81619999999998</v>
      </c>
      <c r="BT70" s="155">
        <v>8745.6466999999993</v>
      </c>
      <c r="BU70" s="155">
        <v>1960.7582</v>
      </c>
      <c r="BV70" s="155">
        <v>4911.0348000000004</v>
      </c>
      <c r="BW70" s="155">
        <v>3853.7924000000012</v>
      </c>
      <c r="BX70" s="155">
        <v>6362.1308000000026</v>
      </c>
      <c r="BY70" s="155">
        <v>3305.8854999999994</v>
      </c>
      <c r="BZ70" s="155">
        <v>5269.2603000000008</v>
      </c>
      <c r="CA70" s="155">
        <v>3473.5145999999995</v>
      </c>
      <c r="CB70" s="552">
        <v>8528.1064999999999</v>
      </c>
      <c r="CC70" s="155">
        <v>6064.3022000000028</v>
      </c>
      <c r="CD70" s="155">
        <v>4673.721599999998</v>
      </c>
      <c r="CE70" s="155">
        <v>6625.2614999999996</v>
      </c>
      <c r="CF70" s="155">
        <v>142.56900000000002</v>
      </c>
      <c r="CG70" s="155">
        <v>6059.6159000000052</v>
      </c>
      <c r="CH70" s="155">
        <v>5775.9260999999997</v>
      </c>
      <c r="CI70" s="155">
        <v>4306.7891000000009</v>
      </c>
      <c r="CJ70" s="155">
        <v>15408.353300000008</v>
      </c>
      <c r="CK70" s="156">
        <v>6164.5135999999984</v>
      </c>
      <c r="CL70" s="320">
        <v>163506.44940000027</v>
      </c>
    </row>
    <row r="71" spans="1:90">
      <c r="A71" s="80">
        <f>ROWS($A$3:A69)</f>
        <v>67</v>
      </c>
      <c r="B71" s="54" t="s">
        <v>266</v>
      </c>
      <c r="C71" s="252"/>
      <c r="D71" s="259" t="s">
        <v>1</v>
      </c>
      <c r="E71" s="451"/>
      <c r="F71" s="539">
        <f>IF(ISERROR(F70/F69)=FALSE,F70/F69," -")</f>
        <v>36.491452991452988</v>
      </c>
      <c r="G71" s="521">
        <f>IF(ISERROR(G70/G69)=FALSE,G70/G69," -")</f>
        <v>44.249221183800621</v>
      </c>
      <c r="H71" s="521">
        <f>IF(ISERROR(H70/H69)=FALSE,H70/H69," -")</f>
        <v>39.331330536912759</v>
      </c>
      <c r="I71" s="540">
        <f>IF(ISERROR(I70/I69)=FALSE,I70/I69," -")</f>
        <v>38.344405594405593</v>
      </c>
      <c r="J71" s="382"/>
      <c r="K71" s="539">
        <f t="shared" ref="K71:BV71" si="135">IF(ISERROR(K70/K69)=FALSE,K70/K69," -")</f>
        <v>43.124636805555539</v>
      </c>
      <c r="L71" s="521">
        <f t="shared" si="135"/>
        <v>34.685377083333343</v>
      </c>
      <c r="M71" s="521">
        <f t="shared" si="135"/>
        <v>58.289366666666623</v>
      </c>
      <c r="N71" s="521">
        <f t="shared" si="135"/>
        <v>49.562455555555559</v>
      </c>
      <c r="O71" s="521">
        <f t="shared" si="135"/>
        <v>56.904106451612904</v>
      </c>
      <c r="P71" s="521">
        <f t="shared" si="135"/>
        <v>44.327171052631591</v>
      </c>
      <c r="Q71" s="521">
        <f t="shared" si="135"/>
        <v>38.448275862068968</v>
      </c>
      <c r="R71" s="521">
        <f t="shared" si="135"/>
        <v>43.768317777777789</v>
      </c>
      <c r="S71" s="521">
        <f t="shared" si="135"/>
        <v>40.675848888888893</v>
      </c>
      <c r="T71" s="521">
        <f t="shared" si="135"/>
        <v>54.956517460317457</v>
      </c>
      <c r="U71" s="559">
        <f t="shared" si="135"/>
        <v>41.912635624999979</v>
      </c>
      <c r="V71" s="521">
        <f t="shared" si="135"/>
        <v>55.101322222222215</v>
      </c>
      <c r="W71" s="521">
        <f t="shared" si="135"/>
        <v>46.004852272727263</v>
      </c>
      <c r="X71" s="521">
        <f t="shared" si="135"/>
        <v>59.668432142857128</v>
      </c>
      <c r="Y71" s="521">
        <f t="shared" si="135"/>
        <v>53.864613043478258</v>
      </c>
      <c r="Z71" s="521">
        <f t="shared" si="135"/>
        <v>61.147924999999987</v>
      </c>
      <c r="AA71" s="521">
        <f t="shared" si="135"/>
        <v>62.138786885245921</v>
      </c>
      <c r="AB71" s="559">
        <f t="shared" si="135"/>
        <v>39.651417500000001</v>
      </c>
      <c r="AC71" s="521">
        <f t="shared" si="135"/>
        <v>40.782889743589763</v>
      </c>
      <c r="AD71" s="521">
        <f t="shared" si="135"/>
        <v>28.010831428571429</v>
      </c>
      <c r="AE71" s="521">
        <f t="shared" si="135"/>
        <v>31.143455743243237</v>
      </c>
      <c r="AF71" s="521">
        <f t="shared" si="135"/>
        <v>35.444026530612241</v>
      </c>
      <c r="AG71" s="521">
        <f t="shared" si="135"/>
        <v>34.104408333333339</v>
      </c>
      <c r="AH71" s="521">
        <f t="shared" si="135"/>
        <v>54.888128125000009</v>
      </c>
      <c r="AI71" s="521">
        <f t="shared" si="135"/>
        <v>45.878480952380968</v>
      </c>
      <c r="AJ71" s="521">
        <f t="shared" si="135"/>
        <v>60.107009090909081</v>
      </c>
      <c r="AK71" s="559">
        <f t="shared" si="135"/>
        <v>44.18708031088083</v>
      </c>
      <c r="AL71" s="521">
        <f t="shared" si="135"/>
        <v>65.596648514851481</v>
      </c>
      <c r="AM71" s="521">
        <f t="shared" si="135"/>
        <v>55.00882</v>
      </c>
      <c r="AN71" s="521">
        <f t="shared" si="135"/>
        <v>41.198805614973281</v>
      </c>
      <c r="AO71" s="521">
        <f t="shared" si="135"/>
        <v>44.920757037037056</v>
      </c>
      <c r="AP71" s="521">
        <f t="shared" si="135"/>
        <v>77.895359999999968</v>
      </c>
      <c r="AQ71" s="521">
        <f t="shared" si="135"/>
        <v>56.041032727272714</v>
      </c>
      <c r="AR71" s="521">
        <f t="shared" si="135"/>
        <v>32.381872932330836</v>
      </c>
      <c r="AS71" s="540">
        <f t="shared" si="135"/>
        <v>49.223689682539728</v>
      </c>
      <c r="AT71" s="521">
        <f t="shared" si="135"/>
        <v>28.857885714285715</v>
      </c>
      <c r="AU71" s="521">
        <f t="shared" si="135"/>
        <v>45.484451428571433</v>
      </c>
      <c r="AV71" s="521">
        <f t="shared" si="135"/>
        <v>40.675848888888893</v>
      </c>
      <c r="AW71" s="521">
        <f t="shared" si="135"/>
        <v>49.562455555555559</v>
      </c>
      <c r="AX71" s="521">
        <f t="shared" si="135"/>
        <v>46.514976315789482</v>
      </c>
      <c r="AY71" s="521">
        <f t="shared" si="135"/>
        <v>34.685377083333343</v>
      </c>
      <c r="AZ71" s="521">
        <f t="shared" si="135"/>
        <v>27.088320000000003</v>
      </c>
      <c r="BA71" s="521">
        <f t="shared" si="135"/>
        <v>45.541174647887331</v>
      </c>
      <c r="BB71" s="521">
        <f t="shared" si="135"/>
        <v>54.956517460317457</v>
      </c>
      <c r="BC71" s="521">
        <f t="shared" si="135"/>
        <v>41.912635624999979</v>
      </c>
      <c r="BD71" s="521">
        <f t="shared" si="135"/>
        <v>58.289366666666623</v>
      </c>
      <c r="BE71" s="521">
        <f t="shared" si="135"/>
        <v>56.904106451612904</v>
      </c>
      <c r="BF71" s="559">
        <f t="shared" si="135"/>
        <v>43.124636805555539</v>
      </c>
      <c r="BG71" s="521">
        <f t="shared" si="135"/>
        <v>52.384599999999999</v>
      </c>
      <c r="BH71" s="521">
        <f t="shared" si="135"/>
        <v>28.291466666666675</v>
      </c>
      <c r="BI71" s="521">
        <f t="shared" si="135"/>
        <v>63.43366799999999</v>
      </c>
      <c r="BJ71" s="521">
        <f t="shared" si="135"/>
        <v>56.146215384615374</v>
      </c>
      <c r="BK71" s="521">
        <f t="shared" si="135"/>
        <v>24.025924999999997</v>
      </c>
      <c r="BL71" s="521" t="str">
        <f t="shared" si="135"/>
        <v xml:space="preserve"> -</v>
      </c>
      <c r="BM71" s="521">
        <f t="shared" si="135"/>
        <v>61.147924999999987</v>
      </c>
      <c r="BN71" s="521">
        <f t="shared" si="135"/>
        <v>56.706392857142852</v>
      </c>
      <c r="BO71" s="521">
        <f t="shared" si="135"/>
        <v>88.537300000000002</v>
      </c>
      <c r="BP71" s="521">
        <f t="shared" si="135"/>
        <v>39.651417500000001</v>
      </c>
      <c r="BQ71" s="521">
        <f t="shared" si="135"/>
        <v>61.698811666666685</v>
      </c>
      <c r="BR71" s="559">
        <f t="shared" si="135"/>
        <v>46.004852272727263</v>
      </c>
      <c r="BS71" s="521">
        <f t="shared" si="135"/>
        <v>39.401350000000001</v>
      </c>
      <c r="BT71" s="521">
        <f t="shared" si="135"/>
        <v>30.794530633802815</v>
      </c>
      <c r="BU71" s="521">
        <f t="shared" si="135"/>
        <v>28.010831428571429</v>
      </c>
      <c r="BV71" s="521">
        <f t="shared" si="135"/>
        <v>34.104408333333339</v>
      </c>
      <c r="BW71" s="521">
        <f t="shared" ref="BW71:CK71" si="136">IF(ISERROR(BW70/BW69)=FALSE,BW70/BW69," -")</f>
        <v>45.878480952380968</v>
      </c>
      <c r="BX71" s="521">
        <f t="shared" si="136"/>
        <v>40.782889743589763</v>
      </c>
      <c r="BY71" s="521">
        <f t="shared" si="136"/>
        <v>60.107009090909081</v>
      </c>
      <c r="BZ71" s="521">
        <f t="shared" si="136"/>
        <v>54.888128125000009</v>
      </c>
      <c r="CA71" s="521">
        <f t="shared" si="136"/>
        <v>35.444026530612241</v>
      </c>
      <c r="CB71" s="559">
        <f t="shared" si="136"/>
        <v>44.18708031088083</v>
      </c>
      <c r="CC71" s="521">
        <f t="shared" si="136"/>
        <v>44.920757037037056</v>
      </c>
      <c r="CD71" s="521">
        <f t="shared" si="136"/>
        <v>77.895359999999968</v>
      </c>
      <c r="CE71" s="521">
        <f t="shared" si="136"/>
        <v>65.596648514851481</v>
      </c>
      <c r="CF71" s="521">
        <f t="shared" si="136"/>
        <v>71.284500000000008</v>
      </c>
      <c r="CG71" s="521">
        <f t="shared" si="136"/>
        <v>48.867870161290362</v>
      </c>
      <c r="CH71" s="521">
        <f t="shared" si="136"/>
        <v>55.00882</v>
      </c>
      <c r="CI71" s="521">
        <f t="shared" si="136"/>
        <v>32.381872932330836</v>
      </c>
      <c r="CJ71" s="521">
        <f t="shared" si="136"/>
        <v>41.198805614973281</v>
      </c>
      <c r="CK71" s="540">
        <f t="shared" si="136"/>
        <v>56.041032727272714</v>
      </c>
      <c r="CL71" s="560">
        <f>IF(OR(CL69&lt;0.1,CL70&lt;0.1),0,CL70/CL69)</f>
        <v>45.506943890899045</v>
      </c>
    </row>
    <row r="72" spans="1:90">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c r="A73" s="80">
        <f>ROWS($A$3:A71)</f>
        <v>69</v>
      </c>
      <c r="B73" s="92" t="s">
        <v>84</v>
      </c>
      <c r="C73" s="202">
        <v>2016</v>
      </c>
      <c r="D73" s="259" t="s">
        <v>13</v>
      </c>
      <c r="E73" s="447">
        <v>42920</v>
      </c>
      <c r="F73" s="154">
        <v>3331</v>
      </c>
      <c r="G73" s="155">
        <v>1688</v>
      </c>
      <c r="H73" s="155">
        <v>2270</v>
      </c>
      <c r="I73" s="156">
        <v>2972</v>
      </c>
      <c r="J73" s="281"/>
      <c r="K73" s="154">
        <f t="shared" ref="K73:K78" si="137">BF73</f>
        <v>341</v>
      </c>
      <c r="L73" s="155">
        <f t="shared" ref="L73:L78" si="138">AY73</f>
        <v>149</v>
      </c>
      <c r="M73" s="155">
        <f t="shared" ref="M73:M78" si="139">BD73</f>
        <v>668</v>
      </c>
      <c r="N73" s="155">
        <f t="shared" ref="N73:N78" si="140">AW73</f>
        <v>127</v>
      </c>
      <c r="O73" s="155">
        <f t="shared" ref="O73:O78" si="141">BE73</f>
        <v>179</v>
      </c>
      <c r="P73" s="155">
        <f t="shared" ref="P73:P78" si="142">SUM(AZ73,BA73)</f>
        <v>489</v>
      </c>
      <c r="Q73" s="155">
        <f>'2010'!AU73</f>
        <v>256</v>
      </c>
      <c r="R73" s="155">
        <f t="shared" ref="R73:R78" si="143">SUM(AT73,AX73)</f>
        <v>320</v>
      </c>
      <c r="S73" s="155">
        <f t="shared" ref="S73:S78" si="144">AV73</f>
        <v>164</v>
      </c>
      <c r="T73" s="155">
        <f t="shared" ref="T73:U78" si="145">BB73</f>
        <v>244</v>
      </c>
      <c r="U73" s="552">
        <f t="shared" si="145"/>
        <v>387</v>
      </c>
      <c r="V73" s="155">
        <f t="shared" ref="V73:V78" si="146">SUM(BG73,BJ73)</f>
        <v>120</v>
      </c>
      <c r="W73" s="155">
        <f t="shared" ref="W73:W78" si="147">BR73</f>
        <v>165</v>
      </c>
      <c r="X73" s="155">
        <f t="shared" ref="X73:X78" si="148">SUM(BH73,BI73)</f>
        <v>361</v>
      </c>
      <c r="Y73" s="155">
        <f t="shared" ref="Y73:Y78" si="149">SUM(BK73,BL73,BN73)</f>
        <v>451</v>
      </c>
      <c r="Z73" s="155">
        <f t="shared" ref="Z73:Z78" si="150">BM73</f>
        <v>359</v>
      </c>
      <c r="AA73" s="155">
        <f t="shared" ref="AA73:AA78" si="151">SUM(BO73,BQ73)</f>
        <v>122</v>
      </c>
      <c r="AB73" s="552">
        <f t="shared" ref="AB73:AB78" si="152">BP73</f>
        <v>110</v>
      </c>
      <c r="AC73" s="155">
        <f t="shared" ref="AC73:AC78" si="153">BX73</f>
        <v>230</v>
      </c>
      <c r="AD73" s="155">
        <f t="shared" ref="AD73:AD78" si="154">BU73</f>
        <v>159</v>
      </c>
      <c r="AE73" s="155">
        <f t="shared" ref="AE73:AE78" si="155">SUM(BS73,BT73)</f>
        <v>365</v>
      </c>
      <c r="AF73" s="155">
        <f t="shared" ref="AF73:AF78" si="156">CA73</f>
        <v>137</v>
      </c>
      <c r="AG73" s="155">
        <f t="shared" ref="AG73:AG78" si="157">BV73</f>
        <v>486</v>
      </c>
      <c r="AH73" s="155">
        <f t="shared" ref="AH73:AH78" si="158">BZ73</f>
        <v>215</v>
      </c>
      <c r="AI73" s="155">
        <f t="shared" ref="AI73:AI78" si="159">BW73</f>
        <v>244</v>
      </c>
      <c r="AJ73" s="155">
        <f t="shared" ref="AJ73:AJ78" si="160">BY73</f>
        <v>169</v>
      </c>
      <c r="AK73" s="552">
        <f t="shared" ref="AK73:AK78" si="161">CB73</f>
        <v>265</v>
      </c>
      <c r="AL73" s="155">
        <f t="shared" ref="AL73:AL78" si="162">CE73</f>
        <v>314</v>
      </c>
      <c r="AM73" s="155">
        <f t="shared" ref="AM73:AM78" si="163">CH73</f>
        <v>481</v>
      </c>
      <c r="AN73" s="155">
        <f t="shared" ref="AN73:AN78" si="164">CJ73</f>
        <v>286</v>
      </c>
      <c r="AO73" s="155">
        <f t="shared" ref="AO73:AP78" si="165">CC73</f>
        <v>389</v>
      </c>
      <c r="AP73" s="155">
        <f t="shared" si="165"/>
        <v>190</v>
      </c>
      <c r="AQ73" s="155">
        <f t="shared" ref="AQ73:AQ78" si="166">CK73</f>
        <v>435</v>
      </c>
      <c r="AR73" s="155">
        <f t="shared" ref="AR73:AR78" si="167">CI73</f>
        <v>195</v>
      </c>
      <c r="AS73" s="156">
        <f t="shared" ref="AS73:AS78" si="168">SUM(CF73,CG73)</f>
        <v>682</v>
      </c>
      <c r="AT73" s="155">
        <v>32</v>
      </c>
      <c r="AU73" s="155">
        <v>263</v>
      </c>
      <c r="AV73" s="155">
        <v>164</v>
      </c>
      <c r="AW73" s="155">
        <v>127</v>
      </c>
      <c r="AX73" s="155">
        <v>288</v>
      </c>
      <c r="AY73" s="155">
        <v>149</v>
      </c>
      <c r="AZ73" s="155">
        <v>58</v>
      </c>
      <c r="BA73" s="155">
        <v>431</v>
      </c>
      <c r="BB73" s="155">
        <v>244</v>
      </c>
      <c r="BC73" s="155">
        <v>387</v>
      </c>
      <c r="BD73" s="155">
        <v>668</v>
      </c>
      <c r="BE73" s="155">
        <v>179</v>
      </c>
      <c r="BF73" s="552">
        <v>341</v>
      </c>
      <c r="BG73" s="155">
        <v>7</v>
      </c>
      <c r="BH73" s="155">
        <v>26</v>
      </c>
      <c r="BI73" s="155">
        <v>335</v>
      </c>
      <c r="BJ73" s="155">
        <v>113</v>
      </c>
      <c r="BK73" s="155">
        <v>28</v>
      </c>
      <c r="BL73" s="155">
        <v>34</v>
      </c>
      <c r="BM73" s="155">
        <v>359</v>
      </c>
      <c r="BN73" s="155">
        <v>389</v>
      </c>
      <c r="BO73" s="155">
        <v>4</v>
      </c>
      <c r="BP73" s="155">
        <v>110</v>
      </c>
      <c r="BQ73" s="155">
        <v>118</v>
      </c>
      <c r="BR73" s="552">
        <v>165</v>
      </c>
      <c r="BS73" s="155">
        <v>21</v>
      </c>
      <c r="BT73" s="155">
        <v>344</v>
      </c>
      <c r="BU73" s="155">
        <v>159</v>
      </c>
      <c r="BV73" s="155">
        <v>486</v>
      </c>
      <c r="BW73" s="155">
        <v>244</v>
      </c>
      <c r="BX73" s="155">
        <v>230</v>
      </c>
      <c r="BY73" s="155">
        <v>169</v>
      </c>
      <c r="BZ73" s="155">
        <v>215</v>
      </c>
      <c r="CA73" s="155">
        <v>137</v>
      </c>
      <c r="CB73" s="552">
        <v>265</v>
      </c>
      <c r="CC73" s="155">
        <v>389</v>
      </c>
      <c r="CD73" s="155">
        <v>190</v>
      </c>
      <c r="CE73" s="155">
        <v>314</v>
      </c>
      <c r="CF73" s="155">
        <v>44</v>
      </c>
      <c r="CG73" s="155">
        <v>638</v>
      </c>
      <c r="CH73" s="155">
        <v>481</v>
      </c>
      <c r="CI73" s="155">
        <v>195</v>
      </c>
      <c r="CJ73" s="155">
        <v>286</v>
      </c>
      <c r="CK73" s="156">
        <v>435</v>
      </c>
      <c r="CL73" s="320">
        <v>10261</v>
      </c>
    </row>
    <row r="74" spans="1:90">
      <c r="A74" s="80">
        <f>ROWS($A$3:A72)</f>
        <v>70</v>
      </c>
      <c r="B74" s="92" t="s">
        <v>85</v>
      </c>
      <c r="C74" s="203"/>
      <c r="D74" s="259" t="s">
        <v>13</v>
      </c>
      <c r="E74" s="451"/>
      <c r="F74" s="154">
        <v>389</v>
      </c>
      <c r="G74" s="155">
        <v>188</v>
      </c>
      <c r="H74" s="155">
        <v>261</v>
      </c>
      <c r="I74" s="156">
        <v>158</v>
      </c>
      <c r="J74" s="281"/>
      <c r="K74" s="154">
        <f t="shared" si="137"/>
        <v>35</v>
      </c>
      <c r="L74" s="155">
        <f t="shared" si="138"/>
        <v>61</v>
      </c>
      <c r="M74" s="155">
        <f t="shared" si="139"/>
        <v>8</v>
      </c>
      <c r="N74" s="155">
        <f t="shared" si="140"/>
        <v>22</v>
      </c>
      <c r="O74" s="155">
        <f t="shared" si="141"/>
        <v>9</v>
      </c>
      <c r="P74" s="155">
        <f t="shared" si="142"/>
        <v>50</v>
      </c>
      <c r="Q74" s="155">
        <f>'2010'!AU74</f>
        <v>20</v>
      </c>
      <c r="R74" s="155">
        <f t="shared" si="143"/>
        <v>115</v>
      </c>
      <c r="S74" s="155">
        <f t="shared" si="144"/>
        <v>46</v>
      </c>
      <c r="T74" s="155">
        <f t="shared" si="145"/>
        <v>12</v>
      </c>
      <c r="U74" s="552">
        <f t="shared" si="145"/>
        <v>16</v>
      </c>
      <c r="V74" s="155">
        <f t="shared" si="146"/>
        <v>24</v>
      </c>
      <c r="W74" s="155">
        <f t="shared" si="147"/>
        <v>8</v>
      </c>
      <c r="X74" s="155">
        <f t="shared" si="148"/>
        <v>44</v>
      </c>
      <c r="Y74" s="155">
        <f t="shared" si="149"/>
        <v>65</v>
      </c>
      <c r="Z74" s="155">
        <f t="shared" si="150"/>
        <v>9</v>
      </c>
      <c r="AA74" s="155">
        <f t="shared" si="151"/>
        <v>23</v>
      </c>
      <c r="AB74" s="552">
        <f t="shared" si="152"/>
        <v>15</v>
      </c>
      <c r="AC74" s="155">
        <f t="shared" si="153"/>
        <v>7</v>
      </c>
      <c r="AD74" s="155">
        <f t="shared" si="154"/>
        <v>22</v>
      </c>
      <c r="AE74" s="155">
        <f t="shared" si="155"/>
        <v>45</v>
      </c>
      <c r="AF74" s="155">
        <f t="shared" si="156"/>
        <v>19</v>
      </c>
      <c r="AG74" s="155">
        <f t="shared" si="157"/>
        <v>62</v>
      </c>
      <c r="AH74" s="155">
        <f t="shared" si="158"/>
        <v>81</v>
      </c>
      <c r="AI74" s="155">
        <f t="shared" si="159"/>
        <v>10</v>
      </c>
      <c r="AJ74" s="155">
        <f t="shared" si="160"/>
        <v>4</v>
      </c>
      <c r="AK74" s="552">
        <f t="shared" si="161"/>
        <v>11</v>
      </c>
      <c r="AL74" s="155">
        <f t="shared" si="162"/>
        <v>11</v>
      </c>
      <c r="AM74" s="155">
        <f t="shared" si="163"/>
        <v>17</v>
      </c>
      <c r="AN74" s="155">
        <f t="shared" si="164"/>
        <v>28</v>
      </c>
      <c r="AO74" s="155">
        <f t="shared" si="165"/>
        <v>24</v>
      </c>
      <c r="AP74" s="155">
        <f t="shared" si="165"/>
        <v>20</v>
      </c>
      <c r="AQ74" s="155">
        <f t="shared" si="166"/>
        <v>11</v>
      </c>
      <c r="AR74" s="155">
        <f t="shared" si="167"/>
        <v>17</v>
      </c>
      <c r="AS74" s="156">
        <f t="shared" si="168"/>
        <v>30</v>
      </c>
      <c r="AT74" s="155">
        <v>30</v>
      </c>
      <c r="AU74" s="155">
        <v>15</v>
      </c>
      <c r="AV74" s="155">
        <v>46</v>
      </c>
      <c r="AW74" s="155">
        <v>22</v>
      </c>
      <c r="AX74" s="155">
        <v>85</v>
      </c>
      <c r="AY74" s="155">
        <v>61</v>
      </c>
      <c r="AZ74" s="155">
        <v>11</v>
      </c>
      <c r="BA74" s="155">
        <v>39</v>
      </c>
      <c r="BB74" s="155">
        <v>12</v>
      </c>
      <c r="BC74" s="155">
        <v>16</v>
      </c>
      <c r="BD74" s="155">
        <v>8</v>
      </c>
      <c r="BE74" s="155">
        <v>9</v>
      </c>
      <c r="BF74" s="552">
        <v>35</v>
      </c>
      <c r="BG74" s="155">
        <v>6</v>
      </c>
      <c r="BH74" s="155">
        <v>14</v>
      </c>
      <c r="BI74" s="155">
        <v>30</v>
      </c>
      <c r="BJ74" s="155">
        <v>18</v>
      </c>
      <c r="BK74" s="155">
        <v>19</v>
      </c>
      <c r="BL74" s="155">
        <v>11</v>
      </c>
      <c r="BM74" s="155">
        <v>9</v>
      </c>
      <c r="BN74" s="155">
        <v>35</v>
      </c>
      <c r="BO74" s="155">
        <v>8</v>
      </c>
      <c r="BP74" s="155">
        <v>15</v>
      </c>
      <c r="BQ74" s="155">
        <v>15</v>
      </c>
      <c r="BR74" s="552">
        <v>8</v>
      </c>
      <c r="BS74" s="155">
        <v>7</v>
      </c>
      <c r="BT74" s="155">
        <v>38</v>
      </c>
      <c r="BU74" s="155">
        <v>22</v>
      </c>
      <c r="BV74" s="155">
        <v>62</v>
      </c>
      <c r="BW74" s="155">
        <v>10</v>
      </c>
      <c r="BX74" s="155">
        <v>7</v>
      </c>
      <c r="BY74" s="155">
        <v>4</v>
      </c>
      <c r="BZ74" s="155">
        <v>81</v>
      </c>
      <c r="CA74" s="155">
        <v>19</v>
      </c>
      <c r="CB74" s="552">
        <v>11</v>
      </c>
      <c r="CC74" s="155">
        <v>24</v>
      </c>
      <c r="CD74" s="155">
        <v>20</v>
      </c>
      <c r="CE74" s="155">
        <v>11</v>
      </c>
      <c r="CF74" s="155">
        <v>12</v>
      </c>
      <c r="CG74" s="155">
        <v>18</v>
      </c>
      <c r="CH74" s="155">
        <v>17</v>
      </c>
      <c r="CI74" s="155">
        <v>17</v>
      </c>
      <c r="CJ74" s="155">
        <v>28</v>
      </c>
      <c r="CK74" s="156">
        <v>11</v>
      </c>
      <c r="CL74" s="320">
        <v>996</v>
      </c>
    </row>
    <row r="75" spans="1:90">
      <c r="A75" s="80">
        <f>ROWS($A$3:A73)</f>
        <v>71</v>
      </c>
      <c r="B75" s="92" t="s">
        <v>86</v>
      </c>
      <c r="C75" s="203"/>
      <c r="D75" s="259" t="s">
        <v>13</v>
      </c>
      <c r="E75" s="451"/>
      <c r="F75" s="154">
        <v>2546</v>
      </c>
      <c r="G75" s="155">
        <v>683</v>
      </c>
      <c r="H75" s="155">
        <v>3738</v>
      </c>
      <c r="I75" s="156">
        <v>995</v>
      </c>
      <c r="J75" s="281"/>
      <c r="K75" s="154">
        <f t="shared" si="137"/>
        <v>16</v>
      </c>
      <c r="L75" s="155">
        <f t="shared" si="138"/>
        <v>376</v>
      </c>
      <c r="M75" s="155">
        <f t="shared" si="139"/>
        <v>175</v>
      </c>
      <c r="N75" s="155">
        <f t="shared" si="140"/>
        <v>26</v>
      </c>
      <c r="O75" s="155">
        <f t="shared" si="141"/>
        <v>3</v>
      </c>
      <c r="P75" s="155">
        <f t="shared" si="142"/>
        <v>1038</v>
      </c>
      <c r="Q75" s="155">
        <f>'2010'!AU75</f>
        <v>31</v>
      </c>
      <c r="R75" s="155">
        <f t="shared" si="143"/>
        <v>537</v>
      </c>
      <c r="S75" s="155">
        <f t="shared" si="144"/>
        <v>67</v>
      </c>
      <c r="T75" s="155">
        <f t="shared" si="145"/>
        <v>285</v>
      </c>
      <c r="U75" s="552">
        <f t="shared" si="145"/>
        <v>6</v>
      </c>
      <c r="V75" s="155">
        <f t="shared" si="146"/>
        <v>261</v>
      </c>
      <c r="W75" s="155">
        <f t="shared" si="147"/>
        <v>3</v>
      </c>
      <c r="X75" s="155">
        <f t="shared" si="148"/>
        <v>130</v>
      </c>
      <c r="Y75" s="155">
        <f t="shared" si="149"/>
        <v>167</v>
      </c>
      <c r="Z75" s="155">
        <f t="shared" si="150"/>
        <v>57</v>
      </c>
      <c r="AA75" s="155">
        <f t="shared" si="151"/>
        <v>60</v>
      </c>
      <c r="AB75" s="552">
        <f t="shared" si="152"/>
        <v>5</v>
      </c>
      <c r="AC75" s="155">
        <f t="shared" si="153"/>
        <v>2</v>
      </c>
      <c r="AD75" s="155">
        <f t="shared" si="154"/>
        <v>496</v>
      </c>
      <c r="AE75" s="155">
        <f t="shared" si="155"/>
        <v>1328</v>
      </c>
      <c r="AF75" s="155">
        <f t="shared" si="156"/>
        <v>196</v>
      </c>
      <c r="AG75" s="155">
        <f t="shared" si="157"/>
        <v>1581</v>
      </c>
      <c r="AH75" s="155">
        <f t="shared" si="158"/>
        <v>99</v>
      </c>
      <c r="AI75" s="155">
        <f t="shared" si="159"/>
        <v>5</v>
      </c>
      <c r="AJ75" s="155" t="str">
        <f t="shared" si="160"/>
        <v>–</v>
      </c>
      <c r="AK75" s="552">
        <f t="shared" si="161"/>
        <v>31</v>
      </c>
      <c r="AL75" s="155">
        <f t="shared" si="162"/>
        <v>2</v>
      </c>
      <c r="AM75" s="155">
        <f t="shared" si="163"/>
        <v>6</v>
      </c>
      <c r="AN75" s="155">
        <f t="shared" si="164"/>
        <v>130</v>
      </c>
      <c r="AO75" s="155">
        <f t="shared" si="165"/>
        <v>21</v>
      </c>
      <c r="AP75" s="155">
        <f t="shared" si="165"/>
        <v>12</v>
      </c>
      <c r="AQ75" s="155">
        <f t="shared" si="166"/>
        <v>12</v>
      </c>
      <c r="AR75" s="155">
        <f t="shared" si="167"/>
        <v>801</v>
      </c>
      <c r="AS75" s="156">
        <f t="shared" si="168"/>
        <v>11</v>
      </c>
      <c r="AT75" s="155">
        <v>101</v>
      </c>
      <c r="AU75" s="155">
        <v>17</v>
      </c>
      <c r="AV75" s="281">
        <v>67</v>
      </c>
      <c r="AW75" s="281">
        <v>26</v>
      </c>
      <c r="AX75" s="281">
        <v>436</v>
      </c>
      <c r="AY75" s="281">
        <v>376</v>
      </c>
      <c r="AZ75" s="281">
        <v>89</v>
      </c>
      <c r="BA75" s="281">
        <v>949</v>
      </c>
      <c r="BB75" s="281">
        <v>285</v>
      </c>
      <c r="BC75" s="281">
        <v>6</v>
      </c>
      <c r="BD75" s="281">
        <v>175</v>
      </c>
      <c r="BE75" s="281">
        <v>3</v>
      </c>
      <c r="BF75" s="552">
        <v>16</v>
      </c>
      <c r="BG75" s="281">
        <v>73</v>
      </c>
      <c r="BH75" s="281">
        <v>4</v>
      </c>
      <c r="BI75" s="281">
        <v>126</v>
      </c>
      <c r="BJ75" s="281">
        <v>188</v>
      </c>
      <c r="BK75" s="281">
        <v>8</v>
      </c>
      <c r="BL75" s="281" t="s">
        <v>41</v>
      </c>
      <c r="BM75" s="281">
        <v>57</v>
      </c>
      <c r="BN75" s="281">
        <v>159</v>
      </c>
      <c r="BO75" s="281">
        <v>1</v>
      </c>
      <c r="BP75" s="281">
        <v>5</v>
      </c>
      <c r="BQ75" s="281">
        <v>59</v>
      </c>
      <c r="BR75" s="552">
        <v>3</v>
      </c>
      <c r="BS75" s="281">
        <v>116</v>
      </c>
      <c r="BT75" s="281">
        <v>1212</v>
      </c>
      <c r="BU75" s="281">
        <v>496</v>
      </c>
      <c r="BV75" s="281">
        <v>1581</v>
      </c>
      <c r="BW75" s="281">
        <v>5</v>
      </c>
      <c r="BX75" s="281">
        <v>2</v>
      </c>
      <c r="BY75" s="281" t="s">
        <v>41</v>
      </c>
      <c r="BZ75" s="281">
        <v>99</v>
      </c>
      <c r="CA75" s="281">
        <v>196</v>
      </c>
      <c r="CB75" s="552">
        <v>31</v>
      </c>
      <c r="CC75" s="281">
        <v>21</v>
      </c>
      <c r="CD75" s="281">
        <v>12</v>
      </c>
      <c r="CE75" s="281">
        <v>2</v>
      </c>
      <c r="CF75" s="281">
        <v>1</v>
      </c>
      <c r="CG75" s="281">
        <v>10</v>
      </c>
      <c r="CH75" s="281">
        <v>6</v>
      </c>
      <c r="CI75" s="281">
        <v>801</v>
      </c>
      <c r="CJ75" s="281">
        <v>130</v>
      </c>
      <c r="CK75" s="156">
        <v>12</v>
      </c>
      <c r="CL75" s="320">
        <v>7962</v>
      </c>
    </row>
    <row r="76" spans="1:90">
      <c r="A76" s="80">
        <f>ROWS($A$3:A74)</f>
        <v>72</v>
      </c>
      <c r="B76" s="92" t="s">
        <v>87</v>
      </c>
      <c r="C76" s="203"/>
      <c r="D76" s="259" t="s">
        <v>13</v>
      </c>
      <c r="E76" s="451"/>
      <c r="F76" s="154">
        <v>3759</v>
      </c>
      <c r="G76" s="155">
        <v>1200</v>
      </c>
      <c r="H76" s="155">
        <v>4664</v>
      </c>
      <c r="I76" s="156">
        <v>4651</v>
      </c>
      <c r="J76" s="281"/>
      <c r="K76" s="154">
        <f t="shared" si="137"/>
        <v>975</v>
      </c>
      <c r="L76" s="155">
        <f t="shared" si="138"/>
        <v>384</v>
      </c>
      <c r="M76" s="155">
        <f t="shared" si="139"/>
        <v>173</v>
      </c>
      <c r="N76" s="155">
        <f t="shared" si="140"/>
        <v>445</v>
      </c>
      <c r="O76" s="155">
        <f t="shared" si="141"/>
        <v>199</v>
      </c>
      <c r="P76" s="155">
        <f t="shared" si="142"/>
        <v>134</v>
      </c>
      <c r="Q76" s="155">
        <f>'2010'!AU76</f>
        <v>122</v>
      </c>
      <c r="R76" s="155">
        <f t="shared" si="143"/>
        <v>118</v>
      </c>
      <c r="S76" s="155">
        <f t="shared" si="144"/>
        <v>201</v>
      </c>
      <c r="T76" s="155">
        <f t="shared" si="145"/>
        <v>219</v>
      </c>
      <c r="U76" s="552">
        <f t="shared" si="145"/>
        <v>800</v>
      </c>
      <c r="V76" s="155">
        <f t="shared" si="146"/>
        <v>105</v>
      </c>
      <c r="W76" s="155">
        <f t="shared" si="147"/>
        <v>230</v>
      </c>
      <c r="X76" s="155">
        <f t="shared" si="148"/>
        <v>132</v>
      </c>
      <c r="Y76" s="155">
        <f t="shared" si="149"/>
        <v>163</v>
      </c>
      <c r="Z76" s="155">
        <f t="shared" si="150"/>
        <v>217</v>
      </c>
      <c r="AA76" s="155">
        <f t="shared" si="151"/>
        <v>122</v>
      </c>
      <c r="AB76" s="552">
        <f t="shared" si="152"/>
        <v>231</v>
      </c>
      <c r="AC76" s="155">
        <f t="shared" si="153"/>
        <v>594</v>
      </c>
      <c r="AD76" s="155">
        <f t="shared" si="154"/>
        <v>466</v>
      </c>
      <c r="AE76" s="155">
        <f t="shared" si="155"/>
        <v>822</v>
      </c>
      <c r="AF76" s="155">
        <f t="shared" si="156"/>
        <v>490</v>
      </c>
      <c r="AG76" s="155">
        <f t="shared" si="157"/>
        <v>768</v>
      </c>
      <c r="AH76" s="155">
        <f t="shared" si="158"/>
        <v>284</v>
      </c>
      <c r="AI76" s="155">
        <f t="shared" si="159"/>
        <v>352</v>
      </c>
      <c r="AJ76" s="155">
        <f t="shared" si="160"/>
        <v>200</v>
      </c>
      <c r="AK76" s="552">
        <f t="shared" si="161"/>
        <v>688</v>
      </c>
      <c r="AL76" s="155">
        <f t="shared" si="162"/>
        <v>309</v>
      </c>
      <c r="AM76" s="155">
        <f t="shared" si="163"/>
        <v>867</v>
      </c>
      <c r="AN76" s="155">
        <f t="shared" si="164"/>
        <v>1721</v>
      </c>
      <c r="AO76" s="155">
        <f t="shared" si="165"/>
        <v>391</v>
      </c>
      <c r="AP76" s="155">
        <f t="shared" si="165"/>
        <v>85</v>
      </c>
      <c r="AQ76" s="155">
        <f t="shared" si="166"/>
        <v>427</v>
      </c>
      <c r="AR76" s="155">
        <f t="shared" si="167"/>
        <v>278</v>
      </c>
      <c r="AS76" s="156">
        <f t="shared" si="168"/>
        <v>573</v>
      </c>
      <c r="AT76" s="155">
        <v>10</v>
      </c>
      <c r="AU76" s="155">
        <v>111</v>
      </c>
      <c r="AV76" s="155">
        <v>201</v>
      </c>
      <c r="AW76" s="155">
        <v>445</v>
      </c>
      <c r="AX76" s="155">
        <v>108</v>
      </c>
      <c r="AY76" s="155">
        <v>384</v>
      </c>
      <c r="AZ76" s="155">
        <v>2</v>
      </c>
      <c r="BA76" s="155">
        <v>132</v>
      </c>
      <c r="BB76" s="155">
        <v>219</v>
      </c>
      <c r="BC76" s="155">
        <v>800</v>
      </c>
      <c r="BD76" s="155">
        <v>173</v>
      </c>
      <c r="BE76" s="155">
        <v>199</v>
      </c>
      <c r="BF76" s="552">
        <v>975</v>
      </c>
      <c r="BG76" s="155">
        <v>16</v>
      </c>
      <c r="BH76" s="155">
        <v>6</v>
      </c>
      <c r="BI76" s="155">
        <v>126</v>
      </c>
      <c r="BJ76" s="155">
        <v>89</v>
      </c>
      <c r="BK76" s="155">
        <v>6</v>
      </c>
      <c r="BL76" s="155">
        <v>6</v>
      </c>
      <c r="BM76" s="155">
        <v>217</v>
      </c>
      <c r="BN76" s="155">
        <v>151</v>
      </c>
      <c r="BO76" s="155">
        <v>7</v>
      </c>
      <c r="BP76" s="155">
        <v>231</v>
      </c>
      <c r="BQ76" s="155">
        <v>115</v>
      </c>
      <c r="BR76" s="552">
        <v>230</v>
      </c>
      <c r="BS76" s="155">
        <v>18</v>
      </c>
      <c r="BT76" s="155">
        <v>804</v>
      </c>
      <c r="BU76" s="155">
        <v>466</v>
      </c>
      <c r="BV76" s="155">
        <v>768</v>
      </c>
      <c r="BW76" s="155">
        <v>352</v>
      </c>
      <c r="BX76" s="155">
        <v>594</v>
      </c>
      <c r="BY76" s="155">
        <v>200</v>
      </c>
      <c r="BZ76" s="155">
        <v>284</v>
      </c>
      <c r="CA76" s="155">
        <v>490</v>
      </c>
      <c r="CB76" s="552">
        <v>688</v>
      </c>
      <c r="CC76" s="155">
        <v>391</v>
      </c>
      <c r="CD76" s="155">
        <v>85</v>
      </c>
      <c r="CE76" s="155">
        <v>309</v>
      </c>
      <c r="CF76" s="155">
        <v>19</v>
      </c>
      <c r="CG76" s="155">
        <v>554</v>
      </c>
      <c r="CH76" s="155">
        <v>867</v>
      </c>
      <c r="CI76" s="155">
        <v>278</v>
      </c>
      <c r="CJ76" s="155">
        <v>1721</v>
      </c>
      <c r="CK76" s="156">
        <v>427</v>
      </c>
      <c r="CL76" s="320">
        <v>14274</v>
      </c>
    </row>
    <row r="77" spans="1:90">
      <c r="A77" s="80">
        <f>ROWS($A$3:A75)</f>
        <v>73</v>
      </c>
      <c r="B77" s="92" t="s">
        <v>88</v>
      </c>
      <c r="C77" s="203"/>
      <c r="D77" s="259" t="s">
        <v>13</v>
      </c>
      <c r="E77" s="451"/>
      <c r="F77" s="154">
        <v>839</v>
      </c>
      <c r="G77" s="281">
        <v>61</v>
      </c>
      <c r="H77" s="281">
        <v>94</v>
      </c>
      <c r="I77" s="156">
        <v>471</v>
      </c>
      <c r="J77" s="281"/>
      <c r="K77" s="154">
        <f t="shared" si="137"/>
        <v>103</v>
      </c>
      <c r="L77" s="155">
        <f t="shared" si="138"/>
        <v>14</v>
      </c>
      <c r="M77" s="155">
        <f t="shared" si="139"/>
        <v>88</v>
      </c>
      <c r="N77" s="155">
        <f t="shared" si="140"/>
        <v>20</v>
      </c>
      <c r="O77" s="155">
        <f t="shared" si="141"/>
        <v>34</v>
      </c>
      <c r="P77" s="155">
        <f t="shared" si="142"/>
        <v>20</v>
      </c>
      <c r="Q77" s="155">
        <f>'2010'!AU77</f>
        <v>14</v>
      </c>
      <c r="R77" s="155">
        <f t="shared" si="143"/>
        <v>26</v>
      </c>
      <c r="S77" s="155">
        <f t="shared" si="144"/>
        <v>7</v>
      </c>
      <c r="T77" s="155">
        <f t="shared" si="145"/>
        <v>114</v>
      </c>
      <c r="U77" s="552">
        <f t="shared" si="145"/>
        <v>399</v>
      </c>
      <c r="V77" s="155">
        <f t="shared" si="146"/>
        <v>5</v>
      </c>
      <c r="W77" s="155">
        <f t="shared" si="147"/>
        <v>8</v>
      </c>
      <c r="X77" s="155">
        <f t="shared" si="148"/>
        <v>2</v>
      </c>
      <c r="Y77" s="155">
        <f t="shared" si="149"/>
        <v>18</v>
      </c>
      <c r="Z77" s="155">
        <f t="shared" si="150"/>
        <v>22</v>
      </c>
      <c r="AA77" s="155">
        <f t="shared" si="151"/>
        <v>4</v>
      </c>
      <c r="AB77" s="552">
        <f t="shared" si="152"/>
        <v>2</v>
      </c>
      <c r="AC77" s="155">
        <f t="shared" si="153"/>
        <v>11</v>
      </c>
      <c r="AD77" s="155">
        <f t="shared" si="154"/>
        <v>7</v>
      </c>
      <c r="AE77" s="155">
        <f t="shared" si="155"/>
        <v>6</v>
      </c>
      <c r="AF77" s="155">
        <f t="shared" si="156"/>
        <v>3</v>
      </c>
      <c r="AG77" s="155">
        <f t="shared" si="157"/>
        <v>22</v>
      </c>
      <c r="AH77" s="155">
        <f t="shared" si="158"/>
        <v>10</v>
      </c>
      <c r="AI77" s="155">
        <f t="shared" si="159"/>
        <v>17</v>
      </c>
      <c r="AJ77" s="155">
        <f t="shared" si="160"/>
        <v>6</v>
      </c>
      <c r="AK77" s="552">
        <f t="shared" si="161"/>
        <v>12</v>
      </c>
      <c r="AL77" s="155">
        <f t="shared" si="162"/>
        <v>5</v>
      </c>
      <c r="AM77" s="155">
        <f t="shared" si="163"/>
        <v>113</v>
      </c>
      <c r="AN77" s="155">
        <f t="shared" si="164"/>
        <v>43</v>
      </c>
      <c r="AO77" s="155">
        <f t="shared" si="165"/>
        <v>16</v>
      </c>
      <c r="AP77" s="155">
        <f t="shared" si="165"/>
        <v>10</v>
      </c>
      <c r="AQ77" s="155">
        <f t="shared" si="166"/>
        <v>66</v>
      </c>
      <c r="AR77" s="155">
        <f t="shared" si="167"/>
        <v>12</v>
      </c>
      <c r="AS77" s="156">
        <f t="shared" si="168"/>
        <v>206</v>
      </c>
      <c r="AT77" s="155" t="s">
        <v>41</v>
      </c>
      <c r="AU77" s="281">
        <v>14</v>
      </c>
      <c r="AV77" s="281">
        <v>7</v>
      </c>
      <c r="AW77" s="281">
        <v>20</v>
      </c>
      <c r="AX77" s="281">
        <v>26</v>
      </c>
      <c r="AY77" s="281">
        <v>14</v>
      </c>
      <c r="AZ77" s="281">
        <v>1</v>
      </c>
      <c r="BA77" s="281">
        <v>19</v>
      </c>
      <c r="BB77" s="281">
        <v>114</v>
      </c>
      <c r="BC77" s="281">
        <v>399</v>
      </c>
      <c r="BD77" s="281">
        <v>88</v>
      </c>
      <c r="BE77" s="281">
        <v>34</v>
      </c>
      <c r="BF77" s="552">
        <v>103</v>
      </c>
      <c r="BG77" s="281" t="s">
        <v>41</v>
      </c>
      <c r="BH77" s="281" t="s">
        <v>41</v>
      </c>
      <c r="BI77" s="281">
        <v>2</v>
      </c>
      <c r="BJ77" s="281">
        <v>5</v>
      </c>
      <c r="BK77" s="281">
        <v>1</v>
      </c>
      <c r="BL77" s="281" t="s">
        <v>41</v>
      </c>
      <c r="BM77" s="281">
        <v>22</v>
      </c>
      <c r="BN77" s="281">
        <v>17</v>
      </c>
      <c r="BO77" s="281" t="s">
        <v>41</v>
      </c>
      <c r="BP77" s="281">
        <v>2</v>
      </c>
      <c r="BQ77" s="281">
        <v>4</v>
      </c>
      <c r="BR77" s="552">
        <v>8</v>
      </c>
      <c r="BS77" s="281">
        <v>1</v>
      </c>
      <c r="BT77" s="281">
        <v>5</v>
      </c>
      <c r="BU77" s="281">
        <v>7</v>
      </c>
      <c r="BV77" s="281">
        <v>22</v>
      </c>
      <c r="BW77" s="281">
        <v>17</v>
      </c>
      <c r="BX77" s="281">
        <v>11</v>
      </c>
      <c r="BY77" s="281">
        <v>6</v>
      </c>
      <c r="BZ77" s="281">
        <v>10</v>
      </c>
      <c r="CA77" s="281">
        <v>3</v>
      </c>
      <c r="CB77" s="552">
        <v>12</v>
      </c>
      <c r="CC77" s="281">
        <v>16</v>
      </c>
      <c r="CD77" s="281">
        <v>10</v>
      </c>
      <c r="CE77" s="281">
        <v>5</v>
      </c>
      <c r="CF77" s="281">
        <v>10</v>
      </c>
      <c r="CG77" s="281">
        <v>196</v>
      </c>
      <c r="CH77" s="281">
        <v>113</v>
      </c>
      <c r="CI77" s="281">
        <v>12</v>
      </c>
      <c r="CJ77" s="281">
        <v>43</v>
      </c>
      <c r="CK77" s="156">
        <v>66</v>
      </c>
      <c r="CL77" s="320">
        <v>1465</v>
      </c>
    </row>
    <row r="78" spans="1:90">
      <c r="A78" s="80">
        <f>ROWS($A$3:A76)</f>
        <v>74</v>
      </c>
      <c r="B78" s="92" t="s">
        <v>89</v>
      </c>
      <c r="C78" s="203"/>
      <c r="D78" s="259" t="s">
        <v>13</v>
      </c>
      <c r="E78" s="451"/>
      <c r="F78" s="154">
        <v>2113</v>
      </c>
      <c r="G78" s="155">
        <v>739</v>
      </c>
      <c r="H78" s="155">
        <v>1336</v>
      </c>
      <c r="I78" s="156">
        <v>1443</v>
      </c>
      <c r="J78" s="281"/>
      <c r="K78" s="154">
        <f t="shared" si="137"/>
        <v>207</v>
      </c>
      <c r="L78" s="155">
        <f t="shared" si="138"/>
        <v>144</v>
      </c>
      <c r="M78" s="155">
        <f t="shared" si="139"/>
        <v>243</v>
      </c>
      <c r="N78" s="155">
        <f t="shared" si="140"/>
        <v>85</v>
      </c>
      <c r="O78" s="155">
        <f t="shared" si="141"/>
        <v>118</v>
      </c>
      <c r="P78" s="155">
        <f t="shared" si="142"/>
        <v>280</v>
      </c>
      <c r="Q78" s="155">
        <f>'2010'!AU78</f>
        <v>161</v>
      </c>
      <c r="R78" s="155">
        <f t="shared" si="143"/>
        <v>258</v>
      </c>
      <c r="S78" s="155">
        <f t="shared" si="144"/>
        <v>148</v>
      </c>
      <c r="T78" s="155">
        <f t="shared" si="145"/>
        <v>224</v>
      </c>
      <c r="U78" s="552">
        <f t="shared" si="145"/>
        <v>266</v>
      </c>
      <c r="V78" s="155">
        <f t="shared" si="146"/>
        <v>61</v>
      </c>
      <c r="W78" s="155">
        <f t="shared" si="147"/>
        <v>63</v>
      </c>
      <c r="X78" s="155">
        <f t="shared" si="148"/>
        <v>108</v>
      </c>
      <c r="Y78" s="155">
        <f t="shared" si="149"/>
        <v>150</v>
      </c>
      <c r="Z78" s="155">
        <f t="shared" si="150"/>
        <v>166</v>
      </c>
      <c r="AA78" s="155">
        <f t="shared" si="151"/>
        <v>108</v>
      </c>
      <c r="AB78" s="552">
        <f t="shared" si="152"/>
        <v>83</v>
      </c>
      <c r="AC78" s="155">
        <f t="shared" si="153"/>
        <v>124</v>
      </c>
      <c r="AD78" s="155">
        <f t="shared" si="154"/>
        <v>116</v>
      </c>
      <c r="AE78" s="155">
        <f t="shared" si="155"/>
        <v>206</v>
      </c>
      <c r="AF78" s="155">
        <f t="shared" si="156"/>
        <v>121</v>
      </c>
      <c r="AG78" s="155">
        <f t="shared" si="157"/>
        <v>366</v>
      </c>
      <c r="AH78" s="155">
        <f t="shared" si="158"/>
        <v>122</v>
      </c>
      <c r="AI78" s="155">
        <f t="shared" si="159"/>
        <v>130</v>
      </c>
      <c r="AJ78" s="155">
        <f t="shared" si="160"/>
        <v>45</v>
      </c>
      <c r="AK78" s="552">
        <f t="shared" si="161"/>
        <v>106</v>
      </c>
      <c r="AL78" s="155">
        <f t="shared" si="162"/>
        <v>60</v>
      </c>
      <c r="AM78" s="155">
        <f t="shared" si="163"/>
        <v>230</v>
      </c>
      <c r="AN78" s="155">
        <f t="shared" si="164"/>
        <v>132</v>
      </c>
      <c r="AO78" s="155">
        <f t="shared" si="165"/>
        <v>170</v>
      </c>
      <c r="AP78" s="155">
        <f t="shared" si="165"/>
        <v>69</v>
      </c>
      <c r="AQ78" s="155">
        <f t="shared" si="166"/>
        <v>216</v>
      </c>
      <c r="AR78" s="155">
        <f t="shared" si="167"/>
        <v>207</v>
      </c>
      <c r="AS78" s="156">
        <f t="shared" si="168"/>
        <v>359</v>
      </c>
      <c r="AT78" s="155">
        <v>18</v>
      </c>
      <c r="AU78" s="155">
        <v>140</v>
      </c>
      <c r="AV78" s="155">
        <v>148</v>
      </c>
      <c r="AW78" s="155">
        <v>85</v>
      </c>
      <c r="AX78" s="155">
        <v>240</v>
      </c>
      <c r="AY78" s="155">
        <v>144</v>
      </c>
      <c r="AZ78" s="155">
        <v>11</v>
      </c>
      <c r="BA78" s="155">
        <v>269</v>
      </c>
      <c r="BB78" s="155">
        <v>224</v>
      </c>
      <c r="BC78" s="155">
        <v>266</v>
      </c>
      <c r="BD78" s="155">
        <v>243</v>
      </c>
      <c r="BE78" s="155">
        <v>118</v>
      </c>
      <c r="BF78" s="552">
        <v>207</v>
      </c>
      <c r="BG78" s="155">
        <v>3</v>
      </c>
      <c r="BH78" s="155">
        <v>12</v>
      </c>
      <c r="BI78" s="155">
        <v>96</v>
      </c>
      <c r="BJ78" s="155">
        <v>58</v>
      </c>
      <c r="BK78" s="155">
        <v>12</v>
      </c>
      <c r="BL78" s="155">
        <v>8</v>
      </c>
      <c r="BM78" s="155">
        <v>166</v>
      </c>
      <c r="BN78" s="155">
        <v>130</v>
      </c>
      <c r="BO78" s="155">
        <v>5</v>
      </c>
      <c r="BP78" s="155">
        <v>83</v>
      </c>
      <c r="BQ78" s="155">
        <v>103</v>
      </c>
      <c r="BR78" s="552">
        <v>63</v>
      </c>
      <c r="BS78" s="155">
        <v>18</v>
      </c>
      <c r="BT78" s="155">
        <v>188</v>
      </c>
      <c r="BU78" s="155">
        <v>116</v>
      </c>
      <c r="BV78" s="155">
        <v>366</v>
      </c>
      <c r="BW78" s="155">
        <v>130</v>
      </c>
      <c r="BX78" s="155">
        <v>124</v>
      </c>
      <c r="BY78" s="155">
        <v>45</v>
      </c>
      <c r="BZ78" s="155">
        <v>122</v>
      </c>
      <c r="CA78" s="155">
        <v>121</v>
      </c>
      <c r="CB78" s="552">
        <v>106</v>
      </c>
      <c r="CC78" s="155">
        <v>170</v>
      </c>
      <c r="CD78" s="155">
        <v>69</v>
      </c>
      <c r="CE78" s="155">
        <v>60</v>
      </c>
      <c r="CF78" s="155">
        <v>22</v>
      </c>
      <c r="CG78" s="155">
        <v>337</v>
      </c>
      <c r="CH78" s="155">
        <v>230</v>
      </c>
      <c r="CI78" s="155">
        <v>207</v>
      </c>
      <c r="CJ78" s="155">
        <v>132</v>
      </c>
      <c r="CK78" s="156">
        <v>216</v>
      </c>
      <c r="CL78" s="320">
        <v>5631</v>
      </c>
    </row>
    <row r="79" spans="1:90">
      <c r="A79" s="80">
        <f>ROWS($A$3:A77)</f>
        <v>75</v>
      </c>
      <c r="B79" s="59" t="s">
        <v>79</v>
      </c>
      <c r="C79" s="614"/>
      <c r="D79" s="259"/>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281"/>
      <c r="CD79" s="281"/>
      <c r="CE79" s="281"/>
      <c r="CF79" s="281"/>
      <c r="CG79" s="281"/>
      <c r="CH79" s="281"/>
      <c r="CI79" s="281"/>
      <c r="CJ79" s="281"/>
      <c r="CK79" s="156"/>
      <c r="CL79" s="320" t="s">
        <v>57</v>
      </c>
    </row>
    <row r="80" spans="1:90">
      <c r="A80" s="80">
        <f>ROWS($A$3:A78)</f>
        <v>76</v>
      </c>
      <c r="B80" s="694" t="s">
        <v>90</v>
      </c>
      <c r="C80" s="695">
        <v>2018</v>
      </c>
      <c r="D80" s="685" t="s">
        <v>13</v>
      </c>
      <c r="E80" s="447">
        <v>43556</v>
      </c>
      <c r="F80" s="154">
        <f>SUM(AT80:BF80)</f>
        <v>14616</v>
      </c>
      <c r="G80" s="155">
        <f>SUM(BG80:BR80)</f>
        <v>4913</v>
      </c>
      <c r="H80" s="155">
        <f>SUM(BS80:CB80)</f>
        <v>12621</v>
      </c>
      <c r="I80" s="156">
        <f>SUM(CC80:CK80)</f>
        <v>12267</v>
      </c>
      <c r="J80" s="281"/>
      <c r="K80" s="154">
        <f>BF80</f>
        <v>2183</v>
      </c>
      <c r="L80" s="155">
        <f>AY80</f>
        <v>1030</v>
      </c>
      <c r="M80" s="155">
        <f>BD80</f>
        <v>1726</v>
      </c>
      <c r="N80" s="155">
        <f>AW80</f>
        <v>789</v>
      </c>
      <c r="O80" s="155">
        <f>BE80</f>
        <v>626</v>
      </c>
      <c r="P80" s="155">
        <f>AZ80+BA80</f>
        <v>1891</v>
      </c>
      <c r="Q80" s="155">
        <f>AU80</f>
        <v>628</v>
      </c>
      <c r="R80" s="155">
        <f>AT80+AX80</f>
        <v>1358</v>
      </c>
      <c r="S80" s="155">
        <f>AV80</f>
        <v>597</v>
      </c>
      <c r="T80" s="155">
        <f t="shared" ref="T80:U83" si="169">BB80</f>
        <v>1397</v>
      </c>
      <c r="U80" s="552">
        <f t="shared" si="169"/>
        <v>2391</v>
      </c>
      <c r="V80" s="155">
        <f>BG80+BJ80</f>
        <v>556</v>
      </c>
      <c r="W80" s="155">
        <f>BR80</f>
        <v>633</v>
      </c>
      <c r="X80" s="155">
        <f>BH80+BI80</f>
        <v>786</v>
      </c>
      <c r="Y80" s="155">
        <f>BK80+BL80+BN80</f>
        <v>944</v>
      </c>
      <c r="Z80" s="155">
        <f>BM80</f>
        <v>995</v>
      </c>
      <c r="AA80" s="155">
        <f>BO80+BQ80</f>
        <v>468</v>
      </c>
      <c r="AB80" s="552">
        <f>BP80</f>
        <v>531</v>
      </c>
      <c r="AC80" s="155">
        <f>BX80</f>
        <v>1185</v>
      </c>
      <c r="AD80" s="155">
        <f>BU80</f>
        <v>1144</v>
      </c>
      <c r="AE80" s="155">
        <f>BS80+BT80</f>
        <v>2311</v>
      </c>
      <c r="AF80" s="155">
        <f>CA80</f>
        <v>1024</v>
      </c>
      <c r="AG80" s="155">
        <f>BV80</f>
        <v>3244</v>
      </c>
      <c r="AH80" s="155">
        <f>BZ80</f>
        <v>939</v>
      </c>
      <c r="AI80" s="155">
        <f>BW80</f>
        <v>936</v>
      </c>
      <c r="AJ80" s="155">
        <f>BY80</f>
        <v>489</v>
      </c>
      <c r="AK80" s="552">
        <f>CB80</f>
        <v>1349</v>
      </c>
      <c r="AL80" s="155">
        <f>CE80</f>
        <v>835</v>
      </c>
      <c r="AM80" s="155">
        <f>CH80</f>
        <v>1954</v>
      </c>
      <c r="AN80" s="155">
        <f>CJ80</f>
        <v>2878</v>
      </c>
      <c r="AO80" s="155">
        <f t="shared" ref="AO80:AP83" si="170">CC80</f>
        <v>1155</v>
      </c>
      <c r="AP80" s="155">
        <f t="shared" si="170"/>
        <v>429</v>
      </c>
      <c r="AQ80" s="155">
        <f>CK80</f>
        <v>1412</v>
      </c>
      <c r="AR80" s="155">
        <f>CI80</f>
        <v>1486</v>
      </c>
      <c r="AS80" s="156">
        <f>CF80+CG80</f>
        <v>2118</v>
      </c>
      <c r="AT80" s="281">
        <v>203</v>
      </c>
      <c r="AU80" s="281">
        <v>628</v>
      </c>
      <c r="AV80" s="281">
        <v>597</v>
      </c>
      <c r="AW80" s="281">
        <v>789</v>
      </c>
      <c r="AX80" s="281">
        <v>1155</v>
      </c>
      <c r="AY80" s="281">
        <v>1030</v>
      </c>
      <c r="AZ80" s="281">
        <v>256</v>
      </c>
      <c r="BA80" s="281">
        <v>1635</v>
      </c>
      <c r="BB80" s="281">
        <v>1397</v>
      </c>
      <c r="BC80" s="281">
        <v>2391</v>
      </c>
      <c r="BD80" s="281">
        <v>1726</v>
      </c>
      <c r="BE80" s="281">
        <v>626</v>
      </c>
      <c r="BF80" s="299">
        <v>2183</v>
      </c>
      <c r="BG80" s="281">
        <v>154</v>
      </c>
      <c r="BH80" s="281">
        <v>78</v>
      </c>
      <c r="BI80" s="281">
        <v>708</v>
      </c>
      <c r="BJ80" s="281">
        <v>402</v>
      </c>
      <c r="BK80" s="281">
        <v>130</v>
      </c>
      <c r="BL80" s="281">
        <v>68</v>
      </c>
      <c r="BM80" s="281">
        <v>995</v>
      </c>
      <c r="BN80" s="281">
        <v>746</v>
      </c>
      <c r="BO80" s="281">
        <v>42</v>
      </c>
      <c r="BP80" s="281">
        <v>531</v>
      </c>
      <c r="BQ80" s="281">
        <v>426</v>
      </c>
      <c r="BR80" s="299">
        <v>633</v>
      </c>
      <c r="BS80" s="281">
        <v>250</v>
      </c>
      <c r="BT80" s="281">
        <v>2061</v>
      </c>
      <c r="BU80" s="281">
        <v>1144</v>
      </c>
      <c r="BV80" s="281">
        <v>3244</v>
      </c>
      <c r="BW80" s="281">
        <v>936</v>
      </c>
      <c r="BX80" s="281">
        <v>1185</v>
      </c>
      <c r="BY80" s="281">
        <v>489</v>
      </c>
      <c r="BZ80" s="281">
        <v>939</v>
      </c>
      <c r="CA80" s="281">
        <v>1024</v>
      </c>
      <c r="CB80" s="299">
        <v>1349</v>
      </c>
      <c r="CC80" s="281">
        <v>1155</v>
      </c>
      <c r="CD80" s="281">
        <v>429</v>
      </c>
      <c r="CE80" s="281">
        <v>835</v>
      </c>
      <c r="CF80" s="155">
        <v>170</v>
      </c>
      <c r="CG80" s="281">
        <v>1948</v>
      </c>
      <c r="CH80" s="281">
        <v>1954</v>
      </c>
      <c r="CI80" s="281">
        <v>1486</v>
      </c>
      <c r="CJ80" s="281">
        <v>2878</v>
      </c>
      <c r="CK80" s="300">
        <v>1412</v>
      </c>
      <c r="CL80" s="553">
        <f>SUM(AT80:CK80)</f>
        <v>44417</v>
      </c>
    </row>
    <row r="81" spans="1:90">
      <c r="A81" s="80">
        <f>ROWS($A$3:A79)</f>
        <v>77</v>
      </c>
      <c r="B81" s="696" t="s">
        <v>365</v>
      </c>
      <c r="C81" s="695">
        <v>2018</v>
      </c>
      <c r="D81" s="697" t="s">
        <v>13</v>
      </c>
      <c r="E81" s="447">
        <v>43556</v>
      </c>
      <c r="F81" s="154">
        <f>SUM(AT81:BF81)</f>
        <v>1051934</v>
      </c>
      <c r="G81" s="155">
        <f>SUM(BG81:BR81)</f>
        <v>683020</v>
      </c>
      <c r="H81" s="155">
        <f>SUM(BS81:CB81)</f>
        <v>686923</v>
      </c>
      <c r="I81" s="156">
        <f>SUM(CC81:CK81)</f>
        <v>605541</v>
      </c>
      <c r="J81" s="281"/>
      <c r="K81" s="154">
        <f>BF81</f>
        <v>80307</v>
      </c>
      <c r="L81" s="155">
        <f>AY81</f>
        <v>126309</v>
      </c>
      <c r="M81" s="155">
        <f>BD81</f>
        <v>102788</v>
      </c>
      <c r="N81" s="155">
        <f>AW81</f>
        <v>54520</v>
      </c>
      <c r="O81" s="155">
        <f>BE81</f>
        <v>30671</v>
      </c>
      <c r="P81" s="155">
        <f>AZ81+BA81</f>
        <v>156058</v>
      </c>
      <c r="Q81" s="155">
        <f>AU81</f>
        <v>103910</v>
      </c>
      <c r="R81" s="155">
        <f>AT81+AX81</f>
        <v>149663</v>
      </c>
      <c r="S81" s="155">
        <f>AV81</f>
        <v>109933</v>
      </c>
      <c r="T81" s="155">
        <f t="shared" si="169"/>
        <v>52348</v>
      </c>
      <c r="U81" s="552">
        <f t="shared" si="169"/>
        <v>85427</v>
      </c>
      <c r="V81" s="155">
        <f>BG81+BJ81</f>
        <v>94413</v>
      </c>
      <c r="W81" s="155">
        <f>BR81</f>
        <v>51818</v>
      </c>
      <c r="X81" s="155">
        <f>BH81+BI81</f>
        <v>177344</v>
      </c>
      <c r="Y81" s="155">
        <f>BK81+BL81+BN81</f>
        <v>103639</v>
      </c>
      <c r="Z81" s="155">
        <f>BM81</f>
        <v>80827</v>
      </c>
      <c r="AA81" s="155">
        <f>BO81+BQ81</f>
        <v>115545</v>
      </c>
      <c r="AB81" s="552">
        <f>BP81</f>
        <v>59434</v>
      </c>
      <c r="AC81" s="155">
        <f>BX81</f>
        <v>38990</v>
      </c>
      <c r="AD81" s="155">
        <f>BU81</f>
        <v>57907</v>
      </c>
      <c r="AE81" s="155">
        <f>BS81+BT81</f>
        <v>106778</v>
      </c>
      <c r="AF81" s="155">
        <f>CA81</f>
        <v>74549</v>
      </c>
      <c r="AG81" s="155">
        <f>BV81</f>
        <v>143880</v>
      </c>
      <c r="AH81" s="155">
        <f>BZ81</f>
        <v>61673</v>
      </c>
      <c r="AI81" s="155">
        <f>BW81</f>
        <v>62398</v>
      </c>
      <c r="AJ81" s="155">
        <f>BY81</f>
        <v>75614</v>
      </c>
      <c r="AK81" s="552">
        <f>CB81</f>
        <v>65134</v>
      </c>
      <c r="AL81" s="155">
        <f>CE81</f>
        <v>105903</v>
      </c>
      <c r="AM81" s="155">
        <f>CH81</f>
        <v>75723</v>
      </c>
      <c r="AN81" s="155">
        <f>CJ81</f>
        <v>63231</v>
      </c>
      <c r="AO81" s="155">
        <f t="shared" si="170"/>
        <v>82105</v>
      </c>
      <c r="AP81" s="155">
        <f t="shared" si="170"/>
        <v>95467</v>
      </c>
      <c r="AQ81" s="155">
        <f>CK81</f>
        <v>71902</v>
      </c>
      <c r="AR81" s="155">
        <f>CI81</f>
        <v>34652</v>
      </c>
      <c r="AS81" s="156">
        <f>CF81+CG81</f>
        <v>76558</v>
      </c>
      <c r="AT81" s="155">
        <v>12790</v>
      </c>
      <c r="AU81" s="155">
        <v>103910</v>
      </c>
      <c r="AV81" s="155">
        <v>109933</v>
      </c>
      <c r="AW81" s="155">
        <v>54520</v>
      </c>
      <c r="AX81" s="155">
        <v>136873</v>
      </c>
      <c r="AY81" s="155">
        <v>126309</v>
      </c>
      <c r="AZ81" s="155">
        <v>15863</v>
      </c>
      <c r="BA81" s="155">
        <v>140195</v>
      </c>
      <c r="BB81" s="155">
        <v>52348</v>
      </c>
      <c r="BC81" s="155">
        <v>85427</v>
      </c>
      <c r="BD81" s="155">
        <v>102788</v>
      </c>
      <c r="BE81" s="155">
        <v>30671</v>
      </c>
      <c r="BF81" s="552">
        <v>80307</v>
      </c>
      <c r="BG81" s="155">
        <v>12179</v>
      </c>
      <c r="BH81" s="155">
        <v>10620</v>
      </c>
      <c r="BI81" s="155">
        <v>166724</v>
      </c>
      <c r="BJ81" s="155">
        <v>82234</v>
      </c>
      <c r="BK81" s="155">
        <v>3770</v>
      </c>
      <c r="BL81" s="155">
        <v>5418</v>
      </c>
      <c r="BM81" s="155">
        <v>80827</v>
      </c>
      <c r="BN81" s="155">
        <v>94451</v>
      </c>
      <c r="BO81" s="155">
        <v>4816</v>
      </c>
      <c r="BP81" s="155">
        <v>59434</v>
      </c>
      <c r="BQ81" s="155">
        <v>110729</v>
      </c>
      <c r="BR81" s="552">
        <v>51818</v>
      </c>
      <c r="BS81" s="155">
        <v>9346</v>
      </c>
      <c r="BT81" s="155">
        <v>97432</v>
      </c>
      <c r="BU81" s="155">
        <v>57907</v>
      </c>
      <c r="BV81" s="155">
        <v>143880</v>
      </c>
      <c r="BW81" s="155">
        <v>62398</v>
      </c>
      <c r="BX81" s="155">
        <v>38990</v>
      </c>
      <c r="BY81" s="155">
        <v>75614</v>
      </c>
      <c r="BZ81" s="155">
        <v>61673</v>
      </c>
      <c r="CA81" s="155">
        <v>74549</v>
      </c>
      <c r="CB81" s="552">
        <v>65134</v>
      </c>
      <c r="CC81" s="155">
        <v>82105</v>
      </c>
      <c r="CD81" s="155">
        <v>95467</v>
      </c>
      <c r="CE81" s="155">
        <v>105903</v>
      </c>
      <c r="CF81" s="155">
        <v>5866</v>
      </c>
      <c r="CG81" s="155">
        <v>70692</v>
      </c>
      <c r="CH81" s="155">
        <v>75723</v>
      </c>
      <c r="CI81" s="155">
        <v>34652</v>
      </c>
      <c r="CJ81" s="155">
        <v>63231</v>
      </c>
      <c r="CK81" s="156">
        <v>71902</v>
      </c>
      <c r="CL81" s="553">
        <f>SUM(AT81:CK81)</f>
        <v>3027418</v>
      </c>
    </row>
    <row r="82" spans="1:90">
      <c r="A82" s="80">
        <f>ROWS($A$3:A80)</f>
        <v>78</v>
      </c>
      <c r="B82" s="698" t="s">
        <v>367</v>
      </c>
      <c r="C82" s="695">
        <v>2018</v>
      </c>
      <c r="D82" s="697" t="s">
        <v>13</v>
      </c>
      <c r="E82" s="447">
        <v>43556</v>
      </c>
      <c r="F82" s="530">
        <f t="shared" ref="F82:AQ82" si="171">F81/F80</f>
        <v>71.971401204159818</v>
      </c>
      <c r="G82" s="531">
        <f t="shared" si="171"/>
        <v>139.02300020354161</v>
      </c>
      <c r="H82" s="531">
        <f t="shared" si="171"/>
        <v>54.426986768084937</v>
      </c>
      <c r="I82" s="532">
        <f t="shared" si="171"/>
        <v>49.363414037662018</v>
      </c>
      <c r="J82" s="281"/>
      <c r="K82" s="530">
        <f t="shared" si="171"/>
        <v>36.78744846541457</v>
      </c>
      <c r="L82" s="531">
        <f t="shared" si="171"/>
        <v>122.63009708737864</v>
      </c>
      <c r="M82" s="531">
        <f t="shared" si="171"/>
        <v>59.552723059096174</v>
      </c>
      <c r="N82" s="531">
        <f t="shared" si="171"/>
        <v>69.100126742712291</v>
      </c>
      <c r="O82" s="531">
        <f t="shared" si="171"/>
        <v>48.995207667731627</v>
      </c>
      <c r="P82" s="531">
        <f>P81/P80</f>
        <v>82.526705446853512</v>
      </c>
      <c r="Q82" s="531">
        <f t="shared" si="171"/>
        <v>165.46178343949043</v>
      </c>
      <c r="R82" s="531">
        <f t="shared" si="171"/>
        <v>110.20839469808541</v>
      </c>
      <c r="S82" s="531">
        <f t="shared" si="171"/>
        <v>184.14237855946399</v>
      </c>
      <c r="T82" s="531">
        <f t="shared" si="171"/>
        <v>37.471725125268435</v>
      </c>
      <c r="U82" s="555">
        <f t="shared" si="171"/>
        <v>35.728565453785031</v>
      </c>
      <c r="V82" s="531">
        <f t="shared" si="171"/>
        <v>169.80755395683454</v>
      </c>
      <c r="W82" s="531">
        <f t="shared" si="171"/>
        <v>81.860979462875193</v>
      </c>
      <c r="X82" s="531">
        <f t="shared" si="171"/>
        <v>225.62849872773538</v>
      </c>
      <c r="Y82" s="531">
        <f t="shared" si="171"/>
        <v>109.78707627118644</v>
      </c>
      <c r="Z82" s="531">
        <f t="shared" si="171"/>
        <v>81.233165829145733</v>
      </c>
      <c r="AA82" s="531">
        <f t="shared" si="171"/>
        <v>246.89102564102564</v>
      </c>
      <c r="AB82" s="555">
        <f t="shared" si="171"/>
        <v>111.92843691148776</v>
      </c>
      <c r="AC82" s="531">
        <f t="shared" si="171"/>
        <v>32.902953586497887</v>
      </c>
      <c r="AD82" s="531">
        <f t="shared" si="171"/>
        <v>50.618006993006993</v>
      </c>
      <c r="AE82" s="531">
        <f t="shared" si="171"/>
        <v>46.204240588489832</v>
      </c>
      <c r="AF82" s="531">
        <f t="shared" si="171"/>
        <v>72.8017578125</v>
      </c>
      <c r="AG82" s="531">
        <f t="shared" si="171"/>
        <v>44.352651048088781</v>
      </c>
      <c r="AH82" s="531">
        <f t="shared" si="171"/>
        <v>65.679446219382328</v>
      </c>
      <c r="AI82" s="531">
        <f t="shared" si="171"/>
        <v>66.664529914529908</v>
      </c>
      <c r="AJ82" s="531">
        <f t="shared" si="171"/>
        <v>154.62985685071575</v>
      </c>
      <c r="AK82" s="555">
        <f t="shared" si="171"/>
        <v>48.283172720533727</v>
      </c>
      <c r="AL82" s="531">
        <f t="shared" si="171"/>
        <v>126.82994011976048</v>
      </c>
      <c r="AM82" s="531">
        <f t="shared" si="171"/>
        <v>38.752814738996932</v>
      </c>
      <c r="AN82" s="531">
        <f t="shared" si="171"/>
        <v>21.970465601111883</v>
      </c>
      <c r="AO82" s="531">
        <f t="shared" si="171"/>
        <v>71.086580086580085</v>
      </c>
      <c r="AP82" s="531">
        <f t="shared" si="171"/>
        <v>222.53379953379954</v>
      </c>
      <c r="AQ82" s="531">
        <f t="shared" si="171"/>
        <v>50.922096317280456</v>
      </c>
      <c r="AR82" s="531">
        <f>AR81/AR80</f>
        <v>23.318977119784655</v>
      </c>
      <c r="AS82" s="532">
        <f>AS81/AS80</f>
        <v>36.14636449480642</v>
      </c>
      <c r="AT82" s="531">
        <f>IF(OR(AT80&lt;0.1,AT81&lt;0.1),0,AT81/AT80)</f>
        <v>63.004926108374384</v>
      </c>
      <c r="AU82" s="531">
        <f>IF(OR(AU80&lt;0.1,AU81&lt;0.1),0,AU81/AU80)</f>
        <v>165.46178343949043</v>
      </c>
      <c r="AV82" s="531">
        <f t="shared" ref="AV82:CK82" si="172">IF(OR(AV80&lt;0.1,AV81&lt;0.1),0,AV81/AV80)</f>
        <v>184.14237855946399</v>
      </c>
      <c r="AW82" s="531">
        <f t="shared" si="172"/>
        <v>69.100126742712291</v>
      </c>
      <c r="AX82" s="531">
        <f>IF(OR(AX80&lt;0.1,AX81&lt;0.1),0,AX81/AX80)</f>
        <v>118.50476190476191</v>
      </c>
      <c r="AY82" s="531">
        <f t="shared" si="172"/>
        <v>122.63009708737864</v>
      </c>
      <c r="AZ82" s="531">
        <f t="shared" si="172"/>
        <v>61.96484375</v>
      </c>
      <c r="BA82" s="531">
        <f t="shared" si="172"/>
        <v>85.74617737003058</v>
      </c>
      <c r="BB82" s="531">
        <f t="shared" si="172"/>
        <v>37.471725125268435</v>
      </c>
      <c r="BC82" s="531">
        <f t="shared" si="172"/>
        <v>35.728565453785031</v>
      </c>
      <c r="BD82" s="531">
        <f t="shared" si="172"/>
        <v>59.552723059096174</v>
      </c>
      <c r="BE82" s="531">
        <f t="shared" si="172"/>
        <v>48.995207667731627</v>
      </c>
      <c r="BF82" s="555">
        <f t="shared" si="172"/>
        <v>36.78744846541457</v>
      </c>
      <c r="BG82" s="531">
        <f t="shared" si="172"/>
        <v>79.084415584415581</v>
      </c>
      <c r="BH82" s="531">
        <f>IF(OR(BH80&lt;0.1,BH81&lt;0.1),0,BH81/BH80)</f>
        <v>136.15384615384616</v>
      </c>
      <c r="BI82" s="531">
        <f>IF(OR(BI80&lt;0.1,BI81&lt;0.1),0,BI81/BI80)</f>
        <v>235.4858757062147</v>
      </c>
      <c r="BJ82" s="531">
        <f>IF(OR(BJ80&lt;0.1,BJ81&lt;0.1),0,BJ81/BJ80)</f>
        <v>204.56218905472636</v>
      </c>
      <c r="BK82" s="531">
        <f t="shared" si="172"/>
        <v>29</v>
      </c>
      <c r="BL82" s="531">
        <f t="shared" si="172"/>
        <v>79.67647058823529</v>
      </c>
      <c r="BM82" s="531">
        <f>IF(OR(BM80&lt;0.1,BM81&lt;0.1),0,BM81/BM80)</f>
        <v>81.233165829145733</v>
      </c>
      <c r="BN82" s="531">
        <f t="shared" si="172"/>
        <v>126.60991957104558</v>
      </c>
      <c r="BO82" s="531">
        <f t="shared" si="172"/>
        <v>114.66666666666667</v>
      </c>
      <c r="BP82" s="531">
        <f t="shared" si="172"/>
        <v>111.92843691148776</v>
      </c>
      <c r="BQ82" s="531">
        <f>IF(OR(BQ80&lt;0.1,BQ81&lt;0.1),0,BQ81/BQ80)</f>
        <v>259.92723004694835</v>
      </c>
      <c r="BR82" s="555">
        <f t="shared" si="172"/>
        <v>81.860979462875193</v>
      </c>
      <c r="BS82" s="531">
        <f t="shared" si="172"/>
        <v>37.384</v>
      </c>
      <c r="BT82" s="531">
        <f t="shared" si="172"/>
        <v>47.274138767588546</v>
      </c>
      <c r="BU82" s="531">
        <f t="shared" si="172"/>
        <v>50.618006993006993</v>
      </c>
      <c r="BV82" s="531">
        <f t="shared" si="172"/>
        <v>44.352651048088781</v>
      </c>
      <c r="BW82" s="531">
        <f t="shared" si="172"/>
        <v>66.664529914529908</v>
      </c>
      <c r="BX82" s="531">
        <f t="shared" si="172"/>
        <v>32.902953586497887</v>
      </c>
      <c r="BY82" s="531">
        <f t="shared" si="172"/>
        <v>154.62985685071575</v>
      </c>
      <c r="BZ82" s="531">
        <f t="shared" si="172"/>
        <v>65.679446219382328</v>
      </c>
      <c r="CA82" s="531">
        <f t="shared" si="172"/>
        <v>72.8017578125</v>
      </c>
      <c r="CB82" s="555">
        <f t="shared" si="172"/>
        <v>48.283172720533727</v>
      </c>
      <c r="CC82" s="531">
        <f t="shared" si="172"/>
        <v>71.086580086580085</v>
      </c>
      <c r="CD82" s="531">
        <f t="shared" si="172"/>
        <v>222.53379953379954</v>
      </c>
      <c r="CE82" s="531">
        <f t="shared" si="172"/>
        <v>126.82994011976048</v>
      </c>
      <c r="CF82" s="531">
        <f t="shared" si="172"/>
        <v>34.505882352941178</v>
      </c>
      <c r="CG82" s="531">
        <f t="shared" si="172"/>
        <v>36.289527720739223</v>
      </c>
      <c r="CH82" s="531">
        <f t="shared" si="172"/>
        <v>38.752814738996932</v>
      </c>
      <c r="CI82" s="531">
        <f t="shared" si="172"/>
        <v>23.318977119784655</v>
      </c>
      <c r="CJ82" s="531">
        <f t="shared" si="172"/>
        <v>21.970465601111883</v>
      </c>
      <c r="CK82" s="532">
        <f t="shared" si="172"/>
        <v>50.922096317280456</v>
      </c>
      <c r="CL82" s="556">
        <f>IF(OR(CL80&lt;0.1,CL81&lt;0.1),0,CL81/CL80)</f>
        <v>68.158993178287588</v>
      </c>
    </row>
    <row r="83" spans="1:90">
      <c r="A83" s="80">
        <f>ROWS($A$3:A81)</f>
        <v>79</v>
      </c>
      <c r="B83" s="696" t="s">
        <v>366</v>
      </c>
      <c r="C83" s="695">
        <v>2018</v>
      </c>
      <c r="D83" s="697" t="s">
        <v>13</v>
      </c>
      <c r="E83" s="447">
        <v>43556</v>
      </c>
      <c r="F83" s="154">
        <f>SUM(AT83:BF83)</f>
        <v>1246522</v>
      </c>
      <c r="G83" s="155">
        <f>SUM(BG83:BR83)</f>
        <v>786542</v>
      </c>
      <c r="H83" s="155">
        <f>SUM(BS83:CB83)</f>
        <v>878103</v>
      </c>
      <c r="I83" s="156">
        <f>SUM(CC83:CK83)</f>
        <v>762807</v>
      </c>
      <c r="J83" s="598"/>
      <c r="K83" s="154">
        <f>BF83</f>
        <v>105580</v>
      </c>
      <c r="L83" s="155">
        <f>AY83</f>
        <v>142592</v>
      </c>
      <c r="M83" s="155">
        <f>BD83</f>
        <v>124012</v>
      </c>
      <c r="N83" s="155">
        <f>AW83</f>
        <v>67441</v>
      </c>
      <c r="O83" s="155">
        <f>BE83</f>
        <v>37778</v>
      </c>
      <c r="P83" s="155">
        <f>AZ83+BA83</f>
        <v>179730</v>
      </c>
      <c r="Q83" s="155">
        <f>AU83</f>
        <v>117126</v>
      </c>
      <c r="R83" s="155">
        <f>AT83+AX83</f>
        <v>166816</v>
      </c>
      <c r="S83" s="155">
        <f>AV83</f>
        <v>122963</v>
      </c>
      <c r="T83" s="155">
        <f t="shared" si="169"/>
        <v>66539</v>
      </c>
      <c r="U83" s="552">
        <f t="shared" si="169"/>
        <v>115945</v>
      </c>
      <c r="V83" s="155">
        <f>BG83+BJ83</f>
        <v>104973</v>
      </c>
      <c r="W83" s="155">
        <f>BR83</f>
        <v>64331</v>
      </c>
      <c r="X83" s="155">
        <f>BH83+BI83</f>
        <v>197356</v>
      </c>
      <c r="Y83" s="155">
        <f>BK83+BL83+BN83</f>
        <v>119250</v>
      </c>
      <c r="Z83" s="155">
        <f>BM83</f>
        <v>100039</v>
      </c>
      <c r="AA83" s="155">
        <f>BO83+BQ83</f>
        <v>130726</v>
      </c>
      <c r="AB83" s="552">
        <f>BP83</f>
        <v>69867</v>
      </c>
      <c r="AC83" s="155">
        <f>BX83</f>
        <v>60885</v>
      </c>
      <c r="AD83" s="155">
        <f>BU83</f>
        <v>71777</v>
      </c>
      <c r="AE83" s="155">
        <f>BS83+BT83</f>
        <v>130095</v>
      </c>
      <c r="AF83" s="155">
        <f>CA83</f>
        <v>91098</v>
      </c>
      <c r="AG83" s="155">
        <f>BV83</f>
        <v>190526</v>
      </c>
      <c r="AH83" s="155">
        <f>BZ83</f>
        <v>80728</v>
      </c>
      <c r="AI83" s="155">
        <f>BW83</f>
        <v>78859</v>
      </c>
      <c r="AJ83" s="155">
        <f>BY83</f>
        <v>89622</v>
      </c>
      <c r="AK83" s="552">
        <f>CB83</f>
        <v>84513</v>
      </c>
      <c r="AL83" s="155">
        <f>CE83</f>
        <v>121058</v>
      </c>
      <c r="AM83" s="155">
        <f>CH83</f>
        <v>94969</v>
      </c>
      <c r="AN83" s="155">
        <f>CJ83</f>
        <v>99750</v>
      </c>
      <c r="AO83" s="155">
        <f t="shared" si="170"/>
        <v>98888</v>
      </c>
      <c r="AP83" s="155">
        <f t="shared" si="170"/>
        <v>105208</v>
      </c>
      <c r="AQ83" s="155">
        <f>CK83</f>
        <v>91357</v>
      </c>
      <c r="AR83" s="155">
        <f>CI83</f>
        <v>51862</v>
      </c>
      <c r="AS83" s="156">
        <f>CF83+CG83</f>
        <v>99715</v>
      </c>
      <c r="AT83" s="155">
        <v>13916</v>
      </c>
      <c r="AU83" s="155">
        <v>117126</v>
      </c>
      <c r="AV83" s="155">
        <v>122963</v>
      </c>
      <c r="AW83" s="155">
        <v>67441</v>
      </c>
      <c r="AX83" s="155">
        <v>152900</v>
      </c>
      <c r="AY83" s="155">
        <v>142592</v>
      </c>
      <c r="AZ83" s="155">
        <v>21342</v>
      </c>
      <c r="BA83" s="155">
        <v>158388</v>
      </c>
      <c r="BB83" s="155">
        <v>66539</v>
      </c>
      <c r="BC83" s="155">
        <v>115945</v>
      </c>
      <c r="BD83" s="155">
        <v>124012</v>
      </c>
      <c r="BE83" s="155">
        <v>37778</v>
      </c>
      <c r="BF83" s="552">
        <v>105580</v>
      </c>
      <c r="BG83" s="155">
        <v>13848</v>
      </c>
      <c r="BH83" s="155">
        <v>11950</v>
      </c>
      <c r="BI83" s="155">
        <v>185406</v>
      </c>
      <c r="BJ83" s="155">
        <v>91125</v>
      </c>
      <c r="BK83" s="155">
        <v>4663</v>
      </c>
      <c r="BL83" s="155">
        <v>6185</v>
      </c>
      <c r="BM83" s="155">
        <v>100039</v>
      </c>
      <c r="BN83" s="155">
        <v>108402</v>
      </c>
      <c r="BO83" s="155">
        <v>5270</v>
      </c>
      <c r="BP83" s="155">
        <v>69867</v>
      </c>
      <c r="BQ83" s="155">
        <v>125456</v>
      </c>
      <c r="BR83" s="552">
        <v>64331</v>
      </c>
      <c r="BS83" s="155">
        <v>10607</v>
      </c>
      <c r="BT83" s="155">
        <v>119488</v>
      </c>
      <c r="BU83" s="155">
        <v>71777</v>
      </c>
      <c r="BV83" s="155">
        <v>190526</v>
      </c>
      <c r="BW83" s="155">
        <v>78859</v>
      </c>
      <c r="BX83" s="155">
        <v>60885</v>
      </c>
      <c r="BY83" s="155">
        <v>89622</v>
      </c>
      <c r="BZ83" s="155">
        <v>80728</v>
      </c>
      <c r="CA83" s="155">
        <v>91098</v>
      </c>
      <c r="CB83" s="552">
        <v>84513</v>
      </c>
      <c r="CC83" s="155">
        <v>98888</v>
      </c>
      <c r="CD83" s="155">
        <v>105208</v>
      </c>
      <c r="CE83" s="155">
        <v>121058</v>
      </c>
      <c r="CF83" s="155">
        <v>7164</v>
      </c>
      <c r="CG83" s="155">
        <v>92551</v>
      </c>
      <c r="CH83" s="155">
        <v>94969</v>
      </c>
      <c r="CI83" s="155">
        <v>51862</v>
      </c>
      <c r="CJ83" s="155">
        <v>99750</v>
      </c>
      <c r="CK83" s="156">
        <v>91357</v>
      </c>
      <c r="CL83" s="320">
        <f>SUM(AT83:CK83)</f>
        <v>3673974</v>
      </c>
    </row>
    <row r="84" spans="1:90">
      <c r="A84" s="80">
        <f>ROWS($A$3:A82)</f>
        <v>80</v>
      </c>
      <c r="B84" s="698" t="s">
        <v>368</v>
      </c>
      <c r="C84" s="695">
        <v>2018</v>
      </c>
      <c r="D84" s="697" t="s">
        <v>13</v>
      </c>
      <c r="E84" s="447">
        <v>43556</v>
      </c>
      <c r="F84" s="530">
        <f>F83/F80</f>
        <v>85.284756431308153</v>
      </c>
      <c r="G84" s="531">
        <f>G83/G80</f>
        <v>160.09403623040913</v>
      </c>
      <c r="H84" s="531">
        <f>H83/H80</f>
        <v>69.574756358450202</v>
      </c>
      <c r="I84" s="532">
        <f>I83/I80</f>
        <v>62.183663487405234</v>
      </c>
      <c r="J84" s="598"/>
      <c r="K84" s="530">
        <f t="shared" ref="K84:BV84" si="173">K83/K80</f>
        <v>48.36463582226294</v>
      </c>
      <c r="L84" s="531">
        <f t="shared" si="173"/>
        <v>138.4388349514563</v>
      </c>
      <c r="M84" s="531">
        <f t="shared" si="173"/>
        <v>71.849362688296637</v>
      </c>
      <c r="N84" s="531">
        <f t="shared" si="173"/>
        <v>85.476552598225595</v>
      </c>
      <c r="O84" s="531">
        <f t="shared" si="173"/>
        <v>60.348242811501599</v>
      </c>
      <c r="P84" s="531">
        <f t="shared" si="173"/>
        <v>95.044949762030669</v>
      </c>
      <c r="Q84" s="531">
        <f t="shared" si="173"/>
        <v>186.5063694267516</v>
      </c>
      <c r="R84" s="531">
        <f t="shared" si="173"/>
        <v>122.83946980854198</v>
      </c>
      <c r="S84" s="531">
        <f t="shared" si="173"/>
        <v>205.96817420435511</v>
      </c>
      <c r="T84" s="531">
        <f t="shared" si="173"/>
        <v>47.629921259842519</v>
      </c>
      <c r="U84" s="555">
        <f t="shared" si="173"/>
        <v>48.492262651610204</v>
      </c>
      <c r="V84" s="531">
        <f t="shared" si="173"/>
        <v>188.8003597122302</v>
      </c>
      <c r="W84" s="531">
        <f t="shared" si="173"/>
        <v>101.62875197472354</v>
      </c>
      <c r="X84" s="531">
        <f t="shared" si="173"/>
        <v>251.08905852417303</v>
      </c>
      <c r="Y84" s="531">
        <f t="shared" si="173"/>
        <v>126.32415254237289</v>
      </c>
      <c r="Z84" s="531">
        <f t="shared" si="173"/>
        <v>100.54170854271356</v>
      </c>
      <c r="AA84" s="531">
        <f t="shared" si="173"/>
        <v>279.32905982905982</v>
      </c>
      <c r="AB84" s="555">
        <f t="shared" si="173"/>
        <v>131.57627118644066</v>
      </c>
      <c r="AC84" s="531">
        <f t="shared" si="173"/>
        <v>51.379746835443036</v>
      </c>
      <c r="AD84" s="531">
        <f t="shared" si="173"/>
        <v>62.742132867132867</v>
      </c>
      <c r="AE84" s="531">
        <f t="shared" si="173"/>
        <v>56.293812202509734</v>
      </c>
      <c r="AF84" s="531">
        <f t="shared" si="173"/>
        <v>88.962890625</v>
      </c>
      <c r="AG84" s="531">
        <f t="shared" si="173"/>
        <v>58.731812577065348</v>
      </c>
      <c r="AH84" s="531">
        <f t="shared" si="173"/>
        <v>85.97231096911608</v>
      </c>
      <c r="AI84" s="531">
        <f t="shared" si="173"/>
        <v>84.251068376068375</v>
      </c>
      <c r="AJ84" s="531">
        <f t="shared" si="173"/>
        <v>183.27607361963192</v>
      </c>
      <c r="AK84" s="555">
        <f t="shared" si="173"/>
        <v>62.648628613787992</v>
      </c>
      <c r="AL84" s="531">
        <f t="shared" si="173"/>
        <v>144.97964071856288</v>
      </c>
      <c r="AM84" s="531">
        <f t="shared" si="173"/>
        <v>48.602354145342886</v>
      </c>
      <c r="AN84" s="531">
        <f t="shared" si="173"/>
        <v>34.659485753995831</v>
      </c>
      <c r="AO84" s="531">
        <f t="shared" si="173"/>
        <v>85.617316017316014</v>
      </c>
      <c r="AP84" s="531">
        <f t="shared" si="173"/>
        <v>245.24009324009324</v>
      </c>
      <c r="AQ84" s="531">
        <f t="shared" si="173"/>
        <v>64.700424929178467</v>
      </c>
      <c r="AR84" s="531">
        <f t="shared" si="173"/>
        <v>34.90040376850606</v>
      </c>
      <c r="AS84" s="532">
        <f t="shared" si="173"/>
        <v>47.079792256846083</v>
      </c>
      <c r="AT84" s="531">
        <f t="shared" si="173"/>
        <v>68.551724137931032</v>
      </c>
      <c r="AU84" s="531">
        <f t="shared" si="173"/>
        <v>186.5063694267516</v>
      </c>
      <c r="AV84" s="531">
        <f t="shared" si="173"/>
        <v>205.96817420435511</v>
      </c>
      <c r="AW84" s="531">
        <f t="shared" si="173"/>
        <v>85.476552598225595</v>
      </c>
      <c r="AX84" s="531">
        <f t="shared" si="173"/>
        <v>132.38095238095238</v>
      </c>
      <c r="AY84" s="531">
        <f t="shared" si="173"/>
        <v>138.4388349514563</v>
      </c>
      <c r="AZ84" s="531">
        <f t="shared" si="173"/>
        <v>83.3671875</v>
      </c>
      <c r="BA84" s="531">
        <f t="shared" si="173"/>
        <v>96.873394495412839</v>
      </c>
      <c r="BB84" s="531">
        <f t="shared" si="173"/>
        <v>47.629921259842519</v>
      </c>
      <c r="BC84" s="531">
        <f t="shared" si="173"/>
        <v>48.492262651610204</v>
      </c>
      <c r="BD84" s="531">
        <f t="shared" si="173"/>
        <v>71.849362688296637</v>
      </c>
      <c r="BE84" s="531">
        <f t="shared" si="173"/>
        <v>60.348242811501599</v>
      </c>
      <c r="BF84" s="555">
        <f t="shared" si="173"/>
        <v>48.36463582226294</v>
      </c>
      <c r="BG84" s="531">
        <f t="shared" si="173"/>
        <v>89.922077922077918</v>
      </c>
      <c r="BH84" s="531">
        <f t="shared" si="173"/>
        <v>153.2051282051282</v>
      </c>
      <c r="BI84" s="531">
        <f t="shared" si="173"/>
        <v>261.87288135593218</v>
      </c>
      <c r="BJ84" s="531">
        <f t="shared" si="173"/>
        <v>226.67910447761193</v>
      </c>
      <c r="BK84" s="531">
        <f t="shared" si="173"/>
        <v>35.869230769230768</v>
      </c>
      <c r="BL84" s="531">
        <f t="shared" si="173"/>
        <v>90.955882352941174</v>
      </c>
      <c r="BM84" s="531">
        <f t="shared" si="173"/>
        <v>100.54170854271356</v>
      </c>
      <c r="BN84" s="531">
        <f t="shared" si="173"/>
        <v>145.31099195710456</v>
      </c>
      <c r="BO84" s="531">
        <f t="shared" si="173"/>
        <v>125.47619047619048</v>
      </c>
      <c r="BP84" s="531">
        <f t="shared" si="173"/>
        <v>131.57627118644066</v>
      </c>
      <c r="BQ84" s="531">
        <f t="shared" si="173"/>
        <v>294.49765258215962</v>
      </c>
      <c r="BR84" s="555">
        <f t="shared" si="173"/>
        <v>101.62875197472354</v>
      </c>
      <c r="BS84" s="531">
        <f t="shared" si="173"/>
        <v>42.427999999999997</v>
      </c>
      <c r="BT84" s="531">
        <f t="shared" si="173"/>
        <v>57.975739932071811</v>
      </c>
      <c r="BU84" s="531">
        <f t="shared" si="173"/>
        <v>62.742132867132867</v>
      </c>
      <c r="BV84" s="531">
        <f t="shared" si="173"/>
        <v>58.731812577065348</v>
      </c>
      <c r="BW84" s="531">
        <f t="shared" ref="BW84:CL84" si="174">BW83/BW80</f>
        <v>84.251068376068375</v>
      </c>
      <c r="BX84" s="531">
        <f t="shared" si="174"/>
        <v>51.379746835443036</v>
      </c>
      <c r="BY84" s="531">
        <f t="shared" si="174"/>
        <v>183.27607361963192</v>
      </c>
      <c r="BZ84" s="531">
        <f t="shared" si="174"/>
        <v>85.97231096911608</v>
      </c>
      <c r="CA84" s="531">
        <f t="shared" si="174"/>
        <v>88.962890625</v>
      </c>
      <c r="CB84" s="555">
        <f t="shared" si="174"/>
        <v>62.648628613787992</v>
      </c>
      <c r="CC84" s="531">
        <f t="shared" si="174"/>
        <v>85.617316017316014</v>
      </c>
      <c r="CD84" s="531">
        <f t="shared" si="174"/>
        <v>245.24009324009324</v>
      </c>
      <c r="CE84" s="531">
        <f t="shared" si="174"/>
        <v>144.97964071856288</v>
      </c>
      <c r="CF84" s="531">
        <f t="shared" si="174"/>
        <v>42.141176470588235</v>
      </c>
      <c r="CG84" s="531">
        <f t="shared" si="174"/>
        <v>47.510780287474333</v>
      </c>
      <c r="CH84" s="531">
        <f t="shared" si="174"/>
        <v>48.602354145342886</v>
      </c>
      <c r="CI84" s="531">
        <f t="shared" si="174"/>
        <v>34.90040376850606</v>
      </c>
      <c r="CJ84" s="531">
        <f t="shared" si="174"/>
        <v>34.659485753995831</v>
      </c>
      <c r="CK84" s="532">
        <f t="shared" si="174"/>
        <v>64.700424929178467</v>
      </c>
      <c r="CL84" s="556">
        <f t="shared" si="174"/>
        <v>82.715491816196504</v>
      </c>
    </row>
    <row r="85" spans="1:90">
      <c r="A85" s="80">
        <f>ROWS($A$3:A83)</f>
        <v>81</v>
      </c>
      <c r="B85" s="92"/>
      <c r="C85" s="203"/>
      <c r="D85" s="259"/>
      <c r="E85" s="451"/>
      <c r="F85" s="547"/>
      <c r="G85" s="548"/>
      <c r="H85" s="548"/>
      <c r="I85" s="549"/>
      <c r="J85" s="598"/>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2">
        <v>2017</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c r="A87" s="80">
        <f>ROWS($A$3:A85)</f>
        <v>83</v>
      </c>
      <c r="B87" s="54" t="s">
        <v>292</v>
      </c>
      <c r="C87" s="266"/>
      <c r="D87" s="259" t="s">
        <v>188</v>
      </c>
      <c r="E87" s="447">
        <v>43556</v>
      </c>
      <c r="F87" s="550">
        <v>29491</v>
      </c>
      <c r="G87" s="550">
        <v>20208</v>
      </c>
      <c r="H87" s="550">
        <v>17936</v>
      </c>
      <c r="I87" s="551">
        <v>32722</v>
      </c>
      <c r="J87" s="599"/>
      <c r="K87" s="154">
        <f>BF87</f>
        <v>33885</v>
      </c>
      <c r="L87" s="155">
        <f>AY87</f>
        <v>21762</v>
      </c>
      <c r="M87" s="155">
        <f>BD87</f>
        <v>16357</v>
      </c>
      <c r="N87" s="155">
        <f>AW87</f>
        <v>26407</v>
      </c>
      <c r="O87" s="155">
        <f>BE87</f>
        <v>30421</v>
      </c>
      <c r="P87" s="531">
        <f>BA87</f>
        <v>30971</v>
      </c>
      <c r="Q87" s="155">
        <f>'2008'!AU87</f>
        <v>31866</v>
      </c>
      <c r="R87" s="531">
        <f>AX87</f>
        <v>40139</v>
      </c>
      <c r="S87" s="155">
        <f>AV87</f>
        <v>33414</v>
      </c>
      <c r="T87" s="155">
        <f>BB87</f>
        <v>33682</v>
      </c>
      <c r="U87" s="552">
        <f>BC87</f>
        <v>30258</v>
      </c>
      <c r="V87" s="531">
        <f>BJ87</f>
        <v>18695</v>
      </c>
      <c r="W87" s="155">
        <f>BR87</f>
        <v>23396</v>
      </c>
      <c r="X87" s="531">
        <f>BI87</f>
        <v>25625</v>
      </c>
      <c r="Y87" s="531">
        <f>BN87</f>
        <v>23536</v>
      </c>
      <c r="Z87" s="155">
        <f>BM87</f>
        <v>13783</v>
      </c>
      <c r="AA87" s="531">
        <f>BQ87</f>
        <v>20123</v>
      </c>
      <c r="AB87" s="552">
        <f>BP87</f>
        <v>19010</v>
      </c>
      <c r="AC87" s="155">
        <f>BX87</f>
        <v>19161</v>
      </c>
      <c r="AD87" s="155">
        <f>BU87</f>
        <v>30212</v>
      </c>
      <c r="AE87" s="531">
        <f>BT87</f>
        <v>25869</v>
      </c>
      <c r="AF87" s="155">
        <f>CA87</f>
        <v>19334</v>
      </c>
      <c r="AG87" s="155">
        <f>BV87</f>
        <v>19526</v>
      </c>
      <c r="AH87" s="155">
        <f>BZ87</f>
        <v>18763</v>
      </c>
      <c r="AI87" s="155">
        <f>BW87</f>
        <v>13715</v>
      </c>
      <c r="AJ87" s="155">
        <f>BY87</f>
        <v>12754</v>
      </c>
      <c r="AK87" s="552">
        <f>CB87</f>
        <v>18237</v>
      </c>
      <c r="AL87" s="155">
        <f>CE87</f>
        <v>17936</v>
      </c>
      <c r="AM87" s="155">
        <f>CH87</f>
        <v>37638</v>
      </c>
      <c r="AN87" s="155">
        <f>CJ87</f>
        <v>34006</v>
      </c>
      <c r="AO87" s="155">
        <f>CC87</f>
        <v>18374</v>
      </c>
      <c r="AP87" s="155">
        <f>CD87</f>
        <v>20425</v>
      </c>
      <c r="AQ87" s="155">
        <f>CK87</f>
        <v>23594</v>
      </c>
      <c r="AR87" s="155">
        <f>CI87</f>
        <v>34322</v>
      </c>
      <c r="AS87" s="532">
        <f>(CG100*CG87)/(CG100)</f>
        <v>37864</v>
      </c>
      <c r="AT87" s="155" t="s">
        <v>233</v>
      </c>
      <c r="AU87" s="550">
        <v>42890</v>
      </c>
      <c r="AV87" s="550">
        <v>33414</v>
      </c>
      <c r="AW87" s="550">
        <v>26407</v>
      </c>
      <c r="AX87" s="550">
        <v>40139</v>
      </c>
      <c r="AY87" s="550">
        <v>21762</v>
      </c>
      <c r="AZ87" s="550" t="s">
        <v>233</v>
      </c>
      <c r="BA87" s="550">
        <v>30971</v>
      </c>
      <c r="BB87" s="550">
        <v>33682</v>
      </c>
      <c r="BC87" s="550">
        <v>30258</v>
      </c>
      <c r="BD87" s="550">
        <v>16357</v>
      </c>
      <c r="BE87" s="550">
        <v>30421</v>
      </c>
      <c r="BF87" s="572">
        <v>33885</v>
      </c>
      <c r="BG87" s="550" t="s">
        <v>233</v>
      </c>
      <c r="BH87" s="550" t="s">
        <v>233</v>
      </c>
      <c r="BI87" s="550">
        <v>25625</v>
      </c>
      <c r="BJ87" s="550">
        <v>18695</v>
      </c>
      <c r="BK87" s="550" t="s">
        <v>233</v>
      </c>
      <c r="BL87" s="550" t="s">
        <v>233</v>
      </c>
      <c r="BM87" s="550">
        <v>13783</v>
      </c>
      <c r="BN87" s="550">
        <v>23536</v>
      </c>
      <c r="BO87" s="550" t="s">
        <v>233</v>
      </c>
      <c r="BP87" s="550">
        <v>19010</v>
      </c>
      <c r="BQ87" s="550">
        <v>20123</v>
      </c>
      <c r="BR87" s="572">
        <v>23396</v>
      </c>
      <c r="BS87" s="550" t="s">
        <v>233</v>
      </c>
      <c r="BT87" s="550">
        <v>25869</v>
      </c>
      <c r="BU87" s="550">
        <v>30212</v>
      </c>
      <c r="BV87" s="550">
        <v>19526</v>
      </c>
      <c r="BW87" s="550">
        <v>13715</v>
      </c>
      <c r="BX87" s="550">
        <v>19161</v>
      </c>
      <c r="BY87" s="550">
        <v>12754</v>
      </c>
      <c r="BZ87" s="550">
        <v>18763</v>
      </c>
      <c r="CA87" s="550">
        <v>19334</v>
      </c>
      <c r="CB87" s="572">
        <v>18237</v>
      </c>
      <c r="CC87" s="550">
        <v>18374</v>
      </c>
      <c r="CD87" s="550">
        <v>20425</v>
      </c>
      <c r="CE87" s="550">
        <v>17936</v>
      </c>
      <c r="CF87" s="550" t="s">
        <v>233</v>
      </c>
      <c r="CG87" s="550">
        <v>37864</v>
      </c>
      <c r="CH87" s="550">
        <v>37638</v>
      </c>
      <c r="CI87" s="550">
        <v>34322</v>
      </c>
      <c r="CJ87" s="550">
        <v>34006</v>
      </c>
      <c r="CK87" s="550">
        <v>23594</v>
      </c>
      <c r="CL87" s="320">
        <v>26638</v>
      </c>
    </row>
    <row r="88" spans="1:90">
      <c r="A88" s="80">
        <f>ROWS($A$3:A86)</f>
        <v>84</v>
      </c>
      <c r="B88" s="59" t="s">
        <v>190</v>
      </c>
      <c r="C88" s="688">
        <v>2018</v>
      </c>
      <c r="D88" s="685"/>
      <c r="E88" s="451"/>
      <c r="F88" s="154"/>
      <c r="G88" s="155"/>
      <c r="H88" s="155"/>
      <c r="I88" s="156"/>
      <c r="J88" s="281"/>
      <c r="K88" s="154"/>
      <c r="L88" s="155"/>
      <c r="M88" s="155"/>
      <c r="N88" s="155"/>
      <c r="O88" s="155"/>
      <c r="P88" s="155"/>
      <c r="Q88" s="155"/>
      <c r="R88" s="155"/>
      <c r="S88" s="155"/>
      <c r="T88" s="155"/>
      <c r="U88" s="552"/>
      <c r="V88" s="155"/>
      <c r="W88" s="155"/>
      <c r="X88" s="155"/>
      <c r="Y88" s="155"/>
      <c r="Z88" s="155"/>
      <c r="AA88" s="155"/>
      <c r="AB88" s="552"/>
      <c r="AC88" s="155"/>
      <c r="AD88" s="155"/>
      <c r="AE88" s="155"/>
      <c r="AF88" s="155"/>
      <c r="AG88" s="155"/>
      <c r="AH88" s="155"/>
      <c r="AI88" s="155"/>
      <c r="AJ88" s="155"/>
      <c r="AK88" s="552"/>
      <c r="AL88" s="155"/>
      <c r="AM88" s="155"/>
      <c r="AN88" s="155"/>
      <c r="AO88" s="155"/>
      <c r="AP88" s="155"/>
      <c r="AQ88" s="155"/>
      <c r="AR88" s="155"/>
      <c r="AS88" s="156"/>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c r="A89" s="80">
        <f>ROWS($A$3:A87)</f>
        <v>85</v>
      </c>
      <c r="B89" s="388" t="s">
        <v>284</v>
      </c>
      <c r="C89" s="695"/>
      <c r="D89" s="685" t="s">
        <v>192</v>
      </c>
      <c r="E89" s="447">
        <v>43557</v>
      </c>
      <c r="F89" s="381">
        <v>73.099999999999994</v>
      </c>
      <c r="G89" s="382">
        <v>71.900000000000006</v>
      </c>
      <c r="H89" s="382">
        <v>78.5</v>
      </c>
      <c r="I89" s="383">
        <v>82.3</v>
      </c>
      <c r="J89" s="382"/>
      <c r="K89" s="381">
        <f>BF89</f>
        <v>79</v>
      </c>
      <c r="L89" s="384">
        <f>AY89</f>
        <v>69.599999999999994</v>
      </c>
      <c r="M89" s="384">
        <f>BD89</f>
        <v>66.400000000000006</v>
      </c>
      <c r="N89" s="384">
        <f>AW89</f>
        <v>79.8</v>
      </c>
      <c r="O89" s="384">
        <f>BE89</f>
        <v>76.5</v>
      </c>
      <c r="P89" s="384">
        <f>'2019'!BA89</f>
        <v>74.5</v>
      </c>
      <c r="Q89" s="384">
        <f>'2019'!AU89</f>
        <v>86</v>
      </c>
      <c r="R89" s="384">
        <f>AX89</f>
        <v>69.7</v>
      </c>
      <c r="S89" s="384">
        <f>AV89</f>
        <v>73.400000000000006</v>
      </c>
      <c r="T89" s="384">
        <f t="shared" ref="T89:U93" si="175">BB89</f>
        <v>68.7</v>
      </c>
      <c r="U89" s="385">
        <f t="shared" si="175"/>
        <v>74.400000000000006</v>
      </c>
      <c r="V89" s="384">
        <f>BJ89</f>
        <v>67</v>
      </c>
      <c r="W89" s="384">
        <f>BR89</f>
        <v>84.5</v>
      </c>
      <c r="X89" s="384">
        <f>BI89</f>
        <v>66.900000000000006</v>
      </c>
      <c r="Y89" s="384">
        <f>BN89</f>
        <v>76.099999999999994</v>
      </c>
      <c r="Z89" s="384">
        <f>BM89</f>
        <v>63.8</v>
      </c>
      <c r="AA89" s="384">
        <f>BQ89</f>
        <v>80.400000000000006</v>
      </c>
      <c r="AB89" s="385">
        <f>BP89</f>
        <v>83.1</v>
      </c>
      <c r="AC89" s="384">
        <f>BX89</f>
        <v>78.7</v>
      </c>
      <c r="AD89" s="384">
        <f>BU89</f>
        <v>86.3</v>
      </c>
      <c r="AE89" s="384">
        <f>BT89</f>
        <v>82.2</v>
      </c>
      <c r="AF89" s="384" t="str">
        <f>CA89</f>
        <v>*</v>
      </c>
      <c r="AG89" s="384">
        <f>BV89</f>
        <v>78.2</v>
      </c>
      <c r="AH89" s="384">
        <f>BZ89</f>
        <v>69</v>
      </c>
      <c r="AI89" s="384">
        <f>BW89</f>
        <v>83.9</v>
      </c>
      <c r="AJ89" s="384">
        <f>BY89</f>
        <v>71.900000000000006</v>
      </c>
      <c r="AK89" s="385">
        <f>CB89</f>
        <v>78.2</v>
      </c>
      <c r="AL89" s="384">
        <f>CE89</f>
        <v>73.099999999999994</v>
      </c>
      <c r="AM89" s="384">
        <f>CH89</f>
        <v>87.3</v>
      </c>
      <c r="AN89" s="384">
        <f>CJ89</f>
        <v>84.7</v>
      </c>
      <c r="AO89" s="384">
        <f t="shared" ref="AO89:AP93" si="176">CC89</f>
        <v>70.599999999999994</v>
      </c>
      <c r="AP89" s="384">
        <f t="shared" si="176"/>
        <v>85.7</v>
      </c>
      <c r="AQ89" s="384">
        <f>CK89</f>
        <v>85.9</v>
      </c>
      <c r="AR89" s="384">
        <f>CI89</f>
        <v>81.2</v>
      </c>
      <c r="AS89" s="383">
        <f>CG89</f>
        <v>81.3</v>
      </c>
      <c r="AT89" s="384">
        <v>78.900000000000006</v>
      </c>
      <c r="AU89" s="382">
        <v>86</v>
      </c>
      <c r="AV89" s="382">
        <v>73.400000000000006</v>
      </c>
      <c r="AW89" s="382">
        <v>79.8</v>
      </c>
      <c r="AX89" s="382">
        <v>69.7</v>
      </c>
      <c r="AY89" s="382">
        <v>69.599999999999994</v>
      </c>
      <c r="AZ89" s="384" t="s">
        <v>233</v>
      </c>
      <c r="BA89" s="382">
        <v>74.5</v>
      </c>
      <c r="BB89" s="382">
        <v>68.7</v>
      </c>
      <c r="BC89" s="382">
        <v>74.400000000000006</v>
      </c>
      <c r="BD89" s="382">
        <v>66.400000000000006</v>
      </c>
      <c r="BE89" s="382">
        <v>76.5</v>
      </c>
      <c r="BF89" s="385">
        <v>79</v>
      </c>
      <c r="BG89" s="384" t="s">
        <v>233</v>
      </c>
      <c r="BH89" s="384" t="s">
        <v>233</v>
      </c>
      <c r="BI89" s="382">
        <v>66.900000000000006</v>
      </c>
      <c r="BJ89" s="382">
        <v>67</v>
      </c>
      <c r="BK89" s="384" t="s">
        <v>233</v>
      </c>
      <c r="BL89" s="382" t="s">
        <v>233</v>
      </c>
      <c r="BM89" s="382">
        <v>63.8</v>
      </c>
      <c r="BN89" s="382">
        <v>76.099999999999994</v>
      </c>
      <c r="BO89" s="384" t="s">
        <v>233</v>
      </c>
      <c r="BP89" s="382">
        <v>83.1</v>
      </c>
      <c r="BQ89" s="382">
        <v>80.400000000000006</v>
      </c>
      <c r="BR89" s="385">
        <v>84.5</v>
      </c>
      <c r="BS89" s="384" t="s">
        <v>233</v>
      </c>
      <c r="BT89" s="382">
        <v>82.2</v>
      </c>
      <c r="BU89" s="382">
        <v>86.3</v>
      </c>
      <c r="BV89" s="382">
        <v>78.2</v>
      </c>
      <c r="BW89" s="382">
        <v>83.9</v>
      </c>
      <c r="BX89" s="382">
        <v>78.7</v>
      </c>
      <c r="BY89" s="382">
        <v>71.900000000000006</v>
      </c>
      <c r="BZ89" s="382">
        <v>69</v>
      </c>
      <c r="CA89" s="382" t="s">
        <v>233</v>
      </c>
      <c r="CB89" s="385">
        <v>78.2</v>
      </c>
      <c r="CC89" s="382">
        <v>70.599999999999994</v>
      </c>
      <c r="CD89" s="382">
        <v>85.7</v>
      </c>
      <c r="CE89" s="382">
        <v>73.099999999999994</v>
      </c>
      <c r="CF89" s="384" t="s">
        <v>233</v>
      </c>
      <c r="CG89" s="382">
        <v>81.3</v>
      </c>
      <c r="CH89" s="382">
        <v>87.3</v>
      </c>
      <c r="CI89" s="384">
        <v>81.2</v>
      </c>
      <c r="CJ89" s="382">
        <v>84.7</v>
      </c>
      <c r="CK89" s="383">
        <v>85.9</v>
      </c>
      <c r="CL89" s="319">
        <v>76</v>
      </c>
    </row>
    <row r="90" spans="1:90">
      <c r="A90" s="80">
        <f>ROWS($A$3:A88)</f>
        <v>86</v>
      </c>
      <c r="B90" s="92" t="s">
        <v>193</v>
      </c>
      <c r="C90" s="686"/>
      <c r="D90" s="685" t="s">
        <v>192</v>
      </c>
      <c r="E90" s="447">
        <v>43557</v>
      </c>
      <c r="F90" s="381">
        <v>366</v>
      </c>
      <c r="G90" s="382">
        <v>401.9</v>
      </c>
      <c r="H90" s="384" t="s">
        <v>233</v>
      </c>
      <c r="I90" s="383">
        <v>739</v>
      </c>
      <c r="J90" s="382"/>
      <c r="K90" s="381" t="str">
        <f>BF90</f>
        <v>*</v>
      </c>
      <c r="L90" s="384" t="str">
        <f>AY90</f>
        <v>*</v>
      </c>
      <c r="M90" s="384">
        <f>BD90</f>
        <v>583.4</v>
      </c>
      <c r="N90" s="384" t="str">
        <f>AW90</f>
        <v>*</v>
      </c>
      <c r="O90" s="384" t="str">
        <f>BE90</f>
        <v>*</v>
      </c>
      <c r="P90" s="384">
        <f>'2019'!BA90</f>
        <v>612.6</v>
      </c>
      <c r="Q90" s="384" t="str">
        <f>'2019'!AU90</f>
        <v>*</v>
      </c>
      <c r="R90" s="384">
        <f>AX90</f>
        <v>574.4</v>
      </c>
      <c r="S90" s="384" t="str">
        <f>AV90</f>
        <v>*</v>
      </c>
      <c r="T90" s="384">
        <f t="shared" si="175"/>
        <v>628.1</v>
      </c>
      <c r="U90" s="385" t="str">
        <f t="shared" si="175"/>
        <v>*</v>
      </c>
      <c r="V90" s="384" t="str">
        <f>BJ90</f>
        <v>*</v>
      </c>
      <c r="W90" s="384" t="str">
        <f>BR90</f>
        <v>*</v>
      </c>
      <c r="X90" s="384">
        <f>BI90</f>
        <v>570.79999999999995</v>
      </c>
      <c r="Y90" s="384">
        <f>BN90</f>
        <v>631</v>
      </c>
      <c r="Z90" s="384">
        <f>BM90</f>
        <v>462.8</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6"/>
        <v>*</v>
      </c>
      <c r="AP90" s="384" t="str">
        <f t="shared" si="176"/>
        <v>*</v>
      </c>
      <c r="AQ90" s="384" t="str">
        <f>CK90</f>
        <v>*</v>
      </c>
      <c r="AR90" s="384" t="str">
        <f>CI90</f>
        <v>*</v>
      </c>
      <c r="AS90" s="383">
        <f>CG90</f>
        <v>654.6</v>
      </c>
      <c r="AT90" s="384">
        <v>646.70000000000005</v>
      </c>
      <c r="AU90" s="683" t="s">
        <v>233</v>
      </c>
      <c r="AV90" s="384" t="s">
        <v>233</v>
      </c>
      <c r="AW90" s="382" t="s">
        <v>233</v>
      </c>
      <c r="AX90" s="382">
        <v>574.4</v>
      </c>
      <c r="AY90" s="384" t="s">
        <v>233</v>
      </c>
      <c r="AZ90" s="384" t="s">
        <v>233</v>
      </c>
      <c r="BA90" s="382">
        <v>612.6</v>
      </c>
      <c r="BB90" s="382">
        <v>628.1</v>
      </c>
      <c r="BC90" s="382" t="s">
        <v>233</v>
      </c>
      <c r="BD90" s="382">
        <v>583.4</v>
      </c>
      <c r="BE90" s="384" t="s">
        <v>233</v>
      </c>
      <c r="BF90" s="385" t="s">
        <v>233</v>
      </c>
      <c r="BG90" s="384" t="s">
        <v>233</v>
      </c>
      <c r="BH90" s="384" t="s">
        <v>233</v>
      </c>
      <c r="BI90" s="382">
        <v>570.79999999999995</v>
      </c>
      <c r="BJ90" s="382" t="s">
        <v>233</v>
      </c>
      <c r="BK90" s="382" t="s">
        <v>233</v>
      </c>
      <c r="BL90" s="382" t="s">
        <v>233</v>
      </c>
      <c r="BM90" s="382">
        <v>462.8</v>
      </c>
      <c r="BN90" s="382">
        <v>631</v>
      </c>
      <c r="BO90" s="384" t="s">
        <v>233</v>
      </c>
      <c r="BP90" s="384" t="s">
        <v>233</v>
      </c>
      <c r="BQ90" s="384" t="s">
        <v>233</v>
      </c>
      <c r="BR90" s="385" t="s">
        <v>233</v>
      </c>
      <c r="BS90" s="384" t="s">
        <v>233</v>
      </c>
      <c r="BT90" s="382" t="s">
        <v>233</v>
      </c>
      <c r="BU90" s="382" t="s">
        <v>233</v>
      </c>
      <c r="BV90" s="382" t="s">
        <v>233</v>
      </c>
      <c r="BW90" s="382" t="s">
        <v>233</v>
      </c>
      <c r="BX90" s="382" t="s">
        <v>233</v>
      </c>
      <c r="BY90" s="382" t="s">
        <v>233</v>
      </c>
      <c r="BZ90" s="382" t="s">
        <v>233</v>
      </c>
      <c r="CA90" s="382" t="s">
        <v>233</v>
      </c>
      <c r="CB90" s="385" t="s">
        <v>233</v>
      </c>
      <c r="CC90" s="382" t="s">
        <v>233</v>
      </c>
      <c r="CD90" s="382" t="s">
        <v>233</v>
      </c>
      <c r="CE90" s="382" t="s">
        <v>233</v>
      </c>
      <c r="CF90" s="384" t="s">
        <v>233</v>
      </c>
      <c r="CG90" s="384">
        <v>654.6</v>
      </c>
      <c r="CH90" s="384" t="s">
        <v>233</v>
      </c>
      <c r="CI90" s="384" t="s">
        <v>233</v>
      </c>
      <c r="CJ90" s="382" t="s">
        <v>233</v>
      </c>
      <c r="CK90" s="383" t="s">
        <v>233</v>
      </c>
      <c r="CL90" s="386">
        <v>608.9</v>
      </c>
    </row>
    <row r="91" spans="1:90">
      <c r="A91" s="80">
        <f>ROWS($A$3:A89)</f>
        <v>87</v>
      </c>
      <c r="B91" s="92" t="s">
        <v>194</v>
      </c>
      <c r="C91" s="686"/>
      <c r="D91" s="685" t="s">
        <v>192</v>
      </c>
      <c r="E91" s="447">
        <v>43557</v>
      </c>
      <c r="F91" s="381">
        <v>36.799999999999997</v>
      </c>
      <c r="G91" s="384">
        <v>36.5</v>
      </c>
      <c r="H91" s="384">
        <v>40.299999999999997</v>
      </c>
      <c r="I91" s="383">
        <v>41.2</v>
      </c>
      <c r="J91" s="382"/>
      <c r="K91" s="381">
        <f>BF91</f>
        <v>43.7</v>
      </c>
      <c r="L91" s="384">
        <f>AY91</f>
        <v>40.200000000000003</v>
      </c>
      <c r="M91" s="384">
        <f>BD91</f>
        <v>31.8</v>
      </c>
      <c r="N91" s="384" t="str">
        <f>AW91</f>
        <v>*</v>
      </c>
      <c r="O91" s="384" t="str">
        <f>BE91</f>
        <v>*</v>
      </c>
      <c r="P91" s="384">
        <f>'2019'!BA91</f>
        <v>36.9</v>
      </c>
      <c r="Q91" s="384">
        <f>'2019'!AU91</f>
        <v>41.7</v>
      </c>
      <c r="R91" s="384" t="str">
        <f>AX91</f>
        <v>*</v>
      </c>
      <c r="S91" s="384" t="str">
        <f>AV91</f>
        <v>*</v>
      </c>
      <c r="T91" s="384">
        <f t="shared" si="175"/>
        <v>37.299999999999997</v>
      </c>
      <c r="U91" s="385">
        <f t="shared" si="175"/>
        <v>37.799999999999997</v>
      </c>
      <c r="V91" s="384" t="str">
        <f>BJ91</f>
        <v>*</v>
      </c>
      <c r="W91" s="384">
        <f>BR91</f>
        <v>43.9</v>
      </c>
      <c r="X91" s="384">
        <f>BI91</f>
        <v>34.200000000000003</v>
      </c>
      <c r="Y91" s="384">
        <f>BN91</f>
        <v>36.9</v>
      </c>
      <c r="Z91" s="384">
        <f>BM91</f>
        <v>32.5</v>
      </c>
      <c r="AA91" s="384">
        <f>BQ91</f>
        <v>42</v>
      </c>
      <c r="AB91" s="385" t="str">
        <f>BP91</f>
        <v>*</v>
      </c>
      <c r="AC91" s="384" t="str">
        <f>BX91</f>
        <v>*</v>
      </c>
      <c r="AD91" s="384" t="str">
        <f>BU91</f>
        <v>*</v>
      </c>
      <c r="AE91" s="384">
        <f>BT91</f>
        <v>37.9</v>
      </c>
      <c r="AF91" s="384" t="str">
        <f>CA91</f>
        <v>*</v>
      </c>
      <c r="AG91" s="384" t="str">
        <f>BV91</f>
        <v>*</v>
      </c>
      <c r="AH91" s="384" t="str">
        <f>BZ91</f>
        <v>*</v>
      </c>
      <c r="AI91" s="384">
        <f>BW91</f>
        <v>44.6</v>
      </c>
      <c r="AJ91" s="384" t="str">
        <f>BY91</f>
        <v>*</v>
      </c>
      <c r="AK91" s="385" t="str">
        <f>CB91</f>
        <v>*</v>
      </c>
      <c r="AL91" s="384">
        <f>CE91</f>
        <v>38.5</v>
      </c>
      <c r="AM91" s="384">
        <f>CH91</f>
        <v>42.1</v>
      </c>
      <c r="AN91" s="384" t="str">
        <f>CJ91</f>
        <v>*</v>
      </c>
      <c r="AO91" s="384">
        <f t="shared" si="176"/>
        <v>38.4</v>
      </c>
      <c r="AP91" s="384">
        <f t="shared" si="176"/>
        <v>46.2</v>
      </c>
      <c r="AQ91" s="384">
        <f>CK91</f>
        <v>40.6</v>
      </c>
      <c r="AR91" s="384" t="str">
        <f>CI91</f>
        <v>*</v>
      </c>
      <c r="AS91" s="383">
        <f>CG91</f>
        <v>41.4</v>
      </c>
      <c r="AT91" s="384" t="s">
        <v>233</v>
      </c>
      <c r="AU91" s="384">
        <v>41.7</v>
      </c>
      <c r="AV91" s="384" t="s">
        <v>233</v>
      </c>
      <c r="AW91" s="382" t="s">
        <v>233</v>
      </c>
      <c r="AX91" s="382" t="s">
        <v>233</v>
      </c>
      <c r="AY91" s="382">
        <v>40.200000000000003</v>
      </c>
      <c r="AZ91" s="384" t="s">
        <v>233</v>
      </c>
      <c r="BA91" s="382">
        <v>36.9</v>
      </c>
      <c r="BB91" s="382">
        <v>37.299999999999997</v>
      </c>
      <c r="BC91" s="382">
        <v>37.799999999999997</v>
      </c>
      <c r="BD91" s="382">
        <v>31.8</v>
      </c>
      <c r="BE91" s="382" t="s">
        <v>233</v>
      </c>
      <c r="BF91" s="385">
        <v>43.7</v>
      </c>
      <c r="BG91" s="384" t="s">
        <v>233</v>
      </c>
      <c r="BH91" s="384" t="s">
        <v>233</v>
      </c>
      <c r="BI91" s="382">
        <v>34.200000000000003</v>
      </c>
      <c r="BJ91" s="382" t="s">
        <v>233</v>
      </c>
      <c r="BK91" s="382" t="s">
        <v>233</v>
      </c>
      <c r="BL91" s="382" t="s">
        <v>233</v>
      </c>
      <c r="BM91" s="384">
        <v>32.5</v>
      </c>
      <c r="BN91" s="384">
        <v>36.9</v>
      </c>
      <c r="BO91" s="384" t="s">
        <v>233</v>
      </c>
      <c r="BP91" s="382" t="s">
        <v>233</v>
      </c>
      <c r="BQ91" s="384">
        <v>42</v>
      </c>
      <c r="BR91" s="385">
        <v>43.9</v>
      </c>
      <c r="BS91" s="384" t="s">
        <v>233</v>
      </c>
      <c r="BT91" s="382">
        <v>37.9</v>
      </c>
      <c r="BU91" s="382" t="s">
        <v>233</v>
      </c>
      <c r="BV91" s="382" t="s">
        <v>233</v>
      </c>
      <c r="BW91" s="382">
        <v>44.6</v>
      </c>
      <c r="BX91" s="382" t="s">
        <v>233</v>
      </c>
      <c r="BY91" s="382" t="s">
        <v>233</v>
      </c>
      <c r="BZ91" s="382" t="s">
        <v>233</v>
      </c>
      <c r="CA91" s="382" t="s">
        <v>233</v>
      </c>
      <c r="CB91" s="385" t="s">
        <v>233</v>
      </c>
      <c r="CC91" s="382">
        <v>38.4</v>
      </c>
      <c r="CD91" s="382">
        <v>46.2</v>
      </c>
      <c r="CE91" s="382">
        <v>38.5</v>
      </c>
      <c r="CF91" s="384" t="s">
        <v>233</v>
      </c>
      <c r="CG91" s="382">
        <v>41.4</v>
      </c>
      <c r="CH91" s="382">
        <v>42.1</v>
      </c>
      <c r="CI91" s="384" t="s">
        <v>233</v>
      </c>
      <c r="CJ91" s="382" t="s">
        <v>233</v>
      </c>
      <c r="CK91" s="383">
        <v>40.6</v>
      </c>
      <c r="CL91" s="386">
        <v>38.299999999999997</v>
      </c>
    </row>
    <row r="92" spans="1:90">
      <c r="A92" s="80">
        <f>ROWS($A$3:A90)</f>
        <v>88</v>
      </c>
      <c r="B92" s="92" t="s">
        <v>195</v>
      </c>
      <c r="C92" s="686"/>
      <c r="D92" s="685" t="s">
        <v>192</v>
      </c>
      <c r="E92" s="447">
        <v>43557</v>
      </c>
      <c r="F92" s="381">
        <v>427</v>
      </c>
      <c r="G92" s="382">
        <v>421.8</v>
      </c>
      <c r="H92" s="382">
        <v>443.8</v>
      </c>
      <c r="I92" s="383">
        <v>447.8</v>
      </c>
      <c r="J92" s="382"/>
      <c r="K92" s="381">
        <f>BF92</f>
        <v>402.3</v>
      </c>
      <c r="L92" s="384">
        <f>AY92</f>
        <v>444.2</v>
      </c>
      <c r="M92" s="384">
        <f>BD92</f>
        <v>427.3</v>
      </c>
      <c r="N92" s="384">
        <f>AW92</f>
        <v>475.8</v>
      </c>
      <c r="O92" s="384">
        <f>BE92</f>
        <v>377.1</v>
      </c>
      <c r="P92" s="384">
        <f>'2019'!BA92</f>
        <v>440.5</v>
      </c>
      <c r="Q92" s="384" t="str">
        <f>'2019'!AU92</f>
        <v>*</v>
      </c>
      <c r="R92" s="384">
        <f>AX92</f>
        <v>393.9</v>
      </c>
      <c r="S92" s="384">
        <f>AV92</f>
        <v>370.4</v>
      </c>
      <c r="T92" s="384">
        <f t="shared" si="175"/>
        <v>397.4</v>
      </c>
      <c r="U92" s="385">
        <f t="shared" si="175"/>
        <v>457.9</v>
      </c>
      <c r="V92" s="384" t="str">
        <f>BJ92</f>
        <v>*</v>
      </c>
      <c r="W92" s="384">
        <f>BR92</f>
        <v>525.20000000000005</v>
      </c>
      <c r="X92" s="384" t="str">
        <f>BI92</f>
        <v>*</v>
      </c>
      <c r="Y92" s="384">
        <f>BN92</f>
        <v>415.9</v>
      </c>
      <c r="Z92" s="384">
        <f>BM92</f>
        <v>397.6</v>
      </c>
      <c r="AA92" s="384" t="str">
        <f>BQ92</f>
        <v>*</v>
      </c>
      <c r="AB92" s="385" t="str">
        <f>BP92</f>
        <v>*</v>
      </c>
      <c r="AC92" s="384" t="str">
        <f>BX92</f>
        <v>*</v>
      </c>
      <c r="AD92" s="384" t="str">
        <f>BU92</f>
        <v>*</v>
      </c>
      <c r="AE92" s="384">
        <f>BT92</f>
        <v>287.8</v>
      </c>
      <c r="AF92" s="384" t="str">
        <f>CA92</f>
        <v>*</v>
      </c>
      <c r="AG92" s="384">
        <f>BV92</f>
        <v>361.6</v>
      </c>
      <c r="AH92" s="384">
        <f>BZ92</f>
        <v>460.7</v>
      </c>
      <c r="AI92" s="384">
        <f>BW92</f>
        <v>471.6</v>
      </c>
      <c r="AJ92" s="384">
        <f>BY92</f>
        <v>440.7</v>
      </c>
      <c r="AK92" s="385">
        <f>CB92</f>
        <v>411.8</v>
      </c>
      <c r="AL92" s="384">
        <f>CE92</f>
        <v>455</v>
      </c>
      <c r="AM92" s="384">
        <f>CH92</f>
        <v>454.7</v>
      </c>
      <c r="AN92" s="384">
        <f>CJ92</f>
        <v>469.2</v>
      </c>
      <c r="AO92" s="384">
        <f t="shared" si="176"/>
        <v>349.3</v>
      </c>
      <c r="AP92" s="384" t="str">
        <f t="shared" si="176"/>
        <v>*</v>
      </c>
      <c r="AQ92" s="384">
        <f>CK92</f>
        <v>443.1</v>
      </c>
      <c r="AR92" s="384">
        <f>CI92</f>
        <v>465.4</v>
      </c>
      <c r="AS92" s="383">
        <f>CG92</f>
        <v>451.6</v>
      </c>
      <c r="AT92" s="384" t="s">
        <v>233</v>
      </c>
      <c r="AU92" s="384" t="s">
        <v>233</v>
      </c>
      <c r="AV92" s="382">
        <v>370.4</v>
      </c>
      <c r="AW92" s="382">
        <v>475.8</v>
      </c>
      <c r="AX92" s="382">
        <v>393.9</v>
      </c>
      <c r="AY92" s="382">
        <v>444.2</v>
      </c>
      <c r="AZ92" s="384" t="s">
        <v>233</v>
      </c>
      <c r="BA92" s="382">
        <v>440.5</v>
      </c>
      <c r="BB92" s="382">
        <v>397.4</v>
      </c>
      <c r="BC92" s="382">
        <v>457.9</v>
      </c>
      <c r="BD92" s="382">
        <v>427.3</v>
      </c>
      <c r="BE92" s="382">
        <v>377.1</v>
      </c>
      <c r="BF92" s="385">
        <v>402.3</v>
      </c>
      <c r="BG92" s="384" t="s">
        <v>233</v>
      </c>
      <c r="BH92" s="384" t="s">
        <v>233</v>
      </c>
      <c r="BI92" s="382" t="s">
        <v>233</v>
      </c>
      <c r="BJ92" s="382" t="s">
        <v>233</v>
      </c>
      <c r="BK92" s="382" t="s">
        <v>233</v>
      </c>
      <c r="BL92" s="382" t="s">
        <v>233</v>
      </c>
      <c r="BM92" s="382">
        <v>397.6</v>
      </c>
      <c r="BN92" s="382">
        <v>415.9</v>
      </c>
      <c r="BO92" s="384" t="s">
        <v>233</v>
      </c>
      <c r="BP92" s="382" t="s">
        <v>233</v>
      </c>
      <c r="BQ92" s="683" t="s">
        <v>233</v>
      </c>
      <c r="BR92" s="385">
        <v>525.20000000000005</v>
      </c>
      <c r="BS92" s="384" t="s">
        <v>233</v>
      </c>
      <c r="BT92" s="382">
        <v>287.8</v>
      </c>
      <c r="BU92" s="382" t="s">
        <v>233</v>
      </c>
      <c r="BV92" s="382">
        <v>361.6</v>
      </c>
      <c r="BW92" s="382">
        <v>471.6</v>
      </c>
      <c r="BX92" s="382" t="s">
        <v>233</v>
      </c>
      <c r="BY92" s="382">
        <v>440.7</v>
      </c>
      <c r="BZ92" s="382">
        <v>460.7</v>
      </c>
      <c r="CA92" s="382" t="s">
        <v>233</v>
      </c>
      <c r="CB92" s="385">
        <v>411.8</v>
      </c>
      <c r="CC92" s="382">
        <v>349.3</v>
      </c>
      <c r="CD92" s="382" t="s">
        <v>233</v>
      </c>
      <c r="CE92" s="382">
        <v>455</v>
      </c>
      <c r="CF92" s="384" t="s">
        <v>233</v>
      </c>
      <c r="CG92" s="382">
        <v>451.6</v>
      </c>
      <c r="CH92" s="382">
        <v>454.7</v>
      </c>
      <c r="CI92" s="384">
        <v>465.4</v>
      </c>
      <c r="CJ92" s="382">
        <v>469.2</v>
      </c>
      <c r="CK92" s="383">
        <v>443.1</v>
      </c>
      <c r="CL92" s="386">
        <v>437.8</v>
      </c>
    </row>
    <row r="93" spans="1:90">
      <c r="A93" s="80">
        <f>ROWS($A$3:A91)</f>
        <v>89</v>
      </c>
      <c r="B93" s="54" t="s">
        <v>94</v>
      </c>
      <c r="C93" s="252"/>
      <c r="D93" s="259" t="s">
        <v>3</v>
      </c>
      <c r="E93" s="447"/>
      <c r="F93" s="547">
        <v>0.37</v>
      </c>
      <c r="G93" s="548">
        <v>0.37</v>
      </c>
      <c r="H93" s="548">
        <v>0.69</v>
      </c>
      <c r="I93" s="549">
        <v>0.54</v>
      </c>
      <c r="J93" s="598"/>
      <c r="K93" s="547">
        <f>BF93</f>
        <v>0.99</v>
      </c>
      <c r="L93" s="548">
        <f>AY93</f>
        <v>0.69</v>
      </c>
      <c r="M93" s="548">
        <f>BD93</f>
        <v>0.7</v>
      </c>
      <c r="N93" s="548">
        <f>AW93</f>
        <v>0.74</v>
      </c>
      <c r="O93" s="548">
        <f>BE93</f>
        <v>0.6</v>
      </c>
      <c r="P93" s="573">
        <f>(AZ35*AZ93+BA35*BA93)/P35</f>
        <v>0.12077826775993937</v>
      </c>
      <c r="Q93" s="548">
        <f>'2019'!AU93</f>
        <v>0.48</v>
      </c>
      <c r="R93" s="573">
        <f>(AT35*AT93+AX35*AX93)/R35</f>
        <v>1.7194842406876788E-2</v>
      </c>
      <c r="S93" s="548">
        <f>AV93</f>
        <v>0.56999999999999995</v>
      </c>
      <c r="T93" s="548">
        <f t="shared" si="175"/>
        <v>0.56999999999999995</v>
      </c>
      <c r="U93" s="570">
        <f t="shared" si="175"/>
        <v>0.97</v>
      </c>
      <c r="V93" s="573">
        <f>(BG35*BG93+BJ35*BJ93)/V35</f>
        <v>0.32284768211920528</v>
      </c>
      <c r="W93" s="548">
        <f>BR93</f>
        <v>0.82</v>
      </c>
      <c r="X93" s="573">
        <f>(BH35*BH93+BI35*BI93)/X35</f>
        <v>6.556923151916938E-2</v>
      </c>
      <c r="Y93" s="573">
        <f>(BK35*BK93+BL35*BL93+BN35*BN93)/Y35</f>
        <v>0.10734998736009928</v>
      </c>
      <c r="Z93" s="548">
        <f>BM93</f>
        <v>0.7</v>
      </c>
      <c r="AA93" s="573">
        <f>(BO35*BO93+BQ35*BQ93)/AA35</f>
        <v>0.46104600884224839</v>
      </c>
      <c r="AB93" s="570">
        <f>BP93</f>
        <v>0.78</v>
      </c>
      <c r="AC93" s="548">
        <f>BX93</f>
        <v>0.65</v>
      </c>
      <c r="AD93" s="548">
        <f>BU93</f>
        <v>0.36</v>
      </c>
      <c r="AE93" s="573">
        <f>(BS35*BS93+BT35*BT93)/AE35</f>
        <v>0.1160786022890927</v>
      </c>
      <c r="AF93" s="548">
        <f>CA93</f>
        <v>0.28999999999999998</v>
      </c>
      <c r="AG93" s="548">
        <f>BV93</f>
        <v>0.34</v>
      </c>
      <c r="AH93" s="548">
        <f>BZ93</f>
        <v>0.65</v>
      </c>
      <c r="AI93" s="548">
        <f>BW93</f>
        <v>0.96</v>
      </c>
      <c r="AJ93" s="548">
        <f>BY93</f>
        <v>0.63</v>
      </c>
      <c r="AK93" s="570">
        <f>CB93</f>
        <v>0.71</v>
      </c>
      <c r="AL93" s="548">
        <f>CE93</f>
        <v>0.61</v>
      </c>
      <c r="AM93" s="548">
        <f>CH93</f>
        <v>0.2</v>
      </c>
      <c r="AN93" s="548">
        <f>CJ93</f>
        <v>0.57999999999999996</v>
      </c>
      <c r="AO93" s="548">
        <f t="shared" si="176"/>
        <v>1</v>
      </c>
      <c r="AP93" s="548">
        <f t="shared" si="176"/>
        <v>0.61</v>
      </c>
      <c r="AQ93" s="548">
        <f>CK93</f>
        <v>0.72</v>
      </c>
      <c r="AR93" s="548">
        <f>CI93</f>
        <v>0.24</v>
      </c>
      <c r="AS93" s="574">
        <f>(CF35*CF93+CG35*CG93)/AS35</f>
        <v>0.45061070341412895</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c r="A94" s="80">
        <f>ROWS($A$3:A92)</f>
        <v>90</v>
      </c>
      <c r="B94" s="59" t="s">
        <v>247</v>
      </c>
      <c r="C94" s="203"/>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c r="A95" s="80">
        <f>ROWS($A$3:A93)</f>
        <v>91</v>
      </c>
      <c r="B95" s="236" t="s">
        <v>95</v>
      </c>
      <c r="C95" s="393">
        <v>2010</v>
      </c>
      <c r="D95" s="259" t="s">
        <v>10</v>
      </c>
      <c r="E95" s="447">
        <v>40441</v>
      </c>
      <c r="F95" s="154">
        <f>SUM(AT95:BF95)</f>
        <v>617300</v>
      </c>
      <c r="G95" s="155">
        <f>SUM(BG95:BR95)</f>
        <v>141500</v>
      </c>
      <c r="H95" s="155">
        <f>SUM(BS95:CB95)</f>
        <v>370400</v>
      </c>
      <c r="I95" s="156">
        <f>SUM(CC95:CK95)</f>
        <v>1004800</v>
      </c>
      <c r="J95" s="281"/>
      <c r="K95" s="154">
        <f>BF95</f>
        <v>165800</v>
      </c>
      <c r="L95" s="155">
        <f>AY95</f>
        <v>42000</v>
      </c>
      <c r="M95" s="155">
        <f>BD95</f>
        <v>41900</v>
      </c>
      <c r="N95" s="155">
        <f>AW95</f>
        <v>57600</v>
      </c>
      <c r="O95" s="155">
        <f>BE95</f>
        <v>44000</v>
      </c>
      <c r="P95" s="155">
        <f>'2019'!BA95</f>
        <v>27400</v>
      </c>
      <c r="Q95" s="155">
        <f>'2019'!AU95</f>
        <v>17100</v>
      </c>
      <c r="R95" s="155">
        <f>AX95</f>
        <v>28800</v>
      </c>
      <c r="S95" s="155">
        <f>AV95</f>
        <v>12300</v>
      </c>
      <c r="T95" s="155">
        <f t="shared" ref="T95:U98" si="177">BB95</f>
        <v>43200</v>
      </c>
      <c r="U95" s="552">
        <f t="shared" si="177"/>
        <v>135100</v>
      </c>
      <c r="V95" s="155">
        <f>BJ95</f>
        <v>1900</v>
      </c>
      <c r="W95" s="155">
        <f>BR95</f>
        <v>23000</v>
      </c>
      <c r="X95" s="155">
        <f>BI95</f>
        <v>6400</v>
      </c>
      <c r="Y95" s="155">
        <f>BN95</f>
        <v>22700</v>
      </c>
      <c r="Z95" s="155">
        <f>BM95</f>
        <v>47900</v>
      </c>
      <c r="AA95" s="155">
        <f>BQ95</f>
        <v>18600</v>
      </c>
      <c r="AB95" s="552">
        <f>BP95</f>
        <v>21000</v>
      </c>
      <c r="AC95" s="155">
        <f>BX95</f>
        <v>64900</v>
      </c>
      <c r="AD95" s="155">
        <f>BU95</f>
        <v>18300</v>
      </c>
      <c r="AE95" s="155">
        <f>BT95</f>
        <v>56300</v>
      </c>
      <c r="AF95" s="155">
        <f>CA95</f>
        <v>17900</v>
      </c>
      <c r="AG95" s="155">
        <f>BV95</f>
        <v>38800</v>
      </c>
      <c r="AH95" s="155">
        <f>BZ95</f>
        <v>56400</v>
      </c>
      <c r="AI95" s="155">
        <f>BW95</f>
        <v>26900</v>
      </c>
      <c r="AJ95" s="155">
        <f>BY95</f>
        <v>32900</v>
      </c>
      <c r="AK95" s="552">
        <f>CB95</f>
        <v>58000</v>
      </c>
      <c r="AL95" s="155">
        <f>CE95</f>
        <v>21200</v>
      </c>
      <c r="AM95" s="155">
        <f>CH95</f>
        <v>217100</v>
      </c>
      <c r="AN95" s="155">
        <f>CJ95</f>
        <v>443900</v>
      </c>
      <c r="AO95" s="155">
        <f t="shared" ref="AO95:AP98" si="178">CC95</f>
        <v>49800</v>
      </c>
      <c r="AP95" s="155">
        <f t="shared" si="178"/>
        <v>9200</v>
      </c>
      <c r="AQ95" s="155">
        <f>CK95</f>
        <v>78000</v>
      </c>
      <c r="AR95" s="155">
        <f>CI95</f>
        <v>62000</v>
      </c>
      <c r="AS95" s="156">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c r="A96" s="80">
        <f>ROWS($A$3:A94)</f>
        <v>92</v>
      </c>
      <c r="B96" s="92" t="s">
        <v>96</v>
      </c>
      <c r="C96" s="396">
        <v>2010</v>
      </c>
      <c r="D96" s="259" t="s">
        <v>10</v>
      </c>
      <c r="E96" s="447">
        <v>40441</v>
      </c>
      <c r="F96" s="154">
        <f>SUM(AT96:BF96)</f>
        <v>617399</v>
      </c>
      <c r="G96" s="155">
        <f>SUM(BG96:BR96)</f>
        <v>142781</v>
      </c>
      <c r="H96" s="155">
        <f>SUM(BS96:CB96)</f>
        <v>370424</v>
      </c>
      <c r="I96" s="156">
        <f>SUM(CC96:CK96)</f>
        <v>1004630</v>
      </c>
      <c r="J96" s="281"/>
      <c r="K96" s="154">
        <f>BF96</f>
        <v>165837</v>
      </c>
      <c r="L96" s="155">
        <f>AY96</f>
        <v>41990</v>
      </c>
      <c r="M96" s="155">
        <f>BD96</f>
        <v>41892</v>
      </c>
      <c r="N96" s="155">
        <f>AW96</f>
        <v>57563</v>
      </c>
      <c r="O96" s="155">
        <f>BE96</f>
        <v>44020</v>
      </c>
      <c r="P96" s="155">
        <f>'2019'!BA96</f>
        <v>26046</v>
      </c>
      <c r="Q96" s="155">
        <f>'2019'!AU96</f>
        <v>17142</v>
      </c>
      <c r="R96" s="155">
        <f>AX96</f>
        <v>28784</v>
      </c>
      <c r="S96" s="155">
        <f>AV96</f>
        <v>12315</v>
      </c>
      <c r="T96" s="155">
        <f>BB96</f>
        <v>43221</v>
      </c>
      <c r="U96" s="552">
        <f>BC96</f>
        <v>135140</v>
      </c>
      <c r="V96" s="155">
        <f>BJ96</f>
        <v>1905</v>
      </c>
      <c r="W96" s="155">
        <f>BR96</f>
        <v>23030</v>
      </c>
      <c r="X96" s="155">
        <f>BI96</f>
        <v>6427</v>
      </c>
      <c r="Y96" s="155">
        <f>BN96</f>
        <v>22732</v>
      </c>
      <c r="Z96" s="155">
        <f>BM96</f>
        <v>47945</v>
      </c>
      <c r="AA96" s="155">
        <f>BQ96</f>
        <v>18389</v>
      </c>
      <c r="AB96" s="552">
        <f>BP96</f>
        <v>21039</v>
      </c>
      <c r="AC96" s="155">
        <f>BX96</f>
        <v>64945</v>
      </c>
      <c r="AD96" s="155">
        <f>BU96</f>
        <v>18303</v>
      </c>
      <c r="AE96" s="155">
        <f>BT96</f>
        <v>56256</v>
      </c>
      <c r="AF96" s="155">
        <f>CA96</f>
        <v>17921</v>
      </c>
      <c r="AG96" s="155">
        <f>BV96</f>
        <v>38783</v>
      </c>
      <c r="AH96" s="155">
        <f>BZ96</f>
        <v>56430</v>
      </c>
      <c r="AI96" s="155">
        <f>BW96</f>
        <v>26870</v>
      </c>
      <c r="AJ96" s="155">
        <f>BY96</f>
        <v>32882</v>
      </c>
      <c r="AK96" s="552">
        <f>CB96</f>
        <v>58034</v>
      </c>
      <c r="AL96" s="155">
        <f>CE96</f>
        <v>21184</v>
      </c>
      <c r="AM96" s="155">
        <f>CH96</f>
        <v>217098</v>
      </c>
      <c r="AN96" s="155">
        <f>CJ96</f>
        <v>443864</v>
      </c>
      <c r="AO96" s="155">
        <f>CC96</f>
        <v>49804</v>
      </c>
      <c r="AP96" s="155">
        <f>CD96</f>
        <v>9156</v>
      </c>
      <c r="AQ96" s="155">
        <f>CK96</f>
        <v>78000</v>
      </c>
      <c r="AR96" s="155">
        <f>CI96</f>
        <v>61951</v>
      </c>
      <c r="AS96" s="156">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1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'2019'!AZ97+'2019'!BA97</f>
        <v>6750</v>
      </c>
      <c r="Q97" s="113">
        <f>'2019'!AU97</f>
        <v>3596</v>
      </c>
      <c r="R97" s="113">
        <f>AT97+AX97</f>
        <v>6359</v>
      </c>
      <c r="S97" s="113">
        <f>AV97</f>
        <v>3597</v>
      </c>
      <c r="T97" s="113">
        <f t="shared" si="177"/>
        <v>9048</v>
      </c>
      <c r="U97" s="112">
        <f t="shared" si="177"/>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8"/>
        <v>10463</v>
      </c>
      <c r="AP97" s="113">
        <f t="shared" si="178"/>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'2019'!AZ98+'2019'!BA98</f>
        <v>34324</v>
      </c>
      <c r="Q98" s="113">
        <f>'2019'!AU98</f>
        <v>18437</v>
      </c>
      <c r="R98" s="113">
        <f>AT98+AX98</f>
        <v>31700</v>
      </c>
      <c r="S98" s="113">
        <f>AV98</f>
        <v>14642</v>
      </c>
      <c r="T98" s="113">
        <f t="shared" si="177"/>
        <v>45007</v>
      </c>
      <c r="U98" s="112">
        <f t="shared" si="177"/>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8"/>
        <v>51966</v>
      </c>
      <c r="AP98" s="113">
        <f t="shared" si="178"/>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c r="A100" s="80">
        <f>ROWS($A$3:A98)</f>
        <v>96</v>
      </c>
      <c r="B100" s="55" t="s">
        <v>255</v>
      </c>
      <c r="C100" s="203">
        <v>2017</v>
      </c>
      <c r="D100" s="259" t="s">
        <v>13</v>
      </c>
      <c r="E100" s="483">
        <v>43556</v>
      </c>
      <c r="F100" s="154">
        <v>2013</v>
      </c>
      <c r="G100" s="155">
        <v>891</v>
      </c>
      <c r="H100" s="155">
        <v>914</v>
      </c>
      <c r="I100" s="156">
        <v>630</v>
      </c>
      <c r="J100" s="281"/>
      <c r="K100" s="157">
        <f>BF100</f>
        <v>57</v>
      </c>
      <c r="L100" s="113">
        <f>AY100</f>
        <v>242</v>
      </c>
      <c r="M100" s="113">
        <f>BD100</f>
        <v>151</v>
      </c>
      <c r="N100" s="113">
        <f>AW100</f>
        <v>61</v>
      </c>
      <c r="O100" s="113">
        <f>BE100</f>
        <v>66</v>
      </c>
      <c r="P100" s="113">
        <f>'2009'!AZ101+'2009'!BA101</f>
        <v>658</v>
      </c>
      <c r="Q100" s="113">
        <f>'2009'!AU101</f>
        <v>260</v>
      </c>
      <c r="R100" s="113">
        <f>AX100</f>
        <v>233</v>
      </c>
      <c r="S100" s="113">
        <f>AV100</f>
        <v>314</v>
      </c>
      <c r="T100" s="113">
        <f>BB100</f>
        <v>97</v>
      </c>
      <c r="U100" s="112">
        <f>BC100</f>
        <v>129</v>
      </c>
      <c r="V100" s="113">
        <f>BJ100</f>
        <v>74</v>
      </c>
      <c r="W100" s="113">
        <f>BR100</f>
        <v>58</v>
      </c>
      <c r="X100" s="113">
        <f>BI100</f>
        <v>223</v>
      </c>
      <c r="Y100" s="113">
        <f>BN100</f>
        <v>195</v>
      </c>
      <c r="Z100" s="113">
        <f>BM100</f>
        <v>100</v>
      </c>
      <c r="AA100" s="113">
        <f>BQ100</f>
        <v>194</v>
      </c>
      <c r="AB100" s="112">
        <f>BP100</f>
        <v>47</v>
      </c>
      <c r="AC100" s="113">
        <f>BX100</f>
        <v>52</v>
      </c>
      <c r="AD100" s="113">
        <f>BU100</f>
        <v>156</v>
      </c>
      <c r="AE100" s="113">
        <f>BT100</f>
        <v>135</v>
      </c>
      <c r="AF100" s="113">
        <f>CA100</f>
        <v>97</v>
      </c>
      <c r="AG100" s="113">
        <f>BV100</f>
        <v>94</v>
      </c>
      <c r="AH100" s="113">
        <f>BZ100</f>
        <v>97</v>
      </c>
      <c r="AI100" s="113">
        <f>BW100</f>
        <v>81</v>
      </c>
      <c r="AJ100" s="113">
        <f>BY100</f>
        <v>82</v>
      </c>
      <c r="AK100" s="112">
        <f>CB100</f>
        <v>120</v>
      </c>
      <c r="AL100" s="113">
        <f>CE100</f>
        <v>58</v>
      </c>
      <c r="AM100" s="113">
        <f>CH100</f>
        <v>167</v>
      </c>
      <c r="AN100" s="113">
        <f>CJ100</f>
        <v>45</v>
      </c>
      <c r="AO100" s="113">
        <f>CC100</f>
        <v>46</v>
      </c>
      <c r="AP100" s="113">
        <f>CD100</f>
        <v>51</v>
      </c>
      <c r="AQ100" s="113">
        <f>CK100</f>
        <v>110</v>
      </c>
      <c r="AR100" s="113">
        <f>CI100</f>
        <v>34</v>
      </c>
      <c r="AS100" s="158">
        <f>CG100</f>
        <v>119</v>
      </c>
      <c r="AT100" s="113" t="s">
        <v>233</v>
      </c>
      <c r="AU100" s="113">
        <v>184</v>
      </c>
      <c r="AV100" s="113">
        <v>314</v>
      </c>
      <c r="AW100" s="113">
        <v>61</v>
      </c>
      <c r="AX100" s="113">
        <v>233</v>
      </c>
      <c r="AY100" s="113">
        <v>242</v>
      </c>
      <c r="AZ100" s="113" t="s">
        <v>233</v>
      </c>
      <c r="BA100" s="113">
        <v>479</v>
      </c>
      <c r="BB100" s="113">
        <v>97</v>
      </c>
      <c r="BC100" s="113">
        <v>129</v>
      </c>
      <c r="BD100" s="113">
        <v>151</v>
      </c>
      <c r="BE100" s="113">
        <v>66</v>
      </c>
      <c r="BF100" s="112">
        <v>57</v>
      </c>
      <c r="BG100" s="159" t="s">
        <v>233</v>
      </c>
      <c r="BH100" s="113" t="s">
        <v>233</v>
      </c>
      <c r="BI100" s="113">
        <v>223</v>
      </c>
      <c r="BJ100" s="113">
        <v>74</v>
      </c>
      <c r="BK100" s="113" t="s">
        <v>233</v>
      </c>
      <c r="BL100" s="113" t="s">
        <v>233</v>
      </c>
      <c r="BM100" s="113">
        <v>100</v>
      </c>
      <c r="BN100" s="113">
        <v>195</v>
      </c>
      <c r="BO100" s="159" t="s">
        <v>233</v>
      </c>
      <c r="BP100" s="113">
        <v>47</v>
      </c>
      <c r="BQ100" s="113">
        <v>194</v>
      </c>
      <c r="BR100" s="112">
        <v>58</v>
      </c>
      <c r="BS100" s="159" t="s">
        <v>233</v>
      </c>
      <c r="BT100" s="113">
        <v>135</v>
      </c>
      <c r="BU100" s="113">
        <v>156</v>
      </c>
      <c r="BV100" s="113">
        <v>94</v>
      </c>
      <c r="BW100" s="113">
        <v>81</v>
      </c>
      <c r="BX100" s="113">
        <v>52</v>
      </c>
      <c r="BY100" s="113">
        <v>82</v>
      </c>
      <c r="BZ100" s="113">
        <v>97</v>
      </c>
      <c r="CA100" s="113">
        <v>97</v>
      </c>
      <c r="CB100" s="112">
        <v>120</v>
      </c>
      <c r="CC100" s="113">
        <v>46</v>
      </c>
      <c r="CD100" s="113">
        <v>51</v>
      </c>
      <c r="CE100" s="113">
        <v>58</v>
      </c>
      <c r="CF100" s="113" t="s">
        <v>233</v>
      </c>
      <c r="CG100" s="113">
        <v>119</v>
      </c>
      <c r="CH100" s="113">
        <v>167</v>
      </c>
      <c r="CI100" s="113">
        <v>34</v>
      </c>
      <c r="CJ100" s="113">
        <v>45</v>
      </c>
      <c r="CK100" s="158">
        <v>110</v>
      </c>
      <c r="CL100" s="123">
        <v>4448</v>
      </c>
    </row>
    <row r="101" spans="1:102">
      <c r="A101" s="80">
        <f>ROWS($A$3:A99)</f>
        <v>97</v>
      </c>
      <c r="B101" s="602"/>
      <c r="C101" s="203"/>
      <c r="D101" s="254"/>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c r="A102" s="80">
        <f>ROWS($A$3:A100)</f>
        <v>98</v>
      </c>
      <c r="B102" s="602"/>
      <c r="C102" s="203"/>
      <c r="D102" s="254"/>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'2019'!AZ103+'2019'!BA103</f>
        <v>0</v>
      </c>
      <c r="Q103" s="113">
        <f>'2019'!AU103</f>
        <v>0</v>
      </c>
      <c r="R103" s="113">
        <f>AT103+AX103</f>
        <v>0</v>
      </c>
      <c r="S103" s="113">
        <f>AV103</f>
        <v>0</v>
      </c>
      <c r="T103" s="113">
        <f t="shared" ref="T103:U106" si="179">BB103</f>
        <v>0</v>
      </c>
      <c r="U103" s="112">
        <f t="shared" si="179"/>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0">CC103</f>
        <v>0</v>
      </c>
      <c r="AP103" s="113">
        <f t="shared" si="180"/>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'2019'!AZ104+'2019'!BA104</f>
        <v>0</v>
      </c>
      <c r="Q104" s="113">
        <f>'2019'!AU104</f>
        <v>0</v>
      </c>
      <c r="R104" s="113">
        <f>AT104+AX104</f>
        <v>0</v>
      </c>
      <c r="S104" s="113">
        <f>AV104</f>
        <v>0</v>
      </c>
      <c r="T104" s="113">
        <f t="shared" si="179"/>
        <v>0</v>
      </c>
      <c r="U104" s="112">
        <f t="shared" si="179"/>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0"/>
        <v>0</v>
      </c>
      <c r="AP104" s="113">
        <f t="shared" si="180"/>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1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'2019'!AZ105+'2019'!BA105</f>
        <v>0</v>
      </c>
      <c r="Q105" s="113">
        <f>'2019'!AU105</f>
        <v>0</v>
      </c>
      <c r="R105" s="113">
        <f>AT105+AX105</f>
        <v>0</v>
      </c>
      <c r="S105" s="113">
        <f>AV105</f>
        <v>0</v>
      </c>
      <c r="T105" s="113">
        <f t="shared" si="179"/>
        <v>0</v>
      </c>
      <c r="U105" s="112">
        <f t="shared" si="179"/>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0"/>
        <v>0</v>
      </c>
      <c r="AP105" s="113">
        <f t="shared" si="180"/>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'2019'!AZ106+'2019'!BA106</f>
        <v>0</v>
      </c>
      <c r="Q106" s="164">
        <f>'2019'!AU106</f>
        <v>0</v>
      </c>
      <c r="R106" s="164">
        <f>AT106+AX106</f>
        <v>0</v>
      </c>
      <c r="S106" s="164">
        <f>AV106</f>
        <v>0</v>
      </c>
      <c r="T106" s="164">
        <f t="shared" si="179"/>
        <v>0</v>
      </c>
      <c r="U106" s="114">
        <f t="shared" si="179"/>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0"/>
        <v>0</v>
      </c>
      <c r="AP106" s="164">
        <f t="shared" si="180"/>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c r="B107" s="57"/>
      <c r="C107" s="203"/>
      <c r="D107" s="48"/>
      <c r="E107" s="449"/>
      <c r="F107" s="155">
        <f t="shared" ref="F107:BQ107" si="181">SUM(F7:F92)</f>
        <v>16304827.404097011</v>
      </c>
      <c r="G107" s="155">
        <f t="shared" si="181"/>
        <v>9675710.2185602542</v>
      </c>
      <c r="H107" s="155">
        <f t="shared" si="181"/>
        <v>10016449.796933241</v>
      </c>
      <c r="I107" s="155">
        <f t="shared" si="181"/>
        <v>10123844.386477422</v>
      </c>
      <c r="J107" s="155">
        <f t="shared" si="181"/>
        <v>0</v>
      </c>
      <c r="K107" s="155">
        <f t="shared" si="181"/>
        <v>1655255.3425673766</v>
      </c>
      <c r="L107" s="155">
        <f t="shared" si="181"/>
        <v>1402255.1381161222</v>
      </c>
      <c r="M107" s="155">
        <f t="shared" si="181"/>
        <v>1185808.2692652349</v>
      </c>
      <c r="N107" s="155">
        <f t="shared" si="181"/>
        <v>1002113.0848400461</v>
      </c>
      <c r="O107" s="155">
        <f t="shared" si="181"/>
        <v>715414.03111979575</v>
      </c>
      <c r="P107" s="155">
        <f t="shared" si="181"/>
        <v>1821687.2072700723</v>
      </c>
      <c r="Q107" s="155">
        <f t="shared" si="181"/>
        <v>1354824.2551038254</v>
      </c>
      <c r="R107" s="155">
        <f t="shared" si="181"/>
        <v>3376960.7655961127</v>
      </c>
      <c r="S107" s="155">
        <f t="shared" si="181"/>
        <v>1574309.0359825951</v>
      </c>
      <c r="T107" s="155">
        <f t="shared" si="181"/>
        <v>901011.25912241742</v>
      </c>
      <c r="U107" s="155">
        <f t="shared" si="181"/>
        <v>1703545.9445916445</v>
      </c>
      <c r="V107" s="155">
        <f t="shared" si="181"/>
        <v>1104251.1785296199</v>
      </c>
      <c r="W107" s="155">
        <f t="shared" si="181"/>
        <v>695974.33943360683</v>
      </c>
      <c r="X107" s="155">
        <f t="shared" si="181"/>
        <v>2404963.4167050701</v>
      </c>
      <c r="Y107" s="155">
        <f t="shared" si="181"/>
        <v>2838647.8775105271</v>
      </c>
      <c r="Z107" s="155">
        <f t="shared" si="181"/>
        <v>921220.90665429586</v>
      </c>
      <c r="AA107" s="155">
        <f t="shared" si="181"/>
        <v>1102582.6553820334</v>
      </c>
      <c r="AB107" s="155">
        <f t="shared" si="181"/>
        <v>765643.79930449161</v>
      </c>
      <c r="AC107" s="155">
        <f t="shared" si="181"/>
        <v>1069446.6327517326</v>
      </c>
      <c r="AD107" s="155">
        <f t="shared" si="181"/>
        <v>726271.20891508181</v>
      </c>
      <c r="AE107" s="155">
        <f t="shared" si="181"/>
        <v>1917333.8073823594</v>
      </c>
      <c r="AF107" s="155">
        <f t="shared" si="181"/>
        <v>925445.30681529059</v>
      </c>
      <c r="AG107" s="155">
        <f t="shared" si="181"/>
        <v>1902841.9117307684</v>
      </c>
      <c r="AH107" s="155">
        <f t="shared" si="181"/>
        <v>1081189.0796502186</v>
      </c>
      <c r="AI107" s="155">
        <f t="shared" si="181"/>
        <v>796511.05635519768</v>
      </c>
      <c r="AJ107" s="155">
        <f t="shared" si="181"/>
        <v>822347.53083898267</v>
      </c>
      <c r="AK107" s="155">
        <f t="shared" si="181"/>
        <v>993137.00440973463</v>
      </c>
      <c r="AL107" s="155">
        <f t="shared" si="181"/>
        <v>1033891.3836174551</v>
      </c>
      <c r="AM107" s="155">
        <f t="shared" si="181"/>
        <v>1487441.9010238014</v>
      </c>
      <c r="AN107" s="155">
        <f t="shared" si="181"/>
        <v>1763059.7570278333</v>
      </c>
      <c r="AO107" s="155">
        <f t="shared" si="181"/>
        <v>1340174.5820978507</v>
      </c>
      <c r="AP107" s="155">
        <f t="shared" si="181"/>
        <v>885498.18486901629</v>
      </c>
      <c r="AQ107" s="155">
        <f t="shared" si="181"/>
        <v>1099879.3801644966</v>
      </c>
      <c r="AR107" s="155">
        <f t="shared" si="181"/>
        <v>861488.04354991869</v>
      </c>
      <c r="AS107" s="155">
        <f t="shared" si="181"/>
        <v>1918452.0936409719</v>
      </c>
      <c r="AT107" s="155">
        <f t="shared" si="181"/>
        <v>1705277.1442379444</v>
      </c>
      <c r="AU107" s="155">
        <f t="shared" si="181"/>
        <v>1368981.0138536913</v>
      </c>
      <c r="AV107" s="155">
        <f t="shared" si="181"/>
        <v>1574309.0432086652</v>
      </c>
      <c r="AW107" s="155">
        <f t="shared" si="181"/>
        <v>1002113.1009853429</v>
      </c>
      <c r="AX107" s="155">
        <f t="shared" si="181"/>
        <v>1676341.5398155274</v>
      </c>
      <c r="AY107" s="155">
        <f t="shared" si="181"/>
        <v>1402255.138588201</v>
      </c>
      <c r="AZ107" s="155">
        <f t="shared" si="181"/>
        <v>372437.18014509958</v>
      </c>
      <c r="BA107" s="155">
        <f t="shared" si="181"/>
        <v>1451688.8846592072</v>
      </c>
      <c r="BB107" s="155">
        <f t="shared" si="181"/>
        <v>901011.25545719662</v>
      </c>
      <c r="BC107" s="155">
        <f t="shared" si="181"/>
        <v>1703545.9884265738</v>
      </c>
      <c r="BD107" s="155">
        <f t="shared" si="181"/>
        <v>1185808.2941404828</v>
      </c>
      <c r="BE107" s="155">
        <f t="shared" si="181"/>
        <v>715414.03188719763</v>
      </c>
      <c r="BF107" s="155">
        <f t="shared" si="181"/>
        <v>1655255.3670638483</v>
      </c>
      <c r="BG107" s="155">
        <f t="shared" si="181"/>
        <v>198227.61906475754</v>
      </c>
      <c r="BH107" s="155">
        <f t="shared" si="181"/>
        <v>837883.31672503834</v>
      </c>
      <c r="BI107" s="155">
        <f t="shared" si="181"/>
        <v>1572514.4969193002</v>
      </c>
      <c r="BJ107" s="155">
        <f t="shared" si="181"/>
        <v>909378.6165314673</v>
      </c>
      <c r="BK107" s="155">
        <f t="shared" si="181"/>
        <v>426426.44095911639</v>
      </c>
      <c r="BL107" s="155">
        <f t="shared" si="181"/>
        <v>812056.25238138554</v>
      </c>
      <c r="BM107" s="155">
        <f t="shared" si="181"/>
        <v>921220.7992096754</v>
      </c>
      <c r="BN107" s="155">
        <f t="shared" si="181"/>
        <v>1607037.2682690725</v>
      </c>
      <c r="BO107" s="155">
        <f t="shared" si="181"/>
        <v>305047.68907221413</v>
      </c>
      <c r="BP107" s="155">
        <f t="shared" si="181"/>
        <v>724698.76173702732</v>
      </c>
      <c r="BQ107" s="155">
        <f t="shared" si="181"/>
        <v>849979.70239698212</v>
      </c>
      <c r="BR107" s="155">
        <f t="shared" ref="BR107:CL107" si="182">SUM(BR7:BR92)</f>
        <v>695974.2561234223</v>
      </c>
      <c r="BS107" s="155">
        <f t="shared" si="182"/>
        <v>616257.89874807326</v>
      </c>
      <c r="BT107" s="155">
        <f t="shared" si="182"/>
        <v>1305318.8007837043</v>
      </c>
      <c r="BU107" s="155">
        <f t="shared" si="182"/>
        <v>726271.17247582076</v>
      </c>
      <c r="BV107" s="155">
        <f t="shared" si="182"/>
        <v>1902841.9132370688</v>
      </c>
      <c r="BW107" s="155">
        <f t="shared" si="182"/>
        <v>796511.00173067022</v>
      </c>
      <c r="BX107" s="155">
        <f t="shared" si="182"/>
        <v>1069446.5853107646</v>
      </c>
      <c r="BY107" s="155">
        <f t="shared" si="182"/>
        <v>822347.50555923034</v>
      </c>
      <c r="BZ107" s="155">
        <f t="shared" si="182"/>
        <v>1081189.0466400799</v>
      </c>
      <c r="CA107" s="155">
        <f t="shared" si="182"/>
        <v>925445.25568733341</v>
      </c>
      <c r="CB107" s="155">
        <f t="shared" si="182"/>
        <v>993136.93498706259</v>
      </c>
      <c r="CC107" s="155">
        <f t="shared" si="182"/>
        <v>1340174.5585145229</v>
      </c>
      <c r="CD107" s="155">
        <f t="shared" si="182"/>
        <v>885498.16780388099</v>
      </c>
      <c r="CE107" s="155">
        <f t="shared" si="182"/>
        <v>1033891.3363967045</v>
      </c>
      <c r="CF107" s="155">
        <f t="shared" si="182"/>
        <v>425594.22598883236</v>
      </c>
      <c r="CG107" s="155">
        <f t="shared" si="182"/>
        <v>1496360.0872279711</v>
      </c>
      <c r="CH107" s="155">
        <f t="shared" si="182"/>
        <v>1487441.8210026906</v>
      </c>
      <c r="CI107" s="155">
        <f t="shared" si="182"/>
        <v>861488.02852414385</v>
      </c>
      <c r="CJ107" s="155">
        <f t="shared" si="182"/>
        <v>1763059.7239000236</v>
      </c>
      <c r="CK107" s="155">
        <f t="shared" si="182"/>
        <v>1099879.3041070185</v>
      </c>
      <c r="CL107" s="155">
        <f t="shared" si="182"/>
        <v>46063579.018809021</v>
      </c>
    </row>
    <row r="108" spans="1:102">
      <c r="B108" s="71" t="s">
        <v>209</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M110" s="507" t="s">
        <v>339</v>
      </c>
      <c r="CN110" s="126"/>
      <c r="CO110" s="126"/>
      <c r="CP110" s="126"/>
      <c r="CQ110" s="126"/>
      <c r="CR110" s="126"/>
      <c r="CS110" s="126"/>
      <c r="CT110" s="126"/>
      <c r="CU110" s="126"/>
      <c r="CV110" s="126"/>
      <c r="CW110" s="126"/>
      <c r="CX110" s="126"/>
    </row>
    <row r="111" spans="1:102" ht="1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M111" s="508">
        <v>88614.660000000033</v>
      </c>
      <c r="CN111" s="126"/>
      <c r="CO111" s="126"/>
      <c r="CP111" s="126"/>
      <c r="CQ111" s="126"/>
      <c r="CR111" s="126"/>
      <c r="CS111" s="126"/>
      <c r="CT111" s="126"/>
      <c r="CU111" s="126"/>
      <c r="CV111" s="126"/>
      <c r="CW111" s="126"/>
      <c r="CX111" s="126"/>
    </row>
    <row r="112" spans="1:102">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'2019'!AZ117+'2019'!BA117</f>
        <v>5400</v>
      </c>
      <c r="Q117" s="323">
        <f>'2019'!AU117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593">
        <v>2015</v>
      </c>
      <c r="D118" s="329" t="s">
        <v>285</v>
      </c>
      <c r="E118" s="459"/>
      <c r="F118" s="489">
        <v>538.54300000000001</v>
      </c>
      <c r="G118" s="592">
        <v>284.96699999999998</v>
      </c>
      <c r="H118" s="592">
        <v>462.73399999999998</v>
      </c>
      <c r="I118" s="489">
        <v>386.41800000000001</v>
      </c>
      <c r="J118" s="324"/>
      <c r="K118" s="323">
        <f>BF118</f>
        <v>63.302999999999997</v>
      </c>
      <c r="L118" s="324">
        <f>AY118</f>
        <v>40.700000000000003</v>
      </c>
      <c r="M118" s="324">
        <f>BD118</f>
        <v>46.728999999999999</v>
      </c>
      <c r="N118" s="324">
        <f>AW118</f>
        <v>24.513999999999999</v>
      </c>
      <c r="O118" s="324">
        <f>BE118</f>
        <v>23.31</v>
      </c>
      <c r="P118" s="423">
        <f>AZ118+BA118</f>
        <v>75.56</v>
      </c>
      <c r="Q118" s="323">
        <f>AU118</f>
        <v>20.469000000000001</v>
      </c>
      <c r="R118" s="423">
        <f>AT118+AX118</f>
        <v>67.084000000000003</v>
      </c>
      <c r="S118" s="324">
        <f>AV118</f>
        <v>25.663</v>
      </c>
      <c r="T118" s="324">
        <f>BB118</f>
        <v>58.972999999999999</v>
      </c>
      <c r="U118" s="323">
        <f>BC118</f>
        <v>92.238</v>
      </c>
      <c r="V118" s="423">
        <f>BG118+BJ118</f>
        <v>39.152000000000001</v>
      </c>
      <c r="W118" s="324">
        <f>BR118</f>
        <v>23.024000000000001</v>
      </c>
      <c r="X118" s="423">
        <f>BH118+BI118</f>
        <v>53.928999999999995</v>
      </c>
      <c r="Y118" s="423">
        <f>BK118+BL118+BN118</f>
        <v>64.858999999999995</v>
      </c>
      <c r="Z118" s="324">
        <f>BM118</f>
        <v>48.371000000000002</v>
      </c>
      <c r="AA118" s="423">
        <f>BO118+BQ118</f>
        <v>29.02</v>
      </c>
      <c r="AB118" s="323">
        <f>BP118</f>
        <v>26.611999999999998</v>
      </c>
      <c r="AC118" s="324">
        <f>BX118</f>
        <v>35.753</v>
      </c>
      <c r="AD118" s="324">
        <f>BU118</f>
        <v>37.515000000000001</v>
      </c>
      <c r="AE118" s="423">
        <f>BS118+BT118</f>
        <v>109.90700000000001</v>
      </c>
      <c r="AF118" s="324">
        <f>CA118</f>
        <v>36.46</v>
      </c>
      <c r="AG118" s="324">
        <f>BV118</f>
        <v>104.33799999999999</v>
      </c>
      <c r="AH118" s="324">
        <f>BZ118</f>
        <v>56.154000000000003</v>
      </c>
      <c r="AI118" s="324">
        <f>BW118</f>
        <v>28.632000000000001</v>
      </c>
      <c r="AJ118" s="324">
        <f>BY118</f>
        <v>19.510999999999999</v>
      </c>
      <c r="AK118" s="323">
        <f>CB118</f>
        <v>34.463999999999999</v>
      </c>
      <c r="AL118" s="324">
        <f>CE118</f>
        <v>23.974</v>
      </c>
      <c r="AM118" s="324">
        <f>CH118</f>
        <v>69.561999999999998</v>
      </c>
      <c r="AN118" s="324">
        <f>CJ118</f>
        <v>88.519000000000005</v>
      </c>
      <c r="AO118" s="324">
        <f>CC118</f>
        <v>29.577000000000002</v>
      </c>
      <c r="AP118" s="324">
        <f>CD118</f>
        <v>13.565</v>
      </c>
      <c r="AQ118" s="324">
        <f>CK118</f>
        <v>46.732999999999997</v>
      </c>
      <c r="AR118" s="324">
        <f>CI118</f>
        <v>49.366</v>
      </c>
      <c r="AS118" s="423">
        <f>CF118+CG118</f>
        <v>65.122</v>
      </c>
      <c r="AT118" s="592">
        <v>19.713000000000001</v>
      </c>
      <c r="AU118" s="592">
        <v>20.469000000000001</v>
      </c>
      <c r="AV118" s="592">
        <v>25.663</v>
      </c>
      <c r="AW118" s="592">
        <v>24.513999999999999</v>
      </c>
      <c r="AX118" s="592">
        <v>47.371000000000002</v>
      </c>
      <c r="AY118" s="592">
        <v>40.700000000000003</v>
      </c>
      <c r="AZ118" s="592">
        <v>11.385</v>
      </c>
      <c r="BA118" s="592">
        <v>64.174999999999997</v>
      </c>
      <c r="BB118" s="592">
        <v>58.972999999999999</v>
      </c>
      <c r="BC118" s="592">
        <v>92.238</v>
      </c>
      <c r="BD118" s="592">
        <v>46.728999999999999</v>
      </c>
      <c r="BE118" s="592">
        <v>23.31</v>
      </c>
      <c r="BF118" s="489">
        <v>63.302999999999997</v>
      </c>
      <c r="BG118" s="592">
        <v>10.122999999999999</v>
      </c>
      <c r="BH118" s="592">
        <v>9.9459999999999997</v>
      </c>
      <c r="BI118" s="592">
        <v>43.982999999999997</v>
      </c>
      <c r="BJ118" s="592">
        <v>29.029</v>
      </c>
      <c r="BK118" s="592">
        <v>9.0640000000000001</v>
      </c>
      <c r="BL118" s="592">
        <v>3.7789999999999999</v>
      </c>
      <c r="BM118" s="592">
        <v>48.371000000000002</v>
      </c>
      <c r="BN118" s="592">
        <v>52.015999999999998</v>
      </c>
      <c r="BO118" s="592">
        <v>8.4149999999999991</v>
      </c>
      <c r="BP118" s="592">
        <v>26.611999999999998</v>
      </c>
      <c r="BQ118" s="592">
        <v>20.605</v>
      </c>
      <c r="BR118" s="489">
        <v>23.024000000000001</v>
      </c>
      <c r="BS118" s="592">
        <v>17.939</v>
      </c>
      <c r="BT118" s="592">
        <v>91.968000000000004</v>
      </c>
      <c r="BU118" s="592">
        <v>37.515000000000001</v>
      </c>
      <c r="BV118" s="592">
        <v>104.33799999999999</v>
      </c>
      <c r="BW118" s="592">
        <v>28.632000000000001</v>
      </c>
      <c r="BX118" s="592">
        <v>35.753</v>
      </c>
      <c r="BY118" s="592">
        <v>19.510999999999999</v>
      </c>
      <c r="BZ118" s="592">
        <v>56.154000000000003</v>
      </c>
      <c r="CA118" s="592">
        <v>36.46</v>
      </c>
      <c r="CB118" s="489">
        <v>34.463999999999999</v>
      </c>
      <c r="CC118" s="592">
        <v>29.577000000000002</v>
      </c>
      <c r="CD118" s="592">
        <v>13.565</v>
      </c>
      <c r="CE118" s="592">
        <v>23.974</v>
      </c>
      <c r="CF118" s="592">
        <v>7.6950000000000003</v>
      </c>
      <c r="CG118" s="592">
        <v>57.427</v>
      </c>
      <c r="CH118" s="592">
        <v>69.561999999999998</v>
      </c>
      <c r="CI118" s="592">
        <v>49.366</v>
      </c>
      <c r="CJ118" s="592">
        <v>88.519000000000005</v>
      </c>
      <c r="CK118" s="489">
        <v>46.732999999999997</v>
      </c>
      <c r="CL118" s="489">
        <v>1672.6619999999994</v>
      </c>
    </row>
    <row r="119" spans="1:90" s="69" customFormat="1" ht="11.25">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2">
      <c r="B123" s="328" t="s">
        <v>370</v>
      </c>
      <c r="C123" s="585">
        <v>2019</v>
      </c>
      <c r="D123" s="69" t="s">
        <v>13</v>
      </c>
      <c r="E123" s="486">
        <v>43772</v>
      </c>
      <c r="F123" s="487">
        <v>1774</v>
      </c>
      <c r="G123" s="487">
        <v>372</v>
      </c>
      <c r="H123" s="487">
        <v>1613</v>
      </c>
      <c r="I123" s="487">
        <v>2578</v>
      </c>
      <c r="J123" s="488"/>
      <c r="K123" s="488">
        <f>BF123</f>
        <v>437</v>
      </c>
      <c r="L123" s="488">
        <f>AY123</f>
        <v>152</v>
      </c>
      <c r="M123" s="488">
        <f>BD123</f>
        <v>121</v>
      </c>
      <c r="N123" s="488">
        <f>AW123</f>
        <v>185</v>
      </c>
      <c r="O123" s="488">
        <f>BE123</f>
        <v>118</v>
      </c>
      <c r="P123" s="488">
        <f>'2019'!BA123</f>
        <v>65</v>
      </c>
      <c r="Q123" s="488">
        <f>'2019'!AU123</f>
        <v>47</v>
      </c>
      <c r="R123" s="488">
        <f>AX123</f>
        <v>79</v>
      </c>
      <c r="S123" s="488">
        <f>AV123</f>
        <v>58</v>
      </c>
      <c r="T123" s="488">
        <f>BB123</f>
        <v>133</v>
      </c>
      <c r="U123" s="488">
        <f>BC123</f>
        <v>367</v>
      </c>
      <c r="V123" s="488">
        <f>BJ123</f>
        <v>9</v>
      </c>
      <c r="W123" s="488">
        <f>BR123</f>
        <v>67</v>
      </c>
      <c r="X123" s="488">
        <f>BI123</f>
        <v>17</v>
      </c>
      <c r="Y123" s="488">
        <f>BN123</f>
        <v>45</v>
      </c>
      <c r="Z123" s="488">
        <f>BM123</f>
        <v>114</v>
      </c>
      <c r="AA123" s="488">
        <f>BQ123</f>
        <v>46</v>
      </c>
      <c r="AB123" s="488">
        <f>BP123</f>
        <v>68</v>
      </c>
      <c r="AC123" s="488">
        <f>BX123</f>
        <v>310</v>
      </c>
      <c r="AD123" s="488">
        <f>BU123</f>
        <v>110</v>
      </c>
      <c r="AE123" s="488">
        <f>BT123</f>
        <v>301</v>
      </c>
      <c r="AF123" s="488">
        <f>CA123</f>
        <v>91</v>
      </c>
      <c r="AG123" s="488">
        <f>BV123</f>
        <v>242</v>
      </c>
      <c r="AH123" s="488">
        <f>BZ123</f>
        <v>145</v>
      </c>
      <c r="AI123" s="488">
        <f>BW123</f>
        <v>125</v>
      </c>
      <c r="AJ123" s="488">
        <f>BY123</f>
        <v>77</v>
      </c>
      <c r="AK123" s="488">
        <f>CB123</f>
        <v>208</v>
      </c>
      <c r="AL123" s="488">
        <f>CE123</f>
        <v>47</v>
      </c>
      <c r="AM123" s="488">
        <f>CH123</f>
        <v>528</v>
      </c>
      <c r="AN123" s="488">
        <f>CJ123</f>
        <v>1134</v>
      </c>
      <c r="AO123" s="488">
        <f>CC123</f>
        <v>128</v>
      </c>
      <c r="AP123" s="488">
        <f>CD123</f>
        <v>19</v>
      </c>
      <c r="AQ123" s="488">
        <f>CK123</f>
        <v>212</v>
      </c>
      <c r="AR123" s="488">
        <f>CI123</f>
        <v>182</v>
      </c>
      <c r="AS123" s="488">
        <f>CG123</f>
        <v>315</v>
      </c>
      <c r="AT123" s="487">
        <v>11</v>
      </c>
      <c r="AU123" s="487">
        <v>47</v>
      </c>
      <c r="AV123" s="487">
        <v>58</v>
      </c>
      <c r="AW123" s="487">
        <v>185</v>
      </c>
      <c r="AX123" s="487">
        <v>79</v>
      </c>
      <c r="AY123" s="487">
        <v>152</v>
      </c>
      <c r="AZ123" s="487">
        <v>1</v>
      </c>
      <c r="BA123" s="487">
        <v>65</v>
      </c>
      <c r="BB123" s="487">
        <v>133</v>
      </c>
      <c r="BC123" s="487">
        <v>367</v>
      </c>
      <c r="BD123" s="487">
        <v>121</v>
      </c>
      <c r="BE123" s="487">
        <v>118</v>
      </c>
      <c r="BF123" s="487">
        <v>437</v>
      </c>
      <c r="BG123" s="487">
        <v>0</v>
      </c>
      <c r="BH123" s="487">
        <v>2</v>
      </c>
      <c r="BI123" s="487">
        <v>17</v>
      </c>
      <c r="BJ123" s="487">
        <v>9</v>
      </c>
      <c r="BK123" s="487">
        <v>3</v>
      </c>
      <c r="BL123" s="487">
        <v>0</v>
      </c>
      <c r="BM123" s="487">
        <v>114</v>
      </c>
      <c r="BN123" s="487">
        <v>45</v>
      </c>
      <c r="BO123" s="487">
        <v>1</v>
      </c>
      <c r="BP123" s="487">
        <v>68</v>
      </c>
      <c r="BQ123" s="487">
        <v>46</v>
      </c>
      <c r="BR123" s="487">
        <v>67</v>
      </c>
      <c r="BS123" s="487">
        <v>4</v>
      </c>
      <c r="BT123" s="487">
        <v>301</v>
      </c>
      <c r="BU123" s="487">
        <v>110</v>
      </c>
      <c r="BV123" s="487">
        <v>242</v>
      </c>
      <c r="BW123" s="487">
        <v>125</v>
      </c>
      <c r="BX123" s="487">
        <v>310</v>
      </c>
      <c r="BY123" s="487">
        <v>77</v>
      </c>
      <c r="BZ123" s="487">
        <v>145</v>
      </c>
      <c r="CA123" s="487">
        <v>91</v>
      </c>
      <c r="CB123" s="487">
        <v>208</v>
      </c>
      <c r="CC123" s="487">
        <v>128</v>
      </c>
      <c r="CD123" s="487">
        <v>19</v>
      </c>
      <c r="CE123" s="487">
        <v>47</v>
      </c>
      <c r="CF123" s="487">
        <v>13</v>
      </c>
      <c r="CG123" s="487">
        <v>315</v>
      </c>
      <c r="CH123" s="487">
        <v>528</v>
      </c>
      <c r="CI123" s="487">
        <v>182</v>
      </c>
      <c r="CJ123" s="487">
        <v>1134</v>
      </c>
      <c r="CK123" s="487">
        <v>212</v>
      </c>
      <c r="CL123" s="487">
        <v>6337</v>
      </c>
    </row>
    <row r="124" spans="1:90" s="69" customFormat="1" ht="11.25">
      <c r="B124" s="328" t="s">
        <v>236</v>
      </c>
      <c r="C124" s="322">
        <v>2010</v>
      </c>
      <c r="D124" s="69" t="s">
        <v>13</v>
      </c>
      <c r="E124" s="460">
        <v>42887</v>
      </c>
      <c r="F124" s="323">
        <v>1906</v>
      </c>
      <c r="G124" s="323">
        <v>421</v>
      </c>
      <c r="H124" s="323">
        <v>1152</v>
      </c>
      <c r="I124" s="323">
        <v>1392</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t="s">
        <v>41</v>
      </c>
      <c r="AU124" s="323">
        <v>57</v>
      </c>
      <c r="AV124" s="323">
        <v>43</v>
      </c>
      <c r="AW124" s="323">
        <v>70</v>
      </c>
      <c r="AX124" s="323">
        <v>76</v>
      </c>
      <c r="AY124" s="323">
        <v>96</v>
      </c>
      <c r="AZ124" s="323">
        <v>1</v>
      </c>
      <c r="BA124" s="323">
        <v>67</v>
      </c>
      <c r="BB124" s="323">
        <v>228</v>
      </c>
      <c r="BC124" s="323">
        <v>612</v>
      </c>
      <c r="BD124" s="323">
        <v>245</v>
      </c>
      <c r="BE124" s="323">
        <v>113</v>
      </c>
      <c r="BF124" s="323">
        <v>298</v>
      </c>
      <c r="BG124" s="323" t="s">
        <v>41</v>
      </c>
      <c r="BH124" s="323">
        <v>7</v>
      </c>
      <c r="BI124" s="323">
        <v>41</v>
      </c>
      <c r="BJ124" s="323">
        <v>27</v>
      </c>
      <c r="BK124" s="323">
        <v>5</v>
      </c>
      <c r="BL124" s="323">
        <v>1</v>
      </c>
      <c r="BM124" s="323">
        <v>114</v>
      </c>
      <c r="BN124" s="323">
        <v>73</v>
      </c>
      <c r="BO124" s="323">
        <v>2</v>
      </c>
      <c r="BP124" s="323">
        <v>55</v>
      </c>
      <c r="BQ124" s="323">
        <v>39</v>
      </c>
      <c r="BR124" s="323">
        <v>57</v>
      </c>
      <c r="BS124" s="323">
        <v>4</v>
      </c>
      <c r="BT124" s="323">
        <v>175</v>
      </c>
      <c r="BU124" s="323">
        <v>90</v>
      </c>
      <c r="BV124" s="323">
        <v>303</v>
      </c>
      <c r="BW124" s="323">
        <v>136</v>
      </c>
      <c r="BX124" s="323">
        <v>152</v>
      </c>
      <c r="BY124" s="323">
        <v>42</v>
      </c>
      <c r="BZ124" s="323">
        <v>60</v>
      </c>
      <c r="CA124" s="323">
        <v>65</v>
      </c>
      <c r="CB124" s="323">
        <v>125</v>
      </c>
      <c r="CC124" s="323">
        <v>110</v>
      </c>
      <c r="CD124" s="323">
        <v>37</v>
      </c>
      <c r="CE124" s="323">
        <v>54</v>
      </c>
      <c r="CF124" s="323">
        <v>22</v>
      </c>
      <c r="CG124" s="323">
        <v>441</v>
      </c>
      <c r="CH124" s="323">
        <v>300</v>
      </c>
      <c r="CI124" s="323">
        <v>70</v>
      </c>
      <c r="CJ124" s="323">
        <v>145</v>
      </c>
      <c r="CK124" s="323">
        <v>213</v>
      </c>
      <c r="CL124" s="323">
        <v>4871</v>
      </c>
    </row>
    <row r="125" spans="1:90" s="69" customFormat="1" ht="11.25">
      <c r="B125" s="328" t="s">
        <v>237</v>
      </c>
      <c r="C125" s="322">
        <v>2010</v>
      </c>
      <c r="D125" s="69" t="s">
        <v>13</v>
      </c>
      <c r="E125" s="460">
        <v>42887</v>
      </c>
      <c r="F125" s="323">
        <v>484450</v>
      </c>
      <c r="G125" s="323">
        <v>52226</v>
      </c>
      <c r="H125" s="323">
        <v>68285</v>
      </c>
      <c r="I125" s="323">
        <v>346813</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t="s">
        <v>41</v>
      </c>
      <c r="AU125" s="323">
        <v>9877</v>
      </c>
      <c r="AV125" s="323" t="s">
        <v>304</v>
      </c>
      <c r="AW125" s="323">
        <v>13131</v>
      </c>
      <c r="AX125" s="323">
        <v>21703</v>
      </c>
      <c r="AY125" s="323">
        <v>6704</v>
      </c>
      <c r="AZ125" s="323" t="s">
        <v>304</v>
      </c>
      <c r="BA125" s="323">
        <v>14031</v>
      </c>
      <c r="BB125" s="323">
        <v>70737</v>
      </c>
      <c r="BC125" s="323">
        <v>207846</v>
      </c>
      <c r="BD125" s="323">
        <v>55831</v>
      </c>
      <c r="BE125" s="323">
        <v>32010</v>
      </c>
      <c r="BF125" s="323">
        <v>47664</v>
      </c>
      <c r="BG125" s="323" t="s">
        <v>41</v>
      </c>
      <c r="BH125" s="323" t="s">
        <v>304</v>
      </c>
      <c r="BI125" s="323">
        <v>2226</v>
      </c>
      <c r="BJ125" s="323">
        <v>2539</v>
      </c>
      <c r="BK125" s="323">
        <v>411</v>
      </c>
      <c r="BL125" s="323" t="s">
        <v>304</v>
      </c>
      <c r="BM125" s="323">
        <v>22768</v>
      </c>
      <c r="BN125" s="323">
        <v>12430</v>
      </c>
      <c r="BO125" s="323" t="s">
        <v>304</v>
      </c>
      <c r="BP125" s="323">
        <v>2682</v>
      </c>
      <c r="BQ125" s="323">
        <v>4772</v>
      </c>
      <c r="BR125" s="323">
        <v>3187</v>
      </c>
      <c r="BS125" s="323" t="s">
        <v>304</v>
      </c>
      <c r="BT125" s="323">
        <v>5018</v>
      </c>
      <c r="BU125" s="323" t="s">
        <v>304</v>
      </c>
      <c r="BV125" s="323">
        <v>11124</v>
      </c>
      <c r="BW125" s="323">
        <v>20734</v>
      </c>
      <c r="BX125" s="323">
        <v>10615</v>
      </c>
      <c r="BY125" s="323">
        <v>2849</v>
      </c>
      <c r="BZ125" s="323">
        <v>7673</v>
      </c>
      <c r="CA125" s="323">
        <v>2012</v>
      </c>
      <c r="CB125" s="323">
        <v>5856</v>
      </c>
      <c r="CC125" s="323">
        <v>11102</v>
      </c>
      <c r="CD125" s="323">
        <v>8585</v>
      </c>
      <c r="CE125" s="323">
        <v>4426</v>
      </c>
      <c r="CF125" s="323">
        <v>11271</v>
      </c>
      <c r="CG125" s="323">
        <v>141280</v>
      </c>
      <c r="CH125" s="323">
        <v>89667</v>
      </c>
      <c r="CI125" s="323">
        <v>10421</v>
      </c>
      <c r="CJ125" s="323">
        <v>18652</v>
      </c>
      <c r="CK125" s="323">
        <v>51409</v>
      </c>
      <c r="CL125" s="323">
        <v>951774</v>
      </c>
    </row>
    <row r="126" spans="1:90"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'2019'!AZ126+'2019'!BA126</f>
        <v>6973</v>
      </c>
      <c r="Q126" s="323">
        <f>'2019'!AU126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c r="B127" s="328"/>
      <c r="C127" s="322"/>
      <c r="E127" s="460"/>
      <c r="F127" s="323">
        <f>F126/F35%</f>
        <v>62.775559276911842</v>
      </c>
      <c r="G127" s="323">
        <f>G126/G35%</f>
        <v>41.844807930364667</v>
      </c>
      <c r="H127" s="323">
        <f>H126/H35%</f>
        <v>49.642220776649602</v>
      </c>
      <c r="I127" s="323">
        <f>I126/I35%</f>
        <v>52.439617593683934</v>
      </c>
      <c r="J127" s="323"/>
      <c r="K127" s="323">
        <f t="shared" ref="K127:BV127" si="183">K126/K35%</f>
        <v>100.45389804510808</v>
      </c>
      <c r="L127" s="323">
        <f t="shared" si="183"/>
        <v>68.779004016690706</v>
      </c>
      <c r="M127" s="323">
        <f t="shared" si="183"/>
        <v>69.840342394718007</v>
      </c>
      <c r="N127" s="323">
        <f t="shared" si="183"/>
        <v>73.915516996159866</v>
      </c>
      <c r="O127" s="323">
        <f t="shared" si="183"/>
        <v>59.224624238064592</v>
      </c>
      <c r="P127" s="323">
        <f t="shared" si="183"/>
        <v>12.011644732308964</v>
      </c>
      <c r="Q127" s="323">
        <f t="shared" si="183"/>
        <v>47.500890947968642</v>
      </c>
      <c r="R127" s="323">
        <f t="shared" si="183"/>
        <v>1.4383954154727794</v>
      </c>
      <c r="S127" s="323">
        <f t="shared" si="183"/>
        <v>55.952380952380949</v>
      </c>
      <c r="T127" s="323">
        <f t="shared" si="183"/>
        <v>55.707729815000718</v>
      </c>
      <c r="U127" s="323">
        <f t="shared" si="183"/>
        <v>96.906904933972811</v>
      </c>
      <c r="V127" s="323">
        <f t="shared" si="183"/>
        <v>33.07579102281089</v>
      </c>
      <c r="W127" s="323">
        <f t="shared" si="183"/>
        <v>82.163758106184432</v>
      </c>
      <c r="X127" s="323">
        <f t="shared" si="183"/>
        <v>6.4076628726023053</v>
      </c>
      <c r="Y127" s="323">
        <f t="shared" si="183"/>
        <v>15.517201755797119</v>
      </c>
      <c r="Z127" s="323">
        <f t="shared" si="183"/>
        <v>70.513209839052536</v>
      </c>
      <c r="AA127" s="323">
        <f t="shared" si="183"/>
        <v>44.993441189331001</v>
      </c>
      <c r="AB127" s="323">
        <f t="shared" si="183"/>
        <v>74.923085528891875</v>
      </c>
      <c r="AC127" s="323">
        <f t="shared" si="183"/>
        <v>65.327392584486304</v>
      </c>
      <c r="AD127" s="323">
        <f t="shared" si="183"/>
        <v>35.866822850964134</v>
      </c>
      <c r="AE127" s="323">
        <f t="shared" si="183"/>
        <v>11.043735314181763</v>
      </c>
      <c r="AF127" s="323">
        <f t="shared" si="183"/>
        <v>28.974868296053199</v>
      </c>
      <c r="AG127" s="323">
        <f t="shared" si="183"/>
        <v>33.826102481699692</v>
      </c>
      <c r="AH127" s="323">
        <f t="shared" si="183"/>
        <v>65.998441807503298</v>
      </c>
      <c r="AI127" s="323">
        <f t="shared" si="183"/>
        <v>96.361096327833963</v>
      </c>
      <c r="AJ127" s="323">
        <f t="shared" si="183"/>
        <v>62.832150519887769</v>
      </c>
      <c r="AK127" s="323">
        <f t="shared" si="183"/>
        <v>71.603639615000262</v>
      </c>
      <c r="AL127" s="323">
        <f t="shared" si="183"/>
        <v>60.114740392654305</v>
      </c>
      <c r="AM127" s="323">
        <f t="shared" si="183"/>
        <v>19.834295756967112</v>
      </c>
      <c r="AN127" s="323">
        <f t="shared" si="183"/>
        <v>58.559773134050815</v>
      </c>
      <c r="AO127" s="323">
        <f t="shared" si="183"/>
        <v>99.029148496672022</v>
      </c>
      <c r="AP127" s="323">
        <f t="shared" si="183"/>
        <v>60.489111563073564</v>
      </c>
      <c r="AQ127" s="323">
        <f t="shared" si="183"/>
        <v>71.982546144998452</v>
      </c>
      <c r="AR127" s="323">
        <f t="shared" si="183"/>
        <v>23.396957948106174</v>
      </c>
      <c r="AS127" s="323">
        <f t="shared" si="183"/>
        <v>44.681764787611627</v>
      </c>
      <c r="AT127" s="323">
        <f t="shared" si="183"/>
        <v>11.111111111111111</v>
      </c>
      <c r="AU127" s="323">
        <f t="shared" si="183"/>
        <v>47.500890947968642</v>
      </c>
      <c r="AV127" s="323">
        <f t="shared" si="183"/>
        <v>55.952380952380949</v>
      </c>
      <c r="AW127" s="323">
        <f t="shared" si="183"/>
        <v>73.915516996159866</v>
      </c>
      <c r="AX127" s="323">
        <f t="shared" si="183"/>
        <v>0.6885053567569237</v>
      </c>
      <c r="AY127" s="323">
        <f t="shared" si="183"/>
        <v>68.779004016690706</v>
      </c>
      <c r="AZ127" s="323">
        <f t="shared" si="183"/>
        <v>0</v>
      </c>
      <c r="BA127" s="323">
        <f t="shared" si="183"/>
        <v>12.928764786591017</v>
      </c>
      <c r="BB127" s="323">
        <f t="shared" si="183"/>
        <v>55.707729815000718</v>
      </c>
      <c r="BC127" s="323">
        <f t="shared" si="183"/>
        <v>96.906904933972811</v>
      </c>
      <c r="BD127" s="323">
        <f t="shared" si="183"/>
        <v>69.840342394718007</v>
      </c>
      <c r="BE127" s="323">
        <f t="shared" si="183"/>
        <v>59.224624238064592</v>
      </c>
      <c r="BF127" s="323">
        <f t="shared" si="183"/>
        <v>100.45389804510808</v>
      </c>
      <c r="BG127" s="323">
        <f t="shared" si="183"/>
        <v>113.57323232323232</v>
      </c>
      <c r="BH127" s="323">
        <f t="shared" si="183"/>
        <v>0</v>
      </c>
      <c r="BI127" s="323">
        <f t="shared" si="183"/>
        <v>6.8406536219816818</v>
      </c>
      <c r="BJ127" s="323">
        <f t="shared" si="183"/>
        <v>24.415919587068728</v>
      </c>
      <c r="BK127" s="323">
        <f t="shared" si="183"/>
        <v>113.32236842105264</v>
      </c>
      <c r="BL127" s="323">
        <f t="shared" si="183"/>
        <v>0</v>
      </c>
      <c r="BM127" s="323">
        <f t="shared" si="183"/>
        <v>70.513209839052536</v>
      </c>
      <c r="BN127" s="323">
        <f t="shared" si="183"/>
        <v>12.082839015835352</v>
      </c>
      <c r="BO127" s="323">
        <f t="shared" si="183"/>
        <v>28.969072164948457</v>
      </c>
      <c r="BP127" s="323">
        <f t="shared" si="183"/>
        <v>74.923085528891875</v>
      </c>
      <c r="BQ127" s="323">
        <f t="shared" si="183"/>
        <v>45.785958292968949</v>
      </c>
      <c r="BR127" s="323">
        <f t="shared" si="183"/>
        <v>82.163758106184432</v>
      </c>
      <c r="BS127" s="323">
        <f t="shared" si="183"/>
        <v>6.088721368512612</v>
      </c>
      <c r="BT127" s="323">
        <f t="shared" si="183"/>
        <v>11.390223627922065</v>
      </c>
      <c r="BU127" s="323">
        <f t="shared" si="183"/>
        <v>35.866822850964134</v>
      </c>
      <c r="BV127" s="323">
        <f t="shared" si="183"/>
        <v>33.826102481699692</v>
      </c>
      <c r="BW127" s="323">
        <f t="shared" ref="BW127:CL127" si="184">BW126/BW35%</f>
        <v>96.361096327833963</v>
      </c>
      <c r="BX127" s="323">
        <f t="shared" si="184"/>
        <v>65.327392584486304</v>
      </c>
      <c r="BY127" s="323">
        <f t="shared" si="184"/>
        <v>62.832150519887769</v>
      </c>
      <c r="BZ127" s="323">
        <f t="shared" si="184"/>
        <v>65.998441807503298</v>
      </c>
      <c r="CA127" s="323">
        <f t="shared" si="184"/>
        <v>28.974868296053199</v>
      </c>
      <c r="CB127" s="323">
        <f t="shared" si="184"/>
        <v>71.603639615000262</v>
      </c>
      <c r="CC127" s="323">
        <f t="shared" si="184"/>
        <v>99.029148496672022</v>
      </c>
      <c r="CD127" s="323">
        <f t="shared" si="184"/>
        <v>60.489111563073564</v>
      </c>
      <c r="CE127" s="323">
        <f t="shared" si="184"/>
        <v>60.114740392654305</v>
      </c>
      <c r="CF127" s="323">
        <f t="shared" si="184"/>
        <v>30.068876452862678</v>
      </c>
      <c r="CG127" s="323">
        <f t="shared" si="184"/>
        <v>45.592754109359277</v>
      </c>
      <c r="CH127" s="323">
        <f t="shared" si="184"/>
        <v>19.834295756967112</v>
      </c>
      <c r="CI127" s="323">
        <f t="shared" si="184"/>
        <v>23.396957948106174</v>
      </c>
      <c r="CJ127" s="323">
        <f t="shared" si="184"/>
        <v>58.559773134050815</v>
      </c>
      <c r="CK127" s="323">
        <f t="shared" si="184"/>
        <v>71.982546144998452</v>
      </c>
      <c r="CL127" s="323">
        <f t="shared" si="184"/>
        <v>53.681690419356208</v>
      </c>
    </row>
    <row r="128" spans="1:90"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2:90">
      <c r="B130" s="58" t="s">
        <v>290</v>
      </c>
      <c r="D130" t="s">
        <v>7</v>
      </c>
      <c r="E130" s="457">
        <v>42024</v>
      </c>
      <c r="F130" s="126">
        <v>16888</v>
      </c>
      <c r="G130" s="126">
        <v>7358</v>
      </c>
      <c r="H130" s="126">
        <v>22942</v>
      </c>
      <c r="I130" s="126">
        <v>14975</v>
      </c>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row r="131" spans="2:90">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row>
    <row r="132" spans="2:90">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2:90">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row r="152" spans="46:90">
      <c r="AT152" s="691" t="s">
        <v>340</v>
      </c>
      <c r="AU152" s="691" t="s">
        <v>341</v>
      </c>
      <c r="AV152" s="691" t="s">
        <v>310</v>
      </c>
      <c r="AW152" s="691" t="s">
        <v>311</v>
      </c>
      <c r="AX152" s="691" t="s">
        <v>312</v>
      </c>
      <c r="AY152" s="691" t="s">
        <v>342</v>
      </c>
      <c r="AZ152" s="691" t="s">
        <v>343</v>
      </c>
      <c r="BA152" s="691" t="s">
        <v>313</v>
      </c>
      <c r="BB152" s="691" t="s">
        <v>344</v>
      </c>
      <c r="BC152" s="691" t="s">
        <v>345</v>
      </c>
      <c r="BD152" s="691" t="s">
        <v>346</v>
      </c>
      <c r="BE152" s="691" t="s">
        <v>347</v>
      </c>
      <c r="BF152" s="691" t="s">
        <v>314</v>
      </c>
      <c r="BG152" s="691" t="s">
        <v>315</v>
      </c>
      <c r="BH152" s="691" t="s">
        <v>374</v>
      </c>
      <c r="BI152" s="691" t="s">
        <v>316</v>
      </c>
      <c r="BJ152" s="691" t="s">
        <v>317</v>
      </c>
      <c r="BK152" s="691" t="s">
        <v>348</v>
      </c>
      <c r="BL152" s="691" t="s">
        <v>349</v>
      </c>
      <c r="BM152" s="691" t="s">
        <v>350</v>
      </c>
      <c r="BN152" s="691" t="s">
        <v>351</v>
      </c>
      <c r="BO152" s="691" t="s">
        <v>352</v>
      </c>
      <c r="BP152" s="691" t="s">
        <v>318</v>
      </c>
      <c r="BQ152" s="691" t="s">
        <v>319</v>
      </c>
      <c r="BR152" s="691" t="s">
        <v>320</v>
      </c>
      <c r="BS152" s="691" t="s">
        <v>321</v>
      </c>
      <c r="BT152" s="691" t="s">
        <v>322</v>
      </c>
      <c r="BU152" s="691" t="s">
        <v>323</v>
      </c>
      <c r="BV152" s="691" t="s">
        <v>324</v>
      </c>
      <c r="BW152" s="691" t="s">
        <v>325</v>
      </c>
      <c r="BX152" s="691" t="s">
        <v>326</v>
      </c>
      <c r="BY152" s="691" t="s">
        <v>327</v>
      </c>
      <c r="BZ152" s="691" t="s">
        <v>328</v>
      </c>
      <c r="CA152" s="691" t="s">
        <v>329</v>
      </c>
      <c r="CB152" s="691" t="s">
        <v>330</v>
      </c>
      <c r="CC152" s="691" t="s">
        <v>331</v>
      </c>
      <c r="CD152" s="691" t="s">
        <v>332</v>
      </c>
      <c r="CE152" s="691" t="s">
        <v>333</v>
      </c>
      <c r="CF152" s="691" t="s">
        <v>353</v>
      </c>
      <c r="CG152" s="691" t="s">
        <v>334</v>
      </c>
      <c r="CH152" s="691" t="s">
        <v>335</v>
      </c>
      <c r="CI152" s="691" t="s">
        <v>336</v>
      </c>
      <c r="CJ152" s="691" t="s">
        <v>337</v>
      </c>
      <c r="CK152" s="691" t="s">
        <v>338</v>
      </c>
    </row>
    <row r="153" spans="46:90" ht="15">
      <c r="AT153" s="692">
        <v>2</v>
      </c>
      <c r="AU153" s="692">
        <v>25</v>
      </c>
      <c r="AV153" s="692">
        <v>36</v>
      </c>
      <c r="AW153" s="692">
        <v>35</v>
      </c>
      <c r="AX153" s="692">
        <v>40</v>
      </c>
      <c r="AY153" s="692">
        <v>171</v>
      </c>
      <c r="AZ153" s="692">
        <v>5</v>
      </c>
      <c r="BA153" s="692">
        <v>95</v>
      </c>
      <c r="BB153" s="692">
        <v>65</v>
      </c>
      <c r="BC153" s="692">
        <v>79</v>
      </c>
      <c r="BD153" s="692">
        <v>46</v>
      </c>
      <c r="BE153" s="692">
        <v>15</v>
      </c>
      <c r="BF153" s="692">
        <v>71</v>
      </c>
      <c r="BG153" s="692">
        <v>7</v>
      </c>
      <c r="BH153" s="692">
        <v>3</v>
      </c>
      <c r="BI153" s="692">
        <v>40</v>
      </c>
      <c r="BJ153" s="692">
        <v>59</v>
      </c>
      <c r="BK153" s="692">
        <v>5</v>
      </c>
      <c r="BL153" s="692">
        <v>2</v>
      </c>
      <c r="BM153" s="692">
        <v>35</v>
      </c>
      <c r="BN153" s="692">
        <v>48</v>
      </c>
      <c r="BO153" s="692">
        <v>2</v>
      </c>
      <c r="BP153" s="692">
        <v>50</v>
      </c>
      <c r="BQ153" s="692">
        <v>33</v>
      </c>
      <c r="BR153" s="692">
        <v>40</v>
      </c>
      <c r="BS153" s="692">
        <v>6</v>
      </c>
      <c r="BT153" s="692">
        <v>110</v>
      </c>
      <c r="BU153" s="692">
        <v>69</v>
      </c>
      <c r="BV153" s="692">
        <v>137</v>
      </c>
      <c r="BW153" s="692">
        <v>38</v>
      </c>
      <c r="BX153" s="692">
        <v>120</v>
      </c>
      <c r="BY153" s="692">
        <v>39</v>
      </c>
      <c r="BZ153" s="692">
        <v>98</v>
      </c>
      <c r="CA153" s="692">
        <v>132</v>
      </c>
      <c r="CB153" s="692">
        <v>177</v>
      </c>
      <c r="CC153" s="692">
        <v>33</v>
      </c>
      <c r="CD153" s="692">
        <v>13</v>
      </c>
      <c r="CE153" s="692">
        <v>34</v>
      </c>
      <c r="CF153" s="692">
        <v>2</v>
      </c>
      <c r="CG153" s="692">
        <v>31</v>
      </c>
      <c r="CH153" s="692">
        <v>44</v>
      </c>
      <c r="CI153" s="692">
        <v>38</v>
      </c>
      <c r="CJ153" s="692">
        <v>68</v>
      </c>
      <c r="CK153" s="692">
        <v>56</v>
      </c>
      <c r="CL153" s="693">
        <v>2254</v>
      </c>
    </row>
    <row r="154" spans="46:90">
      <c r="AT154" s="692">
        <v>1642.1299999999999</v>
      </c>
      <c r="AU154" s="692">
        <v>23012.719999999998</v>
      </c>
      <c r="AV154" s="692">
        <v>12955.949999999999</v>
      </c>
      <c r="AW154" s="692">
        <v>21235.45</v>
      </c>
      <c r="AX154" s="692">
        <v>19000</v>
      </c>
      <c r="AY154" s="692">
        <v>8695.2199999999975</v>
      </c>
      <c r="AZ154" s="692">
        <v>802.22</v>
      </c>
      <c r="BA154" s="692">
        <v>28171.230000000003</v>
      </c>
      <c r="BB154" s="692">
        <v>13125.729999999994</v>
      </c>
      <c r="BC154" s="692">
        <v>5604.9699999999993</v>
      </c>
      <c r="BD154" s="692">
        <v>52391.43</v>
      </c>
      <c r="BE154" s="692">
        <v>68472.180000000008</v>
      </c>
      <c r="BF154" s="692">
        <v>17234.57</v>
      </c>
      <c r="BG154" s="692">
        <v>3990.3899999999994</v>
      </c>
      <c r="BH154" s="692">
        <v>8534.01</v>
      </c>
      <c r="BI154" s="692">
        <v>34929.600000000006</v>
      </c>
      <c r="BJ154" s="692">
        <v>15967.439999999999</v>
      </c>
      <c r="BK154" s="692">
        <v>2044.9399999999998</v>
      </c>
      <c r="BL154" s="692">
        <v>6646.3899999999994</v>
      </c>
      <c r="BM154" s="692">
        <v>27663.01</v>
      </c>
      <c r="BN154" s="692">
        <v>35040.07</v>
      </c>
      <c r="BO154" s="692">
        <v>4016.86</v>
      </c>
      <c r="BP154" s="692">
        <v>28546.199999999997</v>
      </c>
      <c r="BQ154" s="692">
        <v>20260.309999999998</v>
      </c>
      <c r="BR154" s="692">
        <v>15564.76</v>
      </c>
      <c r="BS154" s="692">
        <v>1181.7599999999998</v>
      </c>
      <c r="BT154" s="692">
        <v>21330.729999999992</v>
      </c>
      <c r="BU154" s="692">
        <v>8672.17</v>
      </c>
      <c r="BV154" s="692">
        <v>19755.710000000006</v>
      </c>
      <c r="BW154" s="692">
        <v>21300.820000000014</v>
      </c>
      <c r="BX154" s="692">
        <v>16776.750000000004</v>
      </c>
      <c r="BY154" s="692">
        <v>15552.83</v>
      </c>
      <c r="BZ154" s="692">
        <v>22803.579999999998</v>
      </c>
      <c r="CA154" s="692">
        <v>9822.5400000000009</v>
      </c>
      <c r="CB154" s="692">
        <v>21473.08</v>
      </c>
      <c r="CC154" s="692">
        <v>55452.76</v>
      </c>
      <c r="CD154" s="692">
        <v>15670.099999999999</v>
      </c>
      <c r="CE154" s="692">
        <v>32297.29</v>
      </c>
      <c r="CF154" s="692">
        <v>599.70000000000005</v>
      </c>
      <c r="CG154" s="692">
        <v>115614.43</v>
      </c>
      <c r="CH154" s="692">
        <v>29138.640000000007</v>
      </c>
      <c r="CI154" s="692">
        <v>9631.3799999999992</v>
      </c>
      <c r="CJ154" s="692">
        <v>21130.89</v>
      </c>
      <c r="CK154"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7:I13 F19:I19 F62:I63 F65:I66 F69:I70 F95:I96 F80:I83" formulaRange="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CX133"/>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customWidth="1"/>
    <col min="2" max="2" width="39" style="58" customWidth="1"/>
    <col min="3" max="3" width="6.85546875" style="198" customWidth="1"/>
    <col min="4" max="4" width="12.5703125" customWidth="1"/>
    <col min="5" max="5" width="8.7109375" style="457" customWidth="1"/>
    <col min="6" max="89" width="11.42578125" style="126" customWidth="1"/>
    <col min="90" max="90" width="17.85546875" style="126" customWidth="1"/>
  </cols>
  <sheetData>
    <row r="1" spans="1:91" ht="13.5" thickBot="1">
      <c r="B1" s="70" t="s">
        <v>187</v>
      </c>
      <c r="E1" s="449"/>
    </row>
    <row r="2" spans="1:91">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584">
        <v>2017</v>
      </c>
      <c r="D7" s="259" t="s">
        <v>1</v>
      </c>
      <c r="E7" s="483">
        <v>43551</v>
      </c>
      <c r="F7" s="154">
        <f t="shared" ref="F7:F13" si="0">SUM(AT7:BF7)</f>
        <v>1055687</v>
      </c>
      <c r="G7" s="155">
        <f t="shared" ref="G7:G13" si="1">SUM(BG7:BR7)</f>
        <v>691802</v>
      </c>
      <c r="H7" s="155">
        <f t="shared" ref="H7:H13" si="2">SUM(BS7:CB7)</f>
        <v>935634</v>
      </c>
      <c r="I7" s="156">
        <f t="shared" ref="I7:I13" si="3">SUM(CC7:CK7)</f>
        <v>891706</v>
      </c>
      <c r="J7" s="155"/>
      <c r="K7" s="154">
        <f t="shared" ref="K7:K20" si="4">BF7</f>
        <v>151139</v>
      </c>
      <c r="L7" s="155">
        <f t="shared" ref="L7:L20" si="5">AY7</f>
        <v>85808</v>
      </c>
      <c r="M7" s="155">
        <f t="shared" ref="M7:M20" si="6">BD7</f>
        <v>130413</v>
      </c>
      <c r="N7" s="155">
        <f t="shared" ref="N7:N20" si="7">AW7</f>
        <v>64234</v>
      </c>
      <c r="O7" s="155">
        <f t="shared" ref="O7:O20" si="8">BE7</f>
        <v>62714</v>
      </c>
      <c r="P7" s="155">
        <f>'2018'!AZ7+'2018'!BA7</f>
        <v>119980</v>
      </c>
      <c r="Q7" s="155">
        <f>'2018'!AU7</f>
        <v>61776</v>
      </c>
      <c r="R7" s="155">
        <f>AT7+AX7</f>
        <v>89412</v>
      </c>
      <c r="S7" s="155">
        <f t="shared" ref="S7:S20" si="9">AV7</f>
        <v>64128</v>
      </c>
      <c r="T7" s="155">
        <f t="shared" ref="T7:U20" si="10">BB7</f>
        <v>77676</v>
      </c>
      <c r="U7" s="552">
        <f t="shared" si="10"/>
        <v>148407</v>
      </c>
      <c r="V7" s="155">
        <f t="shared" ref="V7:V13" si="11">BG7+BJ7</f>
        <v>87862</v>
      </c>
      <c r="W7" s="155">
        <f t="shared" ref="W7:W20" si="12">BR7</f>
        <v>87039</v>
      </c>
      <c r="X7" s="155">
        <f t="shared" ref="X7:X13" si="13">BH7+BI7</f>
        <v>125870</v>
      </c>
      <c r="Y7" s="155">
        <f t="shared" ref="Y7:Y13" si="14">BK7+BL7+BN7</f>
        <v>131541</v>
      </c>
      <c r="Z7" s="155">
        <f t="shared" ref="Z7:Z20" si="15">BM7</f>
        <v>112594</v>
      </c>
      <c r="AA7" s="155">
        <f t="shared" ref="AA7:AA12" si="16">BO7+BQ7</f>
        <v>67167</v>
      </c>
      <c r="AB7" s="552">
        <f t="shared" ref="AB7:AB20" si="17">BP7</f>
        <v>79729</v>
      </c>
      <c r="AC7" s="155">
        <f t="shared" ref="AC7:AC20" si="18">BX7</f>
        <v>102533</v>
      </c>
      <c r="AD7" s="155">
        <f t="shared" ref="AD7:AD20" si="19">BU7</f>
        <v>67979</v>
      </c>
      <c r="AE7" s="155">
        <f t="shared" ref="AE7:AE13" si="20">BS7+BT7</f>
        <v>153135</v>
      </c>
      <c r="AF7" s="155">
        <f t="shared" ref="AF7:AF20" si="21">CA7</f>
        <v>80671</v>
      </c>
      <c r="AG7" s="155">
        <f t="shared" ref="AG7:AG20" si="22">BV7</f>
        <v>186028</v>
      </c>
      <c r="AH7" s="155">
        <f t="shared" ref="AH7:AH20" si="23">BZ7</f>
        <v>81798</v>
      </c>
      <c r="AI7" s="155">
        <f t="shared" ref="AI7:AI20" si="24">BW7</f>
        <v>76942</v>
      </c>
      <c r="AJ7" s="155">
        <f t="shared" ref="AJ7:AJ20" si="25">BY7</f>
        <v>73438</v>
      </c>
      <c r="AK7" s="552">
        <f t="shared" ref="AK7:AK20" si="26">CB7</f>
        <v>113110</v>
      </c>
      <c r="AL7" s="155">
        <f t="shared" ref="AL7:AL20" si="27">CE7</f>
        <v>91758</v>
      </c>
      <c r="AM7" s="155">
        <f t="shared" ref="AM7:AM20" si="28">CH7</f>
        <v>140953</v>
      </c>
      <c r="AN7" s="155">
        <f t="shared" ref="AN7:AN20" si="29">CJ7</f>
        <v>163210</v>
      </c>
      <c r="AO7" s="155">
        <f t="shared" ref="AO7:AP20" si="30">CC7</f>
        <v>109248</v>
      </c>
      <c r="AP7" s="155">
        <f t="shared" si="30"/>
        <v>51912</v>
      </c>
      <c r="AQ7" s="155">
        <f t="shared" ref="AQ7:AQ20" si="31">CK7</f>
        <v>120423</v>
      </c>
      <c r="AR7" s="155">
        <f t="shared" ref="AR7:AR20" si="32">CI7</f>
        <v>66479</v>
      </c>
      <c r="AS7" s="156">
        <f t="shared" ref="AS7:AS13" si="33">CF7+CG7</f>
        <v>147723</v>
      </c>
      <c r="AT7" s="534">
        <v>20735</v>
      </c>
      <c r="AU7" s="534">
        <v>61776</v>
      </c>
      <c r="AV7" s="534">
        <v>64128</v>
      </c>
      <c r="AW7" s="534">
        <v>64234</v>
      </c>
      <c r="AX7" s="534">
        <v>68677</v>
      </c>
      <c r="AY7" s="534">
        <v>85808</v>
      </c>
      <c r="AZ7" s="534">
        <v>9989</v>
      </c>
      <c r="BA7" s="534">
        <v>109991</v>
      </c>
      <c r="BB7" s="534">
        <v>77676</v>
      </c>
      <c r="BC7" s="534">
        <v>148407</v>
      </c>
      <c r="BD7" s="534">
        <v>130413</v>
      </c>
      <c r="BE7" s="534">
        <v>62714</v>
      </c>
      <c r="BF7" s="557">
        <v>151139</v>
      </c>
      <c r="BG7" s="534">
        <v>14019</v>
      </c>
      <c r="BH7" s="534">
        <v>17342</v>
      </c>
      <c r="BI7" s="534">
        <v>108528</v>
      </c>
      <c r="BJ7" s="534">
        <v>73843</v>
      </c>
      <c r="BK7" s="534">
        <v>10889</v>
      </c>
      <c r="BL7" s="534">
        <v>14497</v>
      </c>
      <c r="BM7" s="534">
        <v>112594</v>
      </c>
      <c r="BN7" s="534">
        <v>106155</v>
      </c>
      <c r="BO7" s="534">
        <v>9807</v>
      </c>
      <c r="BP7" s="534">
        <v>79729</v>
      </c>
      <c r="BQ7" s="534">
        <v>57360</v>
      </c>
      <c r="BR7" s="557">
        <v>87039</v>
      </c>
      <c r="BS7" s="534">
        <v>15304</v>
      </c>
      <c r="BT7" s="534">
        <v>137831</v>
      </c>
      <c r="BU7" s="534">
        <v>67979</v>
      </c>
      <c r="BV7" s="534">
        <v>186028</v>
      </c>
      <c r="BW7" s="534">
        <v>76942</v>
      </c>
      <c r="BX7" s="534">
        <v>102533</v>
      </c>
      <c r="BY7" s="534">
        <v>73438</v>
      </c>
      <c r="BZ7" s="534">
        <v>81798</v>
      </c>
      <c r="CA7" s="534">
        <v>80671</v>
      </c>
      <c r="CB7" s="557">
        <v>113110</v>
      </c>
      <c r="CC7" s="534">
        <v>109248</v>
      </c>
      <c r="CD7" s="534">
        <v>51912</v>
      </c>
      <c r="CE7" s="534">
        <v>91758</v>
      </c>
      <c r="CF7" s="534">
        <v>11868</v>
      </c>
      <c r="CG7" s="534">
        <v>135855</v>
      </c>
      <c r="CH7" s="534">
        <v>140953</v>
      </c>
      <c r="CI7" s="534">
        <v>66479</v>
      </c>
      <c r="CJ7" s="534">
        <v>163210</v>
      </c>
      <c r="CK7" s="534">
        <v>120423</v>
      </c>
      <c r="CL7" s="553">
        <v>3574830</v>
      </c>
      <c r="CM7" s="422"/>
    </row>
    <row r="8" spans="1:91" ht="14.25">
      <c r="A8" s="80">
        <f>ROWS($A$3:A6)</f>
        <v>4</v>
      </c>
      <c r="B8" s="92" t="s">
        <v>242</v>
      </c>
      <c r="C8" s="203"/>
      <c r="D8" s="259" t="s">
        <v>1</v>
      </c>
      <c r="E8" s="483">
        <v>43551</v>
      </c>
      <c r="F8" s="154">
        <f t="shared" si="0"/>
        <v>176913</v>
      </c>
      <c r="G8" s="155">
        <f t="shared" si="1"/>
        <v>115523</v>
      </c>
      <c r="H8" s="155">
        <f t="shared" si="2"/>
        <v>115125</v>
      </c>
      <c r="I8" s="156">
        <f t="shared" si="3"/>
        <v>112742</v>
      </c>
      <c r="J8" s="155"/>
      <c r="K8" s="154">
        <f t="shared" si="4"/>
        <v>19793</v>
      </c>
      <c r="L8" s="155">
        <f t="shared" si="5"/>
        <v>15307</v>
      </c>
      <c r="M8" s="155">
        <f t="shared" si="6"/>
        <v>14283</v>
      </c>
      <c r="N8" s="155">
        <f t="shared" si="7"/>
        <v>10700</v>
      </c>
      <c r="O8" s="155">
        <f t="shared" si="8"/>
        <v>7997</v>
      </c>
      <c r="P8" s="155">
        <f>'2018'!AZ8+'2018'!BA8</f>
        <v>23036</v>
      </c>
      <c r="Q8" s="155">
        <f>'2018'!AU8</f>
        <v>14112</v>
      </c>
      <c r="R8" s="155">
        <f>AT8+AX8</f>
        <v>27759</v>
      </c>
      <c r="S8" s="155">
        <f t="shared" si="9"/>
        <v>15956</v>
      </c>
      <c r="T8" s="155">
        <f t="shared" si="10"/>
        <v>10342</v>
      </c>
      <c r="U8" s="552">
        <f t="shared" si="10"/>
        <v>17628</v>
      </c>
      <c r="V8" s="155">
        <f t="shared" si="11"/>
        <v>12690</v>
      </c>
      <c r="W8" s="155">
        <f t="shared" si="12"/>
        <v>8507</v>
      </c>
      <c r="X8" s="155">
        <f t="shared" si="13"/>
        <v>27856</v>
      </c>
      <c r="Y8" s="155">
        <f t="shared" si="14"/>
        <v>32836</v>
      </c>
      <c r="Z8" s="155">
        <f t="shared" si="15"/>
        <v>12189</v>
      </c>
      <c r="AA8" s="155">
        <f t="shared" si="16"/>
        <v>12393</v>
      </c>
      <c r="AB8" s="552">
        <f t="shared" si="17"/>
        <v>9052</v>
      </c>
      <c r="AC8" s="155">
        <f t="shared" si="18"/>
        <v>11949</v>
      </c>
      <c r="AD8" s="155">
        <f t="shared" si="19"/>
        <v>7651</v>
      </c>
      <c r="AE8" s="155">
        <f t="shared" si="20"/>
        <v>19534</v>
      </c>
      <c r="AF8" s="155">
        <f t="shared" si="21"/>
        <v>10402</v>
      </c>
      <c r="AG8" s="155">
        <f t="shared" si="22"/>
        <v>22228</v>
      </c>
      <c r="AH8" s="155">
        <f t="shared" si="23"/>
        <v>12886</v>
      </c>
      <c r="AI8" s="155">
        <f t="shared" si="24"/>
        <v>10048</v>
      </c>
      <c r="AJ8" s="155">
        <f t="shared" si="25"/>
        <v>8726</v>
      </c>
      <c r="AK8" s="552">
        <f t="shared" si="26"/>
        <v>11701</v>
      </c>
      <c r="AL8" s="155">
        <f t="shared" si="27"/>
        <v>12505</v>
      </c>
      <c r="AM8" s="155">
        <f t="shared" si="28"/>
        <v>16698</v>
      </c>
      <c r="AN8" s="155">
        <f t="shared" si="29"/>
        <v>17713</v>
      </c>
      <c r="AO8" s="155">
        <f t="shared" si="30"/>
        <v>14550</v>
      </c>
      <c r="AP8" s="155">
        <f t="shared" si="30"/>
        <v>9430</v>
      </c>
      <c r="AQ8" s="155">
        <f t="shared" si="31"/>
        <v>12114</v>
      </c>
      <c r="AR8" s="155">
        <f t="shared" si="32"/>
        <v>9973</v>
      </c>
      <c r="AS8" s="156">
        <f t="shared" si="33"/>
        <v>19759</v>
      </c>
      <c r="AT8" s="534">
        <v>10720</v>
      </c>
      <c r="AU8" s="534">
        <v>14112</v>
      </c>
      <c r="AV8" s="534">
        <v>15956</v>
      </c>
      <c r="AW8" s="534">
        <v>10700</v>
      </c>
      <c r="AX8" s="534">
        <v>17039</v>
      </c>
      <c r="AY8" s="534">
        <v>15307</v>
      </c>
      <c r="AZ8" s="534">
        <v>3599</v>
      </c>
      <c r="BA8" s="534">
        <v>19437</v>
      </c>
      <c r="BB8" s="534">
        <v>10342</v>
      </c>
      <c r="BC8" s="534">
        <v>17628</v>
      </c>
      <c r="BD8" s="534">
        <v>14283</v>
      </c>
      <c r="BE8" s="534">
        <v>7997</v>
      </c>
      <c r="BF8" s="557">
        <v>19793</v>
      </c>
      <c r="BG8" s="534">
        <v>2075</v>
      </c>
      <c r="BH8" s="534">
        <v>8094</v>
      </c>
      <c r="BI8" s="534">
        <v>19762</v>
      </c>
      <c r="BJ8" s="534">
        <v>10615</v>
      </c>
      <c r="BK8" s="534">
        <v>3313</v>
      </c>
      <c r="BL8" s="534">
        <v>8431</v>
      </c>
      <c r="BM8" s="534">
        <v>12189</v>
      </c>
      <c r="BN8" s="534">
        <v>21092</v>
      </c>
      <c r="BO8" s="534">
        <v>3057</v>
      </c>
      <c r="BP8" s="534">
        <v>9052</v>
      </c>
      <c r="BQ8" s="534">
        <v>9336</v>
      </c>
      <c r="BR8" s="557">
        <v>8507</v>
      </c>
      <c r="BS8" s="534">
        <v>4926</v>
      </c>
      <c r="BT8" s="534">
        <v>14608</v>
      </c>
      <c r="BU8" s="534">
        <v>7651</v>
      </c>
      <c r="BV8" s="534">
        <v>22228</v>
      </c>
      <c r="BW8" s="534">
        <v>10048</v>
      </c>
      <c r="BX8" s="534">
        <v>11949</v>
      </c>
      <c r="BY8" s="534">
        <v>8726</v>
      </c>
      <c r="BZ8" s="534">
        <v>12886</v>
      </c>
      <c r="CA8" s="534">
        <v>10402</v>
      </c>
      <c r="CB8" s="557">
        <v>11701</v>
      </c>
      <c r="CC8" s="534">
        <v>14550</v>
      </c>
      <c r="CD8" s="534">
        <v>9430</v>
      </c>
      <c r="CE8" s="534">
        <v>12505</v>
      </c>
      <c r="CF8" s="534">
        <v>3920</v>
      </c>
      <c r="CG8" s="534">
        <v>15839</v>
      </c>
      <c r="CH8" s="534">
        <v>16698</v>
      </c>
      <c r="CI8" s="534">
        <v>9973</v>
      </c>
      <c r="CJ8" s="534">
        <v>17713</v>
      </c>
      <c r="CK8" s="534">
        <v>12114</v>
      </c>
      <c r="CL8" s="320">
        <v>520301</v>
      </c>
      <c r="CM8" s="422"/>
    </row>
    <row r="9" spans="1:91">
      <c r="A9" s="80">
        <f>ROWS($A$3:A7)</f>
        <v>5</v>
      </c>
      <c r="B9" s="92" t="s">
        <v>0</v>
      </c>
      <c r="C9" s="203"/>
      <c r="D9" s="259" t="s">
        <v>1</v>
      </c>
      <c r="E9" s="483">
        <v>43551</v>
      </c>
      <c r="F9" s="154">
        <f t="shared" si="0"/>
        <v>526377</v>
      </c>
      <c r="G9" s="155">
        <f t="shared" si="1"/>
        <v>250042</v>
      </c>
      <c r="H9" s="155">
        <f t="shared" si="2"/>
        <v>368699</v>
      </c>
      <c r="I9" s="156">
        <f t="shared" si="3"/>
        <v>470426</v>
      </c>
      <c r="J9" s="155"/>
      <c r="K9" s="154">
        <f t="shared" si="4"/>
        <v>70258</v>
      </c>
      <c r="L9" s="155">
        <f t="shared" si="5"/>
        <v>35876</v>
      </c>
      <c r="M9" s="155">
        <f t="shared" si="6"/>
        <v>75182</v>
      </c>
      <c r="N9" s="155">
        <f t="shared" si="7"/>
        <v>32046</v>
      </c>
      <c r="O9" s="155">
        <f t="shared" si="8"/>
        <v>26554</v>
      </c>
      <c r="P9" s="155">
        <f>'2018'!AZ9+'2018'!BA9</f>
        <v>65231</v>
      </c>
      <c r="Q9" s="155">
        <f>'2018'!AU9</f>
        <v>25488</v>
      </c>
      <c r="R9" s="155">
        <f t="shared" ref="R9:R16" si="34">AT9+AX9</f>
        <v>42159</v>
      </c>
      <c r="S9" s="155">
        <f t="shared" si="9"/>
        <v>28306</v>
      </c>
      <c r="T9" s="155">
        <f t="shared" si="10"/>
        <v>43990</v>
      </c>
      <c r="U9" s="552">
        <f t="shared" si="10"/>
        <v>81287</v>
      </c>
      <c r="V9" s="155">
        <f t="shared" si="11"/>
        <v>25634</v>
      </c>
      <c r="W9" s="155">
        <f t="shared" si="12"/>
        <v>22721</v>
      </c>
      <c r="X9" s="155">
        <f t="shared" si="13"/>
        <v>52227</v>
      </c>
      <c r="Y9" s="155">
        <f t="shared" si="14"/>
        <v>50629</v>
      </c>
      <c r="Z9" s="155">
        <f t="shared" si="15"/>
        <v>51438</v>
      </c>
      <c r="AA9" s="155">
        <f t="shared" si="16"/>
        <v>26870</v>
      </c>
      <c r="AB9" s="552">
        <f t="shared" si="17"/>
        <v>20523</v>
      </c>
      <c r="AC9" s="155">
        <f t="shared" si="18"/>
        <v>42279</v>
      </c>
      <c r="AD9" s="155">
        <f t="shared" si="19"/>
        <v>27361</v>
      </c>
      <c r="AE9" s="155">
        <f t="shared" si="20"/>
        <v>57880</v>
      </c>
      <c r="AF9" s="155">
        <f t="shared" si="21"/>
        <v>27397</v>
      </c>
      <c r="AG9" s="155">
        <f t="shared" si="22"/>
        <v>70149</v>
      </c>
      <c r="AH9" s="155">
        <f t="shared" si="23"/>
        <v>40008</v>
      </c>
      <c r="AI9" s="155">
        <f t="shared" si="24"/>
        <v>32701</v>
      </c>
      <c r="AJ9" s="155">
        <f t="shared" si="25"/>
        <v>27105</v>
      </c>
      <c r="AK9" s="552">
        <f t="shared" si="26"/>
        <v>43819</v>
      </c>
      <c r="AL9" s="155">
        <f t="shared" si="27"/>
        <v>40642</v>
      </c>
      <c r="AM9" s="155">
        <f t="shared" si="28"/>
        <v>81551</v>
      </c>
      <c r="AN9" s="155">
        <f t="shared" si="29"/>
        <v>94083</v>
      </c>
      <c r="AO9" s="155">
        <f t="shared" si="30"/>
        <v>51699</v>
      </c>
      <c r="AP9" s="155">
        <f t="shared" si="30"/>
        <v>23638</v>
      </c>
      <c r="AQ9" s="155">
        <f t="shared" si="31"/>
        <v>59418</v>
      </c>
      <c r="AR9" s="155">
        <f t="shared" si="32"/>
        <v>36776</v>
      </c>
      <c r="AS9" s="156">
        <f t="shared" si="33"/>
        <v>82619</v>
      </c>
      <c r="AT9" s="534">
        <v>4720</v>
      </c>
      <c r="AU9" s="534">
        <v>25488</v>
      </c>
      <c r="AV9" s="534">
        <v>28306</v>
      </c>
      <c r="AW9" s="534">
        <v>32046</v>
      </c>
      <c r="AX9" s="534">
        <v>37439</v>
      </c>
      <c r="AY9" s="534">
        <v>35876</v>
      </c>
      <c r="AZ9" s="534">
        <v>4690</v>
      </c>
      <c r="BA9" s="534">
        <v>60541</v>
      </c>
      <c r="BB9" s="534">
        <v>43990</v>
      </c>
      <c r="BC9" s="534">
        <v>81287</v>
      </c>
      <c r="BD9" s="534">
        <v>75182</v>
      </c>
      <c r="BE9" s="534">
        <v>26554</v>
      </c>
      <c r="BF9" s="557">
        <v>70258</v>
      </c>
      <c r="BG9" s="534">
        <v>3106</v>
      </c>
      <c r="BH9" s="534">
        <v>3919</v>
      </c>
      <c r="BI9" s="534">
        <v>48308</v>
      </c>
      <c r="BJ9" s="534">
        <v>22528</v>
      </c>
      <c r="BK9" s="534">
        <v>2856</v>
      </c>
      <c r="BL9" s="534">
        <v>3452</v>
      </c>
      <c r="BM9" s="534">
        <v>51438</v>
      </c>
      <c r="BN9" s="534">
        <v>44321</v>
      </c>
      <c r="BO9" s="534">
        <v>1639</v>
      </c>
      <c r="BP9" s="534">
        <v>20523</v>
      </c>
      <c r="BQ9" s="534">
        <v>25231</v>
      </c>
      <c r="BR9" s="557">
        <v>22721</v>
      </c>
      <c r="BS9" s="534">
        <v>3536</v>
      </c>
      <c r="BT9" s="534">
        <v>54344</v>
      </c>
      <c r="BU9" s="534">
        <v>27361</v>
      </c>
      <c r="BV9" s="534">
        <v>70149</v>
      </c>
      <c r="BW9" s="534">
        <v>32701</v>
      </c>
      <c r="BX9" s="534">
        <v>42279</v>
      </c>
      <c r="BY9" s="534">
        <v>27105</v>
      </c>
      <c r="BZ9" s="534">
        <v>40008</v>
      </c>
      <c r="CA9" s="534">
        <v>27397</v>
      </c>
      <c r="CB9" s="557">
        <v>43819</v>
      </c>
      <c r="CC9" s="534">
        <v>51699</v>
      </c>
      <c r="CD9" s="534">
        <v>23638</v>
      </c>
      <c r="CE9" s="534">
        <v>40642</v>
      </c>
      <c r="CF9" s="534">
        <v>5357</v>
      </c>
      <c r="CG9" s="534">
        <v>77262</v>
      </c>
      <c r="CH9" s="534">
        <v>81551</v>
      </c>
      <c r="CI9" s="534">
        <v>36776</v>
      </c>
      <c r="CJ9" s="534">
        <v>94083</v>
      </c>
      <c r="CK9" s="534">
        <v>59418</v>
      </c>
      <c r="CL9" s="320">
        <v>1615542</v>
      </c>
      <c r="CM9" s="422"/>
    </row>
    <row r="10" spans="1:91">
      <c r="A10" s="80">
        <f>ROWS($A$3:A8)</f>
        <v>6</v>
      </c>
      <c r="B10" s="92" t="s">
        <v>202</v>
      </c>
      <c r="C10" s="203"/>
      <c r="D10" s="259" t="s">
        <v>1</v>
      </c>
      <c r="E10" s="483">
        <v>43551</v>
      </c>
      <c r="F10" s="154">
        <f t="shared" si="0"/>
        <v>331353</v>
      </c>
      <c r="G10" s="155">
        <f t="shared" si="1"/>
        <v>306895</v>
      </c>
      <c r="H10" s="155">
        <f t="shared" si="2"/>
        <v>427566</v>
      </c>
      <c r="I10" s="156">
        <f t="shared" si="3"/>
        <v>286699</v>
      </c>
      <c r="J10" s="155"/>
      <c r="K10" s="154">
        <f t="shared" si="4"/>
        <v>58535</v>
      </c>
      <c r="L10" s="155">
        <f t="shared" si="5"/>
        <v>33501</v>
      </c>
      <c r="M10" s="155">
        <f t="shared" si="6"/>
        <v>38041</v>
      </c>
      <c r="N10" s="155">
        <f t="shared" si="7"/>
        <v>20406</v>
      </c>
      <c r="O10" s="155">
        <f t="shared" si="8"/>
        <v>26895</v>
      </c>
      <c r="P10" s="155">
        <f>'2018'!AZ10+'2018'!BA10</f>
        <v>29129</v>
      </c>
      <c r="Q10" s="155">
        <f>'2018'!AU10</f>
        <v>21178</v>
      </c>
      <c r="R10" s="155">
        <f t="shared" si="34"/>
        <v>17238</v>
      </c>
      <c r="S10" s="155">
        <f t="shared" si="9"/>
        <v>18573</v>
      </c>
      <c r="T10" s="155">
        <f t="shared" si="10"/>
        <v>21260</v>
      </c>
      <c r="U10" s="552">
        <f t="shared" si="10"/>
        <v>46597</v>
      </c>
      <c r="V10" s="155">
        <f t="shared" si="11"/>
        <v>45554</v>
      </c>
      <c r="W10" s="155">
        <f t="shared" si="12"/>
        <v>54168</v>
      </c>
      <c r="X10" s="155">
        <f t="shared" si="13"/>
        <v>40763</v>
      </c>
      <c r="Y10" s="155">
        <f t="shared" si="14"/>
        <v>43749</v>
      </c>
      <c r="Z10" s="155">
        <f t="shared" si="15"/>
        <v>46853</v>
      </c>
      <c r="AA10" s="155">
        <f t="shared" si="16"/>
        <v>26832</v>
      </c>
      <c r="AB10" s="552">
        <f t="shared" si="17"/>
        <v>48976</v>
      </c>
      <c r="AC10" s="155">
        <f t="shared" si="18"/>
        <v>46687</v>
      </c>
      <c r="AD10" s="155">
        <f t="shared" si="19"/>
        <v>30935</v>
      </c>
      <c r="AE10" s="155">
        <f t="shared" si="20"/>
        <v>71360</v>
      </c>
      <c r="AF10" s="155">
        <f t="shared" si="21"/>
        <v>40591</v>
      </c>
      <c r="AG10" s="155">
        <f t="shared" si="22"/>
        <v>87440</v>
      </c>
      <c r="AH10" s="155">
        <f t="shared" si="23"/>
        <v>26783</v>
      </c>
      <c r="AI10" s="155">
        <f t="shared" si="24"/>
        <v>32639</v>
      </c>
      <c r="AJ10" s="155">
        <f t="shared" si="25"/>
        <v>36533</v>
      </c>
      <c r="AK10" s="552">
        <f t="shared" si="26"/>
        <v>54598</v>
      </c>
      <c r="AL10" s="155">
        <f t="shared" si="27"/>
        <v>37057</v>
      </c>
      <c r="AM10" s="155">
        <f t="shared" si="28"/>
        <v>39398</v>
      </c>
      <c r="AN10" s="155">
        <f t="shared" si="29"/>
        <v>45361</v>
      </c>
      <c r="AO10" s="155">
        <f t="shared" si="30"/>
        <v>40521</v>
      </c>
      <c r="AP10" s="155">
        <f t="shared" si="30"/>
        <v>17763</v>
      </c>
      <c r="AQ10" s="155">
        <f t="shared" si="31"/>
        <v>46120</v>
      </c>
      <c r="AR10" s="155">
        <f t="shared" si="32"/>
        <v>18469</v>
      </c>
      <c r="AS10" s="156">
        <f t="shared" si="33"/>
        <v>42010</v>
      </c>
      <c r="AT10" s="534">
        <v>4877</v>
      </c>
      <c r="AU10" s="534">
        <v>21178</v>
      </c>
      <c r="AV10" s="534">
        <v>18573</v>
      </c>
      <c r="AW10" s="534">
        <v>20406</v>
      </c>
      <c r="AX10" s="534">
        <v>12361</v>
      </c>
      <c r="AY10" s="534">
        <v>33501</v>
      </c>
      <c r="AZ10" s="534">
        <v>1345</v>
      </c>
      <c r="BA10" s="534">
        <v>27784</v>
      </c>
      <c r="BB10" s="534">
        <v>21260</v>
      </c>
      <c r="BC10" s="534">
        <v>46597</v>
      </c>
      <c r="BD10" s="534">
        <v>38041</v>
      </c>
      <c r="BE10" s="534">
        <v>26895</v>
      </c>
      <c r="BF10" s="557">
        <v>58535</v>
      </c>
      <c r="BG10" s="534">
        <v>8526</v>
      </c>
      <c r="BH10" s="534">
        <v>4446</v>
      </c>
      <c r="BI10" s="534">
        <v>36317</v>
      </c>
      <c r="BJ10" s="534">
        <v>37028</v>
      </c>
      <c r="BK10" s="534">
        <v>4399</v>
      </c>
      <c r="BL10" s="534">
        <v>1735</v>
      </c>
      <c r="BM10" s="534">
        <v>46853</v>
      </c>
      <c r="BN10" s="534">
        <v>37615</v>
      </c>
      <c r="BO10" s="534">
        <v>5006</v>
      </c>
      <c r="BP10" s="534">
        <v>48976</v>
      </c>
      <c r="BQ10" s="534">
        <v>21826</v>
      </c>
      <c r="BR10" s="557">
        <v>54168</v>
      </c>
      <c r="BS10" s="534">
        <v>6511</v>
      </c>
      <c r="BT10" s="534">
        <v>64849</v>
      </c>
      <c r="BU10" s="534">
        <v>30935</v>
      </c>
      <c r="BV10" s="534">
        <v>87440</v>
      </c>
      <c r="BW10" s="534">
        <v>32639</v>
      </c>
      <c r="BX10" s="534">
        <v>46687</v>
      </c>
      <c r="BY10" s="534">
        <v>36533</v>
      </c>
      <c r="BZ10" s="534">
        <v>26783</v>
      </c>
      <c r="CA10" s="534">
        <v>40591</v>
      </c>
      <c r="CB10" s="557">
        <v>54598</v>
      </c>
      <c r="CC10" s="534">
        <v>40521</v>
      </c>
      <c r="CD10" s="534">
        <v>17763</v>
      </c>
      <c r="CE10" s="534">
        <v>37057</v>
      </c>
      <c r="CF10" s="534">
        <v>2230</v>
      </c>
      <c r="CG10" s="534">
        <v>39780</v>
      </c>
      <c r="CH10" s="534">
        <v>39398</v>
      </c>
      <c r="CI10" s="534">
        <v>18469</v>
      </c>
      <c r="CJ10" s="534">
        <v>45361</v>
      </c>
      <c r="CK10" s="534">
        <v>46120</v>
      </c>
      <c r="CL10" s="320">
        <v>1352514</v>
      </c>
      <c r="CM10" s="422"/>
    </row>
    <row r="11" spans="1:91">
      <c r="A11" s="80">
        <f>ROWS($A$3:A9)</f>
        <v>7</v>
      </c>
      <c r="B11" s="92" t="s">
        <v>2</v>
      </c>
      <c r="C11" s="203"/>
      <c r="D11" s="259" t="s">
        <v>1</v>
      </c>
      <c r="E11" s="483">
        <v>43551</v>
      </c>
      <c r="F11" s="154">
        <f t="shared" si="0"/>
        <v>9094</v>
      </c>
      <c r="G11" s="155">
        <f t="shared" si="1"/>
        <v>10147</v>
      </c>
      <c r="H11" s="155">
        <f t="shared" si="2"/>
        <v>11838</v>
      </c>
      <c r="I11" s="156">
        <f t="shared" si="3"/>
        <v>7938</v>
      </c>
      <c r="J11" s="155"/>
      <c r="K11" s="154">
        <f t="shared" si="4"/>
        <v>1170</v>
      </c>
      <c r="L11" s="155">
        <f t="shared" si="5"/>
        <v>538</v>
      </c>
      <c r="M11" s="155">
        <f t="shared" si="6"/>
        <v>1067</v>
      </c>
      <c r="N11" s="155">
        <f t="shared" si="7"/>
        <v>296</v>
      </c>
      <c r="O11" s="155">
        <f t="shared" si="8"/>
        <v>258</v>
      </c>
      <c r="P11" s="155">
        <f>'2018'!AZ11+'2018'!BA11</f>
        <v>1476</v>
      </c>
      <c r="Q11" s="155">
        <f>'2018'!AU11</f>
        <v>257</v>
      </c>
      <c r="R11" s="155">
        <f t="shared" si="34"/>
        <v>1200</v>
      </c>
      <c r="S11" s="155">
        <f t="shared" si="9"/>
        <v>612</v>
      </c>
      <c r="T11" s="155">
        <f t="shared" si="10"/>
        <v>835</v>
      </c>
      <c r="U11" s="552">
        <f t="shared" si="10"/>
        <v>1385</v>
      </c>
      <c r="V11" s="155">
        <f t="shared" si="11"/>
        <v>2356</v>
      </c>
      <c r="W11" s="155">
        <f t="shared" si="12"/>
        <v>520</v>
      </c>
      <c r="X11" s="155">
        <f t="shared" si="13"/>
        <v>3097</v>
      </c>
      <c r="Y11" s="155">
        <f t="shared" si="14"/>
        <v>2680</v>
      </c>
      <c r="Z11" s="155">
        <f t="shared" si="15"/>
        <v>768</v>
      </c>
      <c r="AA11" s="155">
        <f t="shared" si="16"/>
        <v>401</v>
      </c>
      <c r="AB11" s="552">
        <f t="shared" si="17"/>
        <v>325</v>
      </c>
      <c r="AC11" s="155">
        <f t="shared" si="18"/>
        <v>678</v>
      </c>
      <c r="AD11" s="155">
        <f t="shared" si="19"/>
        <v>982</v>
      </c>
      <c r="AE11" s="155">
        <f t="shared" si="20"/>
        <v>2248</v>
      </c>
      <c r="AF11" s="155">
        <f t="shared" si="21"/>
        <v>925</v>
      </c>
      <c r="AG11" s="155">
        <f t="shared" si="22"/>
        <v>3766</v>
      </c>
      <c r="AH11" s="155">
        <f t="shared" si="23"/>
        <v>965</v>
      </c>
      <c r="AI11" s="155">
        <f t="shared" si="24"/>
        <v>458</v>
      </c>
      <c r="AJ11" s="155">
        <f t="shared" si="25"/>
        <v>353</v>
      </c>
      <c r="AK11" s="552">
        <f t="shared" si="26"/>
        <v>1463</v>
      </c>
      <c r="AL11" s="155">
        <f t="shared" si="27"/>
        <v>381</v>
      </c>
      <c r="AM11" s="155">
        <f t="shared" si="28"/>
        <v>1531</v>
      </c>
      <c r="AN11" s="155">
        <f t="shared" si="29"/>
        <v>2186</v>
      </c>
      <c r="AO11" s="155">
        <f t="shared" si="30"/>
        <v>273</v>
      </c>
      <c r="AP11" s="155">
        <f t="shared" si="30"/>
        <v>475</v>
      </c>
      <c r="AQ11" s="155">
        <f t="shared" si="31"/>
        <v>1124</v>
      </c>
      <c r="AR11" s="155">
        <f t="shared" si="32"/>
        <v>705</v>
      </c>
      <c r="AS11" s="156">
        <f t="shared" si="33"/>
        <v>1263</v>
      </c>
      <c r="AT11" s="466">
        <v>273</v>
      </c>
      <c r="AU11" s="466">
        <v>257</v>
      </c>
      <c r="AV11" s="466">
        <v>612</v>
      </c>
      <c r="AW11" s="466">
        <v>296</v>
      </c>
      <c r="AX11" s="466">
        <v>927</v>
      </c>
      <c r="AY11" s="466">
        <v>538</v>
      </c>
      <c r="AZ11" s="466">
        <v>220</v>
      </c>
      <c r="BA11" s="534">
        <v>1256</v>
      </c>
      <c r="BB11" s="466">
        <v>835</v>
      </c>
      <c r="BC11" s="534">
        <v>1385</v>
      </c>
      <c r="BD11" s="534">
        <v>1067</v>
      </c>
      <c r="BE11" s="466">
        <v>258</v>
      </c>
      <c r="BF11" s="557">
        <v>1170</v>
      </c>
      <c r="BG11" s="466">
        <v>136</v>
      </c>
      <c r="BH11" s="466">
        <v>703</v>
      </c>
      <c r="BI11" s="534">
        <v>2394</v>
      </c>
      <c r="BJ11" s="534">
        <v>2220</v>
      </c>
      <c r="BK11" s="466">
        <v>253</v>
      </c>
      <c r="BL11" s="466">
        <v>765</v>
      </c>
      <c r="BM11" s="466">
        <v>768</v>
      </c>
      <c r="BN11" s="534">
        <v>1662</v>
      </c>
      <c r="BO11" s="466">
        <v>73</v>
      </c>
      <c r="BP11" s="466">
        <v>325</v>
      </c>
      <c r="BQ11" s="466">
        <v>328</v>
      </c>
      <c r="BR11" s="558">
        <v>520</v>
      </c>
      <c r="BS11" s="466">
        <v>203</v>
      </c>
      <c r="BT11" s="534">
        <v>2045</v>
      </c>
      <c r="BU11" s="466">
        <v>982</v>
      </c>
      <c r="BV11" s="534">
        <v>3766</v>
      </c>
      <c r="BW11" s="466">
        <v>458</v>
      </c>
      <c r="BX11" s="466">
        <v>678</v>
      </c>
      <c r="BY11" s="466">
        <v>353</v>
      </c>
      <c r="BZ11" s="466">
        <v>965</v>
      </c>
      <c r="CA11" s="466">
        <v>925</v>
      </c>
      <c r="CB11" s="557">
        <v>1463</v>
      </c>
      <c r="CC11" s="466">
        <v>273</v>
      </c>
      <c r="CD11" s="466">
        <v>475</v>
      </c>
      <c r="CE11" s="466">
        <v>381</v>
      </c>
      <c r="CF11" s="466">
        <v>176</v>
      </c>
      <c r="CG11" s="534">
        <v>1087</v>
      </c>
      <c r="CH11" s="534">
        <v>1531</v>
      </c>
      <c r="CI11" s="466">
        <v>705</v>
      </c>
      <c r="CJ11" s="534">
        <v>2186</v>
      </c>
      <c r="CK11" s="534">
        <v>1124</v>
      </c>
      <c r="CL11" s="320">
        <v>39020</v>
      </c>
      <c r="CM11" s="422"/>
    </row>
    <row r="12" spans="1:91">
      <c r="A12" s="80">
        <f>ROWS($A$3:A10)</f>
        <v>8</v>
      </c>
      <c r="B12" s="92" t="s">
        <v>283</v>
      </c>
      <c r="C12" s="203"/>
      <c r="D12" s="259" t="s">
        <v>1</v>
      </c>
      <c r="E12" s="483">
        <v>43551</v>
      </c>
      <c r="F12" s="154">
        <f t="shared" si="0"/>
        <v>11950</v>
      </c>
      <c r="G12" s="155">
        <f t="shared" si="1"/>
        <v>9195</v>
      </c>
      <c r="H12" s="155">
        <f t="shared" si="2"/>
        <v>12406</v>
      </c>
      <c r="I12" s="156">
        <f t="shared" si="3"/>
        <v>13901</v>
      </c>
      <c r="J12" s="155"/>
      <c r="K12" s="154">
        <f t="shared" si="4"/>
        <v>1383</v>
      </c>
      <c r="L12" s="155">
        <f t="shared" si="5"/>
        <v>586</v>
      </c>
      <c r="M12" s="155">
        <f t="shared" si="6"/>
        <v>1840</v>
      </c>
      <c r="N12" s="155">
        <f t="shared" si="7"/>
        <v>786</v>
      </c>
      <c r="O12" s="155">
        <f t="shared" si="8"/>
        <v>1010</v>
      </c>
      <c r="P12" s="155">
        <f>'2018'!AZ12+'2018'!BA12</f>
        <v>1108</v>
      </c>
      <c r="Q12" s="155">
        <f>'2018'!AU12</f>
        <v>741</v>
      </c>
      <c r="R12" s="155">
        <f t="shared" si="34"/>
        <v>1056</v>
      </c>
      <c r="S12" s="155">
        <f t="shared" si="9"/>
        <v>681</v>
      </c>
      <c r="T12" s="155">
        <f t="shared" si="10"/>
        <v>1249</v>
      </c>
      <c r="U12" s="552">
        <f t="shared" si="10"/>
        <v>1510</v>
      </c>
      <c r="V12" s="155">
        <f t="shared" si="11"/>
        <v>1628</v>
      </c>
      <c r="W12" s="155">
        <f t="shared" si="12"/>
        <v>1123</v>
      </c>
      <c r="X12" s="155">
        <f t="shared" si="13"/>
        <v>1927</v>
      </c>
      <c r="Y12" s="155">
        <f t="shared" si="14"/>
        <v>1647</v>
      </c>
      <c r="Z12" s="155">
        <f t="shared" si="15"/>
        <v>1346</v>
      </c>
      <c r="AA12" s="155">
        <f t="shared" si="16"/>
        <v>671</v>
      </c>
      <c r="AB12" s="552">
        <f t="shared" si="17"/>
        <v>853</v>
      </c>
      <c r="AC12" s="155">
        <f t="shared" si="18"/>
        <v>940</v>
      </c>
      <c r="AD12" s="155">
        <f t="shared" si="19"/>
        <v>1050</v>
      </c>
      <c r="AE12" s="155">
        <f t="shared" si="20"/>
        <v>2113</v>
      </c>
      <c r="AF12" s="155">
        <f t="shared" si="21"/>
        <v>1356</v>
      </c>
      <c r="AG12" s="155">
        <f t="shared" si="22"/>
        <v>2445</v>
      </c>
      <c r="AH12" s="155">
        <f t="shared" si="23"/>
        <v>1156</v>
      </c>
      <c r="AI12" s="155">
        <f t="shared" si="24"/>
        <v>1096</v>
      </c>
      <c r="AJ12" s="155">
        <f t="shared" si="25"/>
        <v>721</v>
      </c>
      <c r="AK12" s="552">
        <f t="shared" si="26"/>
        <v>1529</v>
      </c>
      <c r="AL12" s="155">
        <f t="shared" si="27"/>
        <v>1173</v>
      </c>
      <c r="AM12" s="155">
        <f t="shared" si="28"/>
        <v>1775</v>
      </c>
      <c r="AN12" s="155">
        <f t="shared" si="29"/>
        <v>3867</v>
      </c>
      <c r="AO12" s="155">
        <f t="shared" si="30"/>
        <v>2205</v>
      </c>
      <c r="AP12" s="155">
        <f t="shared" si="30"/>
        <v>606</v>
      </c>
      <c r="AQ12" s="155">
        <f t="shared" si="31"/>
        <v>1647</v>
      </c>
      <c r="AR12" s="155">
        <f t="shared" si="32"/>
        <v>556</v>
      </c>
      <c r="AS12" s="156">
        <f t="shared" si="33"/>
        <v>2072</v>
      </c>
      <c r="AT12" s="281">
        <v>145</v>
      </c>
      <c r="AU12" s="155">
        <v>741</v>
      </c>
      <c r="AV12" s="155">
        <v>681</v>
      </c>
      <c r="AW12" s="155">
        <v>786</v>
      </c>
      <c r="AX12" s="155">
        <v>911</v>
      </c>
      <c r="AY12" s="155">
        <v>586</v>
      </c>
      <c r="AZ12" s="155">
        <v>135</v>
      </c>
      <c r="BA12" s="155">
        <v>973</v>
      </c>
      <c r="BB12" s="155">
        <v>1249</v>
      </c>
      <c r="BC12" s="155">
        <v>1510</v>
      </c>
      <c r="BD12" s="155">
        <v>1840</v>
      </c>
      <c r="BE12" s="155">
        <v>1010</v>
      </c>
      <c r="BF12" s="552">
        <v>1383</v>
      </c>
      <c r="BG12" s="155">
        <v>176</v>
      </c>
      <c r="BH12" s="155">
        <v>180</v>
      </c>
      <c r="BI12" s="155">
        <v>1747</v>
      </c>
      <c r="BJ12" s="155">
        <v>1452</v>
      </c>
      <c r="BK12" s="155">
        <v>68</v>
      </c>
      <c r="BL12" s="155">
        <v>114</v>
      </c>
      <c r="BM12" s="155">
        <v>1346</v>
      </c>
      <c r="BN12" s="155">
        <v>1465</v>
      </c>
      <c r="BO12" s="155">
        <v>32</v>
      </c>
      <c r="BP12" s="155">
        <v>853</v>
      </c>
      <c r="BQ12" s="155">
        <v>639</v>
      </c>
      <c r="BR12" s="552">
        <v>1123</v>
      </c>
      <c r="BS12" s="155">
        <v>128</v>
      </c>
      <c r="BT12" s="155">
        <v>1985</v>
      </c>
      <c r="BU12" s="155">
        <v>1050</v>
      </c>
      <c r="BV12" s="155">
        <v>2445</v>
      </c>
      <c r="BW12" s="155">
        <v>1096</v>
      </c>
      <c r="BX12" s="155">
        <v>940</v>
      </c>
      <c r="BY12" s="155">
        <v>721</v>
      </c>
      <c r="BZ12" s="155">
        <v>1156</v>
      </c>
      <c r="CA12" s="155">
        <v>1356</v>
      </c>
      <c r="CB12" s="552">
        <v>1529</v>
      </c>
      <c r="CC12" s="155">
        <v>2205</v>
      </c>
      <c r="CD12" s="155">
        <v>606</v>
      </c>
      <c r="CE12" s="155">
        <v>1173</v>
      </c>
      <c r="CF12" s="155">
        <v>185</v>
      </c>
      <c r="CG12" s="281">
        <v>1887</v>
      </c>
      <c r="CH12" s="155">
        <v>1775</v>
      </c>
      <c r="CI12" s="155">
        <v>556</v>
      </c>
      <c r="CJ12" s="155">
        <v>3867</v>
      </c>
      <c r="CK12" s="156">
        <v>1647</v>
      </c>
      <c r="CL12" s="615">
        <f>CL7-SUM(CL8:CL11)</f>
        <v>47453</v>
      </c>
      <c r="CM12" s="422"/>
    </row>
    <row r="13" spans="1:91">
      <c r="A13" s="80">
        <f>ROWS($A$3:A11)</f>
        <v>9</v>
      </c>
      <c r="B13" s="92" t="s">
        <v>65</v>
      </c>
      <c r="C13" s="584">
        <v>2017</v>
      </c>
      <c r="D13" s="259" t="s">
        <v>11</v>
      </c>
      <c r="E13" s="483">
        <v>43551</v>
      </c>
      <c r="F13" s="154">
        <f t="shared" si="0"/>
        <v>4126688</v>
      </c>
      <c r="G13" s="155">
        <f t="shared" si="1"/>
        <v>2795783</v>
      </c>
      <c r="H13" s="155">
        <f t="shared" si="2"/>
        <v>2254674</v>
      </c>
      <c r="I13" s="156">
        <f t="shared" si="3"/>
        <v>1846280</v>
      </c>
      <c r="J13" s="155"/>
      <c r="K13" s="154">
        <f t="shared" si="4"/>
        <v>312422</v>
      </c>
      <c r="L13" s="155">
        <f t="shared" si="5"/>
        <v>424878</v>
      </c>
      <c r="M13" s="155">
        <f t="shared" si="6"/>
        <v>132189</v>
      </c>
      <c r="N13" s="155">
        <f t="shared" si="7"/>
        <v>256345</v>
      </c>
      <c r="O13" s="155">
        <f t="shared" si="8"/>
        <v>132006</v>
      </c>
      <c r="P13" s="155">
        <f>'2018'!AZ13+'2018'!BA13</f>
        <v>465885</v>
      </c>
      <c r="Q13" s="155">
        <f>'2018'!AU13</f>
        <v>389548</v>
      </c>
      <c r="R13" s="155">
        <f t="shared" si="34"/>
        <v>1175373</v>
      </c>
      <c r="S13" s="155">
        <f t="shared" si="9"/>
        <v>532447</v>
      </c>
      <c r="T13" s="155">
        <f t="shared" si="10"/>
        <v>111392</v>
      </c>
      <c r="U13" s="552">
        <f t="shared" si="10"/>
        <v>194203</v>
      </c>
      <c r="V13" s="155">
        <f t="shared" si="11"/>
        <v>284934</v>
      </c>
      <c r="W13" s="155">
        <f>BR13</f>
        <v>117456</v>
      </c>
      <c r="X13" s="155">
        <f t="shared" si="13"/>
        <v>754592</v>
      </c>
      <c r="Y13" s="155">
        <f t="shared" si="14"/>
        <v>1015343</v>
      </c>
      <c r="Z13" s="155">
        <f t="shared" si="15"/>
        <v>143376</v>
      </c>
      <c r="AA13" s="155">
        <f>BP13+BR13</f>
        <v>274880</v>
      </c>
      <c r="AB13" s="552">
        <f>BQ13</f>
        <v>198369</v>
      </c>
      <c r="AC13" s="155">
        <f t="shared" si="18"/>
        <v>211207</v>
      </c>
      <c r="AD13" s="155">
        <f t="shared" si="19"/>
        <v>164712</v>
      </c>
      <c r="AE13" s="155">
        <f t="shared" si="20"/>
        <v>492042</v>
      </c>
      <c r="AF13" s="155">
        <f t="shared" si="21"/>
        <v>228314</v>
      </c>
      <c r="AG13" s="155">
        <f t="shared" si="22"/>
        <v>425932</v>
      </c>
      <c r="AH13" s="155">
        <f t="shared" si="23"/>
        <v>284014</v>
      </c>
      <c r="AI13" s="155">
        <f t="shared" si="24"/>
        <v>138858</v>
      </c>
      <c r="AJ13" s="155">
        <f t="shared" si="25"/>
        <v>139397</v>
      </c>
      <c r="AK13" s="552">
        <f t="shared" si="26"/>
        <v>170198</v>
      </c>
      <c r="AL13" s="155">
        <f t="shared" si="27"/>
        <v>188170</v>
      </c>
      <c r="AM13" s="155">
        <f t="shared" si="28"/>
        <v>198265</v>
      </c>
      <c r="AN13" s="155">
        <f t="shared" si="29"/>
        <v>283264</v>
      </c>
      <c r="AO13" s="155">
        <f t="shared" si="30"/>
        <v>285754</v>
      </c>
      <c r="AP13" s="155">
        <f t="shared" si="30"/>
        <v>225755</v>
      </c>
      <c r="AQ13" s="155">
        <f t="shared" si="31"/>
        <v>130192</v>
      </c>
      <c r="AR13" s="155">
        <f t="shared" si="32"/>
        <v>214655</v>
      </c>
      <c r="AS13" s="156">
        <f t="shared" si="33"/>
        <v>320225</v>
      </c>
      <c r="AT13" s="281">
        <v>632743</v>
      </c>
      <c r="AU13" s="155">
        <v>389548</v>
      </c>
      <c r="AV13" s="155">
        <v>532447</v>
      </c>
      <c r="AW13" s="155">
        <v>256345</v>
      </c>
      <c r="AX13" s="155">
        <v>542630</v>
      </c>
      <c r="AY13" s="155">
        <v>424878</v>
      </c>
      <c r="AZ13" s="155">
        <v>125113</v>
      </c>
      <c r="BA13" s="155">
        <v>340772</v>
      </c>
      <c r="BB13" s="155">
        <v>111392</v>
      </c>
      <c r="BC13" s="155">
        <v>194203</v>
      </c>
      <c r="BD13" s="155">
        <v>132189</v>
      </c>
      <c r="BE13" s="155">
        <v>132006</v>
      </c>
      <c r="BF13" s="552">
        <v>312422</v>
      </c>
      <c r="BG13" s="155">
        <v>54718</v>
      </c>
      <c r="BH13" s="155">
        <v>311919</v>
      </c>
      <c r="BI13" s="155">
        <v>442673</v>
      </c>
      <c r="BJ13" s="155">
        <v>230216</v>
      </c>
      <c r="BK13" s="155">
        <v>160601</v>
      </c>
      <c r="BL13" s="155">
        <v>307997</v>
      </c>
      <c r="BM13" s="155">
        <v>143376</v>
      </c>
      <c r="BN13" s="155">
        <v>546745</v>
      </c>
      <c r="BO13" s="155">
        <v>124289</v>
      </c>
      <c r="BP13" s="155">
        <v>157424</v>
      </c>
      <c r="BQ13" s="155">
        <v>198369</v>
      </c>
      <c r="BR13" s="552">
        <v>117456</v>
      </c>
      <c r="BS13" s="155">
        <v>229636</v>
      </c>
      <c r="BT13" s="155">
        <v>262406</v>
      </c>
      <c r="BU13" s="155">
        <v>164712</v>
      </c>
      <c r="BV13" s="155">
        <v>425932</v>
      </c>
      <c r="BW13" s="155">
        <v>138858</v>
      </c>
      <c r="BX13" s="155">
        <v>211207</v>
      </c>
      <c r="BY13" s="155">
        <v>139397</v>
      </c>
      <c r="BZ13" s="155">
        <v>284014</v>
      </c>
      <c r="CA13" s="155">
        <v>228314</v>
      </c>
      <c r="CB13" s="552">
        <v>170198</v>
      </c>
      <c r="CC13" s="155">
        <v>285754</v>
      </c>
      <c r="CD13" s="155">
        <v>225755</v>
      </c>
      <c r="CE13" s="155">
        <v>188170</v>
      </c>
      <c r="CF13" s="155">
        <v>125596</v>
      </c>
      <c r="CG13" s="281">
        <v>194629</v>
      </c>
      <c r="CH13" s="155">
        <v>198265</v>
      </c>
      <c r="CI13" s="155">
        <v>214655</v>
      </c>
      <c r="CJ13" s="155">
        <v>283264</v>
      </c>
      <c r="CK13" s="156">
        <v>130192</v>
      </c>
      <c r="CL13" s="320">
        <v>11023425</v>
      </c>
      <c r="CM13" s="49"/>
    </row>
    <row r="14" spans="1:91">
      <c r="A14" s="80">
        <f>ROWS($A$3:A12)</f>
        <v>10</v>
      </c>
      <c r="B14" s="54" t="s">
        <v>61</v>
      </c>
      <c r="C14" s="252"/>
      <c r="D14" s="259" t="s">
        <v>12</v>
      </c>
      <c r="E14" s="483">
        <v>43551</v>
      </c>
      <c r="F14" s="530">
        <f>F13/F7*100</f>
        <v>390.90071204817338</v>
      </c>
      <c r="G14" s="531">
        <f>G13/G7*100</f>
        <v>404.13051711327813</v>
      </c>
      <c r="H14" s="531">
        <f>H13/H7*100</f>
        <v>240.97820301528162</v>
      </c>
      <c r="I14" s="532">
        <f>I13/I7*100</f>
        <v>207.05030581828541</v>
      </c>
      <c r="J14" s="281"/>
      <c r="K14" s="541">
        <f t="shared" si="4"/>
        <v>206.71170247255839</v>
      </c>
      <c r="L14" s="542">
        <f t="shared" si="5"/>
        <v>495.14963639753876</v>
      </c>
      <c r="M14" s="542">
        <f t="shared" si="6"/>
        <v>101.36182742518001</v>
      </c>
      <c r="N14" s="542">
        <f t="shared" si="7"/>
        <v>399.07992651866613</v>
      </c>
      <c r="O14" s="542">
        <f t="shared" si="8"/>
        <v>210.48888605415058</v>
      </c>
      <c r="P14" s="531">
        <f>P13/P7*100</f>
        <v>388.30221703617269</v>
      </c>
      <c r="Q14" s="542">
        <f>'2018'!AU14</f>
        <v>630.58145558145554</v>
      </c>
      <c r="R14" s="531">
        <f>R13/R7*100</f>
        <v>1314.5584485303987</v>
      </c>
      <c r="S14" s="542">
        <f t="shared" si="9"/>
        <v>830.28786177644702</v>
      </c>
      <c r="T14" s="542">
        <f t="shared" si="10"/>
        <v>143.40594263350329</v>
      </c>
      <c r="U14" s="554">
        <f t="shared" si="10"/>
        <v>130.85838269084343</v>
      </c>
      <c r="V14" s="531">
        <f>V13/V7*100</f>
        <v>324.29719332589741</v>
      </c>
      <c r="W14" s="542">
        <f t="shared" si="12"/>
        <v>134.9464033364354</v>
      </c>
      <c r="X14" s="531">
        <f>X13/X7*100</f>
        <v>599.50107253515523</v>
      </c>
      <c r="Y14" s="531">
        <f>Y13/Y7*100</f>
        <v>771.88329114116505</v>
      </c>
      <c r="Z14" s="542">
        <f t="shared" si="15"/>
        <v>127.33893457910723</v>
      </c>
      <c r="AA14" s="531">
        <f>AA13/AA7*100</f>
        <v>409.24858933702558</v>
      </c>
      <c r="AB14" s="554">
        <f t="shared" si="17"/>
        <v>197.44885800649701</v>
      </c>
      <c r="AC14" s="542">
        <f t="shared" si="18"/>
        <v>205.98929125257234</v>
      </c>
      <c r="AD14" s="542">
        <f t="shared" si="19"/>
        <v>242.29835684549639</v>
      </c>
      <c r="AE14" s="531">
        <f>AE13/AE7*100</f>
        <v>321.31256734254089</v>
      </c>
      <c r="AF14" s="542">
        <f t="shared" si="21"/>
        <v>283.01868081466699</v>
      </c>
      <c r="AG14" s="542">
        <f t="shared" si="22"/>
        <v>228.96123164254846</v>
      </c>
      <c r="AH14" s="542">
        <f t="shared" si="23"/>
        <v>347.21386830973864</v>
      </c>
      <c r="AI14" s="542">
        <f t="shared" si="24"/>
        <v>180.4710041329833</v>
      </c>
      <c r="AJ14" s="542">
        <f t="shared" si="25"/>
        <v>189.81589912579321</v>
      </c>
      <c r="AK14" s="554">
        <f t="shared" si="26"/>
        <v>150.47122270356289</v>
      </c>
      <c r="AL14" s="542">
        <f t="shared" si="27"/>
        <v>205.07203731554742</v>
      </c>
      <c r="AM14" s="542">
        <f t="shared" si="28"/>
        <v>140.6603619646265</v>
      </c>
      <c r="AN14" s="542">
        <f t="shared" si="29"/>
        <v>173.55799277005087</v>
      </c>
      <c r="AO14" s="542">
        <f t="shared" si="30"/>
        <v>261.56451376684242</v>
      </c>
      <c r="AP14" s="542">
        <f t="shared" si="30"/>
        <v>434.88018184620125</v>
      </c>
      <c r="AQ14" s="542">
        <f t="shared" si="31"/>
        <v>108.11223769545686</v>
      </c>
      <c r="AR14" s="542">
        <f t="shared" si="32"/>
        <v>322.89143940191639</v>
      </c>
      <c r="AS14" s="532">
        <f>AS13/AS7*100</f>
        <v>216.77396207767239</v>
      </c>
      <c r="AT14" s="531">
        <f t="shared" ref="AT14:CK14" si="35">AT13/AT7*100</f>
        <v>3051.5698095008438</v>
      </c>
      <c r="AU14" s="531">
        <f t="shared" si="35"/>
        <v>630.58145558145554</v>
      </c>
      <c r="AV14" s="531">
        <f t="shared" si="35"/>
        <v>830.28786177644702</v>
      </c>
      <c r="AW14" s="531">
        <f t="shared" si="35"/>
        <v>399.07992651866613</v>
      </c>
      <c r="AX14" s="531">
        <f t="shared" si="35"/>
        <v>790.11896268037333</v>
      </c>
      <c r="AY14" s="531">
        <f t="shared" si="35"/>
        <v>495.14963639753876</v>
      </c>
      <c r="AZ14" s="531">
        <f t="shared" si="35"/>
        <v>1252.5077585343877</v>
      </c>
      <c r="BA14" s="531">
        <f t="shared" si="35"/>
        <v>309.81807602440199</v>
      </c>
      <c r="BB14" s="531">
        <f t="shared" si="35"/>
        <v>143.40594263350329</v>
      </c>
      <c r="BC14" s="531">
        <f t="shared" si="35"/>
        <v>130.85838269084343</v>
      </c>
      <c r="BD14" s="531">
        <f t="shared" si="35"/>
        <v>101.36182742518001</v>
      </c>
      <c r="BE14" s="531">
        <f t="shared" si="35"/>
        <v>210.48888605415058</v>
      </c>
      <c r="BF14" s="555">
        <f t="shared" si="35"/>
        <v>206.71170247255839</v>
      </c>
      <c r="BG14" s="531">
        <f t="shared" si="35"/>
        <v>390.31314644411157</v>
      </c>
      <c r="BH14" s="531">
        <f t="shared" si="35"/>
        <v>1798.6333756198824</v>
      </c>
      <c r="BI14" s="531">
        <f t="shared" si="35"/>
        <v>407.88828689370484</v>
      </c>
      <c r="BJ14" s="531">
        <f t="shared" si="35"/>
        <v>311.76414826049859</v>
      </c>
      <c r="BK14" s="531">
        <f t="shared" si="35"/>
        <v>1474.8920929378273</v>
      </c>
      <c r="BL14" s="531">
        <f t="shared" si="35"/>
        <v>2124.5568048561772</v>
      </c>
      <c r="BM14" s="531">
        <f t="shared" si="35"/>
        <v>127.33893457910723</v>
      </c>
      <c r="BN14" s="531">
        <f t="shared" si="35"/>
        <v>515.04403937638358</v>
      </c>
      <c r="BO14" s="531">
        <f t="shared" si="35"/>
        <v>1267.349852146426</v>
      </c>
      <c r="BP14" s="531">
        <f t="shared" si="35"/>
        <v>197.44885800649701</v>
      </c>
      <c r="BQ14" s="531">
        <f t="shared" si="35"/>
        <v>345.83158995815899</v>
      </c>
      <c r="BR14" s="555">
        <f t="shared" si="35"/>
        <v>134.9464033364354</v>
      </c>
      <c r="BS14" s="531">
        <f t="shared" si="35"/>
        <v>1500.4966021955045</v>
      </c>
      <c r="BT14" s="531">
        <f t="shared" si="35"/>
        <v>190.38242485362508</v>
      </c>
      <c r="BU14" s="531">
        <f t="shared" si="35"/>
        <v>242.29835684549639</v>
      </c>
      <c r="BV14" s="531">
        <f t="shared" si="35"/>
        <v>228.96123164254846</v>
      </c>
      <c r="BW14" s="531">
        <f t="shared" si="35"/>
        <v>180.4710041329833</v>
      </c>
      <c r="BX14" s="531">
        <f t="shared" si="35"/>
        <v>205.98929125257234</v>
      </c>
      <c r="BY14" s="531">
        <f t="shared" si="35"/>
        <v>189.81589912579321</v>
      </c>
      <c r="BZ14" s="531">
        <f t="shared" si="35"/>
        <v>347.21386830973864</v>
      </c>
      <c r="CA14" s="531">
        <f t="shared" si="35"/>
        <v>283.01868081466699</v>
      </c>
      <c r="CB14" s="555">
        <f t="shared" si="35"/>
        <v>150.47122270356289</v>
      </c>
      <c r="CC14" s="531">
        <f t="shared" si="35"/>
        <v>261.56451376684242</v>
      </c>
      <c r="CD14" s="531">
        <f t="shared" si="35"/>
        <v>434.88018184620125</v>
      </c>
      <c r="CE14" s="531">
        <f t="shared" si="35"/>
        <v>205.07203731554742</v>
      </c>
      <c r="CF14" s="531">
        <f t="shared" si="35"/>
        <v>1058.2743511964948</v>
      </c>
      <c r="CG14" s="531">
        <f>CG13/CG7*100</f>
        <v>143.26230171874425</v>
      </c>
      <c r="CH14" s="531">
        <f t="shared" si="35"/>
        <v>140.6603619646265</v>
      </c>
      <c r="CI14" s="531">
        <f t="shared" si="35"/>
        <v>322.89143940191639</v>
      </c>
      <c r="CJ14" s="531">
        <f t="shared" si="35"/>
        <v>173.55799277005087</v>
      </c>
      <c r="CK14" s="532">
        <f t="shared" si="35"/>
        <v>108.11223769545686</v>
      </c>
      <c r="CL14" s="556">
        <f>CL13/CL7*100</f>
        <v>308.36221582564764</v>
      </c>
    </row>
    <row r="15" spans="1:91">
      <c r="A15" s="80">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c r="A16" s="80">
        <f>ROWS($A$3:A14)</f>
        <v>12</v>
      </c>
      <c r="B16" s="92" t="s">
        <v>200</v>
      </c>
      <c r="C16" s="584">
        <v>2017</v>
      </c>
      <c r="D16" s="259" t="s">
        <v>11</v>
      </c>
      <c r="E16" s="483">
        <v>43556</v>
      </c>
      <c r="F16" s="534">
        <v>2405600</v>
      </c>
      <c r="G16" s="534">
        <v>1567500</v>
      </c>
      <c r="H16" s="534">
        <v>1240100</v>
      </c>
      <c r="I16" s="535">
        <v>1041300</v>
      </c>
      <c r="J16" s="281"/>
      <c r="K16" s="154">
        <f t="shared" si="4"/>
        <v>170100</v>
      </c>
      <c r="L16" s="155">
        <f t="shared" si="5"/>
        <v>204700</v>
      </c>
      <c r="M16" s="155">
        <f t="shared" si="6"/>
        <v>75600</v>
      </c>
      <c r="N16" s="155">
        <f t="shared" si="7"/>
        <v>124200</v>
      </c>
      <c r="O16" s="155">
        <f t="shared" si="8"/>
        <v>66000</v>
      </c>
      <c r="P16" s="155">
        <f>'2018'!AZ16+'2018'!BA16</f>
        <v>273600</v>
      </c>
      <c r="Q16" s="155">
        <f>'2018'!AU16</f>
        <v>236600</v>
      </c>
      <c r="R16" s="155">
        <f t="shared" si="34"/>
        <v>789200</v>
      </c>
      <c r="S16" s="155">
        <f t="shared" si="9"/>
        <v>282200</v>
      </c>
      <c r="T16" s="155">
        <f t="shared" si="10"/>
        <v>72000</v>
      </c>
      <c r="U16" s="552">
        <f t="shared" si="10"/>
        <v>111500</v>
      </c>
      <c r="V16" s="155">
        <f>BG16+BJ16</f>
        <v>159800</v>
      </c>
      <c r="W16" s="155">
        <f t="shared" si="12"/>
        <v>64000</v>
      </c>
      <c r="X16" s="155">
        <f>BH16+BI16</f>
        <v>447300</v>
      </c>
      <c r="Y16" s="155">
        <f>BK16+BL16+BN16</f>
        <v>600900</v>
      </c>
      <c r="Z16" s="155">
        <f t="shared" si="15"/>
        <v>66900</v>
      </c>
      <c r="AA16" s="155">
        <f>BO16+BQ16</f>
        <v>162000</v>
      </c>
      <c r="AB16" s="552">
        <f t="shared" si="17"/>
        <v>66700</v>
      </c>
      <c r="AC16" s="155">
        <f t="shared" si="18"/>
        <v>122000</v>
      </c>
      <c r="AD16" s="155">
        <f t="shared" si="19"/>
        <v>75000</v>
      </c>
      <c r="AE16" s="155">
        <f>BS16+BT16</f>
        <v>296200</v>
      </c>
      <c r="AF16" s="155">
        <f t="shared" si="21"/>
        <v>107600</v>
      </c>
      <c r="AG16" s="155">
        <f t="shared" si="22"/>
        <v>246800</v>
      </c>
      <c r="AH16" s="155">
        <f t="shared" si="23"/>
        <v>147400</v>
      </c>
      <c r="AI16" s="155">
        <f t="shared" si="24"/>
        <v>77600</v>
      </c>
      <c r="AJ16" s="155">
        <f t="shared" si="25"/>
        <v>88200</v>
      </c>
      <c r="AK16" s="552">
        <f t="shared" si="26"/>
        <v>79300</v>
      </c>
      <c r="AL16" s="155">
        <f t="shared" si="27"/>
        <v>93800</v>
      </c>
      <c r="AM16" s="155">
        <f t="shared" si="28"/>
        <v>113500</v>
      </c>
      <c r="AN16" s="155">
        <f t="shared" si="29"/>
        <v>165700</v>
      </c>
      <c r="AO16" s="155">
        <f t="shared" si="30"/>
        <v>156000</v>
      </c>
      <c r="AP16" s="155">
        <f t="shared" si="30"/>
        <v>116400</v>
      </c>
      <c r="AQ16" s="155">
        <f t="shared" si="31"/>
        <v>68900</v>
      </c>
      <c r="AR16" s="155">
        <f t="shared" si="32"/>
        <v>124000</v>
      </c>
      <c r="AS16" s="156">
        <f>CF16+CG16</f>
        <v>202900</v>
      </c>
      <c r="AT16" s="534">
        <v>524100</v>
      </c>
      <c r="AU16" s="534">
        <v>236600</v>
      </c>
      <c r="AV16" s="534">
        <v>282200</v>
      </c>
      <c r="AW16" s="534">
        <v>124200</v>
      </c>
      <c r="AX16" s="534">
        <v>265100</v>
      </c>
      <c r="AY16" s="534">
        <v>204700</v>
      </c>
      <c r="AZ16" s="534">
        <v>96900</v>
      </c>
      <c r="BA16" s="534">
        <v>176700</v>
      </c>
      <c r="BB16" s="534">
        <v>72000</v>
      </c>
      <c r="BC16" s="534">
        <v>111500</v>
      </c>
      <c r="BD16" s="534">
        <v>75600</v>
      </c>
      <c r="BE16" s="534">
        <v>66000</v>
      </c>
      <c r="BF16" s="557">
        <v>170100</v>
      </c>
      <c r="BG16" s="534">
        <v>42100</v>
      </c>
      <c r="BH16" s="534">
        <v>236600</v>
      </c>
      <c r="BI16" s="534">
        <v>210700</v>
      </c>
      <c r="BJ16" s="534">
        <v>117700</v>
      </c>
      <c r="BK16" s="534">
        <v>121400</v>
      </c>
      <c r="BL16" s="534">
        <v>242400</v>
      </c>
      <c r="BM16" s="534">
        <v>66900</v>
      </c>
      <c r="BN16" s="534">
        <v>237100</v>
      </c>
      <c r="BO16" s="534">
        <v>77900</v>
      </c>
      <c r="BP16" s="534">
        <v>66700</v>
      </c>
      <c r="BQ16" s="534">
        <v>84100</v>
      </c>
      <c r="BR16" s="557">
        <v>64000</v>
      </c>
      <c r="BS16" s="534">
        <v>175700</v>
      </c>
      <c r="BT16" s="534">
        <v>120500</v>
      </c>
      <c r="BU16" s="534">
        <v>75000</v>
      </c>
      <c r="BV16" s="534">
        <v>246800</v>
      </c>
      <c r="BW16" s="534">
        <v>77600</v>
      </c>
      <c r="BX16" s="534">
        <v>122000</v>
      </c>
      <c r="BY16" s="534">
        <v>88200</v>
      </c>
      <c r="BZ16" s="534">
        <v>147400</v>
      </c>
      <c r="CA16" s="534">
        <v>107600</v>
      </c>
      <c r="CB16" s="557">
        <v>79300</v>
      </c>
      <c r="CC16" s="534">
        <v>156000</v>
      </c>
      <c r="CD16" s="534">
        <v>116400</v>
      </c>
      <c r="CE16" s="534">
        <v>93800</v>
      </c>
      <c r="CF16" s="534">
        <v>122900</v>
      </c>
      <c r="CG16" s="534">
        <v>80000</v>
      </c>
      <c r="CH16" s="534">
        <v>113500</v>
      </c>
      <c r="CI16" s="534">
        <v>124000</v>
      </c>
      <c r="CJ16" s="534">
        <v>165700</v>
      </c>
      <c r="CK16" s="534">
        <v>68900</v>
      </c>
      <c r="CL16" s="320">
        <v>6254500</v>
      </c>
    </row>
    <row r="17" spans="1:94" ht="14.25">
      <c r="A17" s="80">
        <f>ROWS($A$3:A15)</f>
        <v>13</v>
      </c>
      <c r="B17" s="388" t="s">
        <v>243</v>
      </c>
      <c r="C17" s="584">
        <v>2018</v>
      </c>
      <c r="D17" s="259" t="s">
        <v>3</v>
      </c>
      <c r="E17" s="483">
        <v>43556</v>
      </c>
      <c r="F17" s="619">
        <f>(AT16*AT17+AU16*AU17+AV16*AV17+AW16*AW17+AX16*AX17+AY16*AY17+AZ16*AZ17+BA16*BA17+BB16*BB17+BC16*BC17+BD16*BD17+BE16*BE17+BF16*BF17)/F16</f>
        <v>3.0965247755237777</v>
      </c>
      <c r="G17" s="620">
        <f>(BG16*BG17+BH16*BH17+BI16*BI17+BJ16*BJ17+BK16*BK17+BL16*BL17+BM16*BM17+BN16*BN17+BO16*BO17+BP16*BP17+BQ16*BQ17+BR16*BR17)/G16</f>
        <v>3.5445167464114831</v>
      </c>
      <c r="H17" s="620">
        <f>(BS16*BS17+BT16*BT17+BU16*BU17+BV16*BV17+BW16*BW17+BX16*BX17+BY16*BY17+BZ16*BZ17+CA16*CA17+CB16*CB17)/H16</f>
        <v>3.0071203935166517</v>
      </c>
      <c r="I17" s="621">
        <f>(CC16*CC17+CD16*CD17+CE16*CE17+CF16*CF17+CG16*CG17+CH16*CH17+CI16*CI17+CJ16*CJ17+CK16*CK17)/I16</f>
        <v>2.5876020359166425</v>
      </c>
      <c r="J17" s="622"/>
      <c r="K17" s="623">
        <f t="shared" si="4"/>
        <v>2.6</v>
      </c>
      <c r="L17" s="624">
        <f t="shared" si="5"/>
        <v>2.8</v>
      </c>
      <c r="M17" s="624">
        <f t="shared" si="6"/>
        <v>2.5</v>
      </c>
      <c r="N17" s="624">
        <f t="shared" si="7"/>
        <v>3.3</v>
      </c>
      <c r="O17" s="624">
        <f t="shared" si="8"/>
        <v>3.4</v>
      </c>
      <c r="P17" s="620">
        <f>ROUND((AZ16*AZ17/100+BA16*BA17/100)/P16%,1)</f>
        <v>3.4</v>
      </c>
      <c r="Q17" s="624">
        <f>'2018'!AU17</f>
        <v>2.6</v>
      </c>
      <c r="R17" s="620">
        <f>ROUND((AT16*AT17/100+AX16*AX17/100)/R16%,1)</f>
        <v>3.5</v>
      </c>
      <c r="S17" s="624">
        <f t="shared" si="9"/>
        <v>3</v>
      </c>
      <c r="T17" s="624">
        <f t="shared" si="10"/>
        <v>2.2000000000000002</v>
      </c>
      <c r="U17" s="625">
        <f t="shared" si="10"/>
        <v>2.6</v>
      </c>
      <c r="V17" s="620">
        <f>ROUND((BG16*BG17/100+BJ16*BJ17/100)/V16%,1)</f>
        <v>3.5</v>
      </c>
      <c r="W17" s="624">
        <f t="shared" si="12"/>
        <v>2.6</v>
      </c>
      <c r="X17" s="620">
        <f>ROUND((BH16*BH17/100+BI16*BI17/100)/X16%,1)</f>
        <v>3.3</v>
      </c>
      <c r="Y17" s="620">
        <f>ROUND((BK16*BK17/100+BL16*BL17/100+BN16*BN17/100)/Y16%,1)</f>
        <v>3.9</v>
      </c>
      <c r="Z17" s="624">
        <f t="shared" si="15"/>
        <v>2.9</v>
      </c>
      <c r="AA17" s="620">
        <f>ROUND((BO16*BO17/100+BQ16*BQ17/100)/AA16%,1)</f>
        <v>3.7</v>
      </c>
      <c r="AB17" s="625">
        <f t="shared" si="17"/>
        <v>2.8</v>
      </c>
      <c r="AC17" s="624">
        <f t="shared" si="18"/>
        <v>2.6</v>
      </c>
      <c r="AD17" s="624">
        <f t="shared" si="19"/>
        <v>2.5</v>
      </c>
      <c r="AE17" s="620">
        <f>ROUND((BS16*BS17/100+BT16*BT17/100)/AE16%,1)</f>
        <v>3.9</v>
      </c>
      <c r="AF17" s="624">
        <f t="shared" si="21"/>
        <v>3.2</v>
      </c>
      <c r="AG17" s="624">
        <f t="shared" si="22"/>
        <v>2.8</v>
      </c>
      <c r="AH17" s="624">
        <f t="shared" si="23"/>
        <v>3.1</v>
      </c>
      <c r="AI17" s="624">
        <f t="shared" si="24"/>
        <v>2</v>
      </c>
      <c r="AJ17" s="624">
        <f t="shared" si="25"/>
        <v>2.4</v>
      </c>
      <c r="AK17" s="625">
        <f t="shared" si="26"/>
        <v>2.7</v>
      </c>
      <c r="AL17" s="624">
        <f t="shared" si="27"/>
        <v>3</v>
      </c>
      <c r="AM17" s="624">
        <f t="shared" si="28"/>
        <v>1.9</v>
      </c>
      <c r="AN17" s="624">
        <f t="shared" si="29"/>
        <v>2.2999999999999998</v>
      </c>
      <c r="AO17" s="624">
        <f t="shared" si="30"/>
        <v>3</v>
      </c>
      <c r="AP17" s="624">
        <f t="shared" si="30"/>
        <v>2.5</v>
      </c>
      <c r="AQ17" s="624">
        <f t="shared" si="31"/>
        <v>2.7</v>
      </c>
      <c r="AR17" s="624">
        <f t="shared" si="32"/>
        <v>2.5</v>
      </c>
      <c r="AS17" s="621">
        <f>ROUND((CF16*CF17/100+CG16*CG17/100)/AS16%,1)</f>
        <v>2.8</v>
      </c>
      <c r="AT17" s="618">
        <v>3.9</v>
      </c>
      <c r="AU17" s="618">
        <v>2.6</v>
      </c>
      <c r="AV17" s="618">
        <v>3</v>
      </c>
      <c r="AW17" s="618">
        <v>3.3</v>
      </c>
      <c r="AX17" s="618">
        <v>2.7</v>
      </c>
      <c r="AY17" s="618">
        <v>2.8</v>
      </c>
      <c r="AZ17" s="618">
        <v>4.5999999999999996</v>
      </c>
      <c r="BA17" s="618">
        <v>2.8</v>
      </c>
      <c r="BB17" s="618">
        <v>2.2000000000000002</v>
      </c>
      <c r="BC17" s="618">
        <v>2.6</v>
      </c>
      <c r="BD17" s="618">
        <v>2.5</v>
      </c>
      <c r="BE17" s="618">
        <v>3.4</v>
      </c>
      <c r="BF17" s="626">
        <v>2.6</v>
      </c>
      <c r="BG17" s="618">
        <v>4.5999999999999996</v>
      </c>
      <c r="BH17" s="618">
        <v>4</v>
      </c>
      <c r="BI17" s="618">
        <v>2.6</v>
      </c>
      <c r="BJ17" s="618">
        <v>3.1</v>
      </c>
      <c r="BK17" s="618">
        <v>3.6</v>
      </c>
      <c r="BL17" s="618">
        <v>4.5999999999999996</v>
      </c>
      <c r="BM17" s="618">
        <v>2.9</v>
      </c>
      <c r="BN17" s="618">
        <v>3.4</v>
      </c>
      <c r="BO17" s="618">
        <v>5.3</v>
      </c>
      <c r="BP17" s="618">
        <v>2.8</v>
      </c>
      <c r="BQ17" s="618">
        <v>2.2000000000000002</v>
      </c>
      <c r="BR17" s="626">
        <v>2.6</v>
      </c>
      <c r="BS17" s="618">
        <v>4.7</v>
      </c>
      <c r="BT17" s="618">
        <v>2.7</v>
      </c>
      <c r="BU17" s="618">
        <v>2.5</v>
      </c>
      <c r="BV17" s="618">
        <v>2.8</v>
      </c>
      <c r="BW17" s="618">
        <v>2</v>
      </c>
      <c r="BX17" s="618">
        <v>2.6</v>
      </c>
      <c r="BY17" s="618">
        <v>2.4</v>
      </c>
      <c r="BZ17" s="618">
        <v>3.1</v>
      </c>
      <c r="CA17" s="618">
        <v>3.2</v>
      </c>
      <c r="CB17" s="626">
        <v>2.7</v>
      </c>
      <c r="CC17" s="618">
        <v>3</v>
      </c>
      <c r="CD17" s="618">
        <v>2.5</v>
      </c>
      <c r="CE17" s="618">
        <v>3</v>
      </c>
      <c r="CF17" s="618">
        <v>3.2</v>
      </c>
      <c r="CG17" s="618">
        <v>2.1</v>
      </c>
      <c r="CH17" s="618">
        <v>1.9</v>
      </c>
      <c r="CI17" s="618">
        <v>2.5</v>
      </c>
      <c r="CJ17" s="618">
        <v>2.2999999999999998</v>
      </c>
      <c r="CK17" s="618">
        <v>2.7</v>
      </c>
      <c r="CL17" s="627">
        <v>3</v>
      </c>
    </row>
    <row r="18" spans="1:94">
      <c r="A18" s="80">
        <f>ROWS($A$3:A16)</f>
        <v>14</v>
      </c>
      <c r="B18" s="238" t="s">
        <v>302</v>
      </c>
      <c r="C18" s="202">
        <v>2016</v>
      </c>
      <c r="D18" s="259" t="s">
        <v>11</v>
      </c>
      <c r="E18" s="447">
        <v>43320</v>
      </c>
      <c r="F18" s="534">
        <v>24500</v>
      </c>
      <c r="G18" s="534">
        <v>9600</v>
      </c>
      <c r="H18" s="534">
        <v>18600</v>
      </c>
      <c r="I18" s="535">
        <v>20000</v>
      </c>
      <c r="J18" s="382"/>
      <c r="K18" s="154">
        <f>BF18</f>
        <v>2300</v>
      </c>
      <c r="L18" s="155">
        <f>AY18</f>
        <v>2400</v>
      </c>
      <c r="M18" s="155">
        <f>BD18</f>
        <v>1700</v>
      </c>
      <c r="N18" s="155">
        <f>AW18</f>
        <v>1100</v>
      </c>
      <c r="O18" s="155">
        <f>BE18</f>
        <v>800</v>
      </c>
      <c r="P18" s="531">
        <f>'2018'!AZ18+'2018'!BA18</f>
        <v>4500</v>
      </c>
      <c r="Q18" s="155">
        <f>'2018'!AU18</f>
        <v>900</v>
      </c>
      <c r="R18" s="531">
        <f>AT18+AX18</f>
        <v>4300</v>
      </c>
      <c r="S18" s="155">
        <f>AV18</f>
        <v>1600</v>
      </c>
      <c r="T18" s="155">
        <f>BB18</f>
        <v>2000</v>
      </c>
      <c r="U18" s="552">
        <f>BC18</f>
        <v>2900</v>
      </c>
      <c r="V18" s="531">
        <f>BG18+BJ18</f>
        <v>1300</v>
      </c>
      <c r="W18" s="155">
        <f>BR18</f>
        <v>600</v>
      </c>
      <c r="X18" s="531">
        <f>BH18+BI18</f>
        <v>1900</v>
      </c>
      <c r="Y18" s="531">
        <f>BK18+BL18+BN18</f>
        <v>3000</v>
      </c>
      <c r="Z18" s="155">
        <f>BM18</f>
        <v>1300</v>
      </c>
      <c r="AA18" s="531">
        <f>BO18+BQ18</f>
        <v>800</v>
      </c>
      <c r="AB18" s="552">
        <f>BP18</f>
        <v>700</v>
      </c>
      <c r="AC18" s="155">
        <f>BX18</f>
        <v>1200</v>
      </c>
      <c r="AD18" s="155">
        <f>BU18</f>
        <v>1800</v>
      </c>
      <c r="AE18" s="531">
        <f>BS18+BT18</f>
        <v>4700</v>
      </c>
      <c r="AF18" s="155">
        <f>CA18</f>
        <v>1400</v>
      </c>
      <c r="AG18" s="155">
        <f>BV18</f>
        <v>4500</v>
      </c>
      <c r="AH18" s="155">
        <f>BZ18</f>
        <v>2300</v>
      </c>
      <c r="AI18" s="155">
        <f>BW18</f>
        <v>800</v>
      </c>
      <c r="AJ18" s="155">
        <f>BY18</f>
        <v>500</v>
      </c>
      <c r="AK18" s="552">
        <f>CB18</f>
        <v>1300</v>
      </c>
      <c r="AL18" s="155">
        <f>CE18</f>
        <v>900</v>
      </c>
      <c r="AM18" s="155">
        <f>CH18</f>
        <v>3200</v>
      </c>
      <c r="AN18" s="155">
        <f>CJ18</f>
        <v>5400</v>
      </c>
      <c r="AO18" s="155">
        <f>CC18</f>
        <v>1400</v>
      </c>
      <c r="AP18" s="155">
        <f>CD18</f>
        <v>500</v>
      </c>
      <c r="AQ18" s="155">
        <f>CK18</f>
        <v>1700</v>
      </c>
      <c r="AR18" s="155">
        <f>CI18</f>
        <v>3900</v>
      </c>
      <c r="AS18" s="532">
        <f>CF18+CG18</f>
        <v>3000</v>
      </c>
      <c r="AT18" s="534">
        <v>1000</v>
      </c>
      <c r="AU18" s="534">
        <v>900</v>
      </c>
      <c r="AV18" s="534">
        <v>1600</v>
      </c>
      <c r="AW18" s="534">
        <v>1100</v>
      </c>
      <c r="AX18" s="534">
        <v>3300</v>
      </c>
      <c r="AY18" s="534">
        <v>2400</v>
      </c>
      <c r="AZ18" s="534">
        <v>600</v>
      </c>
      <c r="BA18" s="534">
        <v>3900</v>
      </c>
      <c r="BB18" s="534">
        <v>2000</v>
      </c>
      <c r="BC18" s="534">
        <v>2900</v>
      </c>
      <c r="BD18" s="534">
        <v>1700</v>
      </c>
      <c r="BE18" s="534">
        <v>800</v>
      </c>
      <c r="BF18" s="557">
        <v>2300</v>
      </c>
      <c r="BG18" s="534">
        <v>200</v>
      </c>
      <c r="BH18" s="534">
        <v>200</v>
      </c>
      <c r="BI18" s="534">
        <v>1700</v>
      </c>
      <c r="BJ18" s="534">
        <v>1100</v>
      </c>
      <c r="BK18" s="534">
        <v>300</v>
      </c>
      <c r="BL18" s="534">
        <v>500</v>
      </c>
      <c r="BM18" s="534">
        <v>1300</v>
      </c>
      <c r="BN18" s="534">
        <v>2200</v>
      </c>
      <c r="BO18" s="534">
        <v>100</v>
      </c>
      <c r="BP18" s="534">
        <v>700</v>
      </c>
      <c r="BQ18" s="534">
        <v>700</v>
      </c>
      <c r="BR18" s="557">
        <v>600</v>
      </c>
      <c r="BS18" s="534">
        <v>500</v>
      </c>
      <c r="BT18" s="534">
        <v>4200</v>
      </c>
      <c r="BU18" s="534">
        <v>1800</v>
      </c>
      <c r="BV18" s="534">
        <v>4500</v>
      </c>
      <c r="BW18" s="534">
        <v>800</v>
      </c>
      <c r="BX18" s="534">
        <v>1200</v>
      </c>
      <c r="BY18" s="534">
        <v>500</v>
      </c>
      <c r="BZ18" s="534">
        <v>2300</v>
      </c>
      <c r="CA18" s="534">
        <v>1400</v>
      </c>
      <c r="CB18" s="557">
        <v>1300</v>
      </c>
      <c r="CC18" s="534">
        <v>1400</v>
      </c>
      <c r="CD18" s="534">
        <v>500</v>
      </c>
      <c r="CE18" s="534">
        <v>900</v>
      </c>
      <c r="CF18" s="534">
        <v>300</v>
      </c>
      <c r="CG18" s="534">
        <v>2700</v>
      </c>
      <c r="CH18" s="534">
        <v>3200</v>
      </c>
      <c r="CI18" s="534">
        <v>3900</v>
      </c>
      <c r="CJ18" s="534">
        <v>5400</v>
      </c>
      <c r="CK18" s="534">
        <v>1700</v>
      </c>
      <c r="CL18" s="320">
        <v>72800</v>
      </c>
    </row>
    <row r="19" spans="1:94">
      <c r="A19" s="80">
        <f>ROWS($A$3:A17)</f>
        <v>15</v>
      </c>
      <c r="B19" s="238" t="s">
        <v>268</v>
      </c>
      <c r="C19" s="584">
        <v>2018</v>
      </c>
      <c r="D19" s="259" t="s">
        <v>11</v>
      </c>
      <c r="E19" s="483">
        <v>43556</v>
      </c>
      <c r="F19" s="533">
        <f>SUM(AT19:BF19)</f>
        <v>1848908</v>
      </c>
      <c r="G19" s="281">
        <f>SUM(BG19:BR19)</f>
        <v>1175411</v>
      </c>
      <c r="H19" s="281">
        <f>SUM(BS19:CB19)</f>
        <v>892393</v>
      </c>
      <c r="I19" s="300">
        <f>SUM(CC19:CK19)</f>
        <v>756725</v>
      </c>
      <c r="J19" s="382"/>
      <c r="K19" s="154">
        <f>BF19</f>
        <v>126659</v>
      </c>
      <c r="L19" s="155">
        <f>AY19</f>
        <v>151440</v>
      </c>
      <c r="M19" s="155">
        <f>BD19</f>
        <v>55603</v>
      </c>
      <c r="N19" s="155">
        <f>AW19</f>
        <v>90496</v>
      </c>
      <c r="O19" s="155">
        <f>BE19</f>
        <v>51286</v>
      </c>
      <c r="P19" s="531">
        <f>'2018'!AZ19+'2018'!BA19</f>
        <v>213476</v>
      </c>
      <c r="Q19" s="155">
        <f>'2018'!AU19</f>
        <v>181261</v>
      </c>
      <c r="R19" s="531">
        <f>AT19+AX19</f>
        <v>619715</v>
      </c>
      <c r="S19" s="155">
        <f>AV19</f>
        <v>218065</v>
      </c>
      <c r="T19" s="155">
        <f>BB19</f>
        <v>57865</v>
      </c>
      <c r="U19" s="552">
        <f>BC19</f>
        <v>83042</v>
      </c>
      <c r="V19" s="531">
        <f>BG19+BJ19</f>
        <v>123641</v>
      </c>
      <c r="W19" s="155">
        <f>BR19</f>
        <v>46992</v>
      </c>
      <c r="X19" s="531">
        <f>BH19+BI19</f>
        <v>333005</v>
      </c>
      <c r="Y19" s="531">
        <f>BK19+BL19+BN19</f>
        <v>456582</v>
      </c>
      <c r="Z19" s="155">
        <f>BM19</f>
        <v>46767</v>
      </c>
      <c r="AA19" s="531">
        <f>BO19+BQ19</f>
        <v>121161</v>
      </c>
      <c r="AB19" s="552">
        <f>BP19</f>
        <v>47263</v>
      </c>
      <c r="AC19" s="155">
        <f>BX19</f>
        <v>88573</v>
      </c>
      <c r="AD19" s="155">
        <f>BU19</f>
        <v>52580</v>
      </c>
      <c r="AE19" s="531">
        <f>BS19+BT19</f>
        <v>208672</v>
      </c>
      <c r="AF19" s="155">
        <f>CA19</f>
        <v>79883</v>
      </c>
      <c r="AG19" s="155">
        <f>BV19</f>
        <v>181170</v>
      </c>
      <c r="AH19" s="155">
        <f>BZ19</f>
        <v>102459</v>
      </c>
      <c r="AI19" s="155">
        <f>BW19</f>
        <v>57261</v>
      </c>
      <c r="AJ19" s="155">
        <f>BY19</f>
        <v>66643</v>
      </c>
      <c r="AK19" s="552">
        <f>CB19</f>
        <v>55152</v>
      </c>
      <c r="AL19" s="155">
        <f>CE19</f>
        <v>68726</v>
      </c>
      <c r="AM19" s="155">
        <f>CH19</f>
        <v>84321</v>
      </c>
      <c r="AN19" s="155">
        <f>CJ19</f>
        <v>118151</v>
      </c>
      <c r="AO19" s="155">
        <f>CC19</f>
        <v>114353</v>
      </c>
      <c r="AP19" s="155">
        <f>CD19</f>
        <v>81428</v>
      </c>
      <c r="AQ19" s="155">
        <f>CK19</f>
        <v>47573</v>
      </c>
      <c r="AR19" s="155">
        <f>CI19</f>
        <v>92448</v>
      </c>
      <c r="AS19" s="532">
        <f>CF19+CG19</f>
        <v>149725</v>
      </c>
      <c r="AT19" s="534">
        <v>416667</v>
      </c>
      <c r="AU19" s="534">
        <v>181261</v>
      </c>
      <c r="AV19" s="534">
        <v>218065</v>
      </c>
      <c r="AW19" s="534">
        <v>90496</v>
      </c>
      <c r="AX19" s="534">
        <v>203048</v>
      </c>
      <c r="AY19" s="534">
        <v>151440</v>
      </c>
      <c r="AZ19" s="534">
        <v>72246</v>
      </c>
      <c r="BA19" s="534">
        <v>141230</v>
      </c>
      <c r="BB19" s="534">
        <v>57865</v>
      </c>
      <c r="BC19" s="534">
        <v>83042</v>
      </c>
      <c r="BD19" s="534">
        <v>55603</v>
      </c>
      <c r="BE19" s="534">
        <v>51286</v>
      </c>
      <c r="BF19" s="557">
        <v>126659</v>
      </c>
      <c r="BG19" s="534">
        <v>31041</v>
      </c>
      <c r="BH19" s="534">
        <v>177212</v>
      </c>
      <c r="BI19" s="534">
        <v>155793</v>
      </c>
      <c r="BJ19" s="534">
        <v>92600</v>
      </c>
      <c r="BK19" s="534">
        <v>93301</v>
      </c>
      <c r="BL19" s="534">
        <v>189940</v>
      </c>
      <c r="BM19" s="534">
        <v>46767</v>
      </c>
      <c r="BN19" s="534">
        <v>173341</v>
      </c>
      <c r="BO19" s="534">
        <v>58463</v>
      </c>
      <c r="BP19" s="534">
        <v>47263</v>
      </c>
      <c r="BQ19" s="534">
        <v>62698</v>
      </c>
      <c r="BR19" s="557">
        <v>46992</v>
      </c>
      <c r="BS19" s="534">
        <v>125982</v>
      </c>
      <c r="BT19" s="534">
        <v>82690</v>
      </c>
      <c r="BU19" s="534">
        <v>52580</v>
      </c>
      <c r="BV19" s="534">
        <v>181170</v>
      </c>
      <c r="BW19" s="534">
        <v>57261</v>
      </c>
      <c r="BX19" s="534">
        <v>88573</v>
      </c>
      <c r="BY19" s="534">
        <v>66643</v>
      </c>
      <c r="BZ19" s="534">
        <v>102459</v>
      </c>
      <c r="CA19" s="534">
        <v>79883</v>
      </c>
      <c r="CB19" s="557">
        <v>55152</v>
      </c>
      <c r="CC19" s="534">
        <v>114353</v>
      </c>
      <c r="CD19" s="534">
        <v>81428</v>
      </c>
      <c r="CE19" s="534">
        <v>68726</v>
      </c>
      <c r="CF19" s="534">
        <v>94611</v>
      </c>
      <c r="CG19" s="534">
        <v>55114</v>
      </c>
      <c r="CH19" s="534">
        <v>84321</v>
      </c>
      <c r="CI19" s="534">
        <v>92448</v>
      </c>
      <c r="CJ19" s="534">
        <v>118151</v>
      </c>
      <c r="CK19" s="534">
        <v>47573</v>
      </c>
      <c r="CL19" s="320">
        <f>SUM(AT19:CK19)</f>
        <v>4673437</v>
      </c>
    </row>
    <row r="20" spans="1:94">
      <c r="A20" s="80">
        <f>ROWS($A$3:A18)</f>
        <v>16</v>
      </c>
      <c r="B20" s="92" t="s">
        <v>64</v>
      </c>
      <c r="C20" s="584">
        <v>2016</v>
      </c>
      <c r="D20" s="259" t="s">
        <v>285</v>
      </c>
      <c r="E20" s="483">
        <v>43556</v>
      </c>
      <c r="F20" s="154">
        <v>181239.54500000001</v>
      </c>
      <c r="G20" s="155">
        <v>105377.031</v>
      </c>
      <c r="H20" s="155">
        <v>73751.043000000005</v>
      </c>
      <c r="I20" s="156">
        <v>68627.035999999993</v>
      </c>
      <c r="J20" s="281"/>
      <c r="K20" s="154">
        <f t="shared" si="4"/>
        <v>11328.162</v>
      </c>
      <c r="L20" s="155">
        <f t="shared" si="5"/>
        <v>12709.741</v>
      </c>
      <c r="M20" s="155">
        <f t="shared" si="6"/>
        <v>4257.2439999999997</v>
      </c>
      <c r="N20" s="155">
        <f t="shared" si="7"/>
        <v>7711.2240000000002</v>
      </c>
      <c r="O20" s="155">
        <f t="shared" si="8"/>
        <v>4039.6039999999998</v>
      </c>
      <c r="P20" s="155">
        <f>'2018'!AZ20+'2018'!BA20</f>
        <v>20184.194</v>
      </c>
      <c r="Q20" s="155">
        <f>'2018'!AU20</f>
        <v>22680.322</v>
      </c>
      <c r="R20" s="155">
        <f>AT20+AX20</f>
        <v>67931.782000000007</v>
      </c>
      <c r="S20" s="155">
        <f t="shared" si="9"/>
        <v>18723.87</v>
      </c>
      <c r="T20" s="155">
        <f t="shared" si="10"/>
        <v>4720.0429999999997</v>
      </c>
      <c r="U20" s="552">
        <f t="shared" si="10"/>
        <v>6953.3590000000004</v>
      </c>
      <c r="V20" s="155">
        <f>BG20+BJ20</f>
        <v>11045.727000000001</v>
      </c>
      <c r="W20" s="155">
        <f t="shared" si="12"/>
        <v>3920.2890000000002</v>
      </c>
      <c r="X20" s="155">
        <f>BH20+BI20</f>
        <v>31627.188999999998</v>
      </c>
      <c r="Y20" s="155">
        <f>BK20+BL20+BN20</f>
        <v>41415.352999999996</v>
      </c>
      <c r="Z20" s="155">
        <f t="shared" si="15"/>
        <v>3878.277</v>
      </c>
      <c r="AA20" s="155">
        <f>BO20+BQ20</f>
        <v>9611.8410000000003</v>
      </c>
      <c r="AB20" s="552">
        <f t="shared" si="17"/>
        <v>3878.3560000000002</v>
      </c>
      <c r="AC20" s="155">
        <f t="shared" si="18"/>
        <v>7031.8969999999999</v>
      </c>
      <c r="AD20" s="155">
        <f t="shared" si="19"/>
        <v>4396.357</v>
      </c>
      <c r="AE20" s="155">
        <f>BS20+BT20</f>
        <v>16910.003000000001</v>
      </c>
      <c r="AF20" s="155">
        <f t="shared" si="21"/>
        <v>6556.1</v>
      </c>
      <c r="AG20" s="155">
        <f t="shared" si="22"/>
        <v>14937.26</v>
      </c>
      <c r="AH20" s="155">
        <f t="shared" si="23"/>
        <v>8445.89</v>
      </c>
      <c r="AI20" s="155">
        <f t="shared" si="24"/>
        <v>5202.7910000000002</v>
      </c>
      <c r="AJ20" s="155">
        <f t="shared" si="25"/>
        <v>5716.0370000000003</v>
      </c>
      <c r="AK20" s="552">
        <f t="shared" si="26"/>
        <v>4554.7079999999996</v>
      </c>
      <c r="AL20" s="155">
        <f t="shared" si="27"/>
        <v>5660.6469999999999</v>
      </c>
      <c r="AM20" s="155">
        <f t="shared" si="28"/>
        <v>8765.1869999999999</v>
      </c>
      <c r="AN20" s="155">
        <f t="shared" si="29"/>
        <v>10251.206</v>
      </c>
      <c r="AO20" s="155">
        <f t="shared" si="30"/>
        <v>10045.232</v>
      </c>
      <c r="AP20" s="155">
        <f t="shared" si="30"/>
        <v>6733.0259999999998</v>
      </c>
      <c r="AQ20" s="155">
        <f t="shared" si="31"/>
        <v>4138.9750000000004</v>
      </c>
      <c r="AR20" s="155">
        <f t="shared" si="32"/>
        <v>9457.0830000000005</v>
      </c>
      <c r="AS20" s="156">
        <f>CF20+CG20</f>
        <v>13575.679</v>
      </c>
      <c r="AT20" s="281">
        <v>46451.595000000001</v>
      </c>
      <c r="AU20" s="155">
        <v>22680.322</v>
      </c>
      <c r="AV20" s="155">
        <v>18723.87</v>
      </c>
      <c r="AW20" s="155">
        <v>7711.2240000000002</v>
      </c>
      <c r="AX20" s="155">
        <v>21480.187000000002</v>
      </c>
      <c r="AY20" s="155">
        <v>12709.741</v>
      </c>
      <c r="AZ20" s="155">
        <v>5769.4369999999999</v>
      </c>
      <c r="BA20" s="155">
        <v>14414.757</v>
      </c>
      <c r="BB20" s="155">
        <v>4720.0429999999997</v>
      </c>
      <c r="BC20" s="155">
        <v>6953.3590000000004</v>
      </c>
      <c r="BD20" s="155">
        <v>4257.2439999999997</v>
      </c>
      <c r="BE20" s="155">
        <v>4039.6039999999998</v>
      </c>
      <c r="BF20" s="552">
        <v>11328.162</v>
      </c>
      <c r="BG20" s="155">
        <v>2551.6610000000001</v>
      </c>
      <c r="BH20" s="155">
        <v>17568.403999999999</v>
      </c>
      <c r="BI20" s="155">
        <v>14058.785</v>
      </c>
      <c r="BJ20" s="155">
        <v>8494.0660000000007</v>
      </c>
      <c r="BK20" s="155">
        <v>7558.3109999999997</v>
      </c>
      <c r="BL20" s="155">
        <v>17731.321</v>
      </c>
      <c r="BM20" s="155">
        <v>3878.277</v>
      </c>
      <c r="BN20" s="155">
        <v>16125.721</v>
      </c>
      <c r="BO20" s="155">
        <v>4452</v>
      </c>
      <c r="BP20" s="155">
        <v>3878.3560000000002</v>
      </c>
      <c r="BQ20" s="155">
        <v>5159.8410000000003</v>
      </c>
      <c r="BR20" s="552">
        <v>3920.2890000000002</v>
      </c>
      <c r="BS20" s="155">
        <v>10145.418</v>
      </c>
      <c r="BT20" s="155">
        <v>6764.585</v>
      </c>
      <c r="BU20" s="155">
        <v>4396.357</v>
      </c>
      <c r="BV20" s="155">
        <v>14937.26</v>
      </c>
      <c r="BW20" s="155">
        <v>5202.7910000000002</v>
      </c>
      <c r="BX20" s="155">
        <v>7031.8969999999999</v>
      </c>
      <c r="BY20" s="155">
        <v>5716.0370000000003</v>
      </c>
      <c r="BZ20" s="155">
        <v>8445.89</v>
      </c>
      <c r="CA20" s="155">
        <v>6556.1</v>
      </c>
      <c r="CB20" s="552">
        <v>4554.7079999999996</v>
      </c>
      <c r="CC20" s="155">
        <v>10045.232</v>
      </c>
      <c r="CD20" s="155">
        <v>6733.0259999999998</v>
      </c>
      <c r="CE20" s="155">
        <v>5660.6469999999999</v>
      </c>
      <c r="CF20" s="155">
        <v>8334.0650000000005</v>
      </c>
      <c r="CG20" s="281">
        <v>5241.6139999999996</v>
      </c>
      <c r="CH20" s="155">
        <v>8765.1869999999999</v>
      </c>
      <c r="CI20" s="155">
        <v>9457.0830000000005</v>
      </c>
      <c r="CJ20" s="155">
        <v>10251.206</v>
      </c>
      <c r="CK20" s="156">
        <v>4138.9750000000004</v>
      </c>
      <c r="CL20" s="320">
        <v>428994.65500000003</v>
      </c>
    </row>
    <row r="21" spans="1:94">
      <c r="A21" s="80">
        <f>ROWS($A$3:A19)</f>
        <v>17</v>
      </c>
      <c r="B21" s="53" t="s">
        <v>62</v>
      </c>
      <c r="C21" s="584">
        <v>2016</v>
      </c>
      <c r="D21" s="259" t="s">
        <v>3</v>
      </c>
      <c r="E21" s="483">
        <v>43556</v>
      </c>
      <c r="F21" s="536">
        <v>0.30475468253906723</v>
      </c>
      <c r="G21" s="537">
        <v>0.24872592965728935</v>
      </c>
      <c r="H21" s="537">
        <v>0.59385872007260965</v>
      </c>
      <c r="I21" s="538">
        <v>0.52766667643929721</v>
      </c>
      <c r="J21" s="382"/>
      <c r="K21" s="539">
        <f t="shared" ref="K21:AS21" si="36">K118/K20%</f>
        <v>0.55881086446327299</v>
      </c>
      <c r="L21" s="521">
        <f t="shared" si="36"/>
        <v>0.32022682444905842</v>
      </c>
      <c r="M21" s="521">
        <f t="shared" si="36"/>
        <v>1.0976349957860061</v>
      </c>
      <c r="N21" s="521">
        <f t="shared" si="36"/>
        <v>0.31790024514914883</v>
      </c>
      <c r="O21" s="521">
        <f t="shared" si="36"/>
        <v>0.57703675904865925</v>
      </c>
      <c r="P21" s="521">
        <f t="shared" si="36"/>
        <v>0.37435232737061486</v>
      </c>
      <c r="Q21" s="521">
        <f t="shared" si="36"/>
        <v>9.0250041423574151E-2</v>
      </c>
      <c r="R21" s="521">
        <f t="shared" si="36"/>
        <v>9.8752009773569599E-2</v>
      </c>
      <c r="S21" s="521">
        <f t="shared" si="36"/>
        <v>0.13706034062402697</v>
      </c>
      <c r="T21" s="521">
        <f t="shared" si="36"/>
        <v>1.2494165837048519</v>
      </c>
      <c r="U21" s="559">
        <f t="shared" si="36"/>
        <v>1.3265243460031331</v>
      </c>
      <c r="V21" s="521">
        <f t="shared" si="36"/>
        <v>0.35445380824639244</v>
      </c>
      <c r="W21" s="521">
        <f t="shared" si="36"/>
        <v>0.58730364011428748</v>
      </c>
      <c r="X21" s="521">
        <f t="shared" si="36"/>
        <v>0.17051467963213549</v>
      </c>
      <c r="Y21" s="521">
        <f t="shared" si="36"/>
        <v>0.15660617452663028</v>
      </c>
      <c r="Z21" s="521">
        <f t="shared" si="36"/>
        <v>1.2472291174663388</v>
      </c>
      <c r="AA21" s="521">
        <f t="shared" si="36"/>
        <v>0.30191926811939568</v>
      </c>
      <c r="AB21" s="559">
        <f t="shared" si="36"/>
        <v>0.6861670254097354</v>
      </c>
      <c r="AC21" s="521">
        <f t="shared" si="36"/>
        <v>0.5084403255622203</v>
      </c>
      <c r="AD21" s="521">
        <f t="shared" si="36"/>
        <v>0.85332014665778966</v>
      </c>
      <c r="AE21" s="521">
        <f t="shared" si="36"/>
        <v>0.64995257540758578</v>
      </c>
      <c r="AF21" s="521">
        <f t="shared" si="36"/>
        <v>0.55612330501365137</v>
      </c>
      <c r="AG21" s="521">
        <f t="shared" si="36"/>
        <v>0.69850829402447301</v>
      </c>
      <c r="AH21" s="521">
        <f t="shared" si="36"/>
        <v>0.66486776408406933</v>
      </c>
      <c r="AI21" s="521">
        <f t="shared" si="36"/>
        <v>0.55032001093259375</v>
      </c>
      <c r="AJ21" s="521">
        <f t="shared" si="36"/>
        <v>0.34133788847063096</v>
      </c>
      <c r="AK21" s="559">
        <f t="shared" si="36"/>
        <v>0.75666760635368946</v>
      </c>
      <c r="AL21" s="521">
        <f t="shared" si="36"/>
        <v>0.42352049156218363</v>
      </c>
      <c r="AM21" s="521">
        <f t="shared" si="36"/>
        <v>0.79361683897902002</v>
      </c>
      <c r="AN21" s="521">
        <f t="shared" si="36"/>
        <v>0.86349840204167194</v>
      </c>
      <c r="AO21" s="521">
        <f t="shared" si="36"/>
        <v>0.29443819714666619</v>
      </c>
      <c r="AP21" s="521">
        <f t="shared" si="36"/>
        <v>0.20146959182988453</v>
      </c>
      <c r="AQ21" s="521">
        <f t="shared" si="36"/>
        <v>1.1290959718287739</v>
      </c>
      <c r="AR21" s="521">
        <f t="shared" si="36"/>
        <v>0.52200028275103427</v>
      </c>
      <c r="AS21" s="540">
        <f t="shared" si="36"/>
        <v>0.47969608002664177</v>
      </c>
      <c r="AT21" s="537">
        <v>3.7277514367375322E-2</v>
      </c>
      <c r="AU21" s="537">
        <v>8.6802118594259819E-2</v>
      </c>
      <c r="AV21" s="537">
        <v>0.14428641087552946</v>
      </c>
      <c r="AW21" s="537">
        <v>0.33404554192693664</v>
      </c>
      <c r="AX21" s="537">
        <v>0.2272047259178889</v>
      </c>
      <c r="AY21" s="537">
        <v>0.32069890330574008</v>
      </c>
      <c r="AZ21" s="537">
        <v>0.19379707240065192</v>
      </c>
      <c r="BA21" s="537">
        <v>0.48922781008379124</v>
      </c>
      <c r="BB21" s="537">
        <v>1.2457513628583468</v>
      </c>
      <c r="BC21" s="537">
        <v>1.3703592752797604</v>
      </c>
      <c r="BD21" s="537">
        <v>1.1225102437163572</v>
      </c>
      <c r="BE21" s="537">
        <v>0.57780416100192</v>
      </c>
      <c r="BF21" s="563">
        <v>0.58330733617686614</v>
      </c>
      <c r="BG21" s="537">
        <v>0.33593804192641574</v>
      </c>
      <c r="BH21" s="537">
        <v>5.0630666280215328E-2</v>
      </c>
      <c r="BI21" s="537">
        <v>0.31908874059884973</v>
      </c>
      <c r="BJ21" s="537">
        <v>0.32598051392583949</v>
      </c>
      <c r="BK21" s="537">
        <v>0.10216568225361461</v>
      </c>
      <c r="BL21" s="537">
        <v>1.7579062496246051E-2</v>
      </c>
      <c r="BM21" s="537">
        <v>1.1397844970846591</v>
      </c>
      <c r="BN21" s="537">
        <v>0.29911220713790104</v>
      </c>
      <c r="BO21" s="537">
        <v>0.16039982030548067</v>
      </c>
      <c r="BP21" s="537">
        <v>0.6485995612573987</v>
      </c>
      <c r="BQ21" s="537">
        <v>0.32466116688479352</v>
      </c>
      <c r="BR21" s="563">
        <v>0.50399345558452446</v>
      </c>
      <c r="BS21" s="537">
        <v>0.16663680096768807</v>
      </c>
      <c r="BT21" s="537">
        <v>1.2794132973419656</v>
      </c>
      <c r="BU21" s="537">
        <v>0.81688088569695316</v>
      </c>
      <c r="BV21" s="537">
        <v>0.70001459437674651</v>
      </c>
      <c r="BW21" s="537">
        <v>0.49569548344340564</v>
      </c>
      <c r="BX21" s="537">
        <v>0.46099935764133071</v>
      </c>
      <c r="BY21" s="537">
        <v>0.31605813608274402</v>
      </c>
      <c r="BZ21" s="537">
        <v>0.63185762542491086</v>
      </c>
      <c r="CA21" s="537">
        <v>0.50499534784399247</v>
      </c>
      <c r="CB21" s="563">
        <v>0.68724493425264588</v>
      </c>
      <c r="CC21" s="537">
        <v>0.27085486925538405</v>
      </c>
      <c r="CD21" s="537">
        <v>0.18440445648063741</v>
      </c>
      <c r="CE21" s="537">
        <v>0.37629974100133778</v>
      </c>
      <c r="CF21" s="537">
        <v>8.0644919376078775E-2</v>
      </c>
      <c r="CG21" s="537">
        <v>1.0545415973018997</v>
      </c>
      <c r="CH21" s="537">
        <v>0.71359572819153771</v>
      </c>
      <c r="CI21" s="537">
        <v>0.50697450789001219</v>
      </c>
      <c r="CJ21" s="537">
        <v>0.83037059249419043</v>
      </c>
      <c r="CK21" s="538">
        <v>1.0530384938299939</v>
      </c>
      <c r="CL21" s="564">
        <v>0.37635317391075651</v>
      </c>
      <c r="CM21" s="628"/>
      <c r="CN21" s="628"/>
      <c r="CO21" s="628"/>
      <c r="CP21" s="628"/>
    </row>
    <row r="22" spans="1:94">
      <c r="A22" s="80">
        <f>ROWS($A$3:A20)</f>
        <v>18</v>
      </c>
      <c r="B22" s="59" t="s">
        <v>66</v>
      </c>
      <c r="C22" s="387">
        <v>2016</v>
      </c>
      <c r="D22" s="259"/>
      <c r="E22" s="451"/>
      <c r="F22" s="154"/>
      <c r="G22" s="155"/>
      <c r="H22" s="155"/>
      <c r="I22" s="156"/>
      <c r="J22" s="281"/>
      <c r="K22" s="154"/>
      <c r="L22" s="155"/>
      <c r="M22" s="155"/>
      <c r="N22" s="155"/>
      <c r="O22" s="155"/>
      <c r="P22" s="155"/>
      <c r="Q22" s="155">
        <f>'2018'!AU22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c r="A23" s="80">
        <f>ROWS($A$3:A21)</f>
        <v>19</v>
      </c>
      <c r="B23" s="52" t="s">
        <v>253</v>
      </c>
      <c r="C23" s="205"/>
      <c r="D23" s="259" t="s">
        <v>13</v>
      </c>
      <c r="E23" s="447">
        <v>42887</v>
      </c>
      <c r="F23" s="154">
        <f>SUM(F24:F29)</f>
        <v>12977</v>
      </c>
      <c r="G23" s="155">
        <f>SUM(G24:G29)</f>
        <v>4559</v>
      </c>
      <c r="H23" s="155">
        <f>SUM(H24:H29)</f>
        <v>12363</v>
      </c>
      <c r="I23" s="156">
        <f>SUM(I24:I29)</f>
        <v>10690</v>
      </c>
      <c r="J23" s="281"/>
      <c r="K23" s="154">
        <f t="shared" ref="K23:K33" si="37">BF23</f>
        <v>1677</v>
      </c>
      <c r="L23" s="155">
        <f t="shared" ref="L23:L33" si="38">AY23</f>
        <v>1128</v>
      </c>
      <c r="M23" s="155">
        <f t="shared" ref="M23:M33" si="39">BD23</f>
        <v>1355</v>
      </c>
      <c r="N23" s="155">
        <f t="shared" ref="N23:N33" si="40">AW23</f>
        <v>725</v>
      </c>
      <c r="O23" s="155">
        <f t="shared" ref="O23:O33" si="41">BE23</f>
        <v>542</v>
      </c>
      <c r="P23" s="155">
        <f>'2018'!AZ23+'2018'!BA23</f>
        <v>2011</v>
      </c>
      <c r="Q23" s="155">
        <f>'2018'!AU23</f>
        <v>560</v>
      </c>
      <c r="R23" s="155">
        <f t="shared" ref="R23:R29" si="42">AT23+AX23</f>
        <v>1374</v>
      </c>
      <c r="S23" s="155">
        <f t="shared" ref="S23:S33" si="43">AV23</f>
        <v>633</v>
      </c>
      <c r="T23" s="155">
        <f t="shared" ref="T23:U33" si="44">BB23</f>
        <v>1098</v>
      </c>
      <c r="U23" s="552">
        <f t="shared" si="44"/>
        <v>1874</v>
      </c>
      <c r="V23" s="155">
        <f t="shared" ref="V23:V29" si="45">BG23+BJ23</f>
        <v>576</v>
      </c>
      <c r="W23" s="155">
        <f t="shared" ref="W23:W33" si="46">BR23</f>
        <v>477</v>
      </c>
      <c r="X23" s="155">
        <f t="shared" ref="X23:X29" si="47">BH23+BI23</f>
        <v>777</v>
      </c>
      <c r="Y23" s="155">
        <f t="shared" ref="Y23:Y29" si="48">BK23+BL23+BN23</f>
        <v>1014</v>
      </c>
      <c r="Z23" s="155">
        <f t="shared" ref="Z23:Z33" si="49">BM23</f>
        <v>830</v>
      </c>
      <c r="AA23" s="155">
        <f t="shared" ref="AA23:AA29" si="50">BO23+BQ23</f>
        <v>439</v>
      </c>
      <c r="AB23" s="552">
        <f t="shared" ref="AB23:AB33" si="51">BP23</f>
        <v>446</v>
      </c>
      <c r="AC23" s="155">
        <f t="shared" ref="AC23:AC33" si="52">BX23</f>
        <v>968</v>
      </c>
      <c r="AD23" s="155">
        <f t="shared" ref="AD23:AD33" si="53">BU23</f>
        <v>1266</v>
      </c>
      <c r="AE23" s="155">
        <f t="shared" ref="AE23:AE29" si="54">BS23+BT23</f>
        <v>2772</v>
      </c>
      <c r="AF23" s="155">
        <f t="shared" ref="AF23:AF33" si="55">CA23</f>
        <v>966</v>
      </c>
      <c r="AG23" s="155">
        <f t="shared" ref="AG23:AG33" si="56">BV23</f>
        <v>3285</v>
      </c>
      <c r="AH23" s="155">
        <f t="shared" ref="AH23:AH33" si="57">BZ23</f>
        <v>811</v>
      </c>
      <c r="AI23" s="155">
        <f t="shared" ref="AI23:AI33" si="58">BW23</f>
        <v>758</v>
      </c>
      <c r="AJ23" s="155">
        <f t="shared" ref="AJ23:AJ33" si="59">BY23</f>
        <v>424</v>
      </c>
      <c r="AK23" s="552">
        <f t="shared" ref="AK23:AK33" si="60">CB23</f>
        <v>1113</v>
      </c>
      <c r="AL23" s="155">
        <f t="shared" ref="AL23:AL33" si="61">CE23</f>
        <v>701</v>
      </c>
      <c r="AM23" s="155">
        <f t="shared" ref="AM23:AM33" si="62">CH23</f>
        <v>1714</v>
      </c>
      <c r="AN23" s="155">
        <f t="shared" ref="AN23:AN33" si="63">CJ23</f>
        <v>2340</v>
      </c>
      <c r="AO23" s="155">
        <f t="shared" ref="AO23:AP33" si="64">CC23</f>
        <v>1011</v>
      </c>
      <c r="AP23" s="155">
        <f t="shared" si="64"/>
        <v>386</v>
      </c>
      <c r="AQ23" s="155">
        <f t="shared" ref="AQ23:AQ33" si="65">CK23</f>
        <v>1167</v>
      </c>
      <c r="AR23" s="155">
        <f t="shared" ref="AR23:AR33" si="66">CI23</f>
        <v>1510</v>
      </c>
      <c r="AS23" s="156">
        <f t="shared" ref="AS23:AS29" si="67">CF23+CG23</f>
        <v>1861</v>
      </c>
      <c r="AT23" s="155">
        <f t="shared" ref="AT23:CJ23" si="68">SUM(AT24:AT29)</f>
        <v>191</v>
      </c>
      <c r="AU23" s="155">
        <f t="shared" si="68"/>
        <v>560</v>
      </c>
      <c r="AV23" s="155">
        <f t="shared" si="68"/>
        <v>633</v>
      </c>
      <c r="AW23" s="155">
        <f t="shared" si="68"/>
        <v>725</v>
      </c>
      <c r="AX23" s="155">
        <f t="shared" si="68"/>
        <v>1183</v>
      </c>
      <c r="AY23" s="155">
        <f t="shared" si="68"/>
        <v>1128</v>
      </c>
      <c r="AZ23" s="155">
        <f t="shared" si="68"/>
        <v>172</v>
      </c>
      <c r="BA23" s="155">
        <f t="shared" si="68"/>
        <v>1839</v>
      </c>
      <c r="BB23" s="155">
        <f t="shared" si="68"/>
        <v>1098</v>
      </c>
      <c r="BC23" s="155">
        <f t="shared" si="68"/>
        <v>1874</v>
      </c>
      <c r="BD23" s="155">
        <f t="shared" si="68"/>
        <v>1355</v>
      </c>
      <c r="BE23" s="155">
        <f t="shared" si="68"/>
        <v>542</v>
      </c>
      <c r="BF23" s="552">
        <f t="shared" si="68"/>
        <v>1677</v>
      </c>
      <c r="BG23" s="155">
        <f t="shared" si="68"/>
        <v>105</v>
      </c>
      <c r="BH23" s="155">
        <f t="shared" si="68"/>
        <v>62</v>
      </c>
      <c r="BI23" s="155">
        <f t="shared" si="68"/>
        <v>715</v>
      </c>
      <c r="BJ23" s="155">
        <f t="shared" si="68"/>
        <v>471</v>
      </c>
      <c r="BK23" s="155">
        <f t="shared" si="68"/>
        <v>74</v>
      </c>
      <c r="BL23" s="155">
        <f t="shared" si="68"/>
        <v>59</v>
      </c>
      <c r="BM23" s="155">
        <f t="shared" si="68"/>
        <v>830</v>
      </c>
      <c r="BN23" s="155">
        <f t="shared" si="68"/>
        <v>881</v>
      </c>
      <c r="BO23" s="155">
        <f t="shared" si="68"/>
        <v>25</v>
      </c>
      <c r="BP23" s="155">
        <f t="shared" si="68"/>
        <v>446</v>
      </c>
      <c r="BQ23" s="155">
        <f t="shared" si="68"/>
        <v>414</v>
      </c>
      <c r="BR23" s="552">
        <f t="shared" si="68"/>
        <v>477</v>
      </c>
      <c r="BS23" s="155">
        <f t="shared" si="68"/>
        <v>181</v>
      </c>
      <c r="BT23" s="155">
        <f t="shared" si="68"/>
        <v>2591</v>
      </c>
      <c r="BU23" s="155">
        <f t="shared" si="68"/>
        <v>1266</v>
      </c>
      <c r="BV23" s="155">
        <f t="shared" si="68"/>
        <v>3285</v>
      </c>
      <c r="BW23" s="155">
        <f t="shared" si="68"/>
        <v>758</v>
      </c>
      <c r="BX23" s="155">
        <f t="shared" si="68"/>
        <v>968</v>
      </c>
      <c r="BY23" s="155">
        <f t="shared" si="68"/>
        <v>424</v>
      </c>
      <c r="BZ23" s="155">
        <f t="shared" si="68"/>
        <v>811</v>
      </c>
      <c r="CA23" s="155">
        <f t="shared" si="68"/>
        <v>966</v>
      </c>
      <c r="CB23" s="552">
        <f t="shared" si="68"/>
        <v>1113</v>
      </c>
      <c r="CC23" s="155">
        <f t="shared" si="68"/>
        <v>1011</v>
      </c>
      <c r="CD23" s="155">
        <f t="shared" si="68"/>
        <v>386</v>
      </c>
      <c r="CE23" s="155">
        <f t="shared" si="68"/>
        <v>701</v>
      </c>
      <c r="CF23" s="155">
        <f t="shared" si="68"/>
        <v>108</v>
      </c>
      <c r="CG23" s="155">
        <f t="shared" si="68"/>
        <v>1753</v>
      </c>
      <c r="CH23" s="155">
        <f t="shared" si="68"/>
        <v>1714</v>
      </c>
      <c r="CI23" s="155">
        <f t="shared" si="68"/>
        <v>1510</v>
      </c>
      <c r="CJ23" s="155">
        <f t="shared" si="68"/>
        <v>2340</v>
      </c>
      <c r="CK23" s="156">
        <f>SUM(CK24:CK29)</f>
        <v>1167</v>
      </c>
      <c r="CL23" s="320">
        <v>40589</v>
      </c>
    </row>
    <row r="24" spans="1:94">
      <c r="A24" s="80">
        <f>ROWS($A$3:A22)</f>
        <v>20</v>
      </c>
      <c r="B24" s="52" t="s">
        <v>249</v>
      </c>
      <c r="C24" s="203"/>
      <c r="D24" s="259" t="s">
        <v>13</v>
      </c>
      <c r="E24" s="447">
        <v>42887</v>
      </c>
      <c r="F24" s="154">
        <v>2283</v>
      </c>
      <c r="G24" s="155">
        <v>673</v>
      </c>
      <c r="H24" s="155">
        <v>2871</v>
      </c>
      <c r="I24" s="156">
        <v>795</v>
      </c>
      <c r="J24" s="281"/>
      <c r="K24" s="154">
        <f t="shared" si="37"/>
        <v>69</v>
      </c>
      <c r="L24" s="155">
        <f t="shared" si="38"/>
        <v>329</v>
      </c>
      <c r="M24" s="155">
        <f t="shared" si="39"/>
        <v>162</v>
      </c>
      <c r="N24" s="155">
        <f t="shared" si="40"/>
        <v>65</v>
      </c>
      <c r="O24" s="155">
        <f t="shared" si="41"/>
        <v>18</v>
      </c>
      <c r="P24" s="155">
        <f>'2018'!AZ24+'2018'!BA24</f>
        <v>679</v>
      </c>
      <c r="Q24" s="155">
        <f>'2018'!AU24</f>
        <v>40</v>
      </c>
      <c r="R24" s="155">
        <f t="shared" si="42"/>
        <v>507</v>
      </c>
      <c r="S24" s="155">
        <f t="shared" si="43"/>
        <v>100</v>
      </c>
      <c r="T24" s="155">
        <f t="shared" si="44"/>
        <v>222</v>
      </c>
      <c r="U24" s="552">
        <f t="shared" si="44"/>
        <v>92</v>
      </c>
      <c r="V24" s="155">
        <f t="shared" si="45"/>
        <v>219</v>
      </c>
      <c r="W24" s="155">
        <f t="shared" si="46"/>
        <v>20</v>
      </c>
      <c r="X24" s="155">
        <f t="shared" si="47"/>
        <v>126</v>
      </c>
      <c r="Y24" s="155">
        <f t="shared" si="48"/>
        <v>171</v>
      </c>
      <c r="Z24" s="155">
        <f t="shared" si="49"/>
        <v>47</v>
      </c>
      <c r="AA24" s="155">
        <f t="shared" si="50"/>
        <v>67</v>
      </c>
      <c r="AB24" s="552">
        <f t="shared" si="51"/>
        <v>23</v>
      </c>
      <c r="AC24" s="155">
        <f t="shared" si="52"/>
        <v>14</v>
      </c>
      <c r="AD24" s="155">
        <f t="shared" si="53"/>
        <v>419</v>
      </c>
      <c r="AE24" s="155">
        <f t="shared" si="54"/>
        <v>983</v>
      </c>
      <c r="AF24" s="155">
        <f t="shared" si="55"/>
        <v>149</v>
      </c>
      <c r="AG24" s="155">
        <f t="shared" si="56"/>
        <v>1120</v>
      </c>
      <c r="AH24" s="155">
        <f t="shared" si="57"/>
        <v>126</v>
      </c>
      <c r="AI24" s="155">
        <f t="shared" si="58"/>
        <v>19</v>
      </c>
      <c r="AJ24" s="155">
        <f t="shared" si="59"/>
        <v>8</v>
      </c>
      <c r="AK24" s="552">
        <f t="shared" si="60"/>
        <v>33</v>
      </c>
      <c r="AL24" s="155">
        <f t="shared" si="61"/>
        <v>16</v>
      </c>
      <c r="AM24" s="155">
        <f t="shared" si="62"/>
        <v>60</v>
      </c>
      <c r="AN24" s="155">
        <f t="shared" si="63"/>
        <v>140</v>
      </c>
      <c r="AO24" s="155">
        <f t="shared" si="64"/>
        <v>52</v>
      </c>
      <c r="AP24" s="155">
        <f t="shared" si="64"/>
        <v>32</v>
      </c>
      <c r="AQ24" s="155">
        <f t="shared" si="65"/>
        <v>38</v>
      </c>
      <c r="AR24" s="155">
        <f t="shared" si="66"/>
        <v>379</v>
      </c>
      <c r="AS24" s="156">
        <f t="shared" si="67"/>
        <v>78</v>
      </c>
      <c r="AT24" s="155">
        <v>97</v>
      </c>
      <c r="AU24" s="155">
        <v>40</v>
      </c>
      <c r="AV24" s="155">
        <v>100</v>
      </c>
      <c r="AW24" s="155">
        <v>65</v>
      </c>
      <c r="AX24" s="155">
        <v>410</v>
      </c>
      <c r="AY24" s="155">
        <v>329</v>
      </c>
      <c r="AZ24" s="155">
        <v>46</v>
      </c>
      <c r="BA24" s="155">
        <v>633</v>
      </c>
      <c r="BB24" s="155">
        <v>222</v>
      </c>
      <c r="BC24" s="155">
        <v>92</v>
      </c>
      <c r="BD24" s="155">
        <v>162</v>
      </c>
      <c r="BE24" s="155">
        <v>18</v>
      </c>
      <c r="BF24" s="552">
        <v>69</v>
      </c>
      <c r="BG24" s="155">
        <v>61</v>
      </c>
      <c r="BH24" s="155">
        <v>11</v>
      </c>
      <c r="BI24" s="155">
        <v>115</v>
      </c>
      <c r="BJ24" s="155">
        <v>158</v>
      </c>
      <c r="BK24" s="155">
        <v>17</v>
      </c>
      <c r="BL24" s="155">
        <v>11</v>
      </c>
      <c r="BM24" s="155">
        <v>47</v>
      </c>
      <c r="BN24" s="155">
        <v>143</v>
      </c>
      <c r="BO24" s="155">
        <v>9</v>
      </c>
      <c r="BP24" s="155">
        <v>23</v>
      </c>
      <c r="BQ24" s="155">
        <v>58</v>
      </c>
      <c r="BR24" s="552">
        <v>20</v>
      </c>
      <c r="BS24" s="155">
        <v>85</v>
      </c>
      <c r="BT24" s="155">
        <v>898</v>
      </c>
      <c r="BU24" s="155">
        <v>419</v>
      </c>
      <c r="BV24" s="155">
        <v>1120</v>
      </c>
      <c r="BW24" s="155">
        <v>19</v>
      </c>
      <c r="BX24" s="155">
        <v>14</v>
      </c>
      <c r="BY24" s="155">
        <v>8</v>
      </c>
      <c r="BZ24" s="155">
        <v>126</v>
      </c>
      <c r="CA24" s="155">
        <v>149</v>
      </c>
      <c r="CB24" s="552">
        <v>33</v>
      </c>
      <c r="CC24" s="155">
        <v>52</v>
      </c>
      <c r="CD24" s="155">
        <v>32</v>
      </c>
      <c r="CE24" s="155">
        <v>16</v>
      </c>
      <c r="CF24" s="155">
        <v>13</v>
      </c>
      <c r="CG24" s="155">
        <v>65</v>
      </c>
      <c r="CH24" s="155">
        <v>60</v>
      </c>
      <c r="CI24" s="155">
        <v>379</v>
      </c>
      <c r="CJ24" s="155">
        <v>140</v>
      </c>
      <c r="CK24" s="156">
        <v>38</v>
      </c>
      <c r="CL24" s="320">
        <v>6622</v>
      </c>
    </row>
    <row r="25" spans="1:94">
      <c r="A25" s="80">
        <f>ROWS($A$3:A23)</f>
        <v>21</v>
      </c>
      <c r="B25" s="52" t="s">
        <v>250</v>
      </c>
      <c r="C25" s="203"/>
      <c r="D25" s="259" t="s">
        <v>13</v>
      </c>
      <c r="E25" s="447">
        <v>42887</v>
      </c>
      <c r="F25" s="154">
        <v>1951</v>
      </c>
      <c r="G25" s="155">
        <v>772</v>
      </c>
      <c r="H25" s="155">
        <v>2646</v>
      </c>
      <c r="I25" s="156">
        <v>1671</v>
      </c>
      <c r="J25" s="281"/>
      <c r="K25" s="154">
        <f t="shared" si="37"/>
        <v>321</v>
      </c>
      <c r="L25" s="155">
        <f t="shared" si="38"/>
        <v>222</v>
      </c>
      <c r="M25" s="155">
        <f t="shared" si="39"/>
        <v>141</v>
      </c>
      <c r="N25" s="155">
        <f t="shared" si="40"/>
        <v>115</v>
      </c>
      <c r="O25" s="155">
        <f t="shared" si="41"/>
        <v>69</v>
      </c>
      <c r="P25" s="155">
        <f>'2018'!AZ25+'2018'!BA25</f>
        <v>290</v>
      </c>
      <c r="Q25" s="155">
        <f>'2018'!AU25</f>
        <v>89</v>
      </c>
      <c r="R25" s="155">
        <f t="shared" si="42"/>
        <v>145</v>
      </c>
      <c r="S25" s="155">
        <f t="shared" si="43"/>
        <v>114</v>
      </c>
      <c r="T25" s="155">
        <f t="shared" si="44"/>
        <v>155</v>
      </c>
      <c r="U25" s="552">
        <f t="shared" si="44"/>
        <v>290</v>
      </c>
      <c r="V25" s="155">
        <f t="shared" si="45"/>
        <v>102</v>
      </c>
      <c r="W25" s="155">
        <f t="shared" si="46"/>
        <v>113</v>
      </c>
      <c r="X25" s="155">
        <f t="shared" si="47"/>
        <v>108</v>
      </c>
      <c r="Y25" s="155">
        <f t="shared" si="48"/>
        <v>126</v>
      </c>
      <c r="Z25" s="155">
        <f t="shared" si="49"/>
        <v>133</v>
      </c>
      <c r="AA25" s="155">
        <f t="shared" si="50"/>
        <v>70</v>
      </c>
      <c r="AB25" s="552">
        <f t="shared" si="51"/>
        <v>120</v>
      </c>
      <c r="AC25" s="155">
        <f t="shared" si="52"/>
        <v>183</v>
      </c>
      <c r="AD25" s="155">
        <f t="shared" si="53"/>
        <v>266</v>
      </c>
      <c r="AE25" s="155">
        <f t="shared" si="54"/>
        <v>483</v>
      </c>
      <c r="AF25" s="155">
        <f t="shared" si="55"/>
        <v>210</v>
      </c>
      <c r="AG25" s="155">
        <f t="shared" si="56"/>
        <v>846</v>
      </c>
      <c r="AH25" s="155">
        <f t="shared" si="57"/>
        <v>107</v>
      </c>
      <c r="AI25" s="155">
        <f t="shared" si="58"/>
        <v>182</v>
      </c>
      <c r="AJ25" s="155">
        <f t="shared" si="59"/>
        <v>71</v>
      </c>
      <c r="AK25" s="552">
        <f t="shared" si="60"/>
        <v>298</v>
      </c>
      <c r="AL25" s="155">
        <f t="shared" si="61"/>
        <v>161</v>
      </c>
      <c r="AM25" s="155">
        <f t="shared" si="62"/>
        <v>212</v>
      </c>
      <c r="AN25" s="155">
        <f t="shared" si="63"/>
        <v>318</v>
      </c>
      <c r="AO25" s="155">
        <f t="shared" si="64"/>
        <v>183</v>
      </c>
      <c r="AP25" s="155">
        <f t="shared" si="64"/>
        <v>68</v>
      </c>
      <c r="AQ25" s="155">
        <f t="shared" si="65"/>
        <v>202</v>
      </c>
      <c r="AR25" s="155">
        <f t="shared" si="66"/>
        <v>298</v>
      </c>
      <c r="AS25" s="156">
        <f t="shared" si="67"/>
        <v>229</v>
      </c>
      <c r="AT25" s="155">
        <v>32</v>
      </c>
      <c r="AU25" s="155">
        <v>89</v>
      </c>
      <c r="AV25" s="155">
        <v>114</v>
      </c>
      <c r="AW25" s="155">
        <v>115</v>
      </c>
      <c r="AX25" s="155">
        <v>113</v>
      </c>
      <c r="AY25" s="155">
        <v>222</v>
      </c>
      <c r="AZ25" s="155">
        <v>35</v>
      </c>
      <c r="BA25" s="155">
        <v>255</v>
      </c>
      <c r="BB25" s="155">
        <v>155</v>
      </c>
      <c r="BC25" s="155">
        <v>290</v>
      </c>
      <c r="BD25" s="155">
        <v>141</v>
      </c>
      <c r="BE25" s="155">
        <v>69</v>
      </c>
      <c r="BF25" s="552">
        <v>321</v>
      </c>
      <c r="BG25" s="155">
        <v>21</v>
      </c>
      <c r="BH25" s="155">
        <v>9</v>
      </c>
      <c r="BI25" s="155">
        <v>99</v>
      </c>
      <c r="BJ25" s="155">
        <v>81</v>
      </c>
      <c r="BK25" s="155">
        <v>11</v>
      </c>
      <c r="BL25" s="155">
        <v>4</v>
      </c>
      <c r="BM25" s="155">
        <v>133</v>
      </c>
      <c r="BN25" s="155">
        <v>111</v>
      </c>
      <c r="BO25" s="155">
        <v>4</v>
      </c>
      <c r="BP25" s="155">
        <v>120</v>
      </c>
      <c r="BQ25" s="155">
        <v>66</v>
      </c>
      <c r="BR25" s="552">
        <v>113</v>
      </c>
      <c r="BS25" s="155">
        <v>26</v>
      </c>
      <c r="BT25" s="155">
        <v>457</v>
      </c>
      <c r="BU25" s="155">
        <v>266</v>
      </c>
      <c r="BV25" s="155">
        <v>846</v>
      </c>
      <c r="BW25" s="155">
        <v>182</v>
      </c>
      <c r="BX25" s="155">
        <v>183</v>
      </c>
      <c r="BY25" s="155">
        <v>71</v>
      </c>
      <c r="BZ25" s="155">
        <v>107</v>
      </c>
      <c r="CA25" s="155">
        <v>210</v>
      </c>
      <c r="CB25" s="552">
        <v>298</v>
      </c>
      <c r="CC25" s="155">
        <v>183</v>
      </c>
      <c r="CD25" s="155">
        <v>68</v>
      </c>
      <c r="CE25" s="155">
        <v>161</v>
      </c>
      <c r="CF25" s="155">
        <v>10</v>
      </c>
      <c r="CG25" s="155">
        <v>219</v>
      </c>
      <c r="CH25" s="155">
        <v>212</v>
      </c>
      <c r="CI25" s="155">
        <v>298</v>
      </c>
      <c r="CJ25" s="155">
        <v>318</v>
      </c>
      <c r="CK25" s="156">
        <v>202</v>
      </c>
      <c r="CL25" s="320">
        <v>7040</v>
      </c>
    </row>
    <row r="26" spans="1:94">
      <c r="A26" s="80">
        <f>ROWS($A$3:A24)</f>
        <v>22</v>
      </c>
      <c r="B26" s="52" t="s">
        <v>251</v>
      </c>
      <c r="C26" s="203"/>
      <c r="D26" s="259" t="s">
        <v>13</v>
      </c>
      <c r="E26" s="447">
        <v>42887</v>
      </c>
      <c r="F26" s="154">
        <v>2427</v>
      </c>
      <c r="G26" s="155">
        <v>837</v>
      </c>
      <c r="H26" s="155">
        <v>2678</v>
      </c>
      <c r="I26" s="156">
        <v>2425</v>
      </c>
      <c r="J26" s="281"/>
      <c r="K26" s="154">
        <f t="shared" si="37"/>
        <v>440</v>
      </c>
      <c r="L26" s="155">
        <f t="shared" si="38"/>
        <v>205</v>
      </c>
      <c r="M26" s="155">
        <f t="shared" si="39"/>
        <v>242</v>
      </c>
      <c r="N26" s="155">
        <f t="shared" si="40"/>
        <v>150</v>
      </c>
      <c r="O26" s="155">
        <f t="shared" si="41"/>
        <v>115</v>
      </c>
      <c r="P26" s="155">
        <f>'2018'!AZ26+'2018'!BA26</f>
        <v>287</v>
      </c>
      <c r="Q26" s="155">
        <f>'2018'!AU26</f>
        <v>126</v>
      </c>
      <c r="R26" s="155">
        <f t="shared" si="42"/>
        <v>162</v>
      </c>
      <c r="S26" s="155">
        <f t="shared" si="43"/>
        <v>134</v>
      </c>
      <c r="T26" s="155">
        <f t="shared" si="44"/>
        <v>186</v>
      </c>
      <c r="U26" s="552">
        <f t="shared" si="44"/>
        <v>380</v>
      </c>
      <c r="V26" s="155">
        <f t="shared" si="45"/>
        <v>102</v>
      </c>
      <c r="W26" s="155">
        <f t="shared" si="46"/>
        <v>114</v>
      </c>
      <c r="X26" s="155">
        <f t="shared" si="47"/>
        <v>127</v>
      </c>
      <c r="Y26" s="155">
        <f t="shared" si="48"/>
        <v>153</v>
      </c>
      <c r="Z26" s="155">
        <f t="shared" si="49"/>
        <v>162</v>
      </c>
      <c r="AA26" s="155">
        <f t="shared" si="50"/>
        <v>79</v>
      </c>
      <c r="AB26" s="552">
        <f t="shared" si="51"/>
        <v>100</v>
      </c>
      <c r="AC26" s="155">
        <f t="shared" si="52"/>
        <v>216</v>
      </c>
      <c r="AD26" s="155">
        <f t="shared" si="53"/>
        <v>292</v>
      </c>
      <c r="AE26" s="155">
        <f t="shared" si="54"/>
        <v>503</v>
      </c>
      <c r="AF26" s="155">
        <f t="shared" si="55"/>
        <v>244</v>
      </c>
      <c r="AG26" s="155">
        <f t="shared" si="56"/>
        <v>675</v>
      </c>
      <c r="AH26" s="155">
        <f t="shared" si="57"/>
        <v>170</v>
      </c>
      <c r="AI26" s="155">
        <f t="shared" si="58"/>
        <v>190</v>
      </c>
      <c r="AJ26" s="155">
        <f t="shared" si="59"/>
        <v>97</v>
      </c>
      <c r="AK26" s="552">
        <f t="shared" si="60"/>
        <v>291</v>
      </c>
      <c r="AL26" s="155">
        <f t="shared" si="61"/>
        <v>150</v>
      </c>
      <c r="AM26" s="155">
        <f t="shared" si="62"/>
        <v>377</v>
      </c>
      <c r="AN26" s="155">
        <f t="shared" si="63"/>
        <v>521</v>
      </c>
      <c r="AO26" s="155">
        <f t="shared" si="64"/>
        <v>253</v>
      </c>
      <c r="AP26" s="155">
        <f t="shared" si="64"/>
        <v>74</v>
      </c>
      <c r="AQ26" s="155">
        <f t="shared" si="65"/>
        <v>272</v>
      </c>
      <c r="AR26" s="155">
        <f t="shared" si="66"/>
        <v>353</v>
      </c>
      <c r="AS26" s="156">
        <f t="shared" si="67"/>
        <v>425</v>
      </c>
      <c r="AT26" s="155">
        <v>28</v>
      </c>
      <c r="AU26" s="155">
        <v>126</v>
      </c>
      <c r="AV26" s="155">
        <v>134</v>
      </c>
      <c r="AW26" s="155">
        <v>150</v>
      </c>
      <c r="AX26" s="155">
        <v>134</v>
      </c>
      <c r="AY26" s="155">
        <v>205</v>
      </c>
      <c r="AZ26" s="155">
        <v>30</v>
      </c>
      <c r="BA26" s="155">
        <v>257</v>
      </c>
      <c r="BB26" s="155">
        <v>186</v>
      </c>
      <c r="BC26" s="155">
        <v>380</v>
      </c>
      <c r="BD26" s="155">
        <v>242</v>
      </c>
      <c r="BE26" s="155">
        <v>115</v>
      </c>
      <c r="BF26" s="552">
        <v>440</v>
      </c>
      <c r="BG26" s="155">
        <v>10</v>
      </c>
      <c r="BH26" s="155">
        <v>13</v>
      </c>
      <c r="BI26" s="155">
        <v>114</v>
      </c>
      <c r="BJ26" s="155">
        <v>92</v>
      </c>
      <c r="BK26" s="155">
        <v>12</v>
      </c>
      <c r="BL26" s="155">
        <v>7</v>
      </c>
      <c r="BM26" s="155">
        <v>162</v>
      </c>
      <c r="BN26" s="155">
        <v>134</v>
      </c>
      <c r="BO26" s="155">
        <v>2</v>
      </c>
      <c r="BP26" s="155">
        <v>100</v>
      </c>
      <c r="BQ26" s="155">
        <v>77</v>
      </c>
      <c r="BR26" s="552">
        <v>114</v>
      </c>
      <c r="BS26" s="155">
        <v>22</v>
      </c>
      <c r="BT26" s="155">
        <v>481</v>
      </c>
      <c r="BU26" s="155">
        <v>292</v>
      </c>
      <c r="BV26" s="155">
        <v>675</v>
      </c>
      <c r="BW26" s="155">
        <v>190</v>
      </c>
      <c r="BX26" s="155">
        <v>216</v>
      </c>
      <c r="BY26" s="155">
        <v>97</v>
      </c>
      <c r="BZ26" s="155">
        <v>170</v>
      </c>
      <c r="CA26" s="155">
        <v>244</v>
      </c>
      <c r="CB26" s="552">
        <v>291</v>
      </c>
      <c r="CC26" s="155">
        <v>253</v>
      </c>
      <c r="CD26" s="155">
        <v>74</v>
      </c>
      <c r="CE26" s="155">
        <v>150</v>
      </c>
      <c r="CF26" s="155">
        <v>20</v>
      </c>
      <c r="CG26" s="155">
        <v>405</v>
      </c>
      <c r="CH26" s="155">
        <v>377</v>
      </c>
      <c r="CI26" s="155">
        <v>353</v>
      </c>
      <c r="CJ26" s="155">
        <v>521</v>
      </c>
      <c r="CK26" s="156">
        <v>272</v>
      </c>
      <c r="CL26" s="320">
        <v>8367</v>
      </c>
    </row>
    <row r="27" spans="1:94">
      <c r="A27" s="80">
        <f>ROWS($A$3:A25)</f>
        <v>23</v>
      </c>
      <c r="B27" s="52" t="s">
        <v>252</v>
      </c>
      <c r="C27" s="203"/>
      <c r="D27" s="259" t="s">
        <v>13</v>
      </c>
      <c r="E27" s="447">
        <v>42887</v>
      </c>
      <c r="F27" s="154">
        <v>3161</v>
      </c>
      <c r="G27" s="155">
        <v>911</v>
      </c>
      <c r="H27" s="155">
        <v>2297</v>
      </c>
      <c r="I27" s="156">
        <v>2942</v>
      </c>
      <c r="J27" s="281"/>
      <c r="K27" s="154">
        <f t="shared" si="37"/>
        <v>420</v>
      </c>
      <c r="L27" s="155">
        <f t="shared" si="38"/>
        <v>228</v>
      </c>
      <c r="M27" s="155">
        <f t="shared" si="39"/>
        <v>386</v>
      </c>
      <c r="N27" s="155">
        <f t="shared" si="40"/>
        <v>203</v>
      </c>
      <c r="O27" s="155">
        <f t="shared" si="41"/>
        <v>144</v>
      </c>
      <c r="P27" s="155">
        <f>'2018'!AZ27+'2018'!BA27</f>
        <v>377</v>
      </c>
      <c r="Q27" s="155">
        <f>'2018'!AU27</f>
        <v>139</v>
      </c>
      <c r="R27" s="155">
        <f t="shared" si="42"/>
        <v>324</v>
      </c>
      <c r="S27" s="155">
        <f t="shared" si="43"/>
        <v>144</v>
      </c>
      <c r="T27" s="155">
        <f t="shared" si="44"/>
        <v>258</v>
      </c>
      <c r="U27" s="552">
        <f t="shared" si="44"/>
        <v>538</v>
      </c>
      <c r="V27" s="155">
        <f t="shared" si="45"/>
        <v>62</v>
      </c>
      <c r="W27" s="155">
        <f t="shared" si="46"/>
        <v>116</v>
      </c>
      <c r="X27" s="155">
        <f t="shared" si="47"/>
        <v>142</v>
      </c>
      <c r="Y27" s="155">
        <f t="shared" si="48"/>
        <v>246</v>
      </c>
      <c r="Z27" s="155">
        <f t="shared" si="49"/>
        <v>183</v>
      </c>
      <c r="AA27" s="155">
        <f t="shared" si="50"/>
        <v>76</v>
      </c>
      <c r="AB27" s="552">
        <f t="shared" si="51"/>
        <v>86</v>
      </c>
      <c r="AC27" s="155">
        <f t="shared" si="52"/>
        <v>303</v>
      </c>
      <c r="AD27" s="155">
        <f t="shared" si="53"/>
        <v>192</v>
      </c>
      <c r="AE27" s="155">
        <f t="shared" si="54"/>
        <v>551</v>
      </c>
      <c r="AF27" s="155">
        <f t="shared" si="55"/>
        <v>236</v>
      </c>
      <c r="AG27" s="155">
        <f t="shared" si="56"/>
        <v>360</v>
      </c>
      <c r="AH27" s="155">
        <f t="shared" si="57"/>
        <v>171</v>
      </c>
      <c r="AI27" s="155">
        <f t="shared" si="58"/>
        <v>151</v>
      </c>
      <c r="AJ27" s="155">
        <f t="shared" si="59"/>
        <v>84</v>
      </c>
      <c r="AK27" s="552">
        <f t="shared" si="60"/>
        <v>249</v>
      </c>
      <c r="AL27" s="155">
        <f t="shared" si="61"/>
        <v>169</v>
      </c>
      <c r="AM27" s="155">
        <f t="shared" si="62"/>
        <v>513</v>
      </c>
      <c r="AN27" s="155">
        <f t="shared" si="63"/>
        <v>760</v>
      </c>
      <c r="AO27" s="155">
        <f t="shared" si="64"/>
        <v>247</v>
      </c>
      <c r="AP27" s="155">
        <f t="shared" si="64"/>
        <v>93</v>
      </c>
      <c r="AQ27" s="155">
        <f t="shared" si="65"/>
        <v>288</v>
      </c>
      <c r="AR27" s="155">
        <f t="shared" si="66"/>
        <v>318</v>
      </c>
      <c r="AS27" s="156">
        <f t="shared" si="67"/>
        <v>554</v>
      </c>
      <c r="AT27" s="155">
        <v>18</v>
      </c>
      <c r="AU27" s="155">
        <v>139</v>
      </c>
      <c r="AV27" s="155">
        <v>144</v>
      </c>
      <c r="AW27" s="155">
        <v>203</v>
      </c>
      <c r="AX27" s="155">
        <v>306</v>
      </c>
      <c r="AY27" s="155">
        <v>228</v>
      </c>
      <c r="AZ27" s="155">
        <v>40</v>
      </c>
      <c r="BA27" s="155">
        <v>337</v>
      </c>
      <c r="BB27" s="155">
        <v>258</v>
      </c>
      <c r="BC27" s="155">
        <v>538</v>
      </c>
      <c r="BD27" s="155">
        <v>386</v>
      </c>
      <c r="BE27" s="155">
        <v>144</v>
      </c>
      <c r="BF27" s="552">
        <v>420</v>
      </c>
      <c r="BG27" s="155">
        <v>5</v>
      </c>
      <c r="BH27" s="155">
        <v>17</v>
      </c>
      <c r="BI27" s="155">
        <v>125</v>
      </c>
      <c r="BJ27" s="155">
        <v>57</v>
      </c>
      <c r="BK27" s="155">
        <v>22</v>
      </c>
      <c r="BL27" s="155">
        <v>13</v>
      </c>
      <c r="BM27" s="155">
        <v>183</v>
      </c>
      <c r="BN27" s="155">
        <v>211</v>
      </c>
      <c r="BO27" s="155">
        <v>3</v>
      </c>
      <c r="BP27" s="155">
        <v>86</v>
      </c>
      <c r="BQ27" s="155">
        <v>73</v>
      </c>
      <c r="BR27" s="552">
        <v>116</v>
      </c>
      <c r="BS27" s="155">
        <v>32</v>
      </c>
      <c r="BT27" s="155">
        <v>519</v>
      </c>
      <c r="BU27" s="155">
        <v>192</v>
      </c>
      <c r="BV27" s="155">
        <v>360</v>
      </c>
      <c r="BW27" s="155">
        <v>151</v>
      </c>
      <c r="BX27" s="155">
        <v>303</v>
      </c>
      <c r="BY27" s="155">
        <v>84</v>
      </c>
      <c r="BZ27" s="155">
        <v>171</v>
      </c>
      <c r="CA27" s="155">
        <v>236</v>
      </c>
      <c r="CB27" s="552">
        <v>249</v>
      </c>
      <c r="CC27" s="155">
        <v>247</v>
      </c>
      <c r="CD27" s="155">
        <v>93</v>
      </c>
      <c r="CE27" s="155">
        <v>169</v>
      </c>
      <c r="CF27" s="155">
        <v>26</v>
      </c>
      <c r="CG27" s="155">
        <v>528</v>
      </c>
      <c r="CH27" s="155">
        <v>513</v>
      </c>
      <c r="CI27" s="155">
        <v>318</v>
      </c>
      <c r="CJ27" s="155">
        <v>760</v>
      </c>
      <c r="CK27" s="156">
        <v>288</v>
      </c>
      <c r="CL27" s="320">
        <v>9311</v>
      </c>
    </row>
    <row r="28" spans="1:94">
      <c r="A28" s="80">
        <f>ROWS($A$3:A26)</f>
        <v>24</v>
      </c>
      <c r="B28" s="52" t="s">
        <v>4</v>
      </c>
      <c r="C28" s="203"/>
      <c r="D28" s="259" t="s">
        <v>13</v>
      </c>
      <c r="E28" s="447">
        <v>42887</v>
      </c>
      <c r="F28" s="154">
        <v>2136</v>
      </c>
      <c r="G28" s="155">
        <v>779</v>
      </c>
      <c r="H28" s="155">
        <v>1229</v>
      </c>
      <c r="I28" s="156">
        <v>1926</v>
      </c>
      <c r="J28" s="281"/>
      <c r="K28" s="154">
        <f t="shared" si="37"/>
        <v>277</v>
      </c>
      <c r="L28" s="155">
        <f t="shared" si="38"/>
        <v>104</v>
      </c>
      <c r="M28" s="155">
        <f>BD28</f>
        <v>234</v>
      </c>
      <c r="N28" s="155">
        <f>AW28</f>
        <v>132</v>
      </c>
      <c r="O28" s="155">
        <f>BE28</f>
        <v>129</v>
      </c>
      <c r="P28" s="155">
        <f>'2018'!AZ28+'2018'!BA28</f>
        <v>249</v>
      </c>
      <c r="Q28" s="155">
        <f>'2018'!AU28</f>
        <v>107</v>
      </c>
      <c r="R28" s="155">
        <f>AT28+AX28</f>
        <v>195</v>
      </c>
      <c r="S28" s="155">
        <f>AV28</f>
        <v>102</v>
      </c>
      <c r="T28" s="155">
        <f>BB28</f>
        <v>185</v>
      </c>
      <c r="U28" s="552">
        <f>BC28</f>
        <v>422</v>
      </c>
      <c r="V28" s="155">
        <f>BG28+BJ28</f>
        <v>44</v>
      </c>
      <c r="W28" s="155">
        <f>BR28</f>
        <v>65</v>
      </c>
      <c r="X28" s="155">
        <f>BH28+BI28</f>
        <v>129</v>
      </c>
      <c r="Y28" s="155">
        <f>BK28+BL28+BN28</f>
        <v>219</v>
      </c>
      <c r="Z28" s="155">
        <f>BM28</f>
        <v>161</v>
      </c>
      <c r="AA28" s="155">
        <f>BO28+BQ28</f>
        <v>87</v>
      </c>
      <c r="AB28" s="552">
        <f>BP28</f>
        <v>74</v>
      </c>
      <c r="AC28" s="155">
        <f>BX28</f>
        <v>174</v>
      </c>
      <c r="AD28" s="155">
        <f>BU28</f>
        <v>60</v>
      </c>
      <c r="AE28" s="155">
        <f>BS28+BT28</f>
        <v>193</v>
      </c>
      <c r="AF28" s="155">
        <f>CA28</f>
        <v>100</v>
      </c>
      <c r="AG28" s="155">
        <f>BV28</f>
        <v>190</v>
      </c>
      <c r="AH28" s="155">
        <f>BZ28</f>
        <v>150</v>
      </c>
      <c r="AI28" s="155">
        <f>BW28</f>
        <v>133</v>
      </c>
      <c r="AJ28" s="155">
        <f>BY28</f>
        <v>78</v>
      </c>
      <c r="AK28" s="552">
        <f>CB28</f>
        <v>151</v>
      </c>
      <c r="AL28" s="155">
        <f>CE28</f>
        <v>90</v>
      </c>
      <c r="AM28" s="155">
        <f>CH28</f>
        <v>391</v>
      </c>
      <c r="AN28" s="155">
        <f>CJ28</f>
        <v>492</v>
      </c>
      <c r="AO28" s="155">
        <f>CC28</f>
        <v>171</v>
      </c>
      <c r="AP28" s="155">
        <f>CD28</f>
        <v>51</v>
      </c>
      <c r="AQ28" s="155">
        <f>CK28</f>
        <v>204</v>
      </c>
      <c r="AR28" s="155">
        <f>CI28</f>
        <v>125</v>
      </c>
      <c r="AS28" s="156">
        <f t="shared" si="67"/>
        <v>402</v>
      </c>
      <c r="AT28" s="155">
        <v>15</v>
      </c>
      <c r="AU28" s="155">
        <v>107</v>
      </c>
      <c r="AV28" s="155">
        <v>102</v>
      </c>
      <c r="AW28" s="155">
        <v>132</v>
      </c>
      <c r="AX28" s="155">
        <v>180</v>
      </c>
      <c r="AY28" s="155">
        <v>104</v>
      </c>
      <c r="AZ28" s="155">
        <v>15</v>
      </c>
      <c r="BA28" s="155">
        <v>234</v>
      </c>
      <c r="BB28" s="155">
        <v>185</v>
      </c>
      <c r="BC28" s="155">
        <v>422</v>
      </c>
      <c r="BD28" s="155">
        <v>234</v>
      </c>
      <c r="BE28" s="155">
        <v>129</v>
      </c>
      <c r="BF28" s="552">
        <v>277</v>
      </c>
      <c r="BG28" s="155">
        <v>3</v>
      </c>
      <c r="BH28" s="155">
        <v>5</v>
      </c>
      <c r="BI28" s="155">
        <v>124</v>
      </c>
      <c r="BJ28" s="155">
        <v>41</v>
      </c>
      <c r="BK28" s="155">
        <v>10</v>
      </c>
      <c r="BL28" s="155">
        <v>18</v>
      </c>
      <c r="BM28" s="155">
        <v>161</v>
      </c>
      <c r="BN28" s="155">
        <v>191</v>
      </c>
      <c r="BO28" s="155">
        <v>4</v>
      </c>
      <c r="BP28" s="155">
        <v>74</v>
      </c>
      <c r="BQ28" s="155">
        <v>83</v>
      </c>
      <c r="BR28" s="552">
        <v>65</v>
      </c>
      <c r="BS28" s="155">
        <v>12</v>
      </c>
      <c r="BT28" s="155">
        <v>181</v>
      </c>
      <c r="BU28" s="155">
        <v>60</v>
      </c>
      <c r="BV28" s="155">
        <v>190</v>
      </c>
      <c r="BW28" s="155">
        <v>133</v>
      </c>
      <c r="BX28" s="155">
        <v>174</v>
      </c>
      <c r="BY28" s="155">
        <v>78</v>
      </c>
      <c r="BZ28" s="155">
        <v>150</v>
      </c>
      <c r="CA28" s="155">
        <v>100</v>
      </c>
      <c r="CB28" s="552">
        <v>151</v>
      </c>
      <c r="CC28" s="155">
        <v>171</v>
      </c>
      <c r="CD28" s="155">
        <v>51</v>
      </c>
      <c r="CE28" s="155">
        <v>90</v>
      </c>
      <c r="CF28" s="155">
        <v>27</v>
      </c>
      <c r="CG28" s="155">
        <v>375</v>
      </c>
      <c r="CH28" s="155">
        <v>391</v>
      </c>
      <c r="CI28" s="155">
        <v>125</v>
      </c>
      <c r="CJ28" s="155">
        <v>492</v>
      </c>
      <c r="CK28" s="156">
        <v>204</v>
      </c>
      <c r="CL28" s="320">
        <v>6070</v>
      </c>
    </row>
    <row r="29" spans="1:94">
      <c r="A29" s="80">
        <f>ROWS($A$3:A27)</f>
        <v>25</v>
      </c>
      <c r="B29" s="52" t="s">
        <v>5</v>
      </c>
      <c r="C29" s="203"/>
      <c r="D29" s="259" t="s">
        <v>13</v>
      </c>
      <c r="E29" s="447">
        <v>42887</v>
      </c>
      <c r="F29" s="154">
        <v>1019</v>
      </c>
      <c r="G29" s="155">
        <v>587</v>
      </c>
      <c r="H29" s="155">
        <v>642</v>
      </c>
      <c r="I29" s="156">
        <v>931</v>
      </c>
      <c r="J29" s="281"/>
      <c r="K29" s="154">
        <f t="shared" si="37"/>
        <v>150</v>
      </c>
      <c r="L29" s="155">
        <f t="shared" si="38"/>
        <v>40</v>
      </c>
      <c r="M29" s="155">
        <f t="shared" si="39"/>
        <v>190</v>
      </c>
      <c r="N29" s="155">
        <f t="shared" si="40"/>
        <v>60</v>
      </c>
      <c r="O29" s="155">
        <f t="shared" si="41"/>
        <v>67</v>
      </c>
      <c r="P29" s="155">
        <f>'2018'!AZ29+'2018'!BA29</f>
        <v>129</v>
      </c>
      <c r="Q29" s="155">
        <f>'2018'!AU29</f>
        <v>59</v>
      </c>
      <c r="R29" s="155">
        <f t="shared" si="42"/>
        <v>41</v>
      </c>
      <c r="S29" s="155">
        <f t="shared" si="43"/>
        <v>39</v>
      </c>
      <c r="T29" s="155">
        <f t="shared" si="44"/>
        <v>92</v>
      </c>
      <c r="U29" s="552">
        <f t="shared" si="44"/>
        <v>152</v>
      </c>
      <c r="V29" s="155">
        <f t="shared" si="45"/>
        <v>47</v>
      </c>
      <c r="W29" s="155">
        <f t="shared" si="46"/>
        <v>49</v>
      </c>
      <c r="X29" s="155">
        <f t="shared" si="47"/>
        <v>145</v>
      </c>
      <c r="Y29" s="155">
        <f t="shared" si="48"/>
        <v>99</v>
      </c>
      <c r="Z29" s="155">
        <f t="shared" si="49"/>
        <v>144</v>
      </c>
      <c r="AA29" s="155">
        <f t="shared" si="50"/>
        <v>60</v>
      </c>
      <c r="AB29" s="552">
        <f t="shared" si="51"/>
        <v>43</v>
      </c>
      <c r="AC29" s="155">
        <f t="shared" si="52"/>
        <v>78</v>
      </c>
      <c r="AD29" s="155">
        <f t="shared" si="53"/>
        <v>37</v>
      </c>
      <c r="AE29" s="155">
        <f t="shared" si="54"/>
        <v>59</v>
      </c>
      <c r="AF29" s="155">
        <f t="shared" si="55"/>
        <v>27</v>
      </c>
      <c r="AG29" s="155">
        <f t="shared" si="56"/>
        <v>94</v>
      </c>
      <c r="AH29" s="155">
        <f t="shared" si="57"/>
        <v>87</v>
      </c>
      <c r="AI29" s="155">
        <f t="shared" si="58"/>
        <v>83</v>
      </c>
      <c r="AJ29" s="155">
        <f t="shared" si="59"/>
        <v>86</v>
      </c>
      <c r="AK29" s="552">
        <f t="shared" si="60"/>
        <v>91</v>
      </c>
      <c r="AL29" s="155">
        <f t="shared" si="61"/>
        <v>115</v>
      </c>
      <c r="AM29" s="155">
        <f t="shared" si="62"/>
        <v>161</v>
      </c>
      <c r="AN29" s="155">
        <f t="shared" si="63"/>
        <v>109</v>
      </c>
      <c r="AO29" s="155">
        <f t="shared" si="64"/>
        <v>105</v>
      </c>
      <c r="AP29" s="155">
        <f t="shared" si="64"/>
        <v>68</v>
      </c>
      <c r="AQ29" s="155">
        <f t="shared" si="65"/>
        <v>163</v>
      </c>
      <c r="AR29" s="155">
        <f t="shared" si="66"/>
        <v>37</v>
      </c>
      <c r="AS29" s="156">
        <f t="shared" si="67"/>
        <v>173</v>
      </c>
      <c r="AT29" s="155">
        <v>1</v>
      </c>
      <c r="AU29" s="155">
        <v>59</v>
      </c>
      <c r="AV29" s="155">
        <v>39</v>
      </c>
      <c r="AW29" s="155">
        <v>60</v>
      </c>
      <c r="AX29" s="155">
        <v>40</v>
      </c>
      <c r="AY29" s="155">
        <v>40</v>
      </c>
      <c r="AZ29" s="155">
        <v>6</v>
      </c>
      <c r="BA29" s="155">
        <v>123</v>
      </c>
      <c r="BB29" s="155">
        <v>92</v>
      </c>
      <c r="BC29" s="155">
        <v>152</v>
      </c>
      <c r="BD29" s="155">
        <v>190</v>
      </c>
      <c r="BE29" s="155">
        <v>67</v>
      </c>
      <c r="BF29" s="552">
        <v>150</v>
      </c>
      <c r="BG29" s="155">
        <v>5</v>
      </c>
      <c r="BH29" s="155">
        <v>7</v>
      </c>
      <c r="BI29" s="155">
        <v>138</v>
      </c>
      <c r="BJ29" s="155">
        <v>42</v>
      </c>
      <c r="BK29" s="155">
        <v>2</v>
      </c>
      <c r="BL29" s="155">
        <v>6</v>
      </c>
      <c r="BM29" s="155">
        <v>144</v>
      </c>
      <c r="BN29" s="155">
        <v>91</v>
      </c>
      <c r="BO29" s="155">
        <v>3</v>
      </c>
      <c r="BP29" s="155">
        <v>43</v>
      </c>
      <c r="BQ29" s="155">
        <v>57</v>
      </c>
      <c r="BR29" s="552">
        <v>49</v>
      </c>
      <c r="BS29" s="155">
        <v>4</v>
      </c>
      <c r="BT29" s="155">
        <v>55</v>
      </c>
      <c r="BU29" s="155">
        <v>37</v>
      </c>
      <c r="BV29" s="155">
        <v>94</v>
      </c>
      <c r="BW29" s="155">
        <v>83</v>
      </c>
      <c r="BX29" s="155">
        <v>78</v>
      </c>
      <c r="BY29" s="155">
        <v>86</v>
      </c>
      <c r="BZ29" s="155">
        <v>87</v>
      </c>
      <c r="CA29" s="155">
        <v>27</v>
      </c>
      <c r="CB29" s="552">
        <v>91</v>
      </c>
      <c r="CC29" s="155">
        <v>105</v>
      </c>
      <c r="CD29" s="155">
        <v>68</v>
      </c>
      <c r="CE29" s="155">
        <v>115</v>
      </c>
      <c r="CF29" s="155">
        <v>12</v>
      </c>
      <c r="CG29" s="155">
        <v>161</v>
      </c>
      <c r="CH29" s="155">
        <v>161</v>
      </c>
      <c r="CI29" s="155">
        <v>37</v>
      </c>
      <c r="CJ29" s="155">
        <v>109</v>
      </c>
      <c r="CK29" s="156">
        <v>163</v>
      </c>
      <c r="CL29" s="320">
        <v>3179</v>
      </c>
    </row>
    <row r="30" spans="1:94">
      <c r="A30" s="80">
        <f>ROWS($A$3:A28)</f>
        <v>26</v>
      </c>
      <c r="B30" s="53" t="s">
        <v>256</v>
      </c>
      <c r="C30" s="252"/>
      <c r="D30" s="259" t="s">
        <v>1</v>
      </c>
      <c r="E30" s="447">
        <v>42887</v>
      </c>
      <c r="F30" s="539">
        <f>F35/F23</f>
        <v>35.892733297372274</v>
      </c>
      <c r="G30" s="521">
        <f>G35/G23</f>
        <v>44.829787234042556</v>
      </c>
      <c r="H30" s="521">
        <f>H35/H23</f>
        <v>25.739140985197768</v>
      </c>
      <c r="I30" s="540">
        <f>I35/I23</f>
        <v>40.000748362956031</v>
      </c>
      <c r="J30" s="382"/>
      <c r="K30" s="536">
        <f>BF30</f>
        <v>38.098389982110909</v>
      </c>
      <c r="L30" s="537">
        <f t="shared" si="38"/>
        <v>22.733156028368793</v>
      </c>
      <c r="M30" s="537">
        <f t="shared" si="39"/>
        <v>50.523247232472322</v>
      </c>
      <c r="N30" s="537">
        <f t="shared" si="40"/>
        <v>38.791724137931034</v>
      </c>
      <c r="O30" s="537">
        <f t="shared" si="41"/>
        <v>48.732472324723247</v>
      </c>
      <c r="P30" s="521">
        <f>P35/P23</f>
        <v>28.867230233714569</v>
      </c>
      <c r="Q30" s="537">
        <f>'2018'!AU30</f>
        <v>40.085714285714289</v>
      </c>
      <c r="R30" s="521">
        <f>R35/R23</f>
        <v>25.400291120815137</v>
      </c>
      <c r="S30" s="537">
        <f t="shared" si="43"/>
        <v>31.450236966824644</v>
      </c>
      <c r="T30" s="537">
        <f t="shared" si="44"/>
        <v>38.103825136612024</v>
      </c>
      <c r="U30" s="561">
        <f t="shared" si="44"/>
        <v>40.610992529348984</v>
      </c>
      <c r="V30" s="521">
        <f>V35/V23</f>
        <v>28.3125</v>
      </c>
      <c r="W30" s="537">
        <f t="shared" si="46"/>
        <v>39.763102725366878</v>
      </c>
      <c r="X30" s="521">
        <f>X35/X23</f>
        <v>52.804375804375802</v>
      </c>
      <c r="Y30" s="521">
        <f>Y35/Y23</f>
        <v>42.912228796844182</v>
      </c>
      <c r="Z30" s="537">
        <f t="shared" si="49"/>
        <v>55.544578313253012</v>
      </c>
      <c r="AA30" s="521">
        <f>AA35/AA23</f>
        <v>46.886104783599087</v>
      </c>
      <c r="AB30" s="561">
        <f t="shared" si="51"/>
        <v>40.082959641255606</v>
      </c>
      <c r="AC30" s="537">
        <f t="shared" si="52"/>
        <v>39.647727272727273</v>
      </c>
      <c r="AD30" s="537">
        <f t="shared" si="53"/>
        <v>17.532385466034754</v>
      </c>
      <c r="AE30" s="521">
        <f>AE35/AE23</f>
        <v>19.037518037518037</v>
      </c>
      <c r="AF30" s="537">
        <f t="shared" si="55"/>
        <v>23.973084886128365</v>
      </c>
      <c r="AG30" s="537">
        <f t="shared" si="56"/>
        <v>17.050228310502284</v>
      </c>
      <c r="AH30" s="537">
        <f t="shared" si="57"/>
        <v>41.149198520345251</v>
      </c>
      <c r="AI30" s="537">
        <f t="shared" si="58"/>
        <v>39.662269129287601</v>
      </c>
      <c r="AJ30" s="537">
        <f t="shared" si="59"/>
        <v>57.160377358490564</v>
      </c>
      <c r="AK30" s="561">
        <f t="shared" si="60"/>
        <v>34.165318957771788</v>
      </c>
      <c r="AL30" s="537">
        <f t="shared" si="61"/>
        <v>49.48216833095578</v>
      </c>
      <c r="AM30" s="537">
        <f t="shared" si="62"/>
        <v>44.15227537922987</v>
      </c>
      <c r="AN30" s="537">
        <f t="shared" si="63"/>
        <v>36.770085470085469</v>
      </c>
      <c r="AO30" s="537">
        <f t="shared" si="64"/>
        <v>43.095944609297725</v>
      </c>
      <c r="AP30" s="537">
        <f t="shared" si="64"/>
        <v>52.225388601036272</v>
      </c>
      <c r="AQ30" s="537">
        <f t="shared" si="65"/>
        <v>46.934875749785775</v>
      </c>
      <c r="AR30" s="537">
        <f t="shared" si="66"/>
        <v>22.205298013245034</v>
      </c>
      <c r="AS30" s="540">
        <f>AS35/AS23</f>
        <v>42.542181622783453</v>
      </c>
      <c r="AT30" s="521">
        <f>AT35/AT23</f>
        <v>13.146596858638743</v>
      </c>
      <c r="AU30" s="521">
        <f>AU35/AU23</f>
        <v>40.085714285714289</v>
      </c>
      <c r="AV30" s="521">
        <f t="shared" ref="AV30:CL30" si="69">AV35/AV23</f>
        <v>31.450236966824644</v>
      </c>
      <c r="AW30" s="521">
        <f t="shared" si="69"/>
        <v>38.791724137931034</v>
      </c>
      <c r="AX30" s="521">
        <f>AX35/AX23</f>
        <v>27.378698224852069</v>
      </c>
      <c r="AY30" s="521">
        <f t="shared" si="69"/>
        <v>22.733156028368793</v>
      </c>
      <c r="AZ30" s="521">
        <f t="shared" si="69"/>
        <v>23.941860465116278</v>
      </c>
      <c r="BA30" s="521">
        <f t="shared" si="69"/>
        <v>29.327895595432299</v>
      </c>
      <c r="BB30" s="521">
        <f t="shared" si="69"/>
        <v>38.103825136612024</v>
      </c>
      <c r="BC30" s="521">
        <f t="shared" si="69"/>
        <v>40.610992529348984</v>
      </c>
      <c r="BD30" s="521">
        <f>BD35/BD23</f>
        <v>50.523247232472322</v>
      </c>
      <c r="BE30" s="521">
        <f t="shared" si="69"/>
        <v>48.732472324723247</v>
      </c>
      <c r="BF30" s="559">
        <f t="shared" si="69"/>
        <v>38.098389982110909</v>
      </c>
      <c r="BG30" s="521">
        <f t="shared" si="69"/>
        <v>15.085714285714285</v>
      </c>
      <c r="BH30" s="521">
        <f>BH35/BH23</f>
        <v>41.887096774193552</v>
      </c>
      <c r="BI30" s="521">
        <f>BI35/BI23</f>
        <v>53.751048951048951</v>
      </c>
      <c r="BJ30" s="521">
        <f>BJ35/BJ23</f>
        <v>31.261146496815286</v>
      </c>
      <c r="BK30" s="521">
        <f t="shared" si="69"/>
        <v>24.648648648648649</v>
      </c>
      <c r="BL30" s="521">
        <f t="shared" si="69"/>
        <v>49.406779661016948</v>
      </c>
      <c r="BM30" s="521">
        <f>BM35/BM23</f>
        <v>55.544578313253012</v>
      </c>
      <c r="BN30" s="521">
        <f t="shared" si="69"/>
        <v>44.011350737797954</v>
      </c>
      <c r="BO30" s="521">
        <f t="shared" si="69"/>
        <v>38.799999999999997</v>
      </c>
      <c r="BP30" s="521">
        <f t="shared" si="69"/>
        <v>40.082959641255606</v>
      </c>
      <c r="BQ30" s="521">
        <f>BQ35/BQ23</f>
        <v>47.374396135265698</v>
      </c>
      <c r="BR30" s="559">
        <f t="shared" si="69"/>
        <v>39.763102725366878</v>
      </c>
      <c r="BS30" s="521">
        <f t="shared" si="69"/>
        <v>19.055248618784532</v>
      </c>
      <c r="BT30" s="521">
        <f t="shared" si="69"/>
        <v>19.036279428791971</v>
      </c>
      <c r="BU30" s="521">
        <f t="shared" si="69"/>
        <v>17.532385466034754</v>
      </c>
      <c r="BV30" s="521">
        <f t="shared" si="69"/>
        <v>17.050228310502284</v>
      </c>
      <c r="BW30" s="521">
        <f t="shared" si="69"/>
        <v>39.662269129287601</v>
      </c>
      <c r="BX30" s="521">
        <f t="shared" si="69"/>
        <v>39.647727272727273</v>
      </c>
      <c r="BY30" s="521">
        <f t="shared" si="69"/>
        <v>57.160377358490564</v>
      </c>
      <c r="BZ30" s="521">
        <f t="shared" si="69"/>
        <v>41.149198520345251</v>
      </c>
      <c r="CA30" s="521">
        <f t="shared" si="69"/>
        <v>23.973084886128365</v>
      </c>
      <c r="CB30" s="559">
        <f t="shared" si="69"/>
        <v>34.165318957771788</v>
      </c>
      <c r="CC30" s="521">
        <f t="shared" si="69"/>
        <v>43.095944609297725</v>
      </c>
      <c r="CD30" s="521">
        <f t="shared" si="69"/>
        <v>52.225388601036272</v>
      </c>
      <c r="CE30" s="521">
        <f t="shared" si="69"/>
        <v>49.48216833095578</v>
      </c>
      <c r="CF30" s="521">
        <f t="shared" si="69"/>
        <v>43.018518518518519</v>
      </c>
      <c r="CG30" s="521">
        <f t="shared" si="69"/>
        <v>42.512835139760412</v>
      </c>
      <c r="CH30" s="521">
        <f t="shared" si="69"/>
        <v>44.15227537922987</v>
      </c>
      <c r="CI30" s="521">
        <f t="shared" si="69"/>
        <v>22.205298013245034</v>
      </c>
      <c r="CJ30" s="521">
        <f t="shared" si="69"/>
        <v>36.770085470085469</v>
      </c>
      <c r="CK30" s="540">
        <f t="shared" si="69"/>
        <v>46.934875749785775</v>
      </c>
      <c r="CL30" s="560">
        <f t="shared" si="69"/>
        <v>34.885806499297843</v>
      </c>
    </row>
    <row r="31" spans="1:94">
      <c r="A31" s="80">
        <f>ROWS($A$3:A29)</f>
        <v>27</v>
      </c>
      <c r="B31" s="53" t="str">
        <f>"Entwicklung Betriebe ab 5 ha LF von 2001 / "&amp;C22</f>
        <v>Entwicklung Betriebe ab 5 ha LF von 2001 / 2016</v>
      </c>
      <c r="C31" s="252"/>
      <c r="D31" s="259" t="s">
        <v>3</v>
      </c>
      <c r="E31" s="447">
        <v>42887</v>
      </c>
      <c r="F31" s="530">
        <f>(F23-F24)/('2001'!F23-'2001'!F24)%-100</f>
        <v>-27.429424538545064</v>
      </c>
      <c r="G31" s="531">
        <f>(G23-G24)/('2001'!G23-'2001'!G24)%-100</f>
        <v>-23.594180102241452</v>
      </c>
      <c r="H31" s="531">
        <f>(H23-H24)/('2001'!H23-'2001'!H24)%-100</f>
        <v>-23.334141022534524</v>
      </c>
      <c r="I31" s="532">
        <f>(I23-I24)/('2001'!I23-'2001'!I24)%-100</f>
        <v>-27.857976086322537</v>
      </c>
      <c r="J31" s="281"/>
      <c r="K31" s="154">
        <f t="shared" si="37"/>
        <v>-29.411764705882362</v>
      </c>
      <c r="L31" s="155">
        <f t="shared" si="38"/>
        <v>-22.950819672131146</v>
      </c>
      <c r="M31" s="155">
        <f t="shared" si="39"/>
        <v>-35.548352242031342</v>
      </c>
      <c r="N31" s="155">
        <f t="shared" si="40"/>
        <v>-22.716627634660412</v>
      </c>
      <c r="O31" s="155">
        <f t="shared" si="41"/>
        <v>-21.674140508221228</v>
      </c>
      <c r="P31" s="531">
        <f>100-(P23%/((AZ23%)/(100-AZ31)+(BA23%)/(100-BA31)))</f>
        <v>-24.027080751806011</v>
      </c>
      <c r="Q31" s="542">
        <f>'2018'!AU31</f>
        <v>-27.97783933518005</v>
      </c>
      <c r="R31" s="531">
        <f>100-(R23%/((AT23%)/(100-AT31)+(AX23%)/(100-AX31)))</f>
        <v>-20.037999911039407</v>
      </c>
      <c r="S31" s="542">
        <f t="shared" si="43"/>
        <v>-19.119878603945367</v>
      </c>
      <c r="T31" s="542">
        <f t="shared" si="44"/>
        <v>-32.302936630602773</v>
      </c>
      <c r="U31" s="554">
        <f t="shared" si="44"/>
        <v>-29.173290937996825</v>
      </c>
      <c r="V31" s="531">
        <f>100-(V23%/((BG23%)/(100-BG31)+(BJ23%)/(100-BJ31)))</f>
        <v>-9.7500780976451864</v>
      </c>
      <c r="W31" s="542">
        <f t="shared" si="46"/>
        <v>-27.689873417721529</v>
      </c>
      <c r="X31" s="531">
        <f>100-(X23%/((BH23%)/(100-BH31)+(BI23%)/(100-BI31)))</f>
        <v>-18.625349125684409</v>
      </c>
      <c r="Y31" s="531">
        <f>100-(Y23%/((BK23%)/(100-BK31)+(BL23%)/(100-BL31)+(BN23%)/(100-BN31)))</f>
        <v>-24.65397599579677</v>
      </c>
      <c r="Z31" s="542">
        <f t="shared" si="49"/>
        <v>-28.818181818181813</v>
      </c>
      <c r="AA31" s="531">
        <f>100-(AA23%/((BO23%)/(100-BO31)+(BQ23%)/(100-BQ31)))</f>
        <v>-18.823719034739625</v>
      </c>
      <c r="AB31" s="554">
        <f t="shared" si="51"/>
        <v>-26.306620209059233</v>
      </c>
      <c r="AC31" s="542">
        <f t="shared" si="52"/>
        <v>-25.23510971786834</v>
      </c>
      <c r="AD31" s="542">
        <f t="shared" si="53"/>
        <v>-19.791666666666671</v>
      </c>
      <c r="AE31" s="531">
        <f>100-(AE23%/((BS23%)/(100-BS31)+(BT23%)/(100-BT31)))</f>
        <v>-17.943853607546615</v>
      </c>
      <c r="AF31" s="542">
        <f t="shared" si="55"/>
        <v>-23.85834109972042</v>
      </c>
      <c r="AG31" s="542">
        <f t="shared" si="56"/>
        <v>-20.637829912023463</v>
      </c>
      <c r="AH31" s="542">
        <f t="shared" si="57"/>
        <v>-25.462459194776926</v>
      </c>
      <c r="AI31" s="542">
        <f t="shared" si="58"/>
        <v>-25.278058645096067</v>
      </c>
      <c r="AJ31" s="542">
        <f t="shared" si="59"/>
        <v>-30.666666666666671</v>
      </c>
      <c r="AK31" s="554">
        <f t="shared" si="60"/>
        <v>-30.769230769230774</v>
      </c>
      <c r="AL31" s="542">
        <f t="shared" si="61"/>
        <v>-26.025917926565867</v>
      </c>
      <c r="AM31" s="542">
        <f t="shared" si="62"/>
        <v>-28.336221837088388</v>
      </c>
      <c r="AN31" s="542">
        <f t="shared" si="63"/>
        <v>-27.631578947368411</v>
      </c>
      <c r="AO31" s="542">
        <f t="shared" si="64"/>
        <v>-26.003086419753089</v>
      </c>
      <c r="AP31" s="542">
        <f t="shared" si="64"/>
        <v>-28.772635814889327</v>
      </c>
      <c r="AQ31" s="542">
        <f t="shared" si="65"/>
        <v>-30.437461491065932</v>
      </c>
      <c r="AR31" s="542">
        <f t="shared" si="66"/>
        <v>-23.940820443846661</v>
      </c>
      <c r="AS31" s="532">
        <f>100-(AS23%/((CF23%)/(100-CF31)+(CG23%)/(100-CG31)))</f>
        <v>-29.77999625203941</v>
      </c>
      <c r="AT31" s="542">
        <f>(AT23-AT24)/('2001'!AT23-'2001'!AT24)%-100</f>
        <v>-4.0816326530612201</v>
      </c>
      <c r="AU31" s="155">
        <f>(AU23-AU24)/('2001'!AU23-'2001'!AU24)%-100</f>
        <v>-27.97783933518005</v>
      </c>
      <c r="AV31" s="155">
        <f>(AV23-AV24)/('2001'!AV23-'2001'!AV24)%-100</f>
        <v>-19.119878603945367</v>
      </c>
      <c r="AW31" s="155">
        <f>(AW23-AW24)/('2001'!AW23-'2001'!AW24)%-100</f>
        <v>-22.716627634660412</v>
      </c>
      <c r="AX31" s="155">
        <f>(AX23-AX24)/('2001'!AX23-'2001'!AX24)%-100</f>
        <v>-23.084577114427873</v>
      </c>
      <c r="AY31" s="155">
        <f>(AY23-AY24)/('2001'!AY23-'2001'!AY24)%-100</f>
        <v>-22.950819672131146</v>
      </c>
      <c r="AZ31" s="155">
        <f>(AZ23-AZ24)/('2001'!AZ23-'2001'!AZ24)%-100</f>
        <v>-22.222222222222229</v>
      </c>
      <c r="BA31" s="155">
        <f>(BA23-BA24)/('2001'!BA23-'2001'!BA24)%-100</f>
        <v>-24.198617221873036</v>
      </c>
      <c r="BB31" s="155">
        <f>(BB23-BB24)/('2001'!BB23-'2001'!BB24)%-100</f>
        <v>-32.302936630602773</v>
      </c>
      <c r="BC31" s="155">
        <f>(BC23-BC24)/('2001'!BC23-'2001'!BC24)%-100</f>
        <v>-29.173290937996825</v>
      </c>
      <c r="BD31" s="155">
        <f>(BD23-BD24)/('2001'!BD23-'2001'!BD24)%-100</f>
        <v>-35.548352242031342</v>
      </c>
      <c r="BE31" s="155">
        <f>(BE23-BE24)/('2001'!BE23-'2001'!BE24)%-100</f>
        <v>-21.674140508221228</v>
      </c>
      <c r="BF31" s="552">
        <f>(BF23-BF24)/('2001'!BF23-'2001'!BF24)%-100</f>
        <v>-29.411764705882362</v>
      </c>
      <c r="BG31" s="155">
        <f>(BG23-BG24)/('2001'!BG23-'2001'!BG24)%-100</f>
        <v>-2.2222222222222285</v>
      </c>
      <c r="BH31" s="155">
        <f>(BH23-BH24)/('2001'!BH23-'2001'!BH24)%-100</f>
        <v>-19.047619047619051</v>
      </c>
      <c r="BI31" s="155">
        <f>(BI23-BI24)/('2001'!BI23-'2001'!BI24)%-100</f>
        <v>-18.588873812754414</v>
      </c>
      <c r="BJ31" s="155">
        <f>(BJ23-BJ24)/('2001'!BJ23-'2001'!BJ24)%-100</f>
        <v>-11.58192090395481</v>
      </c>
      <c r="BK31" s="155">
        <f>(BK23-BK24)/('2001'!BK23-'2001'!BK24)%-100</f>
        <v>-16.176470588235304</v>
      </c>
      <c r="BL31" s="155">
        <f>(BL23-BL24)/('2001'!BL23-'2001'!BL24)%-100</f>
        <v>-35.13513513513513</v>
      </c>
      <c r="BM31" s="155">
        <f>(BM23-BM24)/('2001'!BM23-'2001'!BM24)%-100</f>
        <v>-28.818181818181813</v>
      </c>
      <c r="BN31" s="155">
        <f>(BN23-BN24)/('2001'!BN23-'2001'!BN24)%-100</f>
        <v>-24.77064220183486</v>
      </c>
      <c r="BO31" s="155">
        <f>(BO23-BO24)/('2001'!BO23-'2001'!BO24)%-100</f>
        <v>-23.80952380952381</v>
      </c>
      <c r="BP31" s="155">
        <f>(BP23-BP24)/('2001'!BP23-'2001'!BP24)%-100</f>
        <v>-26.306620209059233</v>
      </c>
      <c r="BQ31" s="155">
        <f>(BQ23-BQ24)/('2001'!BQ23-'2001'!BQ24)%-100</f>
        <v>-18.535469107551492</v>
      </c>
      <c r="BR31" s="552">
        <f>(BR23-BR24)/('2001'!BR23-'2001'!BR24)%-100</f>
        <v>-27.689873417721529</v>
      </c>
      <c r="BS31" s="155">
        <f>(BS23-BS24)/('2001'!BS23-'2001'!BS24)%-100</f>
        <v>-18.644067796610159</v>
      </c>
      <c r="BT31" s="155">
        <f>(BT23-BT24)/('2001'!BT23-'2001'!BT24)%-100</f>
        <v>-17.895247332686722</v>
      </c>
      <c r="BU31" s="155">
        <f>(BU23-BU24)/('2001'!BU23-'2001'!BU24)%-100</f>
        <v>-19.791666666666671</v>
      </c>
      <c r="BV31" s="155">
        <f>(BV23-BV24)/('2001'!BV23-'2001'!BV24)%-100</f>
        <v>-20.637829912023463</v>
      </c>
      <c r="BW31" s="155">
        <f>(BW23-BW24)/('2001'!BW23-'2001'!BW24)%-100</f>
        <v>-25.278058645096067</v>
      </c>
      <c r="BX31" s="155">
        <f>(BX23-BX24)/('2001'!BX23-'2001'!BX24)%-100</f>
        <v>-25.23510971786834</v>
      </c>
      <c r="BY31" s="155">
        <f>(BY23-BY24)/('2001'!BY23-'2001'!BY24)%-100</f>
        <v>-30.666666666666671</v>
      </c>
      <c r="BZ31" s="155">
        <f>(BZ23-BZ24)/('2001'!BZ23-'2001'!BZ24)%-100</f>
        <v>-25.462459194776926</v>
      </c>
      <c r="CA31" s="155">
        <f>(CA23-CA24)/('2001'!CA23-'2001'!CA24)%-100</f>
        <v>-23.85834109972042</v>
      </c>
      <c r="CB31" s="552">
        <f>(CB23-CB24)/('2001'!CB23-'2001'!CB24)%-100</f>
        <v>-30.769230769230774</v>
      </c>
      <c r="CC31" s="155">
        <f>(CC23-CC24)/('2001'!CC23-'2001'!CC24)%-100</f>
        <v>-26.003086419753089</v>
      </c>
      <c r="CD31" s="155">
        <f>(CD23-CD24)/('2001'!CD23-'2001'!CD24)%-100</f>
        <v>-28.772635814889327</v>
      </c>
      <c r="CE31" s="155">
        <f>(CE23-CE24)/('2001'!CE23-'2001'!CE24)%-100</f>
        <v>-26.025917926565867</v>
      </c>
      <c r="CF31" s="155">
        <f>(CF23-CF24)/('2001'!CF23-'2001'!CF24)%-100</f>
        <v>-31.159420289855063</v>
      </c>
      <c r="CG31" s="155">
        <f>(CG23-CG24)/('2001'!CG23-'2001'!CG24)%-100</f>
        <v>-29.695960016659726</v>
      </c>
      <c r="CH31" s="155">
        <f>(CH23-CH24)/('2001'!CH23-'2001'!CH24)%-100</f>
        <v>-28.336221837088388</v>
      </c>
      <c r="CI31" s="155">
        <f>(CI23-CI24)/('2001'!CI23-'2001'!CI24)%-100</f>
        <v>-23.940820443846661</v>
      </c>
      <c r="CJ31" s="155">
        <f>(CJ23-CJ24)/('2001'!CJ23-'2001'!CJ24)%-100</f>
        <v>-27.631578947368411</v>
      </c>
      <c r="CK31" s="156">
        <f>(CK23-CK24)/('2001'!CK23-'2001'!CK24)%-100</f>
        <v>-30.437461491065932</v>
      </c>
      <c r="CL31" s="320">
        <f>(CL23-CL24)/('2001'!CL23-'2001'!CL24)%-100</f>
        <v>-26.028441385918683</v>
      </c>
    </row>
    <row r="32" spans="1:94">
      <c r="A32" s="80">
        <f>ROWS($A$3:A30)</f>
        <v>28</v>
      </c>
      <c r="B32" s="53" t="s">
        <v>170</v>
      </c>
      <c r="C32" s="252"/>
      <c r="D32" s="259" t="s">
        <v>3</v>
      </c>
      <c r="E32" s="451"/>
      <c r="F32" s="154">
        <v>37</v>
      </c>
      <c r="G32" s="155">
        <v>31</v>
      </c>
      <c r="H32" s="155">
        <v>28</v>
      </c>
      <c r="I32" s="156">
        <v>42</v>
      </c>
      <c r="J32" s="281"/>
      <c r="K32" s="154">
        <f t="shared" si="37"/>
        <v>35</v>
      </c>
      <c r="L32" s="155">
        <f t="shared" si="38"/>
        <v>35</v>
      </c>
      <c r="M32" s="155">
        <f t="shared" si="39"/>
        <v>34</v>
      </c>
      <c r="N32" s="155">
        <f t="shared" si="40"/>
        <v>42</v>
      </c>
      <c r="O32" s="155">
        <f t="shared" si="41"/>
        <v>41</v>
      </c>
      <c r="P32" s="531">
        <f>(AZ23*AZ32+BA23*BA32)/P23</f>
        <v>40.79612133267031</v>
      </c>
      <c r="Q32" s="542">
        <f>'2018'!AU32</f>
        <v>30</v>
      </c>
      <c r="R32" s="531">
        <f>(AT23*AT32+AX23*AX32)/R23</f>
        <v>41.336244541484717</v>
      </c>
      <c r="S32" s="542">
        <f t="shared" si="43"/>
        <v>35</v>
      </c>
      <c r="T32" s="542">
        <f t="shared" si="44"/>
        <v>38</v>
      </c>
      <c r="U32" s="554">
        <f t="shared" si="44"/>
        <v>47</v>
      </c>
      <c r="V32" s="531">
        <f>(BG23*BG32+BJ23*BJ32)/V23</f>
        <v>16.817708333333332</v>
      </c>
      <c r="W32" s="542">
        <f t="shared" si="46"/>
        <v>25</v>
      </c>
      <c r="X32" s="531">
        <f>(BH23*BH32+BI23*BI32)/X23</f>
        <v>33.71814671814672</v>
      </c>
      <c r="Y32" s="531">
        <f>(BK23*BK32+BL23*BL32+BN23*BN32)/Y23</f>
        <v>43.520710059171599</v>
      </c>
      <c r="Z32" s="542">
        <f t="shared" si="49"/>
        <v>33</v>
      </c>
      <c r="AA32" s="531">
        <f>(BO23*BO32+BQ23*BQ32)/AA23</f>
        <v>32.082004555808659</v>
      </c>
      <c r="AB32" s="554">
        <f t="shared" si="51"/>
        <v>26</v>
      </c>
      <c r="AC32" s="542">
        <f t="shared" si="52"/>
        <v>36</v>
      </c>
      <c r="AD32" s="542">
        <f t="shared" si="53"/>
        <v>28</v>
      </c>
      <c r="AE32" s="531">
        <f>(BS23*BS32+BT23*BT32)/AE23</f>
        <v>32.130591630591631</v>
      </c>
      <c r="AF32" s="542">
        <f t="shared" si="55"/>
        <v>29</v>
      </c>
      <c r="AG32" s="542">
        <f t="shared" si="56"/>
        <v>30</v>
      </c>
      <c r="AH32" s="542">
        <f t="shared" si="57"/>
        <v>45</v>
      </c>
      <c r="AI32" s="542">
        <f t="shared" si="58"/>
        <v>26</v>
      </c>
      <c r="AJ32" s="542">
        <f t="shared" si="59"/>
        <v>26</v>
      </c>
      <c r="AK32" s="554">
        <f t="shared" si="60"/>
        <v>27</v>
      </c>
      <c r="AL32" s="542">
        <f t="shared" si="61"/>
        <v>23</v>
      </c>
      <c r="AM32" s="542">
        <f t="shared" si="62"/>
        <v>49</v>
      </c>
      <c r="AN32" s="542">
        <f t="shared" si="63"/>
        <v>59</v>
      </c>
      <c r="AO32" s="542">
        <f t="shared" si="64"/>
        <v>28</v>
      </c>
      <c r="AP32" s="542">
        <f t="shared" si="64"/>
        <v>24</v>
      </c>
      <c r="AQ32" s="542">
        <f t="shared" si="65"/>
        <v>34</v>
      </c>
      <c r="AR32" s="542">
        <f t="shared" si="66"/>
        <v>48</v>
      </c>
      <c r="AS32" s="532">
        <f>(CF23*CF32+CG23*CG32)/AS23</f>
        <v>41.406233207952717</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c r="A33" s="80">
        <f>ROWS($A$3:A31)</f>
        <v>29</v>
      </c>
      <c r="B33" s="53" t="s">
        <v>68</v>
      </c>
      <c r="C33" s="252"/>
      <c r="D33" s="259" t="s">
        <v>3</v>
      </c>
      <c r="E33" s="451"/>
      <c r="F33" s="530">
        <f>100-F32</f>
        <v>63</v>
      </c>
      <c r="G33" s="531">
        <f>100-G32</f>
        <v>69</v>
      </c>
      <c r="H33" s="531">
        <f>100-H32</f>
        <v>72</v>
      </c>
      <c r="I33" s="532">
        <f>100-I32</f>
        <v>58</v>
      </c>
      <c r="J33" s="281"/>
      <c r="K33" s="541">
        <f t="shared" si="37"/>
        <v>65</v>
      </c>
      <c r="L33" s="542">
        <f t="shared" si="38"/>
        <v>65</v>
      </c>
      <c r="M33" s="542">
        <f t="shared" si="39"/>
        <v>66</v>
      </c>
      <c r="N33" s="542">
        <f t="shared" si="40"/>
        <v>58</v>
      </c>
      <c r="O33" s="542">
        <f t="shared" si="41"/>
        <v>59</v>
      </c>
      <c r="P33" s="531">
        <f>100-P32</f>
        <v>59.20387866732969</v>
      </c>
      <c r="Q33" s="542">
        <f>'2018'!AU33</f>
        <v>70</v>
      </c>
      <c r="R33" s="531">
        <f>100-R32</f>
        <v>58.663755458515283</v>
      </c>
      <c r="S33" s="542">
        <f t="shared" si="43"/>
        <v>65</v>
      </c>
      <c r="T33" s="542">
        <f t="shared" si="44"/>
        <v>62</v>
      </c>
      <c r="U33" s="554">
        <f t="shared" si="44"/>
        <v>53</v>
      </c>
      <c r="V33" s="531">
        <f>100-V32</f>
        <v>83.182291666666671</v>
      </c>
      <c r="W33" s="542">
        <f t="shared" si="46"/>
        <v>75</v>
      </c>
      <c r="X33" s="531">
        <f>100-X32</f>
        <v>66.281853281853273</v>
      </c>
      <c r="Y33" s="531">
        <f>100-Y32</f>
        <v>56.479289940828401</v>
      </c>
      <c r="Z33" s="542">
        <f t="shared" si="49"/>
        <v>67</v>
      </c>
      <c r="AA33" s="531">
        <f>100-AA32</f>
        <v>67.917995444191348</v>
      </c>
      <c r="AB33" s="554">
        <f t="shared" si="51"/>
        <v>74</v>
      </c>
      <c r="AC33" s="542">
        <f t="shared" si="52"/>
        <v>64</v>
      </c>
      <c r="AD33" s="542">
        <f t="shared" si="53"/>
        <v>72</v>
      </c>
      <c r="AE33" s="531">
        <f>100-AE32</f>
        <v>67.869408369408376</v>
      </c>
      <c r="AF33" s="542">
        <f t="shared" si="55"/>
        <v>71</v>
      </c>
      <c r="AG33" s="542">
        <f t="shared" si="56"/>
        <v>70</v>
      </c>
      <c r="AH33" s="542">
        <f t="shared" si="57"/>
        <v>55</v>
      </c>
      <c r="AI33" s="542">
        <f t="shared" si="58"/>
        <v>74</v>
      </c>
      <c r="AJ33" s="542">
        <f t="shared" si="59"/>
        <v>74</v>
      </c>
      <c r="AK33" s="554">
        <f t="shared" si="60"/>
        <v>73</v>
      </c>
      <c r="AL33" s="542">
        <f t="shared" si="61"/>
        <v>77</v>
      </c>
      <c r="AM33" s="542">
        <f t="shared" si="62"/>
        <v>51</v>
      </c>
      <c r="AN33" s="542">
        <f t="shared" si="63"/>
        <v>41</v>
      </c>
      <c r="AO33" s="542">
        <f t="shared" si="64"/>
        <v>72</v>
      </c>
      <c r="AP33" s="542">
        <f t="shared" si="64"/>
        <v>76</v>
      </c>
      <c r="AQ33" s="542">
        <f t="shared" si="65"/>
        <v>66</v>
      </c>
      <c r="AR33" s="542">
        <f t="shared" si="66"/>
        <v>52</v>
      </c>
      <c r="AS33" s="532">
        <f>100-AS32</f>
        <v>58.593766792047283</v>
      </c>
      <c r="AT33" s="531">
        <f>100-AT32</f>
        <v>38</v>
      </c>
      <c r="AU33" s="531">
        <f>100-AU32</f>
        <v>70</v>
      </c>
      <c r="AV33" s="531">
        <f t="shared" ref="AV33:CL33" si="70">100-AV32</f>
        <v>65</v>
      </c>
      <c r="AW33" s="531">
        <f t="shared" si="70"/>
        <v>58</v>
      </c>
      <c r="AX33" s="531">
        <f>100-AX32</f>
        <v>62</v>
      </c>
      <c r="AY33" s="531">
        <f t="shared" si="70"/>
        <v>65</v>
      </c>
      <c r="AZ33" s="531">
        <f t="shared" si="70"/>
        <v>40</v>
      </c>
      <c r="BA33" s="531">
        <f t="shared" si="70"/>
        <v>61</v>
      </c>
      <c r="BB33" s="531">
        <f t="shared" si="70"/>
        <v>62</v>
      </c>
      <c r="BC33" s="531">
        <f t="shared" si="70"/>
        <v>53</v>
      </c>
      <c r="BD33" s="531">
        <f t="shared" si="70"/>
        <v>66</v>
      </c>
      <c r="BE33" s="531">
        <f t="shared" si="70"/>
        <v>59</v>
      </c>
      <c r="BF33" s="555">
        <f t="shared" si="70"/>
        <v>65</v>
      </c>
      <c r="BG33" s="531">
        <f t="shared" si="70"/>
        <v>84</v>
      </c>
      <c r="BH33" s="531">
        <f>100-BH32</f>
        <v>58</v>
      </c>
      <c r="BI33" s="531">
        <f>100-BI32</f>
        <v>67</v>
      </c>
      <c r="BJ33" s="531">
        <f>100-BJ32</f>
        <v>83</v>
      </c>
      <c r="BK33" s="531">
        <f t="shared" si="70"/>
        <v>42</v>
      </c>
      <c r="BL33" s="531">
        <f t="shared" si="70"/>
        <v>37</v>
      </c>
      <c r="BM33" s="531">
        <f>100-BM32</f>
        <v>67</v>
      </c>
      <c r="BN33" s="531">
        <f t="shared" si="70"/>
        <v>59</v>
      </c>
      <c r="BO33" s="531">
        <f t="shared" si="70"/>
        <v>50</v>
      </c>
      <c r="BP33" s="531">
        <f t="shared" si="70"/>
        <v>74</v>
      </c>
      <c r="BQ33" s="531">
        <f>100-BQ32</f>
        <v>69</v>
      </c>
      <c r="BR33" s="555">
        <f t="shared" si="70"/>
        <v>75</v>
      </c>
      <c r="BS33" s="531">
        <f t="shared" si="70"/>
        <v>66</v>
      </c>
      <c r="BT33" s="531">
        <f t="shared" si="70"/>
        <v>68</v>
      </c>
      <c r="BU33" s="531">
        <f t="shared" si="70"/>
        <v>72</v>
      </c>
      <c r="BV33" s="531">
        <f t="shared" si="70"/>
        <v>70</v>
      </c>
      <c r="BW33" s="531">
        <f t="shared" si="70"/>
        <v>74</v>
      </c>
      <c r="BX33" s="531">
        <f t="shared" si="70"/>
        <v>64</v>
      </c>
      <c r="BY33" s="531">
        <f t="shared" si="70"/>
        <v>74</v>
      </c>
      <c r="BZ33" s="531">
        <f t="shared" si="70"/>
        <v>55</v>
      </c>
      <c r="CA33" s="531">
        <f t="shared" si="70"/>
        <v>71</v>
      </c>
      <c r="CB33" s="555">
        <f t="shared" si="70"/>
        <v>73</v>
      </c>
      <c r="CC33" s="531">
        <f t="shared" si="70"/>
        <v>72</v>
      </c>
      <c r="CD33" s="531">
        <f t="shared" si="70"/>
        <v>76</v>
      </c>
      <c r="CE33" s="531">
        <f t="shared" si="70"/>
        <v>77</v>
      </c>
      <c r="CF33" s="531">
        <f t="shared" si="70"/>
        <v>52</v>
      </c>
      <c r="CG33" s="531">
        <f t="shared" si="70"/>
        <v>59</v>
      </c>
      <c r="CH33" s="531">
        <f t="shared" si="70"/>
        <v>51</v>
      </c>
      <c r="CI33" s="531">
        <f t="shared" si="70"/>
        <v>52</v>
      </c>
      <c r="CJ33" s="531">
        <f t="shared" si="70"/>
        <v>41</v>
      </c>
      <c r="CK33" s="532">
        <f t="shared" si="70"/>
        <v>66</v>
      </c>
      <c r="CL33" s="556">
        <f t="shared" si="70"/>
        <v>64</v>
      </c>
    </row>
    <row r="34" spans="1:90">
      <c r="A34" s="80">
        <f>ROWS($A$3:A32)</f>
        <v>30</v>
      </c>
      <c r="B34" s="59" t="s">
        <v>69</v>
      </c>
      <c r="C34" s="202">
        <v>2016</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c r="A35" s="80">
        <f>ROWS($A$3:A33)</f>
        <v>31</v>
      </c>
      <c r="B35" s="92" t="s">
        <v>71</v>
      </c>
      <c r="C35" s="205"/>
      <c r="D35" s="259" t="s">
        <v>1</v>
      </c>
      <c r="E35" s="447">
        <v>42888</v>
      </c>
      <c r="F35" s="154">
        <v>465780</v>
      </c>
      <c r="G35" s="155">
        <v>204379</v>
      </c>
      <c r="H35" s="155">
        <v>318213</v>
      </c>
      <c r="I35" s="156">
        <v>427608</v>
      </c>
      <c r="J35" s="281"/>
      <c r="K35" s="154">
        <f>BF35</f>
        <v>63891</v>
      </c>
      <c r="L35" s="155">
        <f>AY35</f>
        <v>25643</v>
      </c>
      <c r="M35" s="155">
        <f>BD35</f>
        <v>68459</v>
      </c>
      <c r="N35" s="155">
        <f>AW35</f>
        <v>28124</v>
      </c>
      <c r="O35" s="155">
        <f>BE35</f>
        <v>26413</v>
      </c>
      <c r="P35" s="155">
        <f>'2018'!AZ35+'2018'!BA35</f>
        <v>58052</v>
      </c>
      <c r="Q35" s="155">
        <f>'2018'!AU35</f>
        <v>22448</v>
      </c>
      <c r="R35" s="155">
        <f t="shared" ref="R35:R41" si="71">AT35+AX35</f>
        <v>34900</v>
      </c>
      <c r="S35" s="155">
        <f>AV35</f>
        <v>19908</v>
      </c>
      <c r="T35" s="155">
        <f t="shared" ref="T35:U39" si="72">BB35</f>
        <v>41838</v>
      </c>
      <c r="U35" s="552">
        <f t="shared" si="72"/>
        <v>76105</v>
      </c>
      <c r="V35" s="155">
        <f>BG35+BJ35</f>
        <v>16308</v>
      </c>
      <c r="W35" s="155">
        <f>BR35</f>
        <v>18967</v>
      </c>
      <c r="X35" s="155">
        <f>BH35+BI35</f>
        <v>41029</v>
      </c>
      <c r="Y35" s="155">
        <f>BK35+BL35+BN35</f>
        <v>43513</v>
      </c>
      <c r="Z35" s="155">
        <f>BM35</f>
        <v>46102</v>
      </c>
      <c r="AA35" s="155">
        <f>BO35+BQ35</f>
        <v>20583</v>
      </c>
      <c r="AB35" s="552">
        <f>BP35</f>
        <v>17877</v>
      </c>
      <c r="AC35" s="155">
        <f>BX35</f>
        <v>38379</v>
      </c>
      <c r="AD35" s="155">
        <f>BU35</f>
        <v>22196</v>
      </c>
      <c r="AE35" s="155">
        <f>BS35+BT35</f>
        <v>52772</v>
      </c>
      <c r="AF35" s="155">
        <f>CA35</f>
        <v>23158</v>
      </c>
      <c r="AG35" s="155">
        <f>BV35</f>
        <v>56010</v>
      </c>
      <c r="AH35" s="155">
        <f>BZ35</f>
        <v>33372</v>
      </c>
      <c r="AI35" s="155">
        <f>BW35</f>
        <v>30064</v>
      </c>
      <c r="AJ35" s="155">
        <f>BY35</f>
        <v>24236</v>
      </c>
      <c r="AK35" s="552">
        <f>CB35</f>
        <v>38026</v>
      </c>
      <c r="AL35" s="155">
        <f>CE35</f>
        <v>34687</v>
      </c>
      <c r="AM35" s="155">
        <f>CH35</f>
        <v>75677</v>
      </c>
      <c r="AN35" s="155">
        <f>CJ35</f>
        <v>86042</v>
      </c>
      <c r="AO35" s="155">
        <f t="shared" ref="AO35:AP39" si="73">CC35</f>
        <v>43570</v>
      </c>
      <c r="AP35" s="155">
        <f t="shared" si="73"/>
        <v>20159</v>
      </c>
      <c r="AQ35" s="155">
        <f>CK35</f>
        <v>54773</v>
      </c>
      <c r="AR35" s="155">
        <f>CI35</f>
        <v>33530</v>
      </c>
      <c r="AS35" s="156">
        <f>CF35+CG35</f>
        <v>79171</v>
      </c>
      <c r="AT35" s="155">
        <v>2511</v>
      </c>
      <c r="AU35" s="155">
        <v>22448</v>
      </c>
      <c r="AV35" s="155">
        <v>19908</v>
      </c>
      <c r="AW35" s="155">
        <v>28124</v>
      </c>
      <c r="AX35" s="155">
        <v>32389</v>
      </c>
      <c r="AY35" s="155">
        <v>25643</v>
      </c>
      <c r="AZ35" s="155">
        <v>4118</v>
      </c>
      <c r="BA35" s="155">
        <v>53934</v>
      </c>
      <c r="BB35" s="155">
        <v>41838</v>
      </c>
      <c r="BC35" s="155">
        <v>76105</v>
      </c>
      <c r="BD35" s="155">
        <v>68459</v>
      </c>
      <c r="BE35" s="155">
        <v>26413</v>
      </c>
      <c r="BF35" s="552">
        <v>63891</v>
      </c>
      <c r="BG35" s="155">
        <v>1584</v>
      </c>
      <c r="BH35" s="155">
        <v>2597</v>
      </c>
      <c r="BI35" s="155">
        <v>38432</v>
      </c>
      <c r="BJ35" s="155">
        <v>14724</v>
      </c>
      <c r="BK35" s="155">
        <v>1824</v>
      </c>
      <c r="BL35" s="155">
        <v>2915</v>
      </c>
      <c r="BM35" s="155">
        <v>46102</v>
      </c>
      <c r="BN35" s="155">
        <v>38774</v>
      </c>
      <c r="BO35" s="155">
        <v>970</v>
      </c>
      <c r="BP35" s="155">
        <v>17877</v>
      </c>
      <c r="BQ35" s="155">
        <v>19613</v>
      </c>
      <c r="BR35" s="552">
        <v>18967</v>
      </c>
      <c r="BS35" s="155">
        <v>3449</v>
      </c>
      <c r="BT35" s="155">
        <v>49323</v>
      </c>
      <c r="BU35" s="155">
        <v>22196</v>
      </c>
      <c r="BV35" s="155">
        <v>56010</v>
      </c>
      <c r="BW35" s="155">
        <v>30064</v>
      </c>
      <c r="BX35" s="155">
        <v>38379</v>
      </c>
      <c r="BY35" s="155">
        <v>24236</v>
      </c>
      <c r="BZ35" s="155">
        <v>33372</v>
      </c>
      <c r="CA35" s="155">
        <v>23158</v>
      </c>
      <c r="CB35" s="552">
        <v>38026</v>
      </c>
      <c r="CC35" s="155">
        <v>43570</v>
      </c>
      <c r="CD35" s="155">
        <v>20159</v>
      </c>
      <c r="CE35" s="155">
        <v>34687</v>
      </c>
      <c r="CF35" s="155">
        <v>4646</v>
      </c>
      <c r="CG35" s="155">
        <v>74525</v>
      </c>
      <c r="CH35" s="155">
        <v>75677</v>
      </c>
      <c r="CI35" s="155">
        <v>33530</v>
      </c>
      <c r="CJ35" s="155">
        <v>86042</v>
      </c>
      <c r="CK35" s="156">
        <v>54773</v>
      </c>
      <c r="CL35" s="320">
        <v>1415980</v>
      </c>
    </row>
    <row r="36" spans="1:90">
      <c r="A36" s="80">
        <f>ROWS($A$3:A34)</f>
        <v>32</v>
      </c>
      <c r="B36" s="92" t="s">
        <v>72</v>
      </c>
      <c r="C36" s="203"/>
      <c r="D36" s="259" t="s">
        <v>1</v>
      </c>
      <c r="E36" s="447">
        <v>42888</v>
      </c>
      <c r="F36" s="154">
        <v>309229</v>
      </c>
      <c r="G36" s="155">
        <v>139570</v>
      </c>
      <c r="H36" s="155">
        <v>139065</v>
      </c>
      <c r="I36" s="156">
        <v>231770</v>
      </c>
      <c r="J36" s="281"/>
      <c r="K36" s="154">
        <f>BF36</f>
        <v>34041</v>
      </c>
      <c r="L36" s="155">
        <f>AY36</f>
        <v>11589</v>
      </c>
      <c r="M36" s="155">
        <f>BD36</f>
        <v>58887</v>
      </c>
      <c r="N36" s="155">
        <f>AW36</f>
        <v>12241</v>
      </c>
      <c r="O36" s="155">
        <f>BE36</f>
        <v>17131</v>
      </c>
      <c r="P36" s="155">
        <f>'2018'!AZ36+'2018'!BA36</f>
        <v>43341</v>
      </c>
      <c r="Q36" s="155">
        <f>'2018'!AU36</f>
        <v>15217</v>
      </c>
      <c r="R36" s="155">
        <f t="shared" si="71"/>
        <v>25780</v>
      </c>
      <c r="S36" s="155">
        <f>AV36</f>
        <v>9988</v>
      </c>
      <c r="T36" s="155">
        <f t="shared" si="72"/>
        <v>30879</v>
      </c>
      <c r="U36" s="552">
        <f t="shared" si="72"/>
        <v>50133</v>
      </c>
      <c r="V36" s="155">
        <f>BG36+BJ36</f>
        <v>10162</v>
      </c>
      <c r="W36" s="155">
        <f>BR36</f>
        <v>9267</v>
      </c>
      <c r="X36" s="155">
        <f>BH36+BI36</f>
        <v>31447</v>
      </c>
      <c r="Y36" s="155">
        <f>BK36+BL36+BN36</f>
        <v>34090</v>
      </c>
      <c r="Z36" s="155">
        <f>BM36</f>
        <v>34160</v>
      </c>
      <c r="AA36" s="155">
        <f>BO36+BQ36</f>
        <v>12158</v>
      </c>
      <c r="AB36" s="552">
        <f>BP36</f>
        <v>8287</v>
      </c>
      <c r="AC36" s="155">
        <f>BX36</f>
        <v>15047</v>
      </c>
      <c r="AD36" s="155">
        <f>BU36</f>
        <v>10110</v>
      </c>
      <c r="AE36" s="155">
        <f>BS36+BT36</f>
        <v>20648</v>
      </c>
      <c r="AF36" s="155">
        <f>CA36</f>
        <v>7043</v>
      </c>
      <c r="AG36" s="155">
        <f>BV36</f>
        <v>27600</v>
      </c>
      <c r="AH36" s="155">
        <f>BZ36</f>
        <v>18648</v>
      </c>
      <c r="AI36" s="155">
        <f>BW36</f>
        <v>16499</v>
      </c>
      <c r="AJ36" s="155">
        <f>BY36</f>
        <v>8639</v>
      </c>
      <c r="AK36" s="552">
        <f>CB36</f>
        <v>14830</v>
      </c>
      <c r="AL36" s="155">
        <f>CE36</f>
        <v>12559</v>
      </c>
      <c r="AM36" s="155">
        <f>CH36</f>
        <v>51224</v>
      </c>
      <c r="AN36" s="155">
        <f>CJ36</f>
        <v>27384</v>
      </c>
      <c r="AO36" s="155">
        <f t="shared" si="73"/>
        <v>20463</v>
      </c>
      <c r="AP36" s="155">
        <f t="shared" si="73"/>
        <v>12925</v>
      </c>
      <c r="AQ36" s="155">
        <f>CK36</f>
        <v>34631</v>
      </c>
      <c r="AR36" s="155">
        <f>CI36</f>
        <v>13720</v>
      </c>
      <c r="AS36" s="156">
        <f>CF36+CG36</f>
        <v>58865</v>
      </c>
      <c r="AT36" s="155">
        <v>1500</v>
      </c>
      <c r="AU36" s="155">
        <v>15217</v>
      </c>
      <c r="AV36" s="155">
        <v>9988</v>
      </c>
      <c r="AW36" s="155">
        <v>12241</v>
      </c>
      <c r="AX36" s="155">
        <v>24280</v>
      </c>
      <c r="AY36" s="155">
        <v>11589</v>
      </c>
      <c r="AZ36" s="155">
        <v>3143</v>
      </c>
      <c r="BA36" s="155">
        <v>40198</v>
      </c>
      <c r="BB36" s="155">
        <v>30879</v>
      </c>
      <c r="BC36" s="155">
        <v>50133</v>
      </c>
      <c r="BD36" s="155">
        <v>58887</v>
      </c>
      <c r="BE36" s="155">
        <v>17131</v>
      </c>
      <c r="BF36" s="552">
        <v>34041</v>
      </c>
      <c r="BG36" s="155">
        <v>518</v>
      </c>
      <c r="BH36" s="155">
        <v>1898</v>
      </c>
      <c r="BI36" s="155">
        <v>29549</v>
      </c>
      <c r="BJ36" s="155">
        <v>9644</v>
      </c>
      <c r="BK36" s="155">
        <v>1502</v>
      </c>
      <c r="BL36" s="155">
        <v>2393</v>
      </c>
      <c r="BM36" s="155">
        <v>34160</v>
      </c>
      <c r="BN36" s="155">
        <v>30195</v>
      </c>
      <c r="BO36" s="155">
        <v>470</v>
      </c>
      <c r="BP36" s="155">
        <v>8287</v>
      </c>
      <c r="BQ36" s="155">
        <v>11688</v>
      </c>
      <c r="BR36" s="552">
        <v>9267</v>
      </c>
      <c r="BS36" s="155">
        <v>1591</v>
      </c>
      <c r="BT36" s="155">
        <v>19057</v>
      </c>
      <c r="BU36" s="155">
        <v>10110</v>
      </c>
      <c r="BV36" s="155">
        <v>27600</v>
      </c>
      <c r="BW36" s="155">
        <v>16499</v>
      </c>
      <c r="BX36" s="155">
        <v>15047</v>
      </c>
      <c r="BY36" s="155">
        <v>8639</v>
      </c>
      <c r="BZ36" s="155">
        <v>18648</v>
      </c>
      <c r="CA36" s="155">
        <v>7043</v>
      </c>
      <c r="CB36" s="552">
        <v>14830</v>
      </c>
      <c r="CC36" s="155">
        <v>20463</v>
      </c>
      <c r="CD36" s="155">
        <v>12925</v>
      </c>
      <c r="CE36" s="155">
        <v>12559</v>
      </c>
      <c r="CF36" s="155">
        <v>3984</v>
      </c>
      <c r="CG36" s="155">
        <v>54881</v>
      </c>
      <c r="CH36" s="155">
        <v>51224</v>
      </c>
      <c r="CI36" s="155">
        <v>13720</v>
      </c>
      <c r="CJ36" s="155">
        <v>27384</v>
      </c>
      <c r="CK36" s="156">
        <v>34631</v>
      </c>
      <c r="CL36" s="320">
        <v>819633</v>
      </c>
    </row>
    <row r="37" spans="1:90">
      <c r="A37" s="80">
        <f>ROWS($A$3:A35)</f>
        <v>33</v>
      </c>
      <c r="B37" s="92" t="s">
        <v>6</v>
      </c>
      <c r="C37" s="203"/>
      <c r="D37" s="259" t="s">
        <v>1</v>
      </c>
      <c r="E37" s="447">
        <v>42888</v>
      </c>
      <c r="F37" s="154">
        <v>140743</v>
      </c>
      <c r="G37" s="155">
        <v>60148</v>
      </c>
      <c r="H37" s="155">
        <v>159105</v>
      </c>
      <c r="I37" s="156">
        <v>185272</v>
      </c>
      <c r="J37" s="281"/>
      <c r="K37" s="154">
        <f>BF37</f>
        <v>29378</v>
      </c>
      <c r="L37" s="155">
        <f>AY37</f>
        <v>12351</v>
      </c>
      <c r="M37" s="155">
        <f>BD37</f>
        <v>8565</v>
      </c>
      <c r="N37" s="155">
        <f>AW37</f>
        <v>15746</v>
      </c>
      <c r="O37" s="155">
        <f>BE37</f>
        <v>9252</v>
      </c>
      <c r="P37" s="155">
        <f>'2018'!AZ37+'2018'!BA37</f>
        <v>7525</v>
      </c>
      <c r="Q37" s="155">
        <f>'2018'!AU37</f>
        <v>7108</v>
      </c>
      <c r="R37" s="155">
        <f t="shared" si="71"/>
        <v>6344</v>
      </c>
      <c r="S37" s="155">
        <f>AV37</f>
        <v>9495</v>
      </c>
      <c r="T37" s="155">
        <f t="shared" si="72"/>
        <v>9267</v>
      </c>
      <c r="U37" s="552">
        <f t="shared" si="72"/>
        <v>25712</v>
      </c>
      <c r="V37" s="155">
        <f>BG37+BJ37</f>
        <v>5125</v>
      </c>
      <c r="W37" s="155">
        <f>BR37</f>
        <v>9685</v>
      </c>
      <c r="X37" s="155">
        <f>BH37+BI37</f>
        <v>8437</v>
      </c>
      <c r="Y37" s="155">
        <f>BK37+BN37</f>
        <v>7635</v>
      </c>
      <c r="Z37" s="155">
        <f>BM37</f>
        <v>11046</v>
      </c>
      <c r="AA37" s="155">
        <f>BQ37</f>
        <v>7675</v>
      </c>
      <c r="AB37" s="552">
        <f>BP37</f>
        <v>9535</v>
      </c>
      <c r="AC37" s="155">
        <f>BX37</f>
        <v>23302</v>
      </c>
      <c r="AD37" s="155">
        <f>BU37</f>
        <v>9542</v>
      </c>
      <c r="AE37" s="155">
        <f>BS37+BT37</f>
        <v>25004</v>
      </c>
      <c r="AF37" s="155">
        <f>CA37</f>
        <v>14624</v>
      </c>
      <c r="AG37" s="155">
        <f>BV37</f>
        <v>21005</v>
      </c>
      <c r="AH37" s="155">
        <f>BZ37</f>
        <v>13548</v>
      </c>
      <c r="AI37" s="155">
        <f>BW37</f>
        <v>13536</v>
      </c>
      <c r="AJ37" s="155">
        <f>BY37</f>
        <v>15588</v>
      </c>
      <c r="AK37" s="552">
        <f>CB37</f>
        <v>22955</v>
      </c>
      <c r="AL37" s="155">
        <f>CE37</f>
        <v>22010</v>
      </c>
      <c r="AM37" s="155">
        <f>CH37</f>
        <v>24287</v>
      </c>
      <c r="AN37" s="155">
        <f>CJ37</f>
        <v>56968</v>
      </c>
      <c r="AO37" s="155">
        <f t="shared" si="73"/>
        <v>22961</v>
      </c>
      <c r="AP37" s="155">
        <f t="shared" si="73"/>
        <v>7166</v>
      </c>
      <c r="AQ37" s="155">
        <f>CK37</f>
        <v>20046</v>
      </c>
      <c r="AR37" s="155">
        <f>CI37</f>
        <v>11673</v>
      </c>
      <c r="AS37" s="156">
        <f>CF37+CG37</f>
        <v>20161</v>
      </c>
      <c r="AT37" s="155">
        <v>551</v>
      </c>
      <c r="AU37" s="155">
        <v>7108</v>
      </c>
      <c r="AV37" s="155">
        <v>9495</v>
      </c>
      <c r="AW37" s="155">
        <v>15746</v>
      </c>
      <c r="AX37" s="155">
        <v>5793</v>
      </c>
      <c r="AY37" s="155">
        <v>12351</v>
      </c>
      <c r="AZ37" s="155">
        <v>246</v>
      </c>
      <c r="BA37" s="155">
        <v>7279</v>
      </c>
      <c r="BB37" s="155">
        <v>9267</v>
      </c>
      <c r="BC37" s="155">
        <v>25712</v>
      </c>
      <c r="BD37" s="155">
        <v>8565</v>
      </c>
      <c r="BE37" s="155">
        <v>9252</v>
      </c>
      <c r="BF37" s="552">
        <v>29378</v>
      </c>
      <c r="BG37" s="155">
        <v>791</v>
      </c>
      <c r="BH37" s="155">
        <v>590</v>
      </c>
      <c r="BI37" s="155">
        <v>7847</v>
      </c>
      <c r="BJ37" s="155">
        <v>4334</v>
      </c>
      <c r="BK37" s="155">
        <v>238</v>
      </c>
      <c r="BL37" s="155" t="s">
        <v>308</v>
      </c>
      <c r="BM37" s="155">
        <v>11046</v>
      </c>
      <c r="BN37" s="155">
        <v>7397</v>
      </c>
      <c r="BO37" s="155" t="s">
        <v>308</v>
      </c>
      <c r="BP37" s="155">
        <v>9535</v>
      </c>
      <c r="BQ37" s="155">
        <v>7675</v>
      </c>
      <c r="BR37" s="552">
        <v>9685</v>
      </c>
      <c r="BS37" s="155">
        <v>995</v>
      </c>
      <c r="BT37" s="155">
        <v>24009</v>
      </c>
      <c r="BU37" s="155">
        <v>9542</v>
      </c>
      <c r="BV37" s="155">
        <v>21005</v>
      </c>
      <c r="BW37" s="155">
        <v>13536</v>
      </c>
      <c r="BX37" s="155">
        <v>23302</v>
      </c>
      <c r="BY37" s="155">
        <v>15588</v>
      </c>
      <c r="BZ37" s="155">
        <v>13548</v>
      </c>
      <c r="CA37" s="155">
        <v>14624</v>
      </c>
      <c r="CB37" s="552">
        <v>22955</v>
      </c>
      <c r="CC37" s="155">
        <v>22961</v>
      </c>
      <c r="CD37" s="155">
        <v>7166</v>
      </c>
      <c r="CE37" s="155">
        <v>22010</v>
      </c>
      <c r="CF37" s="155">
        <v>644</v>
      </c>
      <c r="CG37" s="155">
        <v>19517</v>
      </c>
      <c r="CH37" s="155">
        <v>24287</v>
      </c>
      <c r="CI37" s="155">
        <v>11673</v>
      </c>
      <c r="CJ37" s="155">
        <v>56968</v>
      </c>
      <c r="CK37" s="156">
        <v>20046</v>
      </c>
      <c r="CL37" s="320">
        <v>545269</v>
      </c>
    </row>
    <row r="38" spans="1:90">
      <c r="A38" s="80">
        <f>ROWS($A$3:A36)</f>
        <v>34</v>
      </c>
      <c r="B38" s="92" t="s">
        <v>244</v>
      </c>
      <c r="C38" s="203"/>
      <c r="D38" s="259" t="s">
        <v>1</v>
      </c>
      <c r="E38" s="447">
        <v>42888</v>
      </c>
      <c r="F38" s="154">
        <v>3542</v>
      </c>
      <c r="G38" s="155">
        <v>1300</v>
      </c>
      <c r="H38" s="155">
        <v>7353</v>
      </c>
      <c r="I38" s="156">
        <v>9296</v>
      </c>
      <c r="J38" s="281"/>
      <c r="K38" s="154">
        <f>BF38</f>
        <v>15</v>
      </c>
      <c r="L38" s="155">
        <f>AY38</f>
        <v>484</v>
      </c>
      <c r="M38" s="155">
        <f>BD38</f>
        <v>82</v>
      </c>
      <c r="N38" s="155">
        <f>AW38</f>
        <v>93</v>
      </c>
      <c r="O38" s="155">
        <f>BE38</f>
        <v>5</v>
      </c>
      <c r="P38" s="155">
        <f>'2018'!AZ38+'2018'!BA38</f>
        <v>1093</v>
      </c>
      <c r="Q38" s="155">
        <f>'2018'!AU38</f>
        <v>70</v>
      </c>
      <c r="R38" s="155">
        <f t="shared" si="71"/>
        <v>529</v>
      </c>
      <c r="S38" s="155">
        <f>AV38</f>
        <v>191</v>
      </c>
      <c r="T38" s="155">
        <f t="shared" si="72"/>
        <v>796</v>
      </c>
      <c r="U38" s="552">
        <f t="shared" si="72"/>
        <v>183</v>
      </c>
      <c r="V38" s="155">
        <f>BG38+BJ38</f>
        <v>422</v>
      </c>
      <c r="W38" s="155">
        <f>BR38</f>
        <v>7</v>
      </c>
      <c r="X38" s="155">
        <f>BI38</f>
        <v>157</v>
      </c>
      <c r="Y38" s="155">
        <f>BN38</f>
        <v>381</v>
      </c>
      <c r="Z38" s="155" t="str">
        <f>BM38</f>
        <v xml:space="preserve"> .</v>
      </c>
      <c r="AA38" s="155">
        <f>BQ38</f>
        <v>17</v>
      </c>
      <c r="AB38" s="552">
        <f>BP38</f>
        <v>1</v>
      </c>
      <c r="AC38" s="155" t="str">
        <f>BX38</f>
        <v xml:space="preserve"> .</v>
      </c>
      <c r="AD38" s="155">
        <f>BU38</f>
        <v>586</v>
      </c>
      <c r="AE38" s="155">
        <f>BS38+BT38</f>
        <v>869</v>
      </c>
      <c r="AF38" s="155">
        <f>CA38</f>
        <v>646</v>
      </c>
      <c r="AG38" s="155">
        <f>BV38</f>
        <v>4078</v>
      </c>
      <c r="AH38" s="155">
        <f>BZ38</f>
        <v>1032</v>
      </c>
      <c r="AI38" s="155" t="str">
        <f>BW38</f>
        <v xml:space="preserve"> .</v>
      </c>
      <c r="AJ38" s="155" t="str">
        <f>BY38</f>
        <v>–</v>
      </c>
      <c r="AK38" s="552">
        <f>CB38</f>
        <v>123</v>
      </c>
      <c r="AL38" s="155">
        <f>CE38</f>
        <v>7</v>
      </c>
      <c r="AM38" s="155">
        <f>CH38</f>
        <v>35</v>
      </c>
      <c r="AN38" s="155">
        <f>CJ38</f>
        <v>1536</v>
      </c>
      <c r="AO38" s="155">
        <f t="shared" si="73"/>
        <v>69</v>
      </c>
      <c r="AP38" s="155">
        <f t="shared" si="73"/>
        <v>47</v>
      </c>
      <c r="AQ38" s="155">
        <f>CK38</f>
        <v>21</v>
      </c>
      <c r="AR38" s="155">
        <f>CI38</f>
        <v>7523</v>
      </c>
      <c r="AS38" s="156">
        <f>CF38+CG38</f>
        <v>58</v>
      </c>
      <c r="AT38" s="155">
        <v>67</v>
      </c>
      <c r="AU38" s="155">
        <v>70</v>
      </c>
      <c r="AV38" s="155">
        <v>191</v>
      </c>
      <c r="AW38" s="155">
        <v>93</v>
      </c>
      <c r="AX38" s="155">
        <v>462</v>
      </c>
      <c r="AY38" s="155">
        <v>484</v>
      </c>
      <c r="AZ38" s="155">
        <v>51</v>
      </c>
      <c r="BA38" s="155">
        <v>1042</v>
      </c>
      <c r="BB38" s="155">
        <v>796</v>
      </c>
      <c r="BC38" s="155">
        <v>183</v>
      </c>
      <c r="BD38" s="155">
        <v>82</v>
      </c>
      <c r="BE38" s="155">
        <v>5</v>
      </c>
      <c r="BF38" s="552">
        <v>15</v>
      </c>
      <c r="BG38" s="155">
        <v>28</v>
      </c>
      <c r="BH38" s="155" t="s">
        <v>308</v>
      </c>
      <c r="BI38" s="155">
        <v>157</v>
      </c>
      <c r="BJ38" s="155">
        <v>394</v>
      </c>
      <c r="BK38" s="155">
        <v>23</v>
      </c>
      <c r="BL38" s="155" t="s">
        <v>308</v>
      </c>
      <c r="BM38" s="155" t="s">
        <v>308</v>
      </c>
      <c r="BN38" s="155">
        <v>381</v>
      </c>
      <c r="BO38" s="155" t="s">
        <v>308</v>
      </c>
      <c r="BP38" s="155">
        <v>1</v>
      </c>
      <c r="BQ38" s="155">
        <v>17</v>
      </c>
      <c r="BR38" s="552">
        <v>7</v>
      </c>
      <c r="BS38" s="155">
        <v>73</v>
      </c>
      <c r="BT38" s="155">
        <v>796</v>
      </c>
      <c r="BU38" s="155">
        <v>586</v>
      </c>
      <c r="BV38" s="155">
        <v>4078</v>
      </c>
      <c r="BW38" s="155" t="s">
        <v>308</v>
      </c>
      <c r="BX38" s="155" t="s">
        <v>308</v>
      </c>
      <c r="BY38" s="155" t="s">
        <v>41</v>
      </c>
      <c r="BZ38" s="155">
        <v>1032</v>
      </c>
      <c r="CA38" s="155">
        <v>646</v>
      </c>
      <c r="CB38" s="552">
        <v>123</v>
      </c>
      <c r="CC38" s="155">
        <v>69</v>
      </c>
      <c r="CD38" s="155">
        <v>47</v>
      </c>
      <c r="CE38" s="155">
        <v>7</v>
      </c>
      <c r="CF38" s="155">
        <v>5</v>
      </c>
      <c r="CG38" s="155">
        <v>53</v>
      </c>
      <c r="CH38" s="155">
        <v>35</v>
      </c>
      <c r="CI38" s="155">
        <v>7523</v>
      </c>
      <c r="CJ38" s="155">
        <v>1536</v>
      </c>
      <c r="CK38" s="156">
        <v>21</v>
      </c>
      <c r="CL38" s="320">
        <v>21491</v>
      </c>
    </row>
    <row r="39" spans="1:90">
      <c r="A39" s="80">
        <f>ROWS($A$3:A37)</f>
        <v>35</v>
      </c>
      <c r="B39" s="92" t="s">
        <v>245</v>
      </c>
      <c r="C39" s="203"/>
      <c r="D39" s="259" t="s">
        <v>1</v>
      </c>
      <c r="E39" s="447">
        <v>42888</v>
      </c>
      <c r="F39" s="154">
        <v>10602</v>
      </c>
      <c r="G39" s="155">
        <v>2230</v>
      </c>
      <c r="H39" s="155">
        <v>11548</v>
      </c>
      <c r="I39" s="156">
        <v>572</v>
      </c>
      <c r="J39" s="281"/>
      <c r="K39" s="154" t="str">
        <f>BF39</f>
        <v>–</v>
      </c>
      <c r="L39" s="155">
        <f>AY39</f>
        <v>1116</v>
      </c>
      <c r="M39" s="155">
        <f>BD39</f>
        <v>745</v>
      </c>
      <c r="N39" s="155" t="str">
        <f>AW39</f>
        <v xml:space="preserve"> .</v>
      </c>
      <c r="O39" s="155" t="str">
        <f>BE39</f>
        <v>–</v>
      </c>
      <c r="P39" s="155">
        <f>'2018'!AZ39+'2018'!BA39</f>
        <v>5731</v>
      </c>
      <c r="Q39" s="155" t="str">
        <f>'2018'!AU39</f>
        <v xml:space="preserve"> .</v>
      </c>
      <c r="R39" s="155">
        <f t="shared" si="71"/>
        <v>2089</v>
      </c>
      <c r="S39" s="155">
        <f>AV39</f>
        <v>120</v>
      </c>
      <c r="T39" s="155">
        <f t="shared" si="72"/>
        <v>801</v>
      </c>
      <c r="U39" s="552" t="str">
        <f t="shared" si="72"/>
        <v xml:space="preserve"> .</v>
      </c>
      <c r="V39" s="155">
        <f>BG39+BJ39</f>
        <v>517</v>
      </c>
      <c r="W39" s="155" t="str">
        <f>BR39</f>
        <v xml:space="preserve"> .</v>
      </c>
      <c r="X39" s="155">
        <f>BI39</f>
        <v>795</v>
      </c>
      <c r="Y39" s="155">
        <f>BN39</f>
        <v>642</v>
      </c>
      <c r="Z39" s="155" t="str">
        <f>BM39</f>
        <v>–</v>
      </c>
      <c r="AA39" s="155">
        <f>BQ39</f>
        <v>210</v>
      </c>
      <c r="AB39" s="552" t="str">
        <f>BP39</f>
        <v>–</v>
      </c>
      <c r="AC39" s="155" t="str">
        <f>BX39</f>
        <v>–</v>
      </c>
      <c r="AD39" s="155">
        <f>BU39</f>
        <v>1810</v>
      </c>
      <c r="AE39" s="155">
        <f>BT39</f>
        <v>5368</v>
      </c>
      <c r="AF39" s="155">
        <f>CA39</f>
        <v>786</v>
      </c>
      <c r="AG39" s="155">
        <f>BV39</f>
        <v>2677</v>
      </c>
      <c r="AH39" s="155">
        <f>BZ39</f>
        <v>66</v>
      </c>
      <c r="AI39" s="155" t="str">
        <f>BW39</f>
        <v>–</v>
      </c>
      <c r="AJ39" s="155" t="str">
        <f>BY39</f>
        <v>–</v>
      </c>
      <c r="AK39" s="552">
        <f>CB39</f>
        <v>63</v>
      </c>
      <c r="AL39" s="155" t="str">
        <f>CE39</f>
        <v>–</v>
      </c>
      <c r="AM39" s="155" t="str">
        <f>CH39</f>
        <v xml:space="preserve"> .</v>
      </c>
      <c r="AN39" s="155" t="str">
        <f>CJ39</f>
        <v>–</v>
      </c>
      <c r="AO39" s="155">
        <f t="shared" si="73"/>
        <v>17</v>
      </c>
      <c r="AP39" s="155">
        <f t="shared" si="73"/>
        <v>14</v>
      </c>
      <c r="AQ39" s="155" t="str">
        <f>CK39</f>
        <v>–</v>
      </c>
      <c r="AR39" s="155">
        <f>CI39</f>
        <v>539</v>
      </c>
      <c r="AS39" s="156" t="str">
        <f>CG39</f>
        <v xml:space="preserve"> .</v>
      </c>
      <c r="AT39" s="155">
        <v>368</v>
      </c>
      <c r="AU39" s="155" t="s">
        <v>308</v>
      </c>
      <c r="AV39" s="155">
        <v>120</v>
      </c>
      <c r="AW39" s="155" t="s">
        <v>308</v>
      </c>
      <c r="AX39" s="155">
        <v>1721</v>
      </c>
      <c r="AY39" s="155">
        <v>1116</v>
      </c>
      <c r="AZ39" s="155">
        <v>626</v>
      </c>
      <c r="BA39" s="155">
        <v>5105</v>
      </c>
      <c r="BB39" s="155">
        <v>801</v>
      </c>
      <c r="BC39" s="155" t="s">
        <v>308</v>
      </c>
      <c r="BD39" s="155">
        <v>745</v>
      </c>
      <c r="BE39" s="155" t="s">
        <v>41</v>
      </c>
      <c r="BF39" s="552" t="s">
        <v>41</v>
      </c>
      <c r="BG39" s="155">
        <v>203</v>
      </c>
      <c r="BH39" s="155" t="s">
        <v>308</v>
      </c>
      <c r="BI39" s="155">
        <v>795</v>
      </c>
      <c r="BJ39" s="155">
        <v>314</v>
      </c>
      <c r="BK39" s="155">
        <v>56</v>
      </c>
      <c r="BL39" s="155" t="s">
        <v>41</v>
      </c>
      <c r="BM39" s="155" t="s">
        <v>41</v>
      </c>
      <c r="BN39" s="155">
        <v>642</v>
      </c>
      <c r="BO39" s="155" t="s">
        <v>41</v>
      </c>
      <c r="BP39" s="155" t="s">
        <v>41</v>
      </c>
      <c r="BQ39" s="155">
        <v>210</v>
      </c>
      <c r="BR39" s="552" t="s">
        <v>308</v>
      </c>
      <c r="BS39" s="155">
        <v>779</v>
      </c>
      <c r="BT39" s="155">
        <v>5368</v>
      </c>
      <c r="BU39" s="155">
        <v>1810</v>
      </c>
      <c r="BV39" s="155">
        <v>2677</v>
      </c>
      <c r="BW39" s="155" t="s">
        <v>41</v>
      </c>
      <c r="BX39" s="155" t="s">
        <v>41</v>
      </c>
      <c r="BY39" s="155" t="s">
        <v>41</v>
      </c>
      <c r="BZ39" s="155">
        <v>66</v>
      </c>
      <c r="CA39" s="155">
        <v>786</v>
      </c>
      <c r="CB39" s="552">
        <v>63</v>
      </c>
      <c r="CC39" s="155">
        <v>17</v>
      </c>
      <c r="CD39" s="155">
        <v>14</v>
      </c>
      <c r="CE39" s="155" t="s">
        <v>41</v>
      </c>
      <c r="CF39" s="155" t="s">
        <v>41</v>
      </c>
      <c r="CG39" s="155" t="s">
        <v>308</v>
      </c>
      <c r="CH39" s="155" t="s">
        <v>308</v>
      </c>
      <c r="CI39" s="155">
        <v>539</v>
      </c>
      <c r="CJ39" s="155" t="s">
        <v>41</v>
      </c>
      <c r="CK39" s="156" t="s">
        <v>41</v>
      </c>
      <c r="CL39" s="320">
        <v>24952</v>
      </c>
    </row>
    <row r="40" spans="1:90">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c r="A41" s="80">
        <f>ROWS($A$3:A39)</f>
        <v>37</v>
      </c>
      <c r="B41" s="92" t="s">
        <v>73</v>
      </c>
      <c r="C41" s="584">
        <v>2018</v>
      </c>
      <c r="D41" s="259" t="s">
        <v>7</v>
      </c>
      <c r="E41" s="483">
        <v>43556</v>
      </c>
      <c r="F41" s="154">
        <v>291882</v>
      </c>
      <c r="G41" s="155">
        <v>78814</v>
      </c>
      <c r="H41" s="155">
        <v>202154</v>
      </c>
      <c r="I41" s="156">
        <v>383723</v>
      </c>
      <c r="J41" s="281"/>
      <c r="K41" s="154">
        <f t="shared" ref="K41:K54" si="74">BF41</f>
        <v>71841</v>
      </c>
      <c r="L41" s="155">
        <f t="shared" ref="L41:L54" si="75">AY41</f>
        <v>20625</v>
      </c>
      <c r="M41" s="155">
        <f t="shared" ref="M41:M54" si="76">BD41</f>
        <v>18917</v>
      </c>
      <c r="N41" s="155">
        <f t="shared" ref="N41:N54" si="77">AW41</f>
        <v>30481</v>
      </c>
      <c r="O41" s="155">
        <f t="shared" ref="O41:O54" si="78">BE41</f>
        <v>20829</v>
      </c>
      <c r="P41" s="155">
        <f>'2018'!AZ41+'2018'!BA41</f>
        <v>12232</v>
      </c>
      <c r="Q41" s="155">
        <f>'2018'!AU41</f>
        <v>9188</v>
      </c>
      <c r="R41" s="155">
        <f t="shared" si="71"/>
        <v>13367</v>
      </c>
      <c r="S41" s="155">
        <f t="shared" ref="S41:S54" si="79">AV41</f>
        <v>8604</v>
      </c>
      <c r="T41" s="155">
        <f t="shared" ref="T41:U54" si="80">BB41</f>
        <v>22099</v>
      </c>
      <c r="U41" s="552">
        <f t="shared" si="80"/>
        <v>63699</v>
      </c>
      <c r="V41" s="155">
        <f>BG41+BJ41</f>
        <v>2537</v>
      </c>
      <c r="W41" s="155">
        <f t="shared" ref="W41:W54" si="81">BR41</f>
        <v>11849</v>
      </c>
      <c r="X41" s="155">
        <f>BH41+BI41</f>
        <v>5840</v>
      </c>
      <c r="Y41" s="155">
        <f>BK41+BL41+BN41</f>
        <v>12100</v>
      </c>
      <c r="Z41" s="155">
        <f t="shared" ref="Z41:Z54" si="82">BM41</f>
        <v>22942</v>
      </c>
      <c r="AA41" s="155">
        <f>BO41+BQ41</f>
        <v>10594</v>
      </c>
      <c r="AB41" s="552">
        <f t="shared" ref="AB41:AB54" si="83">BP41</f>
        <v>12952</v>
      </c>
      <c r="AC41" s="155">
        <f t="shared" ref="AC41:AC54" si="84">BX41</f>
        <v>30661</v>
      </c>
      <c r="AD41" s="155">
        <f t="shared" ref="AD41:AD54" si="85">BU41</f>
        <v>13712</v>
      </c>
      <c r="AE41" s="155">
        <f>BS41+BT41</f>
        <v>27423</v>
      </c>
      <c r="AF41" s="155">
        <f t="shared" ref="AF41:AF54" si="86">CA41</f>
        <v>14017</v>
      </c>
      <c r="AG41" s="155">
        <f t="shared" ref="AG41:AG54" si="87">BV41</f>
        <v>26780</v>
      </c>
      <c r="AH41" s="155">
        <f t="shared" ref="AH41:AH54" si="88">BZ41</f>
        <v>23908</v>
      </c>
      <c r="AI41" s="155">
        <f t="shared" ref="AI41:AI54" si="89">BW41</f>
        <v>16130</v>
      </c>
      <c r="AJ41" s="155">
        <f t="shared" ref="AJ41:AJ54" si="90">BY41</f>
        <v>15947</v>
      </c>
      <c r="AK41" s="552">
        <f t="shared" ref="AK41:AK54" si="91">CB41</f>
        <v>33576</v>
      </c>
      <c r="AL41" s="155">
        <f t="shared" ref="AL41:AL54" si="92">CE41</f>
        <v>14723</v>
      </c>
      <c r="AM41" s="155">
        <f t="shared" ref="AM41:AM54" si="93">CH41</f>
        <v>86604</v>
      </c>
      <c r="AN41" s="155">
        <f t="shared" ref="AN41:AN54" si="94">CJ41</f>
        <v>137667</v>
      </c>
      <c r="AO41" s="155">
        <f t="shared" ref="AO41:AP54" si="95">CC41</f>
        <v>29435</v>
      </c>
      <c r="AP41" s="155">
        <f t="shared" si="95"/>
        <v>5911</v>
      </c>
      <c r="AQ41" s="155">
        <f t="shared" ref="AQ41:AQ54" si="96">CK41</f>
        <v>35787</v>
      </c>
      <c r="AR41" s="155">
        <f t="shared" ref="AR41:AR54" si="97">CI41</f>
        <v>20809</v>
      </c>
      <c r="AS41" s="156">
        <f>CF41+CG41</f>
        <v>52787</v>
      </c>
      <c r="AT41" s="155">
        <v>814</v>
      </c>
      <c r="AU41" s="155">
        <v>9188</v>
      </c>
      <c r="AV41" s="155">
        <v>8604</v>
      </c>
      <c r="AW41" s="155">
        <v>30481</v>
      </c>
      <c r="AX41" s="155">
        <v>12553</v>
      </c>
      <c r="AY41" s="155">
        <v>20625</v>
      </c>
      <c r="AZ41" s="155">
        <v>105</v>
      </c>
      <c r="BA41" s="155">
        <v>12127</v>
      </c>
      <c r="BB41" s="155">
        <v>22099</v>
      </c>
      <c r="BC41" s="155">
        <v>63699</v>
      </c>
      <c r="BD41" s="155">
        <v>18917</v>
      </c>
      <c r="BE41" s="155">
        <v>20829</v>
      </c>
      <c r="BF41" s="552">
        <v>71841</v>
      </c>
      <c r="BG41" s="155">
        <v>205</v>
      </c>
      <c r="BH41" s="155">
        <v>373</v>
      </c>
      <c r="BI41" s="155">
        <v>5467</v>
      </c>
      <c r="BJ41" s="155">
        <v>2332</v>
      </c>
      <c r="BK41" s="155">
        <v>388</v>
      </c>
      <c r="BL41" s="155">
        <v>54</v>
      </c>
      <c r="BM41" s="155">
        <v>22942</v>
      </c>
      <c r="BN41" s="155">
        <v>11658</v>
      </c>
      <c r="BO41" s="155">
        <v>134</v>
      </c>
      <c r="BP41" s="155">
        <v>12952</v>
      </c>
      <c r="BQ41" s="155">
        <v>10460</v>
      </c>
      <c r="BR41" s="552">
        <v>11849</v>
      </c>
      <c r="BS41" s="155">
        <v>478</v>
      </c>
      <c r="BT41" s="155">
        <v>26945</v>
      </c>
      <c r="BU41" s="155">
        <v>13712</v>
      </c>
      <c r="BV41" s="155">
        <v>26780</v>
      </c>
      <c r="BW41" s="155">
        <v>16130</v>
      </c>
      <c r="BX41" s="155">
        <v>30661</v>
      </c>
      <c r="BY41" s="155">
        <v>15947</v>
      </c>
      <c r="BZ41" s="155">
        <v>23908</v>
      </c>
      <c r="CA41" s="155">
        <v>14017</v>
      </c>
      <c r="CB41" s="552">
        <v>33576</v>
      </c>
      <c r="CC41" s="155">
        <v>29435</v>
      </c>
      <c r="CD41" s="155">
        <v>5911</v>
      </c>
      <c r="CE41" s="155">
        <v>14723</v>
      </c>
      <c r="CF41" s="155">
        <v>2387</v>
      </c>
      <c r="CG41" s="155">
        <v>50400</v>
      </c>
      <c r="CH41" s="155">
        <v>86604</v>
      </c>
      <c r="CI41" s="155">
        <v>20809</v>
      </c>
      <c r="CJ41" s="155">
        <v>137667</v>
      </c>
      <c r="CK41" s="156">
        <v>35787</v>
      </c>
      <c r="CL41" s="320">
        <v>956573</v>
      </c>
    </row>
    <row r="42" spans="1:90">
      <c r="A42" s="80">
        <f>ROWS($A$3:A40)</f>
        <v>38</v>
      </c>
      <c r="B42" s="92" t="s">
        <v>305</v>
      </c>
      <c r="C42" s="584">
        <v>2018</v>
      </c>
      <c r="D42" s="259" t="s">
        <v>7</v>
      </c>
      <c r="E42" s="483">
        <v>43556</v>
      </c>
      <c r="F42" s="154">
        <v>111541</v>
      </c>
      <c r="G42" s="155">
        <v>29512</v>
      </c>
      <c r="H42" s="155">
        <v>84506</v>
      </c>
      <c r="I42" s="156">
        <v>165477</v>
      </c>
      <c r="J42" s="281"/>
      <c r="K42" s="154">
        <f t="shared" si="74"/>
        <v>28408</v>
      </c>
      <c r="L42" s="155">
        <f t="shared" si="75"/>
        <v>8422</v>
      </c>
      <c r="M42" s="155">
        <f t="shared" si="76"/>
        <v>7168</v>
      </c>
      <c r="N42" s="155">
        <f t="shared" si="77"/>
        <v>12342</v>
      </c>
      <c r="O42" s="155">
        <f t="shared" si="78"/>
        <v>7347</v>
      </c>
      <c r="P42" s="155">
        <f>'2018'!BA42</f>
        <v>4308</v>
      </c>
      <c r="Q42" s="155">
        <f>'2018'!AU42</f>
        <v>3651</v>
      </c>
      <c r="R42" s="155">
        <f>AX42</f>
        <v>4446</v>
      </c>
      <c r="S42" s="155">
        <f t="shared" si="79"/>
        <v>3195</v>
      </c>
      <c r="T42" s="155">
        <f t="shared" si="80"/>
        <v>8774</v>
      </c>
      <c r="U42" s="552">
        <f t="shared" si="80"/>
        <v>23040</v>
      </c>
      <c r="V42" s="155">
        <f>BJ42</f>
        <v>948</v>
      </c>
      <c r="W42" s="155">
        <f t="shared" si="81"/>
        <v>4755</v>
      </c>
      <c r="X42" s="155">
        <f>BI42</f>
        <v>2054</v>
      </c>
      <c r="Y42" s="155">
        <f>BN42</f>
        <v>4168</v>
      </c>
      <c r="Z42" s="155">
        <f t="shared" si="82"/>
        <v>8321</v>
      </c>
      <c r="AA42" s="155">
        <f>BQ42</f>
        <v>3802</v>
      </c>
      <c r="AB42" s="552">
        <f t="shared" si="83"/>
        <v>5075</v>
      </c>
      <c r="AC42" s="155">
        <f t="shared" si="84"/>
        <v>14156</v>
      </c>
      <c r="AD42" s="155">
        <f t="shared" si="85"/>
        <v>4809</v>
      </c>
      <c r="AE42" s="155">
        <f>BS42+BT42</f>
        <v>12859</v>
      </c>
      <c r="AF42" s="155">
        <f t="shared" si="86"/>
        <v>5746</v>
      </c>
      <c r="AG42" s="155">
        <f t="shared" si="87"/>
        <v>10403</v>
      </c>
      <c r="AH42" s="155">
        <f t="shared" si="88"/>
        <v>9805</v>
      </c>
      <c r="AI42" s="155">
        <f t="shared" si="89"/>
        <v>5949</v>
      </c>
      <c r="AJ42" s="155">
        <f t="shared" si="90"/>
        <v>7110</v>
      </c>
      <c r="AK42" s="552">
        <f t="shared" si="91"/>
        <v>13669</v>
      </c>
      <c r="AL42" s="155">
        <f t="shared" si="92"/>
        <v>5589</v>
      </c>
      <c r="AM42" s="155">
        <f t="shared" si="93"/>
        <v>34585</v>
      </c>
      <c r="AN42" s="155">
        <f t="shared" si="94"/>
        <v>69513</v>
      </c>
      <c r="AO42" s="155">
        <f t="shared" si="95"/>
        <v>9201</v>
      </c>
      <c r="AP42" s="155">
        <f t="shared" si="95"/>
        <v>2161</v>
      </c>
      <c r="AQ42" s="155">
        <f t="shared" si="96"/>
        <v>14689</v>
      </c>
      <c r="AR42" s="155">
        <f t="shared" si="97"/>
        <v>9319</v>
      </c>
      <c r="AS42" s="156">
        <f>CF42+CG42</f>
        <v>20420</v>
      </c>
      <c r="AT42" s="155">
        <v>405</v>
      </c>
      <c r="AU42" s="155">
        <v>3651</v>
      </c>
      <c r="AV42" s="155">
        <v>3195</v>
      </c>
      <c r="AW42" s="155">
        <v>12342</v>
      </c>
      <c r="AX42" s="155">
        <v>4446</v>
      </c>
      <c r="AY42" s="155">
        <v>8422</v>
      </c>
      <c r="AZ42" s="155">
        <v>35</v>
      </c>
      <c r="BA42" s="155">
        <v>4308</v>
      </c>
      <c r="BB42" s="155">
        <v>8774</v>
      </c>
      <c r="BC42" s="155">
        <v>23040</v>
      </c>
      <c r="BD42" s="155">
        <v>7168</v>
      </c>
      <c r="BE42" s="155">
        <v>7347</v>
      </c>
      <c r="BF42" s="552">
        <v>28408</v>
      </c>
      <c r="BG42" s="155">
        <v>74</v>
      </c>
      <c r="BH42" s="155">
        <v>86</v>
      </c>
      <c r="BI42" s="155">
        <v>2054</v>
      </c>
      <c r="BJ42" s="155">
        <v>948</v>
      </c>
      <c r="BK42" s="155">
        <v>149</v>
      </c>
      <c r="BL42" s="155">
        <v>17</v>
      </c>
      <c r="BM42" s="155">
        <v>8321</v>
      </c>
      <c r="BN42" s="155">
        <v>4168</v>
      </c>
      <c r="BO42" s="155">
        <v>63</v>
      </c>
      <c r="BP42" s="155">
        <v>5075</v>
      </c>
      <c r="BQ42" s="155">
        <v>3802</v>
      </c>
      <c r="BR42" s="552">
        <v>4755</v>
      </c>
      <c r="BS42" s="155">
        <v>173</v>
      </c>
      <c r="BT42" s="155">
        <v>12686</v>
      </c>
      <c r="BU42" s="155">
        <v>4809</v>
      </c>
      <c r="BV42" s="155">
        <v>10403</v>
      </c>
      <c r="BW42" s="155">
        <v>5949</v>
      </c>
      <c r="BX42" s="155">
        <v>14156</v>
      </c>
      <c r="BY42" s="155">
        <v>7110</v>
      </c>
      <c r="BZ42" s="155">
        <v>9805</v>
      </c>
      <c r="CA42" s="155">
        <v>5746</v>
      </c>
      <c r="CB42" s="552">
        <v>13669</v>
      </c>
      <c r="CC42" s="155">
        <v>9201</v>
      </c>
      <c r="CD42" s="155">
        <v>2161</v>
      </c>
      <c r="CE42" s="155">
        <v>5589</v>
      </c>
      <c r="CF42" s="155">
        <v>1075</v>
      </c>
      <c r="CG42" s="155">
        <v>19345</v>
      </c>
      <c r="CH42" s="155">
        <v>34585</v>
      </c>
      <c r="CI42" s="155">
        <v>9319</v>
      </c>
      <c r="CJ42" s="155">
        <v>69513</v>
      </c>
      <c r="CK42" s="156">
        <v>14689</v>
      </c>
      <c r="CL42" s="320">
        <v>391036</v>
      </c>
    </row>
    <row r="43" spans="1:90">
      <c r="A43" s="80">
        <f>ROWS($A$3:A41)</f>
        <v>39</v>
      </c>
      <c r="B43" s="92" t="s">
        <v>14</v>
      </c>
      <c r="C43" s="584">
        <v>2018</v>
      </c>
      <c r="D43" s="259" t="s">
        <v>7</v>
      </c>
      <c r="E43" s="483">
        <v>43556</v>
      </c>
      <c r="F43" s="154">
        <v>96383</v>
      </c>
      <c r="G43" s="155">
        <v>22391</v>
      </c>
      <c r="H43" s="155">
        <v>63067</v>
      </c>
      <c r="I43" s="156">
        <v>152276</v>
      </c>
      <c r="J43" s="281"/>
      <c r="K43" s="154">
        <f>BF43</f>
        <v>24600</v>
      </c>
      <c r="L43" s="155">
        <f>AY43</f>
        <v>6894</v>
      </c>
      <c r="M43" s="155">
        <f>BD43</f>
        <v>6160</v>
      </c>
      <c r="N43" s="155">
        <f>AW43</f>
        <v>10717</v>
      </c>
      <c r="O43" s="155">
        <f>BE43</f>
        <v>6886</v>
      </c>
      <c r="P43" s="155">
        <f>'2018'!BA43</f>
        <v>3422</v>
      </c>
      <c r="Q43" s="155">
        <f>'2018'!AU43</f>
        <v>3012</v>
      </c>
      <c r="R43" s="155">
        <f>AX43</f>
        <v>4154</v>
      </c>
      <c r="S43" s="155">
        <f>AV43</f>
        <v>2181</v>
      </c>
      <c r="T43" s="155">
        <f>BB43</f>
        <v>7583</v>
      </c>
      <c r="U43" s="552">
        <f>BC43</f>
        <v>20391</v>
      </c>
      <c r="V43" s="155">
        <f>BJ43</f>
        <v>236</v>
      </c>
      <c r="W43" s="155">
        <f>BR43</f>
        <v>3927</v>
      </c>
      <c r="X43" s="155">
        <f>BI43</f>
        <v>1297</v>
      </c>
      <c r="Y43" s="155">
        <f>BN43</f>
        <v>3091</v>
      </c>
      <c r="Z43" s="155">
        <f>BM43</f>
        <v>7163</v>
      </c>
      <c r="AA43" s="155">
        <f>BQ43</f>
        <v>2823</v>
      </c>
      <c r="AB43" s="552">
        <f>BP43</f>
        <v>3739</v>
      </c>
      <c r="AC43" s="155">
        <f>BX43</f>
        <v>12215</v>
      </c>
      <c r="AD43" s="155">
        <f>BU43</f>
        <v>2912</v>
      </c>
      <c r="AE43" s="155">
        <f>BS43+BT43</f>
        <v>9077</v>
      </c>
      <c r="AF43" s="155">
        <f>CA43</f>
        <v>2956</v>
      </c>
      <c r="AG43" s="155">
        <f>BV43</f>
        <v>6524</v>
      </c>
      <c r="AH43" s="155">
        <f>BZ43</f>
        <v>8614</v>
      </c>
      <c r="AI43" s="155">
        <f>BW43</f>
        <v>4368</v>
      </c>
      <c r="AJ43" s="155">
        <f>BY43</f>
        <v>6024</v>
      </c>
      <c r="AK43" s="552">
        <f>CB43</f>
        <v>10377</v>
      </c>
      <c r="AL43" s="155">
        <f>CE43</f>
        <v>3469</v>
      </c>
      <c r="AM43" s="155">
        <f>CH43</f>
        <v>32464</v>
      </c>
      <c r="AN43" s="155">
        <f>CJ43</f>
        <v>66782</v>
      </c>
      <c r="AO43" s="155">
        <f>CC43</f>
        <v>7854</v>
      </c>
      <c r="AP43" s="155">
        <f>CD43</f>
        <v>1492</v>
      </c>
      <c r="AQ43" s="155">
        <f>CK43</f>
        <v>13077</v>
      </c>
      <c r="AR43" s="155">
        <f>CI43</f>
        <v>8289</v>
      </c>
      <c r="AS43" s="156">
        <f>CF43+CG43</f>
        <v>18849</v>
      </c>
      <c r="AT43" s="155" t="s">
        <v>233</v>
      </c>
      <c r="AU43" s="155">
        <v>3012</v>
      </c>
      <c r="AV43" s="155">
        <v>2181</v>
      </c>
      <c r="AW43" s="155">
        <v>10717</v>
      </c>
      <c r="AX43" s="155">
        <v>4154</v>
      </c>
      <c r="AY43" s="155">
        <v>6894</v>
      </c>
      <c r="AZ43" s="155" t="s">
        <v>233</v>
      </c>
      <c r="BA43" s="155">
        <v>3422</v>
      </c>
      <c r="BB43" s="155">
        <v>7583</v>
      </c>
      <c r="BC43" s="155">
        <v>20391</v>
      </c>
      <c r="BD43" s="155">
        <v>6160</v>
      </c>
      <c r="BE43" s="155">
        <v>6886</v>
      </c>
      <c r="BF43" s="552">
        <v>24600</v>
      </c>
      <c r="BG43" s="155" t="s">
        <v>267</v>
      </c>
      <c r="BH43" s="155" t="s">
        <v>233</v>
      </c>
      <c r="BI43" s="155">
        <v>1297</v>
      </c>
      <c r="BJ43" s="155">
        <v>236</v>
      </c>
      <c r="BK43" s="155" t="s">
        <v>233</v>
      </c>
      <c r="BL43" s="155" t="s">
        <v>267</v>
      </c>
      <c r="BM43" s="155">
        <v>7163</v>
      </c>
      <c r="BN43" s="155">
        <v>3091</v>
      </c>
      <c r="BO43" s="155" t="s">
        <v>233</v>
      </c>
      <c r="BP43" s="155">
        <v>3739</v>
      </c>
      <c r="BQ43" s="155">
        <v>2823</v>
      </c>
      <c r="BR43" s="552">
        <v>3927</v>
      </c>
      <c r="BS43" s="155">
        <v>58</v>
      </c>
      <c r="BT43" s="155">
        <v>9019</v>
      </c>
      <c r="BU43" s="155">
        <v>2912</v>
      </c>
      <c r="BV43" s="155">
        <v>6524</v>
      </c>
      <c r="BW43" s="155">
        <v>4368</v>
      </c>
      <c r="BX43" s="155">
        <v>12215</v>
      </c>
      <c r="BY43" s="155">
        <v>6024</v>
      </c>
      <c r="BZ43" s="155">
        <v>8614</v>
      </c>
      <c r="CA43" s="155">
        <v>2956</v>
      </c>
      <c r="CB43" s="552">
        <v>10377</v>
      </c>
      <c r="CC43" s="155">
        <v>7854</v>
      </c>
      <c r="CD43" s="155">
        <v>1492</v>
      </c>
      <c r="CE43" s="155">
        <v>3469</v>
      </c>
      <c r="CF43" s="155">
        <v>1047</v>
      </c>
      <c r="CG43" s="155">
        <v>17802</v>
      </c>
      <c r="CH43" s="155">
        <v>32464</v>
      </c>
      <c r="CI43" s="155">
        <v>8289</v>
      </c>
      <c r="CJ43" s="155">
        <v>66782</v>
      </c>
      <c r="CK43" s="156">
        <v>13077</v>
      </c>
      <c r="CL43" s="320">
        <v>334117</v>
      </c>
    </row>
    <row r="44" spans="1:90">
      <c r="A44" s="80">
        <f>ROWS($A$3:A42)</f>
        <v>40</v>
      </c>
      <c r="B44" s="388" t="s">
        <v>20</v>
      </c>
      <c r="C44" s="584">
        <v>2018</v>
      </c>
      <c r="D44" s="259" t="s">
        <v>241</v>
      </c>
      <c r="E44" s="483">
        <v>43556</v>
      </c>
      <c r="F44" s="541">
        <f>IF(ISERROR(F43/F123)=TRUE,"*",F43/F123)</f>
        <v>28.190406551623283</v>
      </c>
      <c r="G44" s="542">
        <f t="shared" ref="G44:BQ44" si="98">IF(ISERROR(G43/G123)=TRUE,"*",G43/G123)</f>
        <v>19.745149911816579</v>
      </c>
      <c r="H44" s="542">
        <f t="shared" si="98"/>
        <v>14.704359990673817</v>
      </c>
      <c r="I44" s="543">
        <f t="shared" si="98"/>
        <v>38.855830569022707</v>
      </c>
      <c r="J44" s="281"/>
      <c r="K44" s="154">
        <f t="shared" si="98"/>
        <v>53.017241379310342</v>
      </c>
      <c r="L44" s="155">
        <f t="shared" si="98"/>
        <v>42.555555555555557</v>
      </c>
      <c r="M44" s="155">
        <f t="shared" si="98"/>
        <v>48.125</v>
      </c>
      <c r="N44" s="155">
        <f t="shared" si="98"/>
        <v>56.109947643979055</v>
      </c>
      <c r="O44" s="155">
        <f t="shared" si="98"/>
        <v>53.796875</v>
      </c>
      <c r="P44" s="531">
        <f t="shared" si="98"/>
        <v>47.527777777777779</v>
      </c>
      <c r="Q44" s="155">
        <f t="shared" si="98"/>
        <v>60.24</v>
      </c>
      <c r="R44" s="531">
        <f t="shared" si="98"/>
        <v>50.658536585365852</v>
      </c>
      <c r="S44" s="155">
        <f t="shared" si="98"/>
        <v>35.754098360655739</v>
      </c>
      <c r="T44" s="155">
        <f t="shared" si="98"/>
        <v>54.553956834532372</v>
      </c>
      <c r="U44" s="552">
        <f t="shared" si="98"/>
        <v>51.362720403022671</v>
      </c>
      <c r="V44" s="531">
        <f t="shared" si="98"/>
        <v>23.6</v>
      </c>
      <c r="W44" s="155">
        <f t="shared" si="98"/>
        <v>55.309859154929576</v>
      </c>
      <c r="X44" s="531">
        <f t="shared" si="98"/>
        <v>68.263157894736835</v>
      </c>
      <c r="Y44" s="531">
        <f t="shared" si="98"/>
        <v>61.82</v>
      </c>
      <c r="Z44" s="155">
        <f t="shared" si="98"/>
        <v>59.69166666666667</v>
      </c>
      <c r="AA44" s="531">
        <f t="shared" si="98"/>
        <v>53.264150943396224</v>
      </c>
      <c r="AB44" s="552">
        <f t="shared" si="98"/>
        <v>53.414285714285711</v>
      </c>
      <c r="AC44" s="155">
        <f t="shared" si="98"/>
        <v>37.700617283950621</v>
      </c>
      <c r="AD44" s="155">
        <f t="shared" si="98"/>
        <v>25.76991150442478</v>
      </c>
      <c r="AE44" s="531">
        <f t="shared" si="98"/>
        <v>29.470779220779221</v>
      </c>
      <c r="AF44" s="155">
        <f t="shared" si="98"/>
        <v>30.163265306122447</v>
      </c>
      <c r="AG44" s="155">
        <f t="shared" si="98"/>
        <v>25.584313725490198</v>
      </c>
      <c r="AH44" s="155">
        <f t="shared" si="98"/>
        <v>57.426666666666669</v>
      </c>
      <c r="AI44" s="155">
        <f t="shared" si="98"/>
        <v>32.842105263157897</v>
      </c>
      <c r="AJ44" s="155">
        <f t="shared" si="98"/>
        <v>70.870588235294122</v>
      </c>
      <c r="AK44" s="552">
        <f t="shared" si="98"/>
        <v>46.743243243243242</v>
      </c>
      <c r="AL44" s="155">
        <f t="shared" si="98"/>
        <v>69.38</v>
      </c>
      <c r="AM44" s="155">
        <f t="shared" si="98"/>
        <v>58.918330308529946</v>
      </c>
      <c r="AN44" s="155">
        <f t="shared" si="98"/>
        <v>56.642917726887191</v>
      </c>
      <c r="AO44" s="155">
        <f t="shared" si="98"/>
        <v>57.32846715328467</v>
      </c>
      <c r="AP44" s="155">
        <f t="shared" si="98"/>
        <v>71.047619047619051</v>
      </c>
      <c r="AQ44" s="155">
        <f t="shared" si="98"/>
        <v>59.712328767123289</v>
      </c>
      <c r="AR44" s="155">
        <f t="shared" si="98"/>
        <v>44.090425531914896</v>
      </c>
      <c r="AS44" s="532">
        <f t="shared" si="98"/>
        <v>56.265671641791045</v>
      </c>
      <c r="AT44" s="155" t="str">
        <f t="shared" si="98"/>
        <v>*</v>
      </c>
      <c r="AU44" s="155">
        <f t="shared" si="98"/>
        <v>60.24</v>
      </c>
      <c r="AV44" s="155">
        <f t="shared" si="98"/>
        <v>35.754098360655739</v>
      </c>
      <c r="AW44" s="155">
        <f t="shared" si="98"/>
        <v>56.109947643979055</v>
      </c>
      <c r="AX44" s="155">
        <f t="shared" si="98"/>
        <v>50.658536585365852</v>
      </c>
      <c r="AY44" s="155">
        <f t="shared" si="98"/>
        <v>42.555555555555557</v>
      </c>
      <c r="AZ44" s="155" t="str">
        <f t="shared" si="98"/>
        <v>*</v>
      </c>
      <c r="BA44" s="155">
        <f t="shared" si="98"/>
        <v>47.527777777777779</v>
      </c>
      <c r="BB44" s="155">
        <f t="shared" si="98"/>
        <v>54.553956834532372</v>
      </c>
      <c r="BC44" s="155">
        <f t="shared" si="98"/>
        <v>51.362720403022671</v>
      </c>
      <c r="BD44" s="155">
        <f t="shared" si="98"/>
        <v>48.125</v>
      </c>
      <c r="BE44" s="155">
        <f t="shared" si="98"/>
        <v>53.796875</v>
      </c>
      <c r="BF44" s="552">
        <f t="shared" si="98"/>
        <v>53.017241379310342</v>
      </c>
      <c r="BG44" s="155" t="str">
        <f t="shared" si="98"/>
        <v>*</v>
      </c>
      <c r="BH44" s="155" t="str">
        <f t="shared" si="98"/>
        <v>*</v>
      </c>
      <c r="BI44" s="155">
        <f t="shared" si="98"/>
        <v>68.263157894736835</v>
      </c>
      <c r="BJ44" s="155">
        <f t="shared" si="98"/>
        <v>23.6</v>
      </c>
      <c r="BK44" s="155" t="str">
        <f t="shared" si="98"/>
        <v>*</v>
      </c>
      <c r="BL44" s="155" t="str">
        <f t="shared" si="98"/>
        <v>*</v>
      </c>
      <c r="BM44" s="155">
        <f t="shared" si="98"/>
        <v>59.69166666666667</v>
      </c>
      <c r="BN44" s="155">
        <f t="shared" si="98"/>
        <v>61.82</v>
      </c>
      <c r="BO44" s="155" t="str">
        <f t="shared" si="98"/>
        <v>*</v>
      </c>
      <c r="BP44" s="155">
        <f t="shared" si="98"/>
        <v>53.414285714285711</v>
      </c>
      <c r="BQ44" s="155">
        <f t="shared" si="98"/>
        <v>53.264150943396224</v>
      </c>
      <c r="BR44" s="552">
        <f>IF(ISERROR(BR43/BR123)=TRUE,"*",BR43/BR123)</f>
        <v>55.309859154929576</v>
      </c>
      <c r="BS44" s="155">
        <f t="shared" ref="BS44:CL44" si="99">IF(ISERROR(BS43/BS123)=TRUE,"*",BS43/BS123)</f>
        <v>14.5</v>
      </c>
      <c r="BT44" s="155">
        <f t="shared" si="99"/>
        <v>29.282467532467532</v>
      </c>
      <c r="BU44" s="155">
        <f t="shared" si="99"/>
        <v>25.76991150442478</v>
      </c>
      <c r="BV44" s="155">
        <f t="shared" si="99"/>
        <v>25.584313725490198</v>
      </c>
      <c r="BW44" s="155">
        <f t="shared" si="99"/>
        <v>32.842105263157897</v>
      </c>
      <c r="BX44" s="155">
        <f t="shared" si="99"/>
        <v>37.700617283950621</v>
      </c>
      <c r="BY44" s="155">
        <f t="shared" si="99"/>
        <v>70.870588235294122</v>
      </c>
      <c r="BZ44" s="155">
        <f t="shared" si="99"/>
        <v>57.426666666666669</v>
      </c>
      <c r="CA44" s="155">
        <f t="shared" si="99"/>
        <v>30.163265306122447</v>
      </c>
      <c r="CB44" s="552">
        <f t="shared" si="99"/>
        <v>46.743243243243242</v>
      </c>
      <c r="CC44" s="155">
        <f t="shared" si="99"/>
        <v>57.32846715328467</v>
      </c>
      <c r="CD44" s="155">
        <f t="shared" si="99"/>
        <v>71.047619047619051</v>
      </c>
      <c r="CE44" s="155">
        <f>IF(ISERROR(CE43/CE123)=TRUE,"*",CE43/CE123)</f>
        <v>69.38</v>
      </c>
      <c r="CF44" s="155">
        <f t="shared" si="99"/>
        <v>80.538461538461533</v>
      </c>
      <c r="CG44" s="155">
        <f t="shared" si="99"/>
        <v>53.140298507462688</v>
      </c>
      <c r="CH44" s="155">
        <f t="shared" si="99"/>
        <v>58.918330308529946</v>
      </c>
      <c r="CI44" s="155">
        <f t="shared" si="99"/>
        <v>44.090425531914896</v>
      </c>
      <c r="CJ44" s="155">
        <f t="shared" si="99"/>
        <v>56.642917726887191</v>
      </c>
      <c r="CK44" s="156">
        <f t="shared" si="99"/>
        <v>59.712328767123289</v>
      </c>
      <c r="CL44" s="320">
        <f t="shared" si="99"/>
        <v>50.092503748125935</v>
      </c>
    </row>
    <row r="45" spans="1:90">
      <c r="A45" s="80">
        <f>ROWS($A$3:A43)</f>
        <v>41</v>
      </c>
      <c r="B45" s="92" t="s">
        <v>74</v>
      </c>
      <c r="C45" s="202">
        <v>2016</v>
      </c>
      <c r="D45" s="259" t="s">
        <v>7</v>
      </c>
      <c r="E45" s="447">
        <v>42887</v>
      </c>
      <c r="F45" s="154">
        <v>1024111</v>
      </c>
      <c r="G45" s="155">
        <v>77555</v>
      </c>
      <c r="H45" s="155">
        <v>122684</v>
      </c>
      <c r="I45" s="156">
        <v>651276</v>
      </c>
      <c r="J45" s="281"/>
      <c r="K45" s="154">
        <f t="shared" si="74"/>
        <v>144405</v>
      </c>
      <c r="L45" s="155">
        <f t="shared" si="75"/>
        <v>11410</v>
      </c>
      <c r="M45" s="155">
        <f t="shared" si="76"/>
        <v>126479</v>
      </c>
      <c r="N45" s="155">
        <f t="shared" si="77"/>
        <v>28645</v>
      </c>
      <c r="O45" s="155">
        <f t="shared" si="78"/>
        <v>43964</v>
      </c>
      <c r="P45" s="806">
        <f>IF(ISERROR(AZ45+BA45),BA45,AZ45+BA45)</f>
        <v>26152</v>
      </c>
      <c r="Q45" s="155">
        <f>'2018'!AU45</f>
        <v>20551</v>
      </c>
      <c r="R45" s="806">
        <f>IF(ISERROR(AT45+AX45),AX45,AT45+AX45)</f>
        <v>33909</v>
      </c>
      <c r="S45" s="155" t="str">
        <f t="shared" si="79"/>
        <v>.</v>
      </c>
      <c r="T45" s="155">
        <f t="shared" si="80"/>
        <v>158050</v>
      </c>
      <c r="U45" s="552">
        <f t="shared" si="80"/>
        <v>424418</v>
      </c>
      <c r="V45" s="806">
        <f>IF(ISERROR(BG45+BJ45),BJ45,(BG45+BJ45))</f>
        <v>3896</v>
      </c>
      <c r="W45" s="155">
        <f t="shared" si="81"/>
        <v>7626</v>
      </c>
      <c r="X45" s="806">
        <f>IF(ISERROR(BH45+BI45),BI45,(BH45+BI45))</f>
        <v>2360</v>
      </c>
      <c r="Y45" s="806">
        <f>IF(ISERROR(BK45+BL45+BN45),BK45+BN45,(BK45+BL45+BN45))</f>
        <v>18693</v>
      </c>
      <c r="Z45" s="155">
        <f t="shared" si="82"/>
        <v>32847</v>
      </c>
      <c r="AA45" s="806">
        <f>IF(ISERROR(BO45+BQ45),BQ45,(BO45+BQ45))</f>
        <v>5913</v>
      </c>
      <c r="AB45" s="552">
        <f t="shared" si="83"/>
        <v>4864</v>
      </c>
      <c r="AC45" s="155">
        <f t="shared" si="84"/>
        <v>19287</v>
      </c>
      <c r="AD45" s="155">
        <f t="shared" si="85"/>
        <v>2679</v>
      </c>
      <c r="AE45" s="806">
        <f>IF(ISERROR(BS45+BT45),BT45,(BS45+BT45))</f>
        <v>7079</v>
      </c>
      <c r="AF45" s="155">
        <f t="shared" si="86"/>
        <v>2283</v>
      </c>
      <c r="AG45" s="155">
        <f t="shared" si="87"/>
        <v>24213</v>
      </c>
      <c r="AH45" s="155">
        <f t="shared" si="88"/>
        <v>15012</v>
      </c>
      <c r="AI45" s="155">
        <f t="shared" si="89"/>
        <v>33230</v>
      </c>
      <c r="AJ45" s="155">
        <f t="shared" si="90"/>
        <v>7129</v>
      </c>
      <c r="AK45" s="552">
        <f t="shared" si="91"/>
        <v>11772</v>
      </c>
      <c r="AL45" s="155">
        <f t="shared" si="92"/>
        <v>7335</v>
      </c>
      <c r="AM45" s="155">
        <f t="shared" si="93"/>
        <v>176291</v>
      </c>
      <c r="AN45" s="155">
        <f t="shared" si="94"/>
        <v>50978</v>
      </c>
      <c r="AO45" s="155">
        <f t="shared" si="95"/>
        <v>21489</v>
      </c>
      <c r="AP45" s="155">
        <f t="shared" si="95"/>
        <v>12282</v>
      </c>
      <c r="AQ45" s="155">
        <f t="shared" si="96"/>
        <v>100727</v>
      </c>
      <c r="AR45" s="155">
        <f t="shared" si="97"/>
        <v>14273</v>
      </c>
      <c r="AS45" s="156">
        <f>CF45+CG45</f>
        <v>267901</v>
      </c>
      <c r="AT45" s="155" t="s">
        <v>41</v>
      </c>
      <c r="AU45" s="155">
        <v>20551</v>
      </c>
      <c r="AV45" s="155" t="s">
        <v>304</v>
      </c>
      <c r="AW45" s="155">
        <v>28645</v>
      </c>
      <c r="AX45" s="155">
        <v>33909</v>
      </c>
      <c r="AY45" s="155">
        <v>11410</v>
      </c>
      <c r="AZ45" s="155" t="s">
        <v>304</v>
      </c>
      <c r="BA45" s="155">
        <v>26152</v>
      </c>
      <c r="BB45" s="155">
        <v>158050</v>
      </c>
      <c r="BC45" s="155">
        <v>424418</v>
      </c>
      <c r="BD45" s="155">
        <v>126479</v>
      </c>
      <c r="BE45" s="155">
        <v>43964</v>
      </c>
      <c r="BF45" s="552">
        <v>144405</v>
      </c>
      <c r="BG45" s="155" t="s">
        <v>41</v>
      </c>
      <c r="BH45" s="155" t="s">
        <v>304</v>
      </c>
      <c r="BI45" s="155">
        <v>2360</v>
      </c>
      <c r="BJ45" s="155">
        <v>3896</v>
      </c>
      <c r="BK45" s="155">
        <v>481</v>
      </c>
      <c r="BL45" s="155" t="s">
        <v>304</v>
      </c>
      <c r="BM45" s="155">
        <v>32847</v>
      </c>
      <c r="BN45" s="155">
        <v>18212</v>
      </c>
      <c r="BO45" s="155" t="s">
        <v>304</v>
      </c>
      <c r="BP45" s="155">
        <v>4864</v>
      </c>
      <c r="BQ45" s="155">
        <v>5913</v>
      </c>
      <c r="BR45" s="552">
        <v>7626</v>
      </c>
      <c r="BS45" s="155">
        <v>403</v>
      </c>
      <c r="BT45" s="155">
        <v>6676</v>
      </c>
      <c r="BU45" s="155">
        <v>2679</v>
      </c>
      <c r="BV45" s="155">
        <v>24213</v>
      </c>
      <c r="BW45" s="155">
        <v>33230</v>
      </c>
      <c r="BX45" s="155">
        <v>19287</v>
      </c>
      <c r="BY45" s="155">
        <v>7129</v>
      </c>
      <c r="BZ45" s="155">
        <v>15012</v>
      </c>
      <c r="CA45" s="155">
        <v>2283</v>
      </c>
      <c r="CB45" s="552">
        <v>11772</v>
      </c>
      <c r="CC45" s="155">
        <v>21489</v>
      </c>
      <c r="CD45" s="155">
        <v>12282</v>
      </c>
      <c r="CE45" s="155">
        <v>7335</v>
      </c>
      <c r="CF45" s="155">
        <v>17661</v>
      </c>
      <c r="CG45" s="155">
        <v>250240</v>
      </c>
      <c r="CH45" s="155">
        <v>176291</v>
      </c>
      <c r="CI45" s="155">
        <v>14273</v>
      </c>
      <c r="CJ45" s="155">
        <v>50978</v>
      </c>
      <c r="CK45" s="156">
        <v>100727</v>
      </c>
      <c r="CL45" s="320">
        <v>1875626</v>
      </c>
    </row>
    <row r="46" spans="1:90">
      <c r="A46" s="80">
        <f>ROWS($A$3:A44)</f>
        <v>42</v>
      </c>
      <c r="B46" s="92" t="s">
        <v>8</v>
      </c>
      <c r="C46" s="203"/>
      <c r="D46" s="259" t="s">
        <v>7</v>
      </c>
      <c r="E46" s="447">
        <v>42887</v>
      </c>
      <c r="F46" s="154">
        <v>98587</v>
      </c>
      <c r="G46" s="155">
        <v>4322</v>
      </c>
      <c r="H46" s="155">
        <v>10836</v>
      </c>
      <c r="I46" s="156">
        <v>58503</v>
      </c>
      <c r="J46" s="281"/>
      <c r="K46" s="154">
        <f t="shared" si="74"/>
        <v>17844</v>
      </c>
      <c r="L46" s="155" t="str">
        <f t="shared" si="75"/>
        <v>.</v>
      </c>
      <c r="M46" s="155">
        <f t="shared" si="76"/>
        <v>13073</v>
      </c>
      <c r="N46" s="155">
        <f t="shared" si="77"/>
        <v>2601</v>
      </c>
      <c r="O46" s="155">
        <f t="shared" si="78"/>
        <v>2383</v>
      </c>
      <c r="P46" s="806">
        <f>IF(ISERROR(AZ46+BA46),BA46,AZ46+BA46)</f>
        <v>2320</v>
      </c>
      <c r="Q46" s="155">
        <f>'2018'!AU46</f>
        <v>2054</v>
      </c>
      <c r="R46" s="806">
        <f>IF(ISERROR(AT46+AX46),AX46,AT46+AX46)</f>
        <v>2412</v>
      </c>
      <c r="S46" s="155" t="str">
        <f t="shared" si="79"/>
        <v>.</v>
      </c>
      <c r="T46" s="155">
        <f t="shared" si="80"/>
        <v>15131</v>
      </c>
      <c r="U46" s="552">
        <f t="shared" si="80"/>
        <v>39834</v>
      </c>
      <c r="V46" s="806">
        <f>IF(ISERROR(BG46+BJ46),BJ46,(BG46+BJ46))</f>
        <v>293</v>
      </c>
      <c r="W46" s="155">
        <f t="shared" si="81"/>
        <v>807</v>
      </c>
      <c r="X46" s="806" t="str">
        <f>IF(ISERROR(BH46+BI46),BI46,(BH46+BI46))</f>
        <v>.</v>
      </c>
      <c r="Y46" s="806">
        <f>IF(ISERROR(BK46+BL46+BN46),BN46,(BK46+BL46+BN46))</f>
        <v>1152</v>
      </c>
      <c r="Z46" s="155">
        <f t="shared" si="82"/>
        <v>1551</v>
      </c>
      <c r="AA46" s="806">
        <f>IF(ISERROR(BO46+BQ46),BQ46,(BO46+BQ46))</f>
        <v>194</v>
      </c>
      <c r="AB46" s="552">
        <f t="shared" si="83"/>
        <v>296</v>
      </c>
      <c r="AC46" s="155">
        <f t="shared" si="84"/>
        <v>1600</v>
      </c>
      <c r="AD46" s="155">
        <f t="shared" si="85"/>
        <v>276</v>
      </c>
      <c r="AE46" s="806">
        <f>IF(ISERROR(BS46+BT46),BT46,(BS46+BT46))</f>
        <v>459</v>
      </c>
      <c r="AF46" s="155">
        <f t="shared" si="86"/>
        <v>47</v>
      </c>
      <c r="AG46" s="155">
        <f t="shared" si="87"/>
        <v>2273</v>
      </c>
      <c r="AH46" s="155">
        <f t="shared" si="88"/>
        <v>1157</v>
      </c>
      <c r="AI46" s="155">
        <f t="shared" si="89"/>
        <v>3114</v>
      </c>
      <c r="AJ46" s="155">
        <f t="shared" si="90"/>
        <v>1018</v>
      </c>
      <c r="AK46" s="552">
        <f t="shared" si="91"/>
        <v>892</v>
      </c>
      <c r="AL46" s="155">
        <f t="shared" si="92"/>
        <v>561</v>
      </c>
      <c r="AM46" s="155">
        <f t="shared" si="93"/>
        <v>16690</v>
      </c>
      <c r="AN46" s="155">
        <f t="shared" si="94"/>
        <v>6612</v>
      </c>
      <c r="AO46" s="155">
        <f t="shared" si="95"/>
        <v>1884</v>
      </c>
      <c r="AP46" s="155">
        <f t="shared" si="95"/>
        <v>673</v>
      </c>
      <c r="AQ46" s="155">
        <f t="shared" si="96"/>
        <v>10928</v>
      </c>
      <c r="AR46" s="155">
        <f t="shared" si="97"/>
        <v>1002</v>
      </c>
      <c r="AS46" s="156">
        <f>CF46+CG46</f>
        <v>20153</v>
      </c>
      <c r="AT46" s="155" t="s">
        <v>41</v>
      </c>
      <c r="AU46" s="155">
        <v>2054</v>
      </c>
      <c r="AV46" s="155" t="s">
        <v>304</v>
      </c>
      <c r="AW46" s="155">
        <v>2601</v>
      </c>
      <c r="AX46" s="155">
        <v>2412</v>
      </c>
      <c r="AY46" s="155" t="s">
        <v>304</v>
      </c>
      <c r="AZ46" s="155" t="s">
        <v>41</v>
      </c>
      <c r="BA46" s="155">
        <v>2320</v>
      </c>
      <c r="BB46" s="155">
        <v>15131</v>
      </c>
      <c r="BC46" s="155">
        <v>39834</v>
      </c>
      <c r="BD46" s="155">
        <v>13073</v>
      </c>
      <c r="BE46" s="155">
        <v>2383</v>
      </c>
      <c r="BF46" s="552">
        <v>17844</v>
      </c>
      <c r="BG46" s="155" t="s">
        <v>41</v>
      </c>
      <c r="BH46" s="155" t="s">
        <v>304</v>
      </c>
      <c r="BI46" s="155" t="s">
        <v>304</v>
      </c>
      <c r="BJ46" s="155">
        <v>293</v>
      </c>
      <c r="BK46" s="155" t="s">
        <v>304</v>
      </c>
      <c r="BL46" s="155" t="s">
        <v>41</v>
      </c>
      <c r="BM46" s="155">
        <v>1551</v>
      </c>
      <c r="BN46" s="155">
        <v>1152</v>
      </c>
      <c r="BO46" s="155" t="s">
        <v>304</v>
      </c>
      <c r="BP46" s="155">
        <v>296</v>
      </c>
      <c r="BQ46" s="155">
        <v>194</v>
      </c>
      <c r="BR46" s="552">
        <v>807</v>
      </c>
      <c r="BS46" s="155">
        <v>65</v>
      </c>
      <c r="BT46" s="155">
        <v>394</v>
      </c>
      <c r="BU46" s="155">
        <v>276</v>
      </c>
      <c r="BV46" s="155">
        <v>2273</v>
      </c>
      <c r="BW46" s="155">
        <v>3114</v>
      </c>
      <c r="BX46" s="155">
        <v>1600</v>
      </c>
      <c r="BY46" s="155">
        <v>1018</v>
      </c>
      <c r="BZ46" s="155">
        <v>1157</v>
      </c>
      <c r="CA46" s="155">
        <v>47</v>
      </c>
      <c r="CB46" s="552">
        <v>892</v>
      </c>
      <c r="CC46" s="155">
        <v>1884</v>
      </c>
      <c r="CD46" s="155">
        <v>673</v>
      </c>
      <c r="CE46" s="155">
        <v>561</v>
      </c>
      <c r="CF46" s="155">
        <v>886</v>
      </c>
      <c r="CG46" s="155">
        <v>19267</v>
      </c>
      <c r="CH46" s="155">
        <v>16690</v>
      </c>
      <c r="CI46" s="155">
        <v>1002</v>
      </c>
      <c r="CJ46" s="155">
        <v>6612</v>
      </c>
      <c r="CK46" s="156">
        <v>10928</v>
      </c>
      <c r="CL46" s="320">
        <v>172248</v>
      </c>
    </row>
    <row r="47" spans="1:90">
      <c r="A47" s="80">
        <f>ROWS($A$3:A45)</f>
        <v>43</v>
      </c>
      <c r="B47" s="388" t="s">
        <v>19</v>
      </c>
      <c r="C47" s="252"/>
      <c r="D47" s="259" t="s">
        <v>241</v>
      </c>
      <c r="E47" s="447">
        <v>42887</v>
      </c>
      <c r="F47" s="154">
        <f>F125/F124</f>
        <v>254.17103882476391</v>
      </c>
      <c r="G47" s="155">
        <f>G125/G124</f>
        <v>124.05225653206651</v>
      </c>
      <c r="H47" s="155">
        <f>H125/H124</f>
        <v>59.275173611111114</v>
      </c>
      <c r="I47" s="156">
        <f>I125/I124</f>
        <v>249.14727011494253</v>
      </c>
      <c r="J47" s="281"/>
      <c r="K47" s="154">
        <f t="shared" si="74"/>
        <v>159.94630872483222</v>
      </c>
      <c r="L47" s="155">
        <f t="shared" si="75"/>
        <v>69.833333333333329</v>
      </c>
      <c r="M47" s="155">
        <f t="shared" si="76"/>
        <v>227.88163265306122</v>
      </c>
      <c r="N47" s="155">
        <f t="shared" si="77"/>
        <v>187.58571428571429</v>
      </c>
      <c r="O47" s="155">
        <f t="shared" si="78"/>
        <v>283.27433628318585</v>
      </c>
      <c r="P47" s="806">
        <f>IF(ISERROR((BA45*BA47+AZ45*AZ47)/P45),BA47,(BA45*BA47+AZ45*AZ47)/P45)</f>
        <v>209.41791044776119</v>
      </c>
      <c r="Q47" s="155">
        <f>'2018'!AU47</f>
        <v>173.28070175438597</v>
      </c>
      <c r="R47" s="806">
        <f>IF(ISERROR((AT47*AT45+AX45*AX47)/R45),AX47,(AT47*AT45+AX45*AX47)/R45)</f>
        <v>285.56578947368422</v>
      </c>
      <c r="S47" s="155" t="str">
        <f>AV47</f>
        <v>*</v>
      </c>
      <c r="T47" s="155">
        <f t="shared" si="80"/>
        <v>310.25</v>
      </c>
      <c r="U47" s="552">
        <f t="shared" si="80"/>
        <v>339.61764705882354</v>
      </c>
      <c r="V47" s="806">
        <f>IF(ISERROR((BG47*BG45+BJ45*BJ47)/V45),BJ47,(BG47*BG45+BJ45*BJ47)/V45)</f>
        <v>94.037037037037038</v>
      </c>
      <c r="W47" s="155">
        <f t="shared" si="81"/>
        <v>55.912280701754383</v>
      </c>
      <c r="X47" s="806">
        <f>IF(ISERROR((BH45*BH47+BI45*BI47)/X45),BI47,(BH45*BH47+BI45*BI47)/X45)</f>
        <v>54.292682926829265</v>
      </c>
      <c r="Y47" s="806">
        <f>(BK47*BK45+BN47*BN45)/Y45</f>
        <v>168.00769213294259</v>
      </c>
      <c r="Z47" s="155">
        <f t="shared" si="82"/>
        <v>199.71929824561403</v>
      </c>
      <c r="AA47" s="806">
        <f>IF(ISERROR((BO47*BO45+BQ47*BQ45)/AA45),BQ47,(BO47*BO45+BQ47*BQ45)/AA45)</f>
        <v>122.35897435897436</v>
      </c>
      <c r="AB47" s="552">
        <f t="shared" si="83"/>
        <v>48.763636363636365</v>
      </c>
      <c r="AC47" s="155">
        <f t="shared" si="84"/>
        <v>69.83552631578948</v>
      </c>
      <c r="AD47" s="155" t="str">
        <f t="shared" si="85"/>
        <v>*</v>
      </c>
      <c r="AE47" s="806">
        <f>IF(ISERROR((BS45*BS47+BT45*BT47)/AE45),BT47,(BS45*BS47+BT45*BT47)/AE45)</f>
        <v>28.674285714285713</v>
      </c>
      <c r="AF47" s="155">
        <f t="shared" si="86"/>
        <v>30.953846153846154</v>
      </c>
      <c r="AG47" s="155">
        <f t="shared" si="87"/>
        <v>36.712871287128714</v>
      </c>
      <c r="AH47" s="155">
        <f t="shared" si="88"/>
        <v>127.88333333333334</v>
      </c>
      <c r="AI47" s="155">
        <f t="shared" si="89"/>
        <v>152.45588235294119</v>
      </c>
      <c r="AJ47" s="155">
        <f t="shared" si="90"/>
        <v>67.833333333333329</v>
      </c>
      <c r="AK47" s="552">
        <f t="shared" si="91"/>
        <v>46.847999999999999</v>
      </c>
      <c r="AL47" s="155">
        <f t="shared" si="92"/>
        <v>81.962962962962962</v>
      </c>
      <c r="AM47" s="155">
        <f t="shared" si="93"/>
        <v>298.89</v>
      </c>
      <c r="AN47" s="155">
        <f t="shared" si="94"/>
        <v>128.63448275862069</v>
      </c>
      <c r="AO47" s="155">
        <f t="shared" si="95"/>
        <v>100.92727272727272</v>
      </c>
      <c r="AP47" s="155">
        <f t="shared" si="95"/>
        <v>232.02702702702703</v>
      </c>
      <c r="AQ47" s="155">
        <f t="shared" si="96"/>
        <v>241.35680751173709</v>
      </c>
      <c r="AR47" s="155">
        <f t="shared" si="97"/>
        <v>148.87142857142857</v>
      </c>
      <c r="AS47" s="532">
        <f>(CF45*CF47+CG45*CG47)/AS45</f>
        <v>333.01720199538875</v>
      </c>
      <c r="AT47" s="155" t="s">
        <v>58</v>
      </c>
      <c r="AU47" s="155">
        <f t="shared" ref="AU47:CJ47" si="100">AU125/AU124</f>
        <v>173.28070175438597</v>
      </c>
      <c r="AV47" s="155" t="s">
        <v>233</v>
      </c>
      <c r="AW47" s="155">
        <f t="shared" si="100"/>
        <v>187.58571428571429</v>
      </c>
      <c r="AX47" s="155">
        <f t="shared" si="100"/>
        <v>285.56578947368422</v>
      </c>
      <c r="AY47" s="155">
        <f t="shared" si="100"/>
        <v>69.833333333333329</v>
      </c>
      <c r="AZ47" s="155" t="s">
        <v>58</v>
      </c>
      <c r="BA47" s="155">
        <f t="shared" si="100"/>
        <v>209.41791044776119</v>
      </c>
      <c r="BB47" s="155">
        <f t="shared" si="100"/>
        <v>310.25</v>
      </c>
      <c r="BC47" s="155">
        <f t="shared" si="100"/>
        <v>339.61764705882354</v>
      </c>
      <c r="BD47" s="155">
        <f t="shared" si="100"/>
        <v>227.88163265306122</v>
      </c>
      <c r="BE47" s="155">
        <f t="shared" si="100"/>
        <v>283.27433628318585</v>
      </c>
      <c r="BF47" s="552">
        <f t="shared" si="100"/>
        <v>159.94630872483222</v>
      </c>
      <c r="BG47" s="155" t="s">
        <v>58</v>
      </c>
      <c r="BH47" s="155" t="s">
        <v>233</v>
      </c>
      <c r="BI47" s="155">
        <f t="shared" si="100"/>
        <v>54.292682926829265</v>
      </c>
      <c r="BJ47" s="155">
        <f t="shared" si="100"/>
        <v>94.037037037037038</v>
      </c>
      <c r="BK47" s="155">
        <f t="shared" si="100"/>
        <v>82.2</v>
      </c>
      <c r="BL47" s="155" t="s">
        <v>58</v>
      </c>
      <c r="BM47" s="155">
        <f t="shared" si="100"/>
        <v>199.71929824561403</v>
      </c>
      <c r="BN47" s="155">
        <f t="shared" si="100"/>
        <v>170.27397260273972</v>
      </c>
      <c r="BO47" s="155" t="s">
        <v>58</v>
      </c>
      <c r="BP47" s="155">
        <f t="shared" si="100"/>
        <v>48.763636363636365</v>
      </c>
      <c r="BQ47" s="155">
        <f t="shared" si="100"/>
        <v>122.35897435897436</v>
      </c>
      <c r="BR47" s="552">
        <f t="shared" si="100"/>
        <v>55.912280701754383</v>
      </c>
      <c r="BS47" s="155" t="s">
        <v>233</v>
      </c>
      <c r="BT47" s="155">
        <f t="shared" si="100"/>
        <v>28.674285714285713</v>
      </c>
      <c r="BU47" s="155" t="s">
        <v>233</v>
      </c>
      <c r="BV47" s="155">
        <f t="shared" si="100"/>
        <v>36.712871287128714</v>
      </c>
      <c r="BW47" s="155">
        <f t="shared" si="100"/>
        <v>152.45588235294119</v>
      </c>
      <c r="BX47" s="155">
        <f t="shared" si="100"/>
        <v>69.83552631578948</v>
      </c>
      <c r="BY47" s="155">
        <f t="shared" si="100"/>
        <v>67.833333333333329</v>
      </c>
      <c r="BZ47" s="155">
        <f t="shared" si="100"/>
        <v>127.88333333333334</v>
      </c>
      <c r="CA47" s="155">
        <f t="shared" si="100"/>
        <v>30.953846153846154</v>
      </c>
      <c r="CB47" s="552">
        <f t="shared" si="100"/>
        <v>46.847999999999999</v>
      </c>
      <c r="CC47" s="155">
        <f t="shared" si="100"/>
        <v>100.92727272727272</v>
      </c>
      <c r="CD47" s="155">
        <f t="shared" si="100"/>
        <v>232.02702702702703</v>
      </c>
      <c r="CE47" s="155">
        <f t="shared" si="100"/>
        <v>81.962962962962962</v>
      </c>
      <c r="CF47" s="155">
        <f t="shared" si="100"/>
        <v>512.31818181818187</v>
      </c>
      <c r="CG47" s="155">
        <f t="shared" si="100"/>
        <v>320.36281179138319</v>
      </c>
      <c r="CH47" s="155">
        <f t="shared" si="100"/>
        <v>298.89</v>
      </c>
      <c r="CI47" s="155">
        <f t="shared" si="100"/>
        <v>148.87142857142857</v>
      </c>
      <c r="CJ47" s="155">
        <f t="shared" si="100"/>
        <v>128.63448275862069</v>
      </c>
      <c r="CK47" s="156">
        <f>CK125/CK124</f>
        <v>241.35680751173709</v>
      </c>
      <c r="CL47" s="320">
        <f>CL125/CL124</f>
        <v>195.39601724491891</v>
      </c>
    </row>
    <row r="48" spans="1:90">
      <c r="A48" s="80">
        <f>ROWS($A$3:A46)</f>
        <v>44</v>
      </c>
      <c r="B48" s="196" t="s">
        <v>239</v>
      </c>
      <c r="C48" s="202">
        <v>2016</v>
      </c>
      <c r="D48" s="259" t="s">
        <v>7</v>
      </c>
      <c r="E48" s="447">
        <v>42887</v>
      </c>
      <c r="F48" s="154">
        <v>19387</v>
      </c>
      <c r="G48" s="155">
        <v>11644</v>
      </c>
      <c r="H48" s="155">
        <v>14061</v>
      </c>
      <c r="I48" s="156">
        <v>17164</v>
      </c>
      <c r="J48" s="281"/>
      <c r="K48" s="154">
        <f t="shared" si="74"/>
        <v>3185</v>
      </c>
      <c r="L48" s="155">
        <f t="shared" si="75"/>
        <v>2171</v>
      </c>
      <c r="M48" s="155">
        <f t="shared" si="76"/>
        <v>905</v>
      </c>
      <c r="N48" s="155">
        <f t="shared" si="77"/>
        <v>1846</v>
      </c>
      <c r="O48" s="155">
        <f t="shared" si="78"/>
        <v>665</v>
      </c>
      <c r="P48" s="155">
        <f>'2018'!BA48</f>
        <v>1508</v>
      </c>
      <c r="Q48" s="155">
        <f>'2018'!AU48</f>
        <v>2195</v>
      </c>
      <c r="R48" s="155">
        <f>AX48</f>
        <v>1998</v>
      </c>
      <c r="S48" s="155">
        <f t="shared" si="79"/>
        <v>2667</v>
      </c>
      <c r="T48" s="155">
        <f t="shared" si="80"/>
        <v>687</v>
      </c>
      <c r="U48" s="552">
        <f t="shared" si="80"/>
        <v>1360</v>
      </c>
      <c r="V48" s="155">
        <f>BG48+BJ48</f>
        <v>909</v>
      </c>
      <c r="W48" s="155">
        <f t="shared" si="81"/>
        <v>850</v>
      </c>
      <c r="X48" s="155">
        <f>BH48+BI48</f>
        <v>2783</v>
      </c>
      <c r="Y48" s="155">
        <f>BK48+BL48+BN48</f>
        <v>2728</v>
      </c>
      <c r="Z48" s="155">
        <f t="shared" si="82"/>
        <v>1662</v>
      </c>
      <c r="AA48" s="155">
        <f>BO48+BQ48</f>
        <v>1410</v>
      </c>
      <c r="AB48" s="552">
        <f t="shared" si="83"/>
        <v>1302</v>
      </c>
      <c r="AC48" s="155">
        <f t="shared" si="84"/>
        <v>1095</v>
      </c>
      <c r="AD48" s="155">
        <f t="shared" si="85"/>
        <v>891</v>
      </c>
      <c r="AE48" s="155">
        <f>BS48+BT48</f>
        <v>2480</v>
      </c>
      <c r="AF48" s="155">
        <f t="shared" si="86"/>
        <v>1866</v>
      </c>
      <c r="AG48" s="155">
        <f t="shared" si="87"/>
        <v>1647</v>
      </c>
      <c r="AH48" s="155">
        <f t="shared" si="88"/>
        <v>1984</v>
      </c>
      <c r="AI48" s="155">
        <f t="shared" si="89"/>
        <v>968</v>
      </c>
      <c r="AJ48" s="155">
        <f t="shared" si="90"/>
        <v>729</v>
      </c>
      <c r="AK48" s="552">
        <f t="shared" si="91"/>
        <v>2401</v>
      </c>
      <c r="AL48" s="155">
        <f t="shared" si="92"/>
        <v>1654</v>
      </c>
      <c r="AM48" s="155">
        <f t="shared" si="93"/>
        <v>2123</v>
      </c>
      <c r="AN48" s="155">
        <f t="shared" si="94"/>
        <v>3599</v>
      </c>
      <c r="AO48" s="155">
        <f t="shared" si="95"/>
        <v>2927</v>
      </c>
      <c r="AP48" s="155">
        <f t="shared" si="95"/>
        <v>1187</v>
      </c>
      <c r="AQ48" s="155">
        <f t="shared" si="96"/>
        <v>1617</v>
      </c>
      <c r="AR48" s="155">
        <f t="shared" si="97"/>
        <v>1656</v>
      </c>
      <c r="AS48" s="156">
        <f>CF48+CG48</f>
        <v>2401</v>
      </c>
      <c r="AT48" s="155" t="s">
        <v>304</v>
      </c>
      <c r="AU48" s="155">
        <v>2195</v>
      </c>
      <c r="AV48" s="155">
        <v>2667</v>
      </c>
      <c r="AW48" s="155">
        <v>1846</v>
      </c>
      <c r="AX48" s="155">
        <v>1998</v>
      </c>
      <c r="AY48" s="155">
        <v>2171</v>
      </c>
      <c r="AZ48" s="155" t="s">
        <v>304</v>
      </c>
      <c r="BA48" s="155">
        <v>1508</v>
      </c>
      <c r="BB48" s="155">
        <v>687</v>
      </c>
      <c r="BC48" s="155">
        <v>1360</v>
      </c>
      <c r="BD48" s="155">
        <v>905</v>
      </c>
      <c r="BE48" s="155">
        <v>665</v>
      </c>
      <c r="BF48" s="552">
        <v>3185</v>
      </c>
      <c r="BG48" s="155">
        <v>64</v>
      </c>
      <c r="BH48" s="155">
        <v>132</v>
      </c>
      <c r="BI48" s="155">
        <v>2651</v>
      </c>
      <c r="BJ48" s="155">
        <v>845</v>
      </c>
      <c r="BK48" s="155">
        <v>52</v>
      </c>
      <c r="BL48" s="155">
        <v>452</v>
      </c>
      <c r="BM48" s="155">
        <v>1662</v>
      </c>
      <c r="BN48" s="155">
        <v>2224</v>
      </c>
      <c r="BO48" s="155">
        <v>96</v>
      </c>
      <c r="BP48" s="155">
        <v>1302</v>
      </c>
      <c r="BQ48" s="155">
        <v>1314</v>
      </c>
      <c r="BR48" s="552">
        <v>850</v>
      </c>
      <c r="BS48" s="155">
        <v>263</v>
      </c>
      <c r="BT48" s="155">
        <v>2217</v>
      </c>
      <c r="BU48" s="155">
        <v>891</v>
      </c>
      <c r="BV48" s="155">
        <v>1647</v>
      </c>
      <c r="BW48" s="155">
        <v>968</v>
      </c>
      <c r="BX48" s="155">
        <v>1095</v>
      </c>
      <c r="BY48" s="155">
        <v>729</v>
      </c>
      <c r="BZ48" s="155">
        <v>1984</v>
      </c>
      <c r="CA48" s="155">
        <v>1866</v>
      </c>
      <c r="CB48" s="552">
        <v>2401</v>
      </c>
      <c r="CC48" s="155">
        <v>2927</v>
      </c>
      <c r="CD48" s="155">
        <v>1187</v>
      </c>
      <c r="CE48" s="155">
        <v>1654</v>
      </c>
      <c r="CF48" s="155">
        <v>258</v>
      </c>
      <c r="CG48" s="155">
        <v>2143</v>
      </c>
      <c r="CH48" s="155">
        <v>2123</v>
      </c>
      <c r="CI48" s="155">
        <v>1656</v>
      </c>
      <c r="CJ48" s="155">
        <v>3599</v>
      </c>
      <c r="CK48" s="156">
        <v>1617</v>
      </c>
      <c r="CL48" s="320">
        <v>62256</v>
      </c>
    </row>
    <row r="49" spans="1:90">
      <c r="A49" s="80">
        <f>ROWS($A$3:A47)</f>
        <v>45</v>
      </c>
      <c r="B49" s="92" t="s">
        <v>75</v>
      </c>
      <c r="C49" s="202">
        <v>2016</v>
      </c>
      <c r="D49" s="259" t="s">
        <v>7</v>
      </c>
      <c r="E49" s="447">
        <v>42887</v>
      </c>
      <c r="F49" s="154">
        <v>88966</v>
      </c>
      <c r="G49" s="155">
        <v>37847</v>
      </c>
      <c r="H49" s="155">
        <v>46150</v>
      </c>
      <c r="I49" s="156">
        <v>70595</v>
      </c>
      <c r="J49" s="281"/>
      <c r="K49" s="154">
        <f t="shared" si="74"/>
        <v>10007</v>
      </c>
      <c r="L49" s="155">
        <f t="shared" si="75"/>
        <v>7356</v>
      </c>
      <c r="M49" s="155">
        <f t="shared" si="76"/>
        <v>3794</v>
      </c>
      <c r="N49" s="155">
        <f t="shared" si="77"/>
        <v>10735</v>
      </c>
      <c r="O49" s="155">
        <f t="shared" si="78"/>
        <v>9940</v>
      </c>
      <c r="P49" s="155">
        <f>'2018'!BA49</f>
        <v>9714</v>
      </c>
      <c r="Q49" s="155">
        <f>'2018'!AU49</f>
        <v>4992</v>
      </c>
      <c r="R49" s="155">
        <f>AX49</f>
        <v>2478</v>
      </c>
      <c r="S49" s="155">
        <f t="shared" si="79"/>
        <v>13335</v>
      </c>
      <c r="T49" s="155">
        <f t="shared" si="80"/>
        <v>4598</v>
      </c>
      <c r="U49" s="552">
        <f t="shared" si="80"/>
        <v>11970</v>
      </c>
      <c r="V49" s="155">
        <f>BG49+BJ49</f>
        <v>4376</v>
      </c>
      <c r="W49" s="155">
        <f t="shared" si="81"/>
        <v>8282</v>
      </c>
      <c r="X49" s="155">
        <f>BH49+BI49</f>
        <v>4500</v>
      </c>
      <c r="Y49" s="155">
        <f>BN49</f>
        <v>4293</v>
      </c>
      <c r="Z49" s="155">
        <f t="shared" si="82"/>
        <v>2407</v>
      </c>
      <c r="AA49" s="155">
        <f>BQ49</f>
        <v>1704</v>
      </c>
      <c r="AB49" s="552">
        <f t="shared" si="83"/>
        <v>11540</v>
      </c>
      <c r="AC49" s="155">
        <f t="shared" si="84"/>
        <v>3319</v>
      </c>
      <c r="AD49" s="155">
        <f t="shared" si="85"/>
        <v>2192</v>
      </c>
      <c r="AE49" s="155">
        <f>BS49+BT49</f>
        <v>8937</v>
      </c>
      <c r="AF49" s="155">
        <f t="shared" si="86"/>
        <v>4375</v>
      </c>
      <c r="AG49" s="155">
        <f t="shared" si="87"/>
        <v>6491</v>
      </c>
      <c r="AH49" s="155">
        <f t="shared" si="88"/>
        <v>4388</v>
      </c>
      <c r="AI49" s="155">
        <f t="shared" si="89"/>
        <v>7360</v>
      </c>
      <c r="AJ49" s="155">
        <f t="shared" si="90"/>
        <v>5083</v>
      </c>
      <c r="AK49" s="552">
        <f t="shared" si="91"/>
        <v>4005</v>
      </c>
      <c r="AL49" s="155">
        <f t="shared" si="92"/>
        <v>15072</v>
      </c>
      <c r="AM49" s="155">
        <f t="shared" si="93"/>
        <v>3505</v>
      </c>
      <c r="AN49" s="155">
        <f t="shared" si="94"/>
        <v>5279</v>
      </c>
      <c r="AO49" s="155">
        <f t="shared" si="95"/>
        <v>19763</v>
      </c>
      <c r="AP49" s="155">
        <f t="shared" si="95"/>
        <v>6568</v>
      </c>
      <c r="AQ49" s="155">
        <f t="shared" si="96"/>
        <v>3887</v>
      </c>
      <c r="AR49" s="155">
        <f t="shared" si="97"/>
        <v>4296</v>
      </c>
      <c r="AS49" s="156">
        <f>CG49</f>
        <v>12104</v>
      </c>
      <c r="AT49" s="155" t="s">
        <v>304</v>
      </c>
      <c r="AU49" s="155">
        <v>4992</v>
      </c>
      <c r="AV49" s="155">
        <v>13335</v>
      </c>
      <c r="AW49" s="155">
        <v>10735</v>
      </c>
      <c r="AX49" s="155">
        <v>2478</v>
      </c>
      <c r="AY49" s="155">
        <v>7356</v>
      </c>
      <c r="AZ49" s="155" t="s">
        <v>304</v>
      </c>
      <c r="BA49" s="155">
        <v>9714</v>
      </c>
      <c r="BB49" s="155">
        <v>4598</v>
      </c>
      <c r="BC49" s="155">
        <v>11970</v>
      </c>
      <c r="BD49" s="155">
        <v>3794</v>
      </c>
      <c r="BE49" s="155">
        <v>9940</v>
      </c>
      <c r="BF49" s="552">
        <v>10007</v>
      </c>
      <c r="BG49" s="155">
        <v>1726</v>
      </c>
      <c r="BH49" s="155">
        <v>153</v>
      </c>
      <c r="BI49" s="155">
        <v>4347</v>
      </c>
      <c r="BJ49" s="155">
        <v>2650</v>
      </c>
      <c r="BK49" s="155" t="s">
        <v>304</v>
      </c>
      <c r="BL49" s="155" t="s">
        <v>304</v>
      </c>
      <c r="BM49" s="155">
        <v>2407</v>
      </c>
      <c r="BN49" s="155">
        <v>4293</v>
      </c>
      <c r="BO49" s="155">
        <v>554</v>
      </c>
      <c r="BP49" s="155">
        <v>11540</v>
      </c>
      <c r="BQ49" s="155">
        <v>1704</v>
      </c>
      <c r="BR49" s="552">
        <v>8282</v>
      </c>
      <c r="BS49" s="155">
        <v>3087</v>
      </c>
      <c r="BT49" s="155">
        <v>5850</v>
      </c>
      <c r="BU49" s="155">
        <v>2192</v>
      </c>
      <c r="BV49" s="155">
        <v>6491</v>
      </c>
      <c r="BW49" s="155">
        <v>7360</v>
      </c>
      <c r="BX49" s="155">
        <v>3319</v>
      </c>
      <c r="BY49" s="155">
        <v>5083</v>
      </c>
      <c r="BZ49" s="155">
        <v>4388</v>
      </c>
      <c r="CA49" s="155">
        <v>4375</v>
      </c>
      <c r="CB49" s="552">
        <v>4005</v>
      </c>
      <c r="CC49" s="155">
        <v>19763</v>
      </c>
      <c r="CD49" s="155">
        <v>6568</v>
      </c>
      <c r="CE49" s="155">
        <v>15072</v>
      </c>
      <c r="CF49" s="155">
        <v>121</v>
      </c>
      <c r="CG49" s="155">
        <v>12104</v>
      </c>
      <c r="CH49" s="155">
        <v>3505</v>
      </c>
      <c r="CI49" s="155">
        <v>4296</v>
      </c>
      <c r="CJ49" s="155">
        <v>5279</v>
      </c>
      <c r="CK49" s="156">
        <v>3887</v>
      </c>
      <c r="CL49" s="320">
        <v>243558</v>
      </c>
    </row>
    <row r="50" spans="1:90">
      <c r="A50" s="80">
        <f>ROWS($A$3:A48)</f>
        <v>46</v>
      </c>
      <c r="B50" s="52" t="s">
        <v>76</v>
      </c>
      <c r="C50" s="202">
        <v>2016</v>
      </c>
      <c r="D50" s="259" t="s">
        <v>21</v>
      </c>
      <c r="E50" s="447">
        <v>42888</v>
      </c>
      <c r="F50" s="154">
        <v>61.56</v>
      </c>
      <c r="G50" s="155">
        <v>33.86</v>
      </c>
      <c r="H50" s="155">
        <v>56.13</v>
      </c>
      <c r="I50" s="156">
        <v>78.58</v>
      </c>
      <c r="J50" s="281"/>
      <c r="K50" s="154">
        <f t="shared" si="74"/>
        <v>107.60000000000001</v>
      </c>
      <c r="L50" s="155">
        <f t="shared" si="75"/>
        <v>78.5</v>
      </c>
      <c r="M50" s="155">
        <f t="shared" si="76"/>
        <v>37.6</v>
      </c>
      <c r="N50" s="155">
        <f t="shared" si="77"/>
        <v>96</v>
      </c>
      <c r="O50" s="155">
        <f t="shared" si="78"/>
        <v>76.8</v>
      </c>
      <c r="P50" s="531">
        <f>(AZ50*AZ35+BA50*BA35)/P35</f>
        <v>24.154275477158411</v>
      </c>
      <c r="Q50" s="155">
        <f>'2018'!AU50</f>
        <v>48.699999999999996</v>
      </c>
      <c r="R50" s="531">
        <f>(AT50*AT35+AX50*AX35)/R35</f>
        <v>47.415034383954151</v>
      </c>
      <c r="S50" s="155">
        <f t="shared" si="79"/>
        <v>51.7</v>
      </c>
      <c r="T50" s="155">
        <f t="shared" si="80"/>
        <v>74.599999999999994</v>
      </c>
      <c r="U50" s="552">
        <f t="shared" si="80"/>
        <v>116.10000000000001</v>
      </c>
      <c r="V50" s="531">
        <f>(BG50*BG35+BJ50*BJ35)/V35</f>
        <v>21.771964679911701</v>
      </c>
      <c r="W50" s="155">
        <f t="shared" si="81"/>
        <v>57.699999999999996</v>
      </c>
      <c r="X50" s="531">
        <f>(BH50*BH35+BI50*BI35)/X35</f>
        <v>18.946813229666823</v>
      </c>
      <c r="Y50" s="531">
        <f>(BK50*BK35+BL50*BL35+BN50*BN35)/Y35</f>
        <v>32.920552478569618</v>
      </c>
      <c r="Z50" s="155">
        <f t="shared" si="82"/>
        <v>47.8</v>
      </c>
      <c r="AA50" s="531">
        <f>(BO50*BO35+BQ50*BQ35)/AA35</f>
        <v>47.88103774959918</v>
      </c>
      <c r="AB50" s="552">
        <f t="shared" si="83"/>
        <v>67.400000000000006</v>
      </c>
      <c r="AC50" s="155">
        <f t="shared" si="84"/>
        <v>71.099999999999994</v>
      </c>
      <c r="AD50" s="155">
        <f t="shared" si="85"/>
        <v>51.6</v>
      </c>
      <c r="AE50" s="531">
        <f>(BS50*BS35+BT50*BT35)/AE35</f>
        <v>49.55497801864626</v>
      </c>
      <c r="AF50" s="155">
        <f t="shared" si="86"/>
        <v>57.099999999999994</v>
      </c>
      <c r="AG50" s="155">
        <f t="shared" si="87"/>
        <v>44.2</v>
      </c>
      <c r="AH50" s="155">
        <f t="shared" si="88"/>
        <v>67.2</v>
      </c>
      <c r="AI50" s="155">
        <f t="shared" si="89"/>
        <v>57.999999999999993</v>
      </c>
      <c r="AJ50" s="155">
        <f t="shared" si="90"/>
        <v>60</v>
      </c>
      <c r="AK50" s="552">
        <f t="shared" si="91"/>
        <v>76.2</v>
      </c>
      <c r="AL50" s="155">
        <f t="shared" si="92"/>
        <v>41.3</v>
      </c>
      <c r="AM50" s="155">
        <f t="shared" si="93"/>
        <v>112.3</v>
      </c>
      <c r="AN50" s="155">
        <f t="shared" si="94"/>
        <v>141.30000000000001</v>
      </c>
      <c r="AO50" s="155">
        <f t="shared" si="95"/>
        <v>62</v>
      </c>
      <c r="AP50" s="155">
        <f t="shared" si="95"/>
        <v>38.299999999999997</v>
      </c>
      <c r="AQ50" s="155">
        <f t="shared" si="96"/>
        <v>72.599999999999994</v>
      </c>
      <c r="AR50" s="155">
        <f t="shared" si="97"/>
        <v>61.7</v>
      </c>
      <c r="AS50" s="532">
        <f>(CF50*CF35+CG50*CG35)/AS35</f>
        <v>89.070658448169155</v>
      </c>
      <c r="AT50" s="466">
        <v>36</v>
      </c>
      <c r="AU50" s="466">
        <v>48.699999999999996</v>
      </c>
      <c r="AV50" s="466">
        <v>51.7</v>
      </c>
      <c r="AW50" s="466">
        <v>96</v>
      </c>
      <c r="AX50" s="466">
        <v>48.3</v>
      </c>
      <c r="AY50" s="466">
        <v>78.5</v>
      </c>
      <c r="AZ50" s="466">
        <v>2.6</v>
      </c>
      <c r="BA50" s="466">
        <v>25.8</v>
      </c>
      <c r="BB50" s="466">
        <v>74.599999999999994</v>
      </c>
      <c r="BC50" s="466">
        <v>116.10000000000001</v>
      </c>
      <c r="BD50" s="466">
        <v>37.6</v>
      </c>
      <c r="BE50" s="466">
        <v>76.8</v>
      </c>
      <c r="BF50" s="558">
        <v>107.60000000000001</v>
      </c>
      <c r="BG50" s="466">
        <v>24.3</v>
      </c>
      <c r="BH50" s="466">
        <v>15.2</v>
      </c>
      <c r="BI50" s="466">
        <v>19.2</v>
      </c>
      <c r="BJ50" s="466">
        <v>21.5</v>
      </c>
      <c r="BK50" s="466">
        <v>24.9</v>
      </c>
      <c r="BL50" s="466">
        <v>15.6</v>
      </c>
      <c r="BM50" s="466">
        <v>47.8</v>
      </c>
      <c r="BN50" s="466">
        <v>34.599999999999994</v>
      </c>
      <c r="BO50" s="466">
        <v>29.299999999999997</v>
      </c>
      <c r="BP50" s="466">
        <v>67.400000000000006</v>
      </c>
      <c r="BQ50" s="466">
        <v>48.8</v>
      </c>
      <c r="BR50" s="558">
        <v>57.699999999999996</v>
      </c>
      <c r="BS50" s="466">
        <v>24.6</v>
      </c>
      <c r="BT50" s="466">
        <v>51.300000000000004</v>
      </c>
      <c r="BU50" s="466">
        <v>51.6</v>
      </c>
      <c r="BV50" s="466">
        <v>44.2</v>
      </c>
      <c r="BW50" s="466">
        <v>57.999999999999993</v>
      </c>
      <c r="BX50" s="466">
        <v>71.099999999999994</v>
      </c>
      <c r="BY50" s="466">
        <v>60</v>
      </c>
      <c r="BZ50" s="466">
        <v>67.2</v>
      </c>
      <c r="CA50" s="466">
        <v>57.099999999999994</v>
      </c>
      <c r="CB50" s="558">
        <v>76.2</v>
      </c>
      <c r="CC50" s="466">
        <v>62</v>
      </c>
      <c r="CD50" s="466">
        <v>38.299999999999997</v>
      </c>
      <c r="CE50" s="466">
        <v>41.3</v>
      </c>
      <c r="CF50" s="466">
        <v>88.6</v>
      </c>
      <c r="CG50" s="466">
        <v>89.1</v>
      </c>
      <c r="CH50" s="466">
        <v>112.3</v>
      </c>
      <c r="CI50" s="466">
        <v>61.7</v>
      </c>
      <c r="CJ50" s="466">
        <v>141.30000000000001</v>
      </c>
      <c r="CK50" s="466">
        <v>72.599999999999994</v>
      </c>
      <c r="CL50" s="319">
        <v>76</v>
      </c>
    </row>
    <row r="51" spans="1:90">
      <c r="A51" s="80">
        <f>ROWS($A$3:A49)</f>
        <v>47</v>
      </c>
      <c r="B51" s="388" t="s">
        <v>92</v>
      </c>
      <c r="C51" s="584">
        <v>2017</v>
      </c>
      <c r="D51" s="259" t="s">
        <v>9</v>
      </c>
      <c r="E51" s="483">
        <v>43556</v>
      </c>
      <c r="F51" s="541">
        <v>7301</v>
      </c>
      <c r="G51" s="542">
        <v>7309</v>
      </c>
      <c r="H51" s="542">
        <v>6623</v>
      </c>
      <c r="I51" s="543">
        <v>7489</v>
      </c>
      <c r="J51" s="281"/>
      <c r="K51" s="541">
        <f t="shared" si="74"/>
        <v>7786</v>
      </c>
      <c r="L51" s="542">
        <f t="shared" si="75"/>
        <v>7148</v>
      </c>
      <c r="M51" s="542">
        <f t="shared" si="76"/>
        <v>7520</v>
      </c>
      <c r="N51" s="542">
        <f t="shared" si="77"/>
        <v>6679</v>
      </c>
      <c r="O51" s="542">
        <f t="shared" si="78"/>
        <v>6529</v>
      </c>
      <c r="P51" s="531">
        <f>IF(ISERROR(P95/P42)=TRUE,0,ROUND(P95/P42*1000,0))</f>
        <v>6360</v>
      </c>
      <c r="Q51" s="542">
        <f>'2010'!AU51</f>
        <v>4651</v>
      </c>
      <c r="R51" s="531">
        <f>IF(ISERROR(R95/R42)=TRUE,0,ROUND(R95/R42*1000,0))</f>
        <v>6478</v>
      </c>
      <c r="S51" s="542">
        <f t="shared" si="79"/>
        <v>6415</v>
      </c>
      <c r="T51" s="542">
        <f t="shared" si="80"/>
        <v>7332</v>
      </c>
      <c r="U51" s="554">
        <f t="shared" si="80"/>
        <v>7270</v>
      </c>
      <c r="V51" s="531">
        <f>IF(ISERROR(V95/V42)=TRUE,0,ROUND(V95/V42*1000,0))</f>
        <v>2004</v>
      </c>
      <c r="W51" s="542">
        <f t="shared" si="81"/>
        <v>6932</v>
      </c>
      <c r="X51" s="531">
        <f>IF(ISERROR(X95/X42)=TRUE,0,ROUND(X95/X42*1000,0))</f>
        <v>3116</v>
      </c>
      <c r="Y51" s="531">
        <f>IF(ISERROR(Y95/Y42)=TRUE,0,ROUND(Y95/Y42*1000,0))</f>
        <v>5446</v>
      </c>
      <c r="Z51" s="542">
        <f t="shared" si="82"/>
        <v>7664</v>
      </c>
      <c r="AA51" s="531">
        <f>IF(ISERROR(AA95/AA42)=TRUE,0,ROUND(AA95/AA42*1000,0))</f>
        <v>4892</v>
      </c>
      <c r="AB51" s="554">
        <f t="shared" si="83"/>
        <v>7331</v>
      </c>
      <c r="AC51" s="542">
        <f t="shared" si="84"/>
        <v>6510</v>
      </c>
      <c r="AD51" s="542">
        <f t="shared" si="85"/>
        <v>5980</v>
      </c>
      <c r="AE51" s="531">
        <f>IF(ISERROR(AE95/AE42)=TRUE,0,ROUND(AE95/AE42*1000,0))</f>
        <v>4378</v>
      </c>
      <c r="AF51" s="542">
        <f t="shared" si="86"/>
        <v>6181</v>
      </c>
      <c r="AG51" s="542">
        <f t="shared" si="87"/>
        <v>5641</v>
      </c>
      <c r="AH51" s="542">
        <f t="shared" si="88"/>
        <v>7354</v>
      </c>
      <c r="AI51" s="542">
        <f t="shared" si="89"/>
        <v>6302</v>
      </c>
      <c r="AJ51" s="542">
        <f t="shared" si="90"/>
        <v>7394</v>
      </c>
      <c r="AK51" s="554">
        <f t="shared" si="91"/>
        <v>7114</v>
      </c>
      <c r="AL51" s="542">
        <f t="shared" si="92"/>
        <v>7506</v>
      </c>
      <c r="AM51" s="542">
        <f t="shared" si="93"/>
        <v>7468</v>
      </c>
      <c r="AN51" s="542">
        <f t="shared" si="94"/>
        <v>7590</v>
      </c>
      <c r="AO51" s="542">
        <f t="shared" si="95"/>
        <v>7096</v>
      </c>
      <c r="AP51" s="542">
        <f t="shared" si="95"/>
        <v>7302</v>
      </c>
      <c r="AQ51" s="542">
        <f t="shared" si="96"/>
        <v>7698</v>
      </c>
      <c r="AR51" s="542">
        <f t="shared" si="97"/>
        <v>7069</v>
      </c>
      <c r="AS51" s="532">
        <f>IF(ISERROR(AS95/AS42)=TRUE,0,ROUND(AS95/AS42*1000,0))</f>
        <v>6053</v>
      </c>
      <c r="AT51" s="542" t="s">
        <v>233</v>
      </c>
      <c r="AU51" s="542">
        <v>7283</v>
      </c>
      <c r="AV51" s="542">
        <v>6415</v>
      </c>
      <c r="AW51" s="542">
        <v>6679</v>
      </c>
      <c r="AX51" s="542">
        <v>7597</v>
      </c>
      <c r="AY51" s="542">
        <v>7148</v>
      </c>
      <c r="AZ51" s="542" t="s">
        <v>233</v>
      </c>
      <c r="BA51" s="542">
        <v>7763</v>
      </c>
      <c r="BB51" s="542">
        <v>7332</v>
      </c>
      <c r="BC51" s="542">
        <v>7270</v>
      </c>
      <c r="BD51" s="542">
        <v>7520</v>
      </c>
      <c r="BE51" s="542">
        <v>6529</v>
      </c>
      <c r="BF51" s="562">
        <v>7786</v>
      </c>
      <c r="BG51" s="542" t="s">
        <v>233</v>
      </c>
      <c r="BH51" s="542" t="s">
        <v>233</v>
      </c>
      <c r="BI51" s="542">
        <v>6215</v>
      </c>
      <c r="BJ51" s="542">
        <v>4027</v>
      </c>
      <c r="BK51" s="542" t="s">
        <v>233</v>
      </c>
      <c r="BL51" s="542" t="s">
        <v>233</v>
      </c>
      <c r="BM51" s="542">
        <v>7664</v>
      </c>
      <c r="BN51" s="542">
        <v>8088</v>
      </c>
      <c r="BO51" s="542" t="s">
        <v>233</v>
      </c>
      <c r="BP51" s="542">
        <v>7331</v>
      </c>
      <c r="BQ51" s="542">
        <v>6879</v>
      </c>
      <c r="BR51" s="562">
        <v>6932</v>
      </c>
      <c r="BS51" s="542" t="s">
        <v>233</v>
      </c>
      <c r="BT51" s="542">
        <v>6212</v>
      </c>
      <c r="BU51" s="542">
        <v>5980</v>
      </c>
      <c r="BV51" s="542">
        <v>5641</v>
      </c>
      <c r="BW51" s="542">
        <v>6302</v>
      </c>
      <c r="BX51" s="542">
        <v>6510</v>
      </c>
      <c r="BY51" s="542">
        <v>7394</v>
      </c>
      <c r="BZ51" s="542">
        <v>7354</v>
      </c>
      <c r="CA51" s="542">
        <v>6181</v>
      </c>
      <c r="CB51" s="562">
        <v>7114</v>
      </c>
      <c r="CC51" s="542">
        <v>7096</v>
      </c>
      <c r="CD51" s="542">
        <v>7302</v>
      </c>
      <c r="CE51" s="542">
        <v>7506</v>
      </c>
      <c r="CF51" s="542" t="s">
        <v>233</v>
      </c>
      <c r="CG51" s="542">
        <v>7390</v>
      </c>
      <c r="CH51" s="542">
        <v>7468</v>
      </c>
      <c r="CI51" s="542">
        <v>7069</v>
      </c>
      <c r="CJ51" s="542">
        <v>7590</v>
      </c>
      <c r="CK51" s="543">
        <v>7698</v>
      </c>
      <c r="CL51" s="553">
        <v>7256</v>
      </c>
    </row>
    <row r="52" spans="1:90">
      <c r="A52" s="80">
        <f>ROWS($A$3:A50)</f>
        <v>48</v>
      </c>
      <c r="B52" s="388" t="s">
        <v>357</v>
      </c>
      <c r="C52" s="586">
        <v>2017</v>
      </c>
      <c r="D52" s="259" t="s">
        <v>358</v>
      </c>
      <c r="E52" s="483">
        <v>43556</v>
      </c>
      <c r="F52" s="536">
        <v>715.4</v>
      </c>
      <c r="G52" s="537">
        <v>170.5</v>
      </c>
      <c r="H52" s="537">
        <v>434.2</v>
      </c>
      <c r="I52" s="538">
        <v>1158</v>
      </c>
      <c r="J52" s="281"/>
      <c r="K52" s="536">
        <f t="shared" si="74"/>
        <v>196.2</v>
      </c>
      <c r="L52" s="537">
        <f t="shared" si="75"/>
        <v>49.9</v>
      </c>
      <c r="M52" s="537">
        <f t="shared" si="76"/>
        <v>47.1</v>
      </c>
      <c r="N52" s="537">
        <f t="shared" si="77"/>
        <v>72.599999999999994</v>
      </c>
      <c r="O52" s="537">
        <f t="shared" si="78"/>
        <v>45.5</v>
      </c>
      <c r="P52" s="537">
        <f>BA52</f>
        <v>27.4</v>
      </c>
      <c r="Q52" s="537">
        <f>'2009'!AU52</f>
        <v>18.2</v>
      </c>
      <c r="R52" s="537">
        <f>+AX52</f>
        <v>32.200000000000003</v>
      </c>
      <c r="S52" s="537">
        <f t="shared" si="79"/>
        <v>14.5</v>
      </c>
      <c r="T52" s="537">
        <f t="shared" si="80"/>
        <v>55.8</v>
      </c>
      <c r="U52" s="561">
        <f t="shared" si="80"/>
        <v>150.69999999999999</v>
      </c>
      <c r="V52" s="537">
        <f>BJ52</f>
        <v>1.1000000000000001</v>
      </c>
      <c r="W52" s="537">
        <f t="shared" si="81"/>
        <v>28.6</v>
      </c>
      <c r="X52" s="537">
        <f>BI52</f>
        <v>8.6</v>
      </c>
      <c r="Y52" s="537">
        <f>BN52</f>
        <v>26.2</v>
      </c>
      <c r="Z52" s="537">
        <f t="shared" si="82"/>
        <v>56.9</v>
      </c>
      <c r="AA52" s="537">
        <f>BQ52</f>
        <v>21</v>
      </c>
      <c r="AB52" s="561">
        <f t="shared" si="83"/>
        <v>28.1</v>
      </c>
      <c r="AC52" s="537">
        <f t="shared" si="84"/>
        <v>80.7</v>
      </c>
      <c r="AD52" s="537">
        <f t="shared" si="85"/>
        <v>17.8</v>
      </c>
      <c r="AE52" s="537">
        <f>BT52</f>
        <v>60</v>
      </c>
      <c r="AF52" s="537">
        <f t="shared" si="86"/>
        <v>19</v>
      </c>
      <c r="AG52" s="537">
        <f t="shared" si="87"/>
        <v>38.1</v>
      </c>
      <c r="AH52" s="537">
        <f t="shared" si="88"/>
        <v>66.5</v>
      </c>
      <c r="AI52" s="537">
        <f t="shared" si="89"/>
        <v>28.9</v>
      </c>
      <c r="AJ52" s="537">
        <f t="shared" si="90"/>
        <v>46.7</v>
      </c>
      <c r="AK52" s="561">
        <f t="shared" si="91"/>
        <v>76.3</v>
      </c>
      <c r="AL52" s="537">
        <f t="shared" si="92"/>
        <v>25.9</v>
      </c>
      <c r="AM52" s="537">
        <f t="shared" si="93"/>
        <v>248.1</v>
      </c>
      <c r="AN52" s="537">
        <f t="shared" si="94"/>
        <v>514.9</v>
      </c>
      <c r="AO52" s="537">
        <f t="shared" si="95"/>
        <v>56.4</v>
      </c>
      <c r="AP52" s="537">
        <f t="shared" si="95"/>
        <v>11.3</v>
      </c>
      <c r="AQ52" s="537">
        <f t="shared" si="96"/>
        <v>99.9</v>
      </c>
      <c r="AR52" s="537">
        <f t="shared" si="97"/>
        <v>60.8</v>
      </c>
      <c r="AS52" s="538">
        <f>CG52</f>
        <v>140.6</v>
      </c>
      <c r="AT52" s="537" t="s">
        <v>233</v>
      </c>
      <c r="AU52" s="537">
        <v>21.5</v>
      </c>
      <c r="AV52" s="537">
        <v>14.5</v>
      </c>
      <c r="AW52" s="537">
        <v>72.599999999999994</v>
      </c>
      <c r="AX52" s="537">
        <v>32.200000000000003</v>
      </c>
      <c r="AY52" s="537">
        <v>49.9</v>
      </c>
      <c r="AZ52" s="537" t="s">
        <v>233</v>
      </c>
      <c r="BA52" s="537">
        <v>27.4</v>
      </c>
      <c r="BB52" s="537">
        <v>55.8</v>
      </c>
      <c r="BC52" s="537">
        <v>150.69999999999999</v>
      </c>
      <c r="BD52" s="537">
        <v>47.1</v>
      </c>
      <c r="BE52" s="537">
        <v>45.5</v>
      </c>
      <c r="BF52" s="563">
        <v>196.2</v>
      </c>
      <c r="BG52" s="537" t="s">
        <v>233</v>
      </c>
      <c r="BH52" s="537" t="s">
        <v>233</v>
      </c>
      <c r="BI52" s="537">
        <v>8.6</v>
      </c>
      <c r="BJ52" s="537">
        <v>1.1000000000000001</v>
      </c>
      <c r="BK52" s="537" t="s">
        <v>233</v>
      </c>
      <c r="BL52" s="537" t="s">
        <v>233</v>
      </c>
      <c r="BM52" s="537">
        <v>56.9</v>
      </c>
      <c r="BN52" s="537">
        <v>26.2</v>
      </c>
      <c r="BO52" s="537" t="s">
        <v>233</v>
      </c>
      <c r="BP52" s="537">
        <v>28.1</v>
      </c>
      <c r="BQ52" s="537">
        <v>21</v>
      </c>
      <c r="BR52" s="563">
        <v>28.6</v>
      </c>
      <c r="BS52" s="537" t="s">
        <v>233</v>
      </c>
      <c r="BT52" s="537">
        <v>60</v>
      </c>
      <c r="BU52" s="537">
        <v>17.8</v>
      </c>
      <c r="BV52" s="537">
        <v>38.1</v>
      </c>
      <c r="BW52" s="537">
        <v>28.9</v>
      </c>
      <c r="BX52" s="537">
        <v>80.7</v>
      </c>
      <c r="BY52" s="537">
        <v>46.7</v>
      </c>
      <c r="BZ52" s="537">
        <v>66.5</v>
      </c>
      <c r="CA52" s="537">
        <v>19</v>
      </c>
      <c r="CB52" s="563">
        <v>76.3</v>
      </c>
      <c r="CC52" s="537">
        <v>56.4</v>
      </c>
      <c r="CD52" s="537">
        <v>11.3</v>
      </c>
      <c r="CE52" s="537">
        <v>25.9</v>
      </c>
      <c r="CF52" s="537" t="s">
        <v>233</v>
      </c>
      <c r="CG52" s="537">
        <v>140.6</v>
      </c>
      <c r="CH52" s="537">
        <v>248.1</v>
      </c>
      <c r="CI52" s="537">
        <v>60.8</v>
      </c>
      <c r="CJ52" s="537">
        <v>514.9</v>
      </c>
      <c r="CK52" s="538">
        <v>99.9</v>
      </c>
      <c r="CL52" s="564">
        <v>2478</v>
      </c>
    </row>
    <row r="53" spans="1:90">
      <c r="A53" s="80">
        <f>ROWS($A$3:A51)</f>
        <v>49</v>
      </c>
      <c r="B53" s="498" t="str">
        <f>"Änderung der Milcherzeugung "&amp;C51&amp;"/"&amp;"2010"</f>
        <v>Änderung der Milcherzeugung 2017/2010</v>
      </c>
      <c r="C53" s="587">
        <v>2017</v>
      </c>
      <c r="D53" s="259" t="s">
        <v>3</v>
      </c>
      <c r="E53" s="483">
        <v>43556</v>
      </c>
      <c r="F53" s="539">
        <f>F52/'2010'!F52%-100</f>
        <v>10.537700865265748</v>
      </c>
      <c r="G53" s="521">
        <f>G52/'2010'!G52%-100</f>
        <v>13.894455577822313</v>
      </c>
      <c r="H53" s="521">
        <f>H52/'2010'!H52%-100</f>
        <v>11.820757146536181</v>
      </c>
      <c r="I53" s="540">
        <f>I52/'2010'!I52%-100</f>
        <v>9.961067325040375</v>
      </c>
      <c r="J53" s="382"/>
      <c r="K53" s="536">
        <f>K52/'2010'!K52%-100</f>
        <v>12.888377445339444</v>
      </c>
      <c r="L53" s="537">
        <f>L52/'2010'!L52%-100</f>
        <v>13.409090909090907</v>
      </c>
      <c r="M53" s="537">
        <f>M52/'2010'!M52%-100</f>
        <v>7.2892938496583213</v>
      </c>
      <c r="N53" s="537">
        <f>N52/'2010'!N52%-100</f>
        <v>20.398009950248749</v>
      </c>
      <c r="O53" s="537">
        <f>O52/'2010'!O52%-100</f>
        <v>-1.3015184381778795</v>
      </c>
      <c r="P53" s="521">
        <f>P52/'2010'!P52%-100</f>
        <v>-4.5296167247386734</v>
      </c>
      <c r="Q53" s="537">
        <f>Q52/'2010'!Q52%-100</f>
        <v>0</v>
      </c>
      <c r="R53" s="521">
        <f>R52/'2010'!R52%-100</f>
        <v>-0.61728395061727781</v>
      </c>
      <c r="S53" s="537">
        <f>S52/'2010'!S52%-100</f>
        <v>12.403100775193792</v>
      </c>
      <c r="T53" s="537">
        <f>T52/'2010'!T52%-100</f>
        <v>23.178807947019877</v>
      </c>
      <c r="U53" s="561">
        <f>U52/'2010'!U52%-100</f>
        <v>6.3514467184191972</v>
      </c>
      <c r="V53" s="521">
        <f>V52/'2010'!V52%-100</f>
        <v>-45</v>
      </c>
      <c r="W53" s="537">
        <f>W52/'2010'!W52%-100</f>
        <v>18.672199170124472</v>
      </c>
      <c r="X53" s="521">
        <f>X52/'2010'!X52%-100</f>
        <v>28.358208955223859</v>
      </c>
      <c r="Y53" s="521">
        <f>Y52/'2010'!Y52%-100</f>
        <v>4.7999999999999972</v>
      </c>
      <c r="Z53" s="537">
        <f>Z52/'2010'!Z52%-100</f>
        <v>13.121272365805169</v>
      </c>
      <c r="AA53" s="521">
        <f>AA52/'2010'!AA52%-100</f>
        <v>-46.153846153846153</v>
      </c>
      <c r="AB53" s="561">
        <f>AB52/'2010'!AB52%-100</f>
        <v>27.149321266968329</v>
      </c>
      <c r="AC53" s="537">
        <f>AC52/'2010'!AC52%-100</f>
        <v>18.502202643171827</v>
      </c>
      <c r="AD53" s="537">
        <f>AD52/'2010'!AD52%-100</f>
        <v>-7.2916666666666714</v>
      </c>
      <c r="AE53" s="521">
        <f>AE52/'2010'!AE52%-100</f>
        <v>1.6949152542372872</v>
      </c>
      <c r="AF53" s="537">
        <f>AF52/'2010'!AF52%-100</f>
        <v>1.0638297872340416</v>
      </c>
      <c r="AG53" s="537">
        <f>AG52/'2010'!AG52%-100</f>
        <v>-6.3882063882063846</v>
      </c>
      <c r="AH53" s="537">
        <f>AH52/'2010'!AH52%-100</f>
        <v>12.331081081081066</v>
      </c>
      <c r="AI53" s="537">
        <f>AI52/'2010'!AI52%-100</f>
        <v>2.4822695035461066</v>
      </c>
      <c r="AJ53" s="537">
        <f>AJ52/'2010'!AJ52%-100</f>
        <v>35.362318840579718</v>
      </c>
      <c r="AK53" s="561">
        <f>AK52/'2010'!AK52%-100</f>
        <v>25.493421052631575</v>
      </c>
      <c r="AL53" s="537">
        <f>AL52/'2010'!AL52%-100</f>
        <v>16.666666666666657</v>
      </c>
      <c r="AM53" s="537">
        <f>AM52/'2010'!AM52%-100</f>
        <v>9.0070298769771568</v>
      </c>
      <c r="AN53" s="537">
        <f>AN52/'2010'!AN52%-100</f>
        <v>10.659789383193626</v>
      </c>
      <c r="AO53" s="537">
        <f>AO52/'2010'!AO52%-100</f>
        <v>8.0459770114942444</v>
      </c>
      <c r="AP53" s="537">
        <f>AP52/'2010'!AP52%-100</f>
        <v>17.708333333333343</v>
      </c>
      <c r="AQ53" s="537">
        <f>AQ52/'2010'!AQ52%-100</f>
        <v>22.12713936430319</v>
      </c>
      <c r="AR53" s="537">
        <f>AR52/'2010'!AR52%-100</f>
        <v>-6.3174114021571768</v>
      </c>
      <c r="AS53" s="540">
        <f>AS52/'2010'!AS52%-100</f>
        <v>8.5714285714285694</v>
      </c>
      <c r="AT53" s="521" t="s">
        <v>233</v>
      </c>
      <c r="AU53" s="521">
        <f>AU52/'2010'!AU52%-100</f>
        <v>19.444444444444443</v>
      </c>
      <c r="AV53" s="521">
        <f>AV52/'2010'!AV52%-100</f>
        <v>12.403100775193792</v>
      </c>
      <c r="AW53" s="521">
        <f>AW52/'2010'!AW52%-100</f>
        <v>20.398009950248749</v>
      </c>
      <c r="AX53" s="521">
        <f>AX52/'2010'!AX52%-100</f>
        <v>6.6225165562914015</v>
      </c>
      <c r="AY53" s="521">
        <f>AY52/'2010'!AY52%-100</f>
        <v>13.409090909090907</v>
      </c>
      <c r="AZ53" s="521" t="s">
        <v>233</v>
      </c>
      <c r="BA53" s="521">
        <f>BA52/'2010'!BA52%-100</f>
        <v>-4.5296167247386734</v>
      </c>
      <c r="BB53" s="521">
        <f>BB52/'2010'!BB52%-100</f>
        <v>23.178807947019877</v>
      </c>
      <c r="BC53" s="521">
        <f>BC52/'2010'!BC52%-100</f>
        <v>6.3514467184191972</v>
      </c>
      <c r="BD53" s="521">
        <f>BD52/'2010'!BD52%-100</f>
        <v>7.2892938496583213</v>
      </c>
      <c r="BE53" s="521">
        <f>BE52/'2010'!BE52%-100</f>
        <v>-1.3015184381778795</v>
      </c>
      <c r="BF53" s="559">
        <f>BF52/'2010'!BF52%-100</f>
        <v>12.888377445339444</v>
      </c>
      <c r="BG53" s="521" t="s">
        <v>233</v>
      </c>
      <c r="BH53" s="521" t="s">
        <v>233</v>
      </c>
      <c r="BI53" s="521">
        <f>BI52/'2010'!BI52%-100</f>
        <v>28.358208955223859</v>
      </c>
      <c r="BJ53" s="521">
        <f>BJ52/'2010'!BJ52%-100</f>
        <v>-45</v>
      </c>
      <c r="BK53" s="521" t="s">
        <v>233</v>
      </c>
      <c r="BL53" s="521" t="s">
        <v>233</v>
      </c>
      <c r="BM53" s="521">
        <f>BM52/'2010'!BM52%-100</f>
        <v>13.121272365805169</v>
      </c>
      <c r="BN53" s="521">
        <f>BN52/'2010'!BN52%-100</f>
        <v>4.7999999999999972</v>
      </c>
      <c r="BO53" s="521" t="s">
        <v>233</v>
      </c>
      <c r="BP53" s="521">
        <f>BP52/'2010'!BP52%-100</f>
        <v>27.149321266968329</v>
      </c>
      <c r="BQ53" s="521">
        <f>BQ52/'2010'!BQ52%-100</f>
        <v>7.6923076923076934</v>
      </c>
      <c r="BR53" s="559">
        <f>BR52/'2010'!BR52%-100</f>
        <v>18.672199170124472</v>
      </c>
      <c r="BS53" s="521" t="s">
        <v>233</v>
      </c>
      <c r="BT53" s="521">
        <f>BT52/'2010'!BT52%-100</f>
        <v>1.6949152542372872</v>
      </c>
      <c r="BU53" s="521">
        <f>BU52/'2010'!BU52%-100</f>
        <v>-7.2916666666666714</v>
      </c>
      <c r="BV53" s="521">
        <f>BV52/'2010'!BV52%-100</f>
        <v>-6.3882063882063846</v>
      </c>
      <c r="BW53" s="521">
        <f>BW52/'2010'!BW52%-100</f>
        <v>2.4822695035461066</v>
      </c>
      <c r="BX53" s="521">
        <f>BX52/'2010'!BX52%-100</f>
        <v>18.502202643171827</v>
      </c>
      <c r="BY53" s="521">
        <f>BY52/'2010'!BY52%-100</f>
        <v>35.362318840579718</v>
      </c>
      <c r="BZ53" s="521">
        <f>BZ52/'2010'!BZ52%-100</f>
        <v>12.331081081081066</v>
      </c>
      <c r="CA53" s="521">
        <f>CA52/'2010'!CA52%-100</f>
        <v>1.0638297872340416</v>
      </c>
      <c r="CB53" s="559">
        <f>CB52/'2010'!CB52%-100</f>
        <v>25.493421052631575</v>
      </c>
      <c r="CC53" s="521">
        <f>CC52/'2010'!CC52%-100</f>
        <v>8.0459770114942444</v>
      </c>
      <c r="CD53" s="521">
        <f>CD52/'2010'!CD52%-100</f>
        <v>17.708333333333343</v>
      </c>
      <c r="CE53" s="521">
        <f>CE52/'2010'!CE52%-100</f>
        <v>16.666666666666657</v>
      </c>
      <c r="CF53" s="521" t="s">
        <v>233</v>
      </c>
      <c r="CG53" s="521">
        <f>CG52/'2010'!CG52%-100</f>
        <v>8.5714285714285694</v>
      </c>
      <c r="CH53" s="521">
        <f>CH52/'2010'!CH52%-100</f>
        <v>9.0070298769771568</v>
      </c>
      <c r="CI53" s="521">
        <f>CI52/'2010'!CI52%-100</f>
        <v>-6.3174114021571768</v>
      </c>
      <c r="CJ53" s="521">
        <f>CJ52/'2010'!CJ52%-100</f>
        <v>10.659789383193626</v>
      </c>
      <c r="CK53" s="540">
        <f>CK52/'2010'!CK52%-100</f>
        <v>22.12713936430319</v>
      </c>
      <c r="CL53" s="560">
        <f>CL52/'2010'!CL52%-100</f>
        <v>11.046381357831052</v>
      </c>
    </row>
    <row r="54" spans="1:90">
      <c r="A54" s="80">
        <f>ROWS($A$3:A52)</f>
        <v>50</v>
      </c>
      <c r="B54" s="499" t="str">
        <f>"Änderung der Milchkühe "&amp;C51&amp;"/"&amp;C97</f>
        <v>Änderung der Milchkühe 2017/2001</v>
      </c>
      <c r="C54" s="588">
        <v>2017</v>
      </c>
      <c r="D54" s="262" t="s">
        <v>3</v>
      </c>
      <c r="E54" s="589">
        <v>43556</v>
      </c>
      <c r="F54" s="544">
        <f>IF(ISERROR(F42/F97)=FALSE,ROUND((F42-F97)/F97%,3)," -")</f>
        <v>-9.1219999999999999</v>
      </c>
      <c r="G54" s="545">
        <f>IF(ISERROR(G42/G97)=FALSE,ROUND((G42-G97)/G97%,3)," -")</f>
        <v>-2.4039999999999999</v>
      </c>
      <c r="H54" s="545">
        <f>IF(ISERROR(H42/H97)=FALSE,ROUND((H42-H97)/H97%,3)," -")</f>
        <v>2.944</v>
      </c>
      <c r="I54" s="546">
        <f>IF(ISERROR(I42/I97)=FALSE,ROUND((I42-I97)/I97%,3)," -")</f>
        <v>-11.43</v>
      </c>
      <c r="J54" s="597"/>
      <c r="K54" s="565">
        <f t="shared" si="74"/>
        <v>-2.1829999999999998</v>
      </c>
      <c r="L54" s="566">
        <f t="shared" si="75"/>
        <v>-2.8719999999999999</v>
      </c>
      <c r="M54" s="566">
        <f t="shared" si="76"/>
        <v>-25.696999999999999</v>
      </c>
      <c r="N54" s="566">
        <f t="shared" si="77"/>
        <v>1.538</v>
      </c>
      <c r="O54" s="566">
        <f t="shared" si="78"/>
        <v>-17.282</v>
      </c>
      <c r="P54" s="545">
        <f>IF(ISERROR(P42/P97)=FALSE,ROUND((P42-P97)/P97%,3)," -")</f>
        <v>-36.177999999999997</v>
      </c>
      <c r="Q54" s="566">
        <f>'2010'!AU54</f>
        <v>2.2530000000000001</v>
      </c>
      <c r="R54" s="545">
        <f>IF(ISERROR(R42/R97)=FALSE,ROUND((R42-R97)/R97%,3)," -")</f>
        <v>-30.082999999999998</v>
      </c>
      <c r="S54" s="566">
        <f t="shared" si="79"/>
        <v>-11.176</v>
      </c>
      <c r="T54" s="566">
        <f t="shared" si="80"/>
        <v>-3.028</v>
      </c>
      <c r="U54" s="567">
        <f t="shared" si="80"/>
        <v>-7.8769999999999998</v>
      </c>
      <c r="V54" s="545">
        <f>IF(ISERROR(V42/V97)=FALSE,ROUND((V42-V97)/V97%,3)," -")</f>
        <v>29.332000000000001</v>
      </c>
      <c r="W54" s="566">
        <f t="shared" si="81"/>
        <v>0.23200000000000001</v>
      </c>
      <c r="X54" s="545">
        <f>IF(ISERROR(X42/X97)=FALSE,ROUND((X42-X97)/X97%,3)," -")</f>
        <v>-2.2839999999999998</v>
      </c>
      <c r="Y54" s="545">
        <f>IF(ISERROR(Y42/Y97)=FALSE,ROUND((Y42-Y97)/Y97%,3)," -")</f>
        <v>-19.459</v>
      </c>
      <c r="Z54" s="566">
        <f t="shared" si="82"/>
        <v>-14.331</v>
      </c>
      <c r="AA54" s="545">
        <f>IF(ISERROR(AA42/AA97)=FALSE,ROUND((AA42-AA97)/AA97%,3)," -")</f>
        <v>15.141999999999999</v>
      </c>
      <c r="AB54" s="567">
        <f t="shared" si="83"/>
        <v>13.535</v>
      </c>
      <c r="AC54" s="566">
        <f t="shared" si="84"/>
        <v>3.2229999999999999</v>
      </c>
      <c r="AD54" s="566">
        <f t="shared" si="85"/>
        <v>5.069</v>
      </c>
      <c r="AE54" s="545">
        <f>IF(ISERROR(AE42/AE97)=FALSE,ROUND((AE42-AE97)/AE97%,3)," -")</f>
        <v>2.258</v>
      </c>
      <c r="AF54" s="566">
        <f t="shared" si="86"/>
        <v>13.132999999999999</v>
      </c>
      <c r="AG54" s="566">
        <f t="shared" si="87"/>
        <v>-8.5530000000000008</v>
      </c>
      <c r="AH54" s="566">
        <f t="shared" si="88"/>
        <v>-4.6950000000000003</v>
      </c>
      <c r="AI54" s="566">
        <f t="shared" si="89"/>
        <v>-14.599</v>
      </c>
      <c r="AJ54" s="566">
        <f t="shared" si="90"/>
        <v>25.419</v>
      </c>
      <c r="AK54" s="567">
        <f t="shared" si="91"/>
        <v>15.388999999999999</v>
      </c>
      <c r="AL54" s="566">
        <f t="shared" si="92"/>
        <v>51.792999999999999</v>
      </c>
      <c r="AM54" s="566">
        <f t="shared" si="93"/>
        <v>-13.638999999999999</v>
      </c>
      <c r="AN54" s="566">
        <f t="shared" si="94"/>
        <v>-10.728999999999999</v>
      </c>
      <c r="AO54" s="566">
        <f t="shared" si="95"/>
        <v>-12.061999999999999</v>
      </c>
      <c r="AP54" s="566">
        <f t="shared" si="95"/>
        <v>-1.234</v>
      </c>
      <c r="AQ54" s="566">
        <f t="shared" si="96"/>
        <v>-8.48</v>
      </c>
      <c r="AR54" s="566">
        <f t="shared" si="97"/>
        <v>-29.603999999999999</v>
      </c>
      <c r="AS54" s="546">
        <f>IF(ISERROR(AS42/AS97)=FALSE,ROUND((AS42-AS97)/AS97%,3)," -")</f>
        <v>-12.349</v>
      </c>
      <c r="AT54" s="545">
        <f>IF(ISERROR(AT42/AT97)=FALSE,ROUND((AT42-AT97)/AT97%,3)," -")</f>
        <v>-17.007999999999999</v>
      </c>
      <c r="AU54" s="545">
        <f t="shared" ref="AU54:CL54" si="101">IF(ISERROR(AU42/AU97)=FALSE,ROUND((AU42-AU97)/AU97%,3)," -")</f>
        <v>1.5289999999999999</v>
      </c>
      <c r="AV54" s="545">
        <f t="shared" si="101"/>
        <v>-11.176</v>
      </c>
      <c r="AW54" s="545">
        <f t="shared" si="101"/>
        <v>1.538</v>
      </c>
      <c r="AX54" s="545">
        <f t="shared" si="101"/>
        <v>-24.271999999999998</v>
      </c>
      <c r="AY54" s="545">
        <f t="shared" si="101"/>
        <v>-2.8719999999999999</v>
      </c>
      <c r="AZ54" s="545">
        <f t="shared" si="101"/>
        <v>-86.841999999999999</v>
      </c>
      <c r="BA54" s="545">
        <f t="shared" si="101"/>
        <v>-33.56</v>
      </c>
      <c r="BB54" s="545">
        <f t="shared" si="101"/>
        <v>-3.028</v>
      </c>
      <c r="BC54" s="545">
        <f t="shared" si="101"/>
        <v>-7.8769999999999998</v>
      </c>
      <c r="BD54" s="545">
        <f t="shared" si="101"/>
        <v>-25.696999999999999</v>
      </c>
      <c r="BE54" s="545">
        <f t="shared" si="101"/>
        <v>-17.282</v>
      </c>
      <c r="BF54" s="568">
        <f t="shared" si="101"/>
        <v>-2.1829999999999998</v>
      </c>
      <c r="BG54" s="545" t="str">
        <f t="shared" si="101"/>
        <v xml:space="preserve"> -</v>
      </c>
      <c r="BH54" s="545">
        <f t="shared" si="101"/>
        <v>-23.893999999999998</v>
      </c>
      <c r="BI54" s="545">
        <f t="shared" si="101"/>
        <v>3.2679999999999998</v>
      </c>
      <c r="BJ54" s="545">
        <f t="shared" si="101"/>
        <v>29.332000000000001</v>
      </c>
      <c r="BK54" s="545">
        <f t="shared" si="101"/>
        <v>-41.796999999999997</v>
      </c>
      <c r="BL54" s="545">
        <f t="shared" si="101"/>
        <v>-56.41</v>
      </c>
      <c r="BM54" s="545">
        <f t="shared" si="101"/>
        <v>-14.331</v>
      </c>
      <c r="BN54" s="545">
        <f t="shared" si="101"/>
        <v>-14.59</v>
      </c>
      <c r="BO54" s="545">
        <f t="shared" si="101"/>
        <v>-44.247999999999998</v>
      </c>
      <c r="BP54" s="545">
        <f t="shared" si="101"/>
        <v>13.535</v>
      </c>
      <c r="BQ54" s="545">
        <f t="shared" si="101"/>
        <v>19.222000000000001</v>
      </c>
      <c r="BR54" s="568">
        <f t="shared" si="101"/>
        <v>0.23200000000000001</v>
      </c>
      <c r="BS54" s="545" t="str">
        <f t="shared" si="101"/>
        <v xml:space="preserve"> -</v>
      </c>
      <c r="BT54" s="545">
        <f t="shared" si="101"/>
        <v>0.88300000000000001</v>
      </c>
      <c r="BU54" s="545">
        <f t="shared" si="101"/>
        <v>5.069</v>
      </c>
      <c r="BV54" s="545">
        <f t="shared" si="101"/>
        <v>-8.5530000000000008</v>
      </c>
      <c r="BW54" s="545">
        <f t="shared" si="101"/>
        <v>-14.599</v>
      </c>
      <c r="BX54" s="545">
        <f t="shared" si="101"/>
        <v>3.2229999999999999</v>
      </c>
      <c r="BY54" s="545">
        <f t="shared" si="101"/>
        <v>25.419</v>
      </c>
      <c r="BZ54" s="545">
        <f t="shared" si="101"/>
        <v>-4.6950000000000003</v>
      </c>
      <c r="CA54" s="545">
        <f t="shared" si="101"/>
        <v>13.132999999999999</v>
      </c>
      <c r="CB54" s="568">
        <f t="shared" si="101"/>
        <v>15.388999999999999</v>
      </c>
      <c r="CC54" s="545">
        <f t="shared" si="101"/>
        <v>-12.061999999999999</v>
      </c>
      <c r="CD54" s="545">
        <f t="shared" si="101"/>
        <v>-1.234</v>
      </c>
      <c r="CE54" s="545">
        <f t="shared" si="101"/>
        <v>51.792999999999999</v>
      </c>
      <c r="CF54" s="545">
        <f t="shared" si="101"/>
        <v>7.2850000000000001</v>
      </c>
      <c r="CG54" s="545">
        <f t="shared" si="101"/>
        <v>-13.231999999999999</v>
      </c>
      <c r="CH54" s="545">
        <f t="shared" si="101"/>
        <v>-13.638999999999999</v>
      </c>
      <c r="CI54" s="545">
        <f t="shared" si="101"/>
        <v>-29.603999999999999</v>
      </c>
      <c r="CJ54" s="545">
        <f t="shared" si="101"/>
        <v>-10.728999999999999</v>
      </c>
      <c r="CK54" s="546">
        <f t="shared" si="101"/>
        <v>-8.48</v>
      </c>
      <c r="CL54" s="569">
        <f t="shared" si="101"/>
        <v>-7.3150000000000004</v>
      </c>
    </row>
    <row r="55" spans="1:90" ht="14.25">
      <c r="A55" s="80">
        <f>ROWS($A$3:A53)</f>
        <v>51</v>
      </c>
      <c r="B55" s="59" t="s">
        <v>208</v>
      </c>
      <c r="C55" s="203"/>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c r="A56" s="80">
        <f>ROWS($A$3:A54)</f>
        <v>52</v>
      </c>
      <c r="B56" s="92" t="s">
        <v>54</v>
      </c>
      <c r="C56" s="584">
        <v>2018</v>
      </c>
      <c r="D56" s="259" t="s">
        <v>13</v>
      </c>
      <c r="E56" s="483">
        <v>43556</v>
      </c>
      <c r="F56" s="154">
        <v>259</v>
      </c>
      <c r="G56" s="155">
        <v>229</v>
      </c>
      <c r="H56" s="155">
        <v>268</v>
      </c>
      <c r="I56" s="156">
        <v>300</v>
      </c>
      <c r="J56" s="281"/>
      <c r="K56" s="154">
        <f t="shared" ref="K56:K63" si="102">BF56</f>
        <v>42</v>
      </c>
      <c r="L56" s="155">
        <f t="shared" ref="L56:L63" si="103">AY56</f>
        <v>26</v>
      </c>
      <c r="M56" s="155">
        <f t="shared" ref="M56:M63" si="104">BD56</f>
        <v>36</v>
      </c>
      <c r="N56" s="155">
        <f t="shared" ref="N56:N63" si="105">AW56</f>
        <v>20</v>
      </c>
      <c r="O56" s="155">
        <f t="shared" ref="O56:O63" si="106">BE56</f>
        <v>15</v>
      </c>
      <c r="P56" s="155">
        <f>'2018'!AZ56+'2018'!BA56</f>
        <v>25</v>
      </c>
      <c r="Q56" s="155">
        <f>'2018'!AU56</f>
        <v>20</v>
      </c>
      <c r="R56" s="155">
        <f t="shared" ref="R56:R63" si="107">AT56+AX56</f>
        <v>27</v>
      </c>
      <c r="S56" s="155">
        <f t="shared" ref="S56:S63" si="108">AV56</f>
        <v>29</v>
      </c>
      <c r="T56" s="155">
        <f t="shared" ref="T56:U63" si="109">BB56</f>
        <v>21</v>
      </c>
      <c r="U56" s="552">
        <f t="shared" si="109"/>
        <v>18</v>
      </c>
      <c r="V56" s="155">
        <f t="shared" ref="V56:V63" si="110">BG56+BJ56</f>
        <v>36</v>
      </c>
      <c r="W56" s="155">
        <f t="shared" ref="W56:W63" si="111">BR56</f>
        <v>18</v>
      </c>
      <c r="X56" s="155">
        <f t="shared" ref="X56:X63" si="112">BH56+BI56</f>
        <v>51</v>
      </c>
      <c r="Y56" s="155">
        <f t="shared" ref="Y56:Y63" si="113">BK56+BL56+BN56</f>
        <v>64</v>
      </c>
      <c r="Z56" s="155">
        <f t="shared" ref="Z56:Z63" si="114">BM56</f>
        <v>27</v>
      </c>
      <c r="AA56" s="155">
        <f t="shared" ref="AA56:AA63" si="115">BO56+BQ56</f>
        <v>34</v>
      </c>
      <c r="AB56" s="552">
        <f t="shared" ref="AB56:AB63" si="116">BP56</f>
        <v>26</v>
      </c>
      <c r="AC56" s="155">
        <f t="shared" ref="AC56:AC63" si="117">BX56</f>
        <v>26</v>
      </c>
      <c r="AD56" s="155">
        <f t="shared" ref="AD56:AD63" si="118">BU56</f>
        <v>19</v>
      </c>
      <c r="AE56" s="155">
        <f t="shared" ref="AE56:AE63" si="119">BS56+BT56</f>
        <v>56</v>
      </c>
      <c r="AF56" s="155">
        <f t="shared" ref="AF56:AF63" si="120">CA56</f>
        <v>26</v>
      </c>
      <c r="AG56" s="155">
        <f t="shared" ref="AG56:AG63" si="121">BV56</f>
        <v>23</v>
      </c>
      <c r="AH56" s="155">
        <f t="shared" ref="AH56:AH63" si="122">BZ56</f>
        <v>65</v>
      </c>
      <c r="AI56" s="155">
        <f t="shared" ref="AI56:AI63" si="123">BW56</f>
        <v>10</v>
      </c>
      <c r="AJ56" s="155">
        <f t="shared" ref="AJ56:AJ63" si="124">BY56</f>
        <v>25</v>
      </c>
      <c r="AK56" s="552">
        <f t="shared" ref="AK56:AK63" si="125">CB56</f>
        <v>37</v>
      </c>
      <c r="AL56" s="155">
        <f t="shared" ref="AL56:AL63" si="126">CE56</f>
        <v>53</v>
      </c>
      <c r="AM56" s="155">
        <f t="shared" ref="AM56:AM63" si="127">CH56</f>
        <v>31</v>
      </c>
      <c r="AN56" s="155">
        <f t="shared" ref="AN56:AN63" si="128">CJ56</f>
        <v>75</v>
      </c>
      <c r="AO56" s="155">
        <f t="shared" ref="AO56:AP63" si="129">CC56</f>
        <v>42</v>
      </c>
      <c r="AP56" s="155">
        <f t="shared" si="129"/>
        <v>22</v>
      </c>
      <c r="AQ56" s="155">
        <f t="shared" ref="AQ56:AQ63" si="130">CK56</f>
        <v>24</v>
      </c>
      <c r="AR56" s="155">
        <f t="shared" ref="AR56:AR63" si="131">CI56</f>
        <v>33</v>
      </c>
      <c r="AS56" s="156">
        <f t="shared" ref="AS56:AS63" si="132">CF56+CG56</f>
        <v>35</v>
      </c>
      <c r="AT56" s="155">
        <v>7</v>
      </c>
      <c r="AU56" s="155">
        <v>20</v>
      </c>
      <c r="AV56" s="155">
        <v>29</v>
      </c>
      <c r="AW56" s="155">
        <v>20</v>
      </c>
      <c r="AX56" s="155">
        <v>20</v>
      </c>
      <c r="AY56" s="155">
        <v>26</v>
      </c>
      <c r="AZ56" s="155">
        <v>5</v>
      </c>
      <c r="BA56" s="155">
        <v>20</v>
      </c>
      <c r="BB56" s="155">
        <v>21</v>
      </c>
      <c r="BC56" s="155">
        <v>18</v>
      </c>
      <c r="BD56" s="155">
        <v>36</v>
      </c>
      <c r="BE56" s="155">
        <v>15</v>
      </c>
      <c r="BF56" s="552">
        <v>42</v>
      </c>
      <c r="BG56" s="155">
        <v>7</v>
      </c>
      <c r="BH56" s="155">
        <v>9</v>
      </c>
      <c r="BI56" s="155">
        <v>42</v>
      </c>
      <c r="BJ56" s="155">
        <v>29</v>
      </c>
      <c r="BK56" s="155">
        <v>5</v>
      </c>
      <c r="BL56" s="155">
        <v>9</v>
      </c>
      <c r="BM56" s="155">
        <v>27</v>
      </c>
      <c r="BN56" s="155">
        <v>50</v>
      </c>
      <c r="BO56" s="155">
        <v>3</v>
      </c>
      <c r="BP56" s="155">
        <v>26</v>
      </c>
      <c r="BQ56" s="155">
        <v>31</v>
      </c>
      <c r="BR56" s="552">
        <v>18</v>
      </c>
      <c r="BS56" s="155">
        <v>7</v>
      </c>
      <c r="BT56" s="155">
        <v>49</v>
      </c>
      <c r="BU56" s="155">
        <v>19</v>
      </c>
      <c r="BV56" s="155">
        <v>23</v>
      </c>
      <c r="BW56" s="155">
        <v>10</v>
      </c>
      <c r="BX56" s="155">
        <v>26</v>
      </c>
      <c r="BY56" s="155">
        <v>25</v>
      </c>
      <c r="BZ56" s="155">
        <v>65</v>
      </c>
      <c r="CA56" s="155">
        <v>26</v>
      </c>
      <c r="CB56" s="552">
        <v>37</v>
      </c>
      <c r="CC56" s="155">
        <v>42</v>
      </c>
      <c r="CD56" s="155">
        <v>22</v>
      </c>
      <c r="CE56" s="155">
        <v>53</v>
      </c>
      <c r="CF56" s="155">
        <v>2</v>
      </c>
      <c r="CG56" s="155">
        <v>33</v>
      </c>
      <c r="CH56" s="155">
        <v>31</v>
      </c>
      <c r="CI56" s="155">
        <v>33</v>
      </c>
      <c r="CJ56" s="155">
        <v>75</v>
      </c>
      <c r="CK56" s="156">
        <v>24</v>
      </c>
      <c r="CL56" s="320">
        <v>1043</v>
      </c>
    </row>
    <row r="57" spans="1:90">
      <c r="A57" s="80">
        <f>ROWS($A$3:A55)</f>
        <v>53</v>
      </c>
      <c r="B57" s="92"/>
      <c r="C57" s="203"/>
      <c r="D57" s="259" t="s">
        <v>1</v>
      </c>
      <c r="E57" s="451"/>
      <c r="F57" s="154">
        <v>15641</v>
      </c>
      <c r="G57" s="155">
        <v>18919.559999999998</v>
      </c>
      <c r="H57" s="155">
        <v>32114.06</v>
      </c>
      <c r="I57" s="156">
        <v>19250.93</v>
      </c>
      <c r="J57" s="281"/>
      <c r="K57" s="154">
        <f t="shared" si="102"/>
        <v>2049.35</v>
      </c>
      <c r="L57" s="155">
        <f t="shared" si="103"/>
        <v>833.36</v>
      </c>
      <c r="M57" s="155">
        <f t="shared" si="104"/>
        <v>1093.8499999999999</v>
      </c>
      <c r="N57" s="155">
        <f t="shared" si="105"/>
        <v>2887.55</v>
      </c>
      <c r="O57" s="155">
        <f t="shared" si="106"/>
        <v>1364.82</v>
      </c>
      <c r="P57" s="155">
        <f>'2018'!AZ57+'2018'!BA57</f>
        <v>489.16999999999996</v>
      </c>
      <c r="Q57" s="155">
        <f>'2018'!AU57</f>
        <v>733.65</v>
      </c>
      <c r="R57" s="155">
        <f t="shared" si="107"/>
        <v>1999.5900000000001</v>
      </c>
      <c r="S57" s="155">
        <f t="shared" si="108"/>
        <v>2320.5700000000002</v>
      </c>
      <c r="T57" s="155">
        <f t="shared" si="109"/>
        <v>486.16</v>
      </c>
      <c r="U57" s="552">
        <f t="shared" si="109"/>
        <v>1383.29</v>
      </c>
      <c r="V57" s="155">
        <f t="shared" si="110"/>
        <v>4719.47</v>
      </c>
      <c r="W57" s="155">
        <f t="shared" si="111"/>
        <v>1205.5999999999999</v>
      </c>
      <c r="X57" s="155">
        <f t="shared" si="112"/>
        <v>3946.0600000000004</v>
      </c>
      <c r="Y57" s="155">
        <f t="shared" si="113"/>
        <v>3814.47</v>
      </c>
      <c r="Z57" s="155">
        <f t="shared" si="114"/>
        <v>1069.8900000000001</v>
      </c>
      <c r="AA57" s="155">
        <f t="shared" si="115"/>
        <v>1932.98</v>
      </c>
      <c r="AB57" s="552">
        <f t="shared" si="116"/>
        <v>2231.09</v>
      </c>
      <c r="AC57" s="155">
        <f t="shared" si="117"/>
        <v>2085.39</v>
      </c>
      <c r="AD57" s="155">
        <f t="shared" si="118"/>
        <v>3872.7</v>
      </c>
      <c r="AE57" s="155">
        <f t="shared" si="119"/>
        <v>6678.9699999999993</v>
      </c>
      <c r="AF57" s="155">
        <f t="shared" si="120"/>
        <v>6162.82</v>
      </c>
      <c r="AG57" s="155">
        <f t="shared" si="121"/>
        <v>3109.84</v>
      </c>
      <c r="AH57" s="155">
        <f t="shared" si="122"/>
        <v>3673.25</v>
      </c>
      <c r="AI57" s="155">
        <f t="shared" si="123"/>
        <v>437.31</v>
      </c>
      <c r="AJ57" s="155">
        <f t="shared" si="124"/>
        <v>2443.5100000000002</v>
      </c>
      <c r="AK57" s="552">
        <f t="shared" si="125"/>
        <v>3650.26</v>
      </c>
      <c r="AL57" s="155">
        <f t="shared" si="126"/>
        <v>1561.57</v>
      </c>
      <c r="AM57" s="155">
        <f t="shared" si="127"/>
        <v>3592.83</v>
      </c>
      <c r="AN57" s="155">
        <f t="shared" si="128"/>
        <v>5858.03</v>
      </c>
      <c r="AO57" s="155">
        <f t="shared" si="129"/>
        <v>1973.33</v>
      </c>
      <c r="AP57" s="155">
        <f t="shared" si="129"/>
        <v>1193.76</v>
      </c>
      <c r="AQ57" s="155">
        <f t="shared" si="130"/>
        <v>1966.14</v>
      </c>
      <c r="AR57" s="155">
        <f t="shared" si="131"/>
        <v>1204.5</v>
      </c>
      <c r="AS57" s="156">
        <f t="shared" si="132"/>
        <v>1900.77</v>
      </c>
      <c r="AT57" s="155">
        <v>1353.19</v>
      </c>
      <c r="AU57" s="155">
        <v>733.65</v>
      </c>
      <c r="AV57" s="155">
        <v>2320.5700000000002</v>
      </c>
      <c r="AW57" s="155">
        <v>2887.55</v>
      </c>
      <c r="AX57" s="155">
        <v>646.4</v>
      </c>
      <c r="AY57" s="155">
        <v>833.36</v>
      </c>
      <c r="AZ57" s="155">
        <v>97.85</v>
      </c>
      <c r="BA57" s="155">
        <v>391.32</v>
      </c>
      <c r="BB57" s="155">
        <v>486.16</v>
      </c>
      <c r="BC57" s="155">
        <v>1383.29</v>
      </c>
      <c r="BD57" s="155">
        <v>1093.8499999999999</v>
      </c>
      <c r="BE57" s="155">
        <v>1364.82</v>
      </c>
      <c r="BF57" s="552">
        <v>2049.35</v>
      </c>
      <c r="BG57" s="155">
        <v>692.82</v>
      </c>
      <c r="BH57" s="155">
        <v>728.74</v>
      </c>
      <c r="BI57" s="155">
        <v>3217.32</v>
      </c>
      <c r="BJ57" s="155">
        <v>4026.65</v>
      </c>
      <c r="BK57" s="155">
        <v>85.43</v>
      </c>
      <c r="BL57" s="155">
        <v>699.57</v>
      </c>
      <c r="BM57" s="155">
        <v>1069.8900000000001</v>
      </c>
      <c r="BN57" s="155">
        <v>3029.47</v>
      </c>
      <c r="BO57" s="155">
        <v>196.8</v>
      </c>
      <c r="BP57" s="155">
        <v>2231.09</v>
      </c>
      <c r="BQ57" s="155">
        <v>1736.18</v>
      </c>
      <c r="BR57" s="552">
        <v>1205.5999999999999</v>
      </c>
      <c r="BS57" s="155">
        <v>683.11</v>
      </c>
      <c r="BT57" s="155">
        <v>5995.86</v>
      </c>
      <c r="BU57" s="155">
        <v>3872.7</v>
      </c>
      <c r="BV57" s="155">
        <v>3109.84</v>
      </c>
      <c r="BW57" s="155">
        <v>437.31</v>
      </c>
      <c r="BX57" s="155">
        <v>2085.39</v>
      </c>
      <c r="BY57" s="155">
        <v>2443.5100000000002</v>
      </c>
      <c r="BZ57" s="155">
        <v>3673.25</v>
      </c>
      <c r="CA57" s="155">
        <v>6162.82</v>
      </c>
      <c r="CB57" s="552">
        <v>3650.26</v>
      </c>
      <c r="CC57" s="155">
        <v>1973.33</v>
      </c>
      <c r="CD57" s="155">
        <v>1193.76</v>
      </c>
      <c r="CE57" s="155">
        <v>1561.57</v>
      </c>
      <c r="CF57" s="155">
        <v>137.05000000000001</v>
      </c>
      <c r="CG57" s="155">
        <v>1763.72</v>
      </c>
      <c r="CH57" s="155">
        <v>3592.83</v>
      </c>
      <c r="CI57" s="155">
        <v>1204.5</v>
      </c>
      <c r="CJ57" s="155">
        <v>5858.03</v>
      </c>
      <c r="CK57" s="156">
        <v>1966.14</v>
      </c>
      <c r="CL57" s="320">
        <v>86728.9</v>
      </c>
    </row>
    <row r="58" spans="1:90">
      <c r="A58" s="80">
        <f>ROWS($A$3:A56)</f>
        <v>54</v>
      </c>
      <c r="B58" s="92" t="s">
        <v>231</v>
      </c>
      <c r="C58" s="584">
        <v>2018</v>
      </c>
      <c r="D58" s="259" t="s">
        <v>13</v>
      </c>
      <c r="E58" s="483">
        <v>43556</v>
      </c>
      <c r="F58" s="154">
        <v>58</v>
      </c>
      <c r="G58" s="155">
        <v>58</v>
      </c>
      <c r="H58" s="155">
        <v>68</v>
      </c>
      <c r="I58" s="156">
        <v>65</v>
      </c>
      <c r="J58" s="281"/>
      <c r="K58" s="154">
        <f t="shared" si="102"/>
        <v>14</v>
      </c>
      <c r="L58" s="155">
        <f t="shared" si="103"/>
        <v>5</v>
      </c>
      <c r="M58" s="155">
        <f t="shared" si="104"/>
        <v>11</v>
      </c>
      <c r="N58" s="155">
        <f t="shared" si="105"/>
        <v>10</v>
      </c>
      <c r="O58" s="155">
        <f t="shared" si="106"/>
        <v>7</v>
      </c>
      <c r="P58" s="155">
        <f>'2018'!AZ58+'2018'!BA58</f>
        <v>13</v>
      </c>
      <c r="Q58" s="155">
        <f>'2018'!AU58</f>
        <v>5</v>
      </c>
      <c r="R58" s="155">
        <f t="shared" si="107"/>
        <v>10</v>
      </c>
      <c r="S58" s="155">
        <f t="shared" si="108"/>
        <v>8</v>
      </c>
      <c r="T58" s="155">
        <f t="shared" si="109"/>
        <v>8</v>
      </c>
      <c r="U58" s="552">
        <f t="shared" si="109"/>
        <v>13</v>
      </c>
      <c r="V58" s="155">
        <f t="shared" si="110"/>
        <v>19</v>
      </c>
      <c r="W58" s="155">
        <f t="shared" si="111"/>
        <v>10</v>
      </c>
      <c r="X58" s="155">
        <f t="shared" si="112"/>
        <v>26</v>
      </c>
      <c r="Y58" s="155">
        <f t="shared" si="113"/>
        <v>19</v>
      </c>
      <c r="Z58" s="155">
        <f t="shared" si="114"/>
        <v>10</v>
      </c>
      <c r="AA58" s="155">
        <f t="shared" si="115"/>
        <v>13</v>
      </c>
      <c r="AB58" s="552">
        <f t="shared" si="116"/>
        <v>9</v>
      </c>
      <c r="AC58" s="155">
        <f t="shared" si="117"/>
        <v>8</v>
      </c>
      <c r="AD58" s="155">
        <f t="shared" si="118"/>
        <v>10</v>
      </c>
      <c r="AE58" s="155">
        <f t="shared" si="119"/>
        <v>21</v>
      </c>
      <c r="AF58" s="155">
        <f t="shared" si="120"/>
        <v>9</v>
      </c>
      <c r="AG58" s="155">
        <f t="shared" si="121"/>
        <v>16</v>
      </c>
      <c r="AH58" s="155">
        <f t="shared" si="122"/>
        <v>10</v>
      </c>
      <c r="AI58" s="155">
        <f t="shared" si="123"/>
        <v>9</v>
      </c>
      <c r="AJ58" s="155">
        <f t="shared" si="124"/>
        <v>8</v>
      </c>
      <c r="AK58" s="552">
        <f t="shared" si="125"/>
        <v>15</v>
      </c>
      <c r="AL58" s="155">
        <f t="shared" si="126"/>
        <v>17</v>
      </c>
      <c r="AM58" s="155">
        <f t="shared" si="127"/>
        <v>10</v>
      </c>
      <c r="AN58" s="155">
        <f t="shared" si="128"/>
        <v>17</v>
      </c>
      <c r="AO58" s="155">
        <f t="shared" si="129"/>
        <v>16</v>
      </c>
      <c r="AP58" s="155">
        <f t="shared" si="129"/>
        <v>7</v>
      </c>
      <c r="AQ58" s="155">
        <f t="shared" si="130"/>
        <v>12</v>
      </c>
      <c r="AR58" s="155">
        <f t="shared" si="131"/>
        <v>10</v>
      </c>
      <c r="AS58" s="156">
        <f t="shared" si="132"/>
        <v>13</v>
      </c>
      <c r="AT58" s="155">
        <v>3</v>
      </c>
      <c r="AU58" s="155">
        <v>5</v>
      </c>
      <c r="AV58" s="281">
        <v>8</v>
      </c>
      <c r="AW58" s="281">
        <v>10</v>
      </c>
      <c r="AX58" s="281">
        <v>7</v>
      </c>
      <c r="AY58" s="281">
        <v>5</v>
      </c>
      <c r="AZ58" s="281">
        <v>3</v>
      </c>
      <c r="BA58" s="281">
        <v>10</v>
      </c>
      <c r="BB58" s="281">
        <v>8</v>
      </c>
      <c r="BC58" s="281">
        <v>13</v>
      </c>
      <c r="BD58" s="281">
        <v>11</v>
      </c>
      <c r="BE58" s="281">
        <v>7</v>
      </c>
      <c r="BF58" s="552">
        <v>14</v>
      </c>
      <c r="BG58" s="281">
        <v>6</v>
      </c>
      <c r="BH58" s="281">
        <v>9</v>
      </c>
      <c r="BI58" s="281">
        <v>17</v>
      </c>
      <c r="BJ58" s="281">
        <v>13</v>
      </c>
      <c r="BK58" s="281">
        <v>3</v>
      </c>
      <c r="BL58" s="281">
        <v>3</v>
      </c>
      <c r="BM58" s="281">
        <v>10</v>
      </c>
      <c r="BN58" s="281">
        <v>13</v>
      </c>
      <c r="BO58" s="281">
        <v>3</v>
      </c>
      <c r="BP58" s="281">
        <v>9</v>
      </c>
      <c r="BQ58" s="281">
        <v>10</v>
      </c>
      <c r="BR58" s="552">
        <v>10</v>
      </c>
      <c r="BS58" s="281">
        <v>4</v>
      </c>
      <c r="BT58" s="281">
        <v>17</v>
      </c>
      <c r="BU58" s="281">
        <v>10</v>
      </c>
      <c r="BV58" s="281">
        <v>16</v>
      </c>
      <c r="BW58" s="281">
        <v>9</v>
      </c>
      <c r="BX58" s="281">
        <v>8</v>
      </c>
      <c r="BY58" s="281">
        <v>8</v>
      </c>
      <c r="BZ58" s="281">
        <v>10</v>
      </c>
      <c r="CA58" s="281">
        <v>9</v>
      </c>
      <c r="CB58" s="552">
        <v>15</v>
      </c>
      <c r="CC58" s="281">
        <v>16</v>
      </c>
      <c r="CD58" s="281">
        <v>7</v>
      </c>
      <c r="CE58" s="281">
        <v>17</v>
      </c>
      <c r="CF58" s="281">
        <v>2</v>
      </c>
      <c r="CG58" s="281">
        <v>11</v>
      </c>
      <c r="CH58" s="281">
        <v>10</v>
      </c>
      <c r="CI58" s="281">
        <v>10</v>
      </c>
      <c r="CJ58" s="281">
        <v>17</v>
      </c>
      <c r="CK58" s="156">
        <v>12</v>
      </c>
      <c r="CL58" s="320">
        <v>212</v>
      </c>
    </row>
    <row r="59" spans="1:90">
      <c r="A59" s="80">
        <f>ROWS($A$3:A57)</f>
        <v>55</v>
      </c>
      <c r="B59" s="92"/>
      <c r="C59" s="203"/>
      <c r="D59" s="259" t="s">
        <v>1</v>
      </c>
      <c r="E59" s="451"/>
      <c r="F59" s="154">
        <v>92602.86</v>
      </c>
      <c r="G59" s="155">
        <v>96969.78</v>
      </c>
      <c r="H59" s="155">
        <v>131840.65</v>
      </c>
      <c r="I59" s="156">
        <v>94509.13</v>
      </c>
      <c r="J59" s="281"/>
      <c r="K59" s="154">
        <f t="shared" si="102"/>
        <v>10647.95</v>
      </c>
      <c r="L59" s="155">
        <f t="shared" si="103"/>
        <v>3094.94</v>
      </c>
      <c r="M59" s="155">
        <f t="shared" si="104"/>
        <v>8239.0300000000007</v>
      </c>
      <c r="N59" s="155">
        <f t="shared" si="105"/>
        <v>9429.69</v>
      </c>
      <c r="O59" s="155">
        <f t="shared" si="106"/>
        <v>7368.33</v>
      </c>
      <c r="P59" s="155">
        <f>'2018'!AZ59+'2018'!BA59</f>
        <v>11670.86</v>
      </c>
      <c r="Q59" s="155">
        <f>'2018'!AU59</f>
        <v>6854.74</v>
      </c>
      <c r="R59" s="155">
        <f t="shared" si="107"/>
        <v>10361.33</v>
      </c>
      <c r="S59" s="155">
        <f t="shared" si="108"/>
        <v>8925.66</v>
      </c>
      <c r="T59" s="155">
        <f t="shared" si="109"/>
        <v>8631.4</v>
      </c>
      <c r="U59" s="552">
        <f t="shared" si="109"/>
        <v>7378.93</v>
      </c>
      <c r="V59" s="155">
        <f t="shared" si="110"/>
        <v>14650.6</v>
      </c>
      <c r="W59" s="155">
        <f t="shared" si="111"/>
        <v>5695.47</v>
      </c>
      <c r="X59" s="155">
        <f t="shared" si="112"/>
        <v>30175.57</v>
      </c>
      <c r="Y59" s="155">
        <f t="shared" si="113"/>
        <v>19479.72</v>
      </c>
      <c r="Z59" s="155">
        <f t="shared" si="114"/>
        <v>9683.5300000000007</v>
      </c>
      <c r="AA59" s="155">
        <f t="shared" si="115"/>
        <v>11876.849999999999</v>
      </c>
      <c r="AB59" s="552">
        <f t="shared" si="116"/>
        <v>5408.03</v>
      </c>
      <c r="AC59" s="155">
        <f t="shared" si="117"/>
        <v>8426.56</v>
      </c>
      <c r="AD59" s="155">
        <f t="shared" si="118"/>
        <v>10418.94</v>
      </c>
      <c r="AE59" s="155">
        <f t="shared" si="119"/>
        <v>22676.97</v>
      </c>
      <c r="AF59" s="155">
        <f t="shared" si="120"/>
        <v>16093.34</v>
      </c>
      <c r="AG59" s="155">
        <f t="shared" si="121"/>
        <v>18454.939999999999</v>
      </c>
      <c r="AH59" s="155">
        <f t="shared" si="122"/>
        <v>14652.26</v>
      </c>
      <c r="AI59" s="155">
        <f t="shared" si="123"/>
        <v>6054.3</v>
      </c>
      <c r="AJ59" s="155">
        <f t="shared" si="124"/>
        <v>12401.05</v>
      </c>
      <c r="AK59" s="552">
        <f t="shared" si="125"/>
        <v>22662.28</v>
      </c>
      <c r="AL59" s="155">
        <f t="shared" si="126"/>
        <v>12307.76</v>
      </c>
      <c r="AM59" s="155">
        <f t="shared" si="127"/>
        <v>8296.51</v>
      </c>
      <c r="AN59" s="155">
        <f t="shared" si="128"/>
        <v>12925.23</v>
      </c>
      <c r="AO59" s="155">
        <f t="shared" si="129"/>
        <v>22421.11</v>
      </c>
      <c r="AP59" s="155">
        <f t="shared" si="129"/>
        <v>12992.88</v>
      </c>
      <c r="AQ59" s="155">
        <f t="shared" si="130"/>
        <v>9901.06</v>
      </c>
      <c r="AR59" s="155">
        <f t="shared" si="131"/>
        <v>3987.22</v>
      </c>
      <c r="AS59" s="156">
        <f t="shared" si="132"/>
        <v>11677.359999999999</v>
      </c>
      <c r="AT59" s="155">
        <v>2321.13</v>
      </c>
      <c r="AU59" s="155">
        <v>6854.74</v>
      </c>
      <c r="AV59" s="155">
        <v>8925.66</v>
      </c>
      <c r="AW59" s="155">
        <v>9429.69</v>
      </c>
      <c r="AX59" s="155">
        <v>8040.2</v>
      </c>
      <c r="AY59" s="155">
        <v>3094.94</v>
      </c>
      <c r="AZ59" s="155">
        <v>1059.83</v>
      </c>
      <c r="BA59" s="155">
        <v>10611.03</v>
      </c>
      <c r="BB59" s="155">
        <v>8631.4</v>
      </c>
      <c r="BC59" s="155">
        <v>7378.93</v>
      </c>
      <c r="BD59" s="155">
        <v>8239.0300000000007</v>
      </c>
      <c r="BE59" s="155">
        <v>7368.33</v>
      </c>
      <c r="BF59" s="552">
        <v>10647.95</v>
      </c>
      <c r="BG59" s="155">
        <v>1520.57</v>
      </c>
      <c r="BH59" s="155">
        <v>4347.08</v>
      </c>
      <c r="BI59" s="155">
        <v>25828.49</v>
      </c>
      <c r="BJ59" s="155">
        <v>13130.03</v>
      </c>
      <c r="BK59" s="155">
        <v>2350.92</v>
      </c>
      <c r="BL59" s="155">
        <v>1630.33</v>
      </c>
      <c r="BM59" s="155">
        <v>9683.5300000000007</v>
      </c>
      <c r="BN59" s="155">
        <v>15498.47</v>
      </c>
      <c r="BO59" s="155">
        <v>1427.79</v>
      </c>
      <c r="BP59" s="155">
        <v>5408.03</v>
      </c>
      <c r="BQ59" s="155">
        <v>10449.06</v>
      </c>
      <c r="BR59" s="552">
        <v>5695.47</v>
      </c>
      <c r="BS59" s="155">
        <v>3178.13</v>
      </c>
      <c r="BT59" s="155">
        <v>19498.84</v>
      </c>
      <c r="BU59" s="155">
        <v>10418.94</v>
      </c>
      <c r="BV59" s="155">
        <v>18454.939999999999</v>
      </c>
      <c r="BW59" s="155">
        <v>6054.3</v>
      </c>
      <c r="BX59" s="155">
        <v>8426.56</v>
      </c>
      <c r="BY59" s="155">
        <v>12401.05</v>
      </c>
      <c r="BZ59" s="155">
        <v>14652.26</v>
      </c>
      <c r="CA59" s="155">
        <v>16093.34</v>
      </c>
      <c r="CB59" s="552">
        <v>22662.28</v>
      </c>
      <c r="CC59" s="155">
        <v>22421.11</v>
      </c>
      <c r="CD59" s="155">
        <v>12992.88</v>
      </c>
      <c r="CE59" s="155">
        <v>12307.76</v>
      </c>
      <c r="CF59" s="155">
        <v>571.05999999999995</v>
      </c>
      <c r="CG59" s="155">
        <v>11106.3</v>
      </c>
      <c r="CH59" s="155">
        <v>8296.51</v>
      </c>
      <c r="CI59" s="155">
        <v>3987.22</v>
      </c>
      <c r="CJ59" s="155">
        <v>12925.23</v>
      </c>
      <c r="CK59" s="156">
        <v>9901.06</v>
      </c>
      <c r="CL59" s="320">
        <v>429367.19</v>
      </c>
    </row>
    <row r="60" spans="1:90">
      <c r="A60" s="80">
        <f>ROWS($A$3:A58)</f>
        <v>56</v>
      </c>
      <c r="B60" s="92" t="s">
        <v>232</v>
      </c>
      <c r="C60" s="584">
        <v>2018</v>
      </c>
      <c r="D60" s="259" t="s">
        <v>13</v>
      </c>
      <c r="E60" s="483">
        <v>43556</v>
      </c>
      <c r="F60" s="154">
        <v>21</v>
      </c>
      <c r="G60" s="281">
        <v>24</v>
      </c>
      <c r="H60" s="281">
        <v>34</v>
      </c>
      <c r="I60" s="156">
        <v>22</v>
      </c>
      <c r="J60" s="281"/>
      <c r="K60" s="154">
        <f t="shared" si="102"/>
        <v>6</v>
      </c>
      <c r="L60" s="155">
        <f t="shared" si="103"/>
        <v>2</v>
      </c>
      <c r="M60" s="155">
        <f t="shared" si="104"/>
        <v>2</v>
      </c>
      <c r="N60" s="155">
        <f t="shared" si="105"/>
        <v>3</v>
      </c>
      <c r="O60" s="155">
        <f t="shared" si="106"/>
        <v>3</v>
      </c>
      <c r="P60" s="155">
        <f>'2018'!BA60</f>
        <v>3</v>
      </c>
      <c r="Q60" s="155">
        <f>'2018'!AU60</f>
        <v>1</v>
      </c>
      <c r="R60" s="155">
        <f t="shared" si="107"/>
        <v>5</v>
      </c>
      <c r="S60" s="155">
        <f t="shared" si="108"/>
        <v>4</v>
      </c>
      <c r="T60" s="155">
        <f t="shared" si="109"/>
        <v>2</v>
      </c>
      <c r="U60" s="552">
        <f t="shared" si="109"/>
        <v>3</v>
      </c>
      <c r="V60" s="155">
        <f t="shared" si="110"/>
        <v>8</v>
      </c>
      <c r="W60" s="155">
        <f t="shared" si="111"/>
        <v>2</v>
      </c>
      <c r="X60" s="155">
        <f t="shared" si="112"/>
        <v>10</v>
      </c>
      <c r="Y60" s="155">
        <f t="shared" si="113"/>
        <v>9</v>
      </c>
      <c r="Z60" s="155">
        <f t="shared" si="114"/>
        <v>3</v>
      </c>
      <c r="AA60" s="155">
        <f>BQ60</f>
        <v>3</v>
      </c>
      <c r="AB60" s="552">
        <f t="shared" si="116"/>
        <v>3</v>
      </c>
      <c r="AC60" s="155">
        <f t="shared" si="117"/>
        <v>2</v>
      </c>
      <c r="AD60" s="155">
        <f t="shared" si="118"/>
        <v>6</v>
      </c>
      <c r="AE60" s="155">
        <f t="shared" si="119"/>
        <v>13</v>
      </c>
      <c r="AF60" s="155">
        <f t="shared" si="120"/>
        <v>3</v>
      </c>
      <c r="AG60" s="155">
        <f t="shared" si="121"/>
        <v>12</v>
      </c>
      <c r="AH60" s="155">
        <f t="shared" si="122"/>
        <v>6</v>
      </c>
      <c r="AI60" s="155">
        <f t="shared" si="123"/>
        <v>5</v>
      </c>
      <c r="AJ60" s="155">
        <f t="shared" si="124"/>
        <v>3</v>
      </c>
      <c r="AK60" s="552">
        <f t="shared" si="125"/>
        <v>2</v>
      </c>
      <c r="AL60" s="155">
        <f t="shared" si="126"/>
        <v>3</v>
      </c>
      <c r="AM60" s="155">
        <f t="shared" si="127"/>
        <v>3</v>
      </c>
      <c r="AN60" s="155">
        <f t="shared" si="128"/>
        <v>7</v>
      </c>
      <c r="AO60" s="155">
        <f t="shared" si="129"/>
        <v>3</v>
      </c>
      <c r="AP60" s="155">
        <f t="shared" si="129"/>
        <v>5</v>
      </c>
      <c r="AQ60" s="155">
        <f t="shared" si="130"/>
        <v>3</v>
      </c>
      <c r="AR60" s="155">
        <f t="shared" si="131"/>
        <v>3</v>
      </c>
      <c r="AS60" s="156">
        <f t="shared" si="132"/>
        <v>6</v>
      </c>
      <c r="AT60" s="155">
        <v>1</v>
      </c>
      <c r="AU60" s="281">
        <v>1</v>
      </c>
      <c r="AV60" s="281">
        <v>4</v>
      </c>
      <c r="AW60" s="281">
        <v>3</v>
      </c>
      <c r="AX60" s="281">
        <v>4</v>
      </c>
      <c r="AY60" s="281">
        <v>2</v>
      </c>
      <c r="AZ60" s="281" t="s">
        <v>233</v>
      </c>
      <c r="BA60" s="281">
        <v>3</v>
      </c>
      <c r="BB60" s="281">
        <v>2</v>
      </c>
      <c r="BC60" s="281">
        <v>3</v>
      </c>
      <c r="BD60" s="281">
        <v>2</v>
      </c>
      <c r="BE60" s="281">
        <v>3</v>
      </c>
      <c r="BF60" s="552">
        <v>6</v>
      </c>
      <c r="BG60" s="281">
        <v>2</v>
      </c>
      <c r="BH60" s="281">
        <v>4</v>
      </c>
      <c r="BI60" s="281">
        <v>6</v>
      </c>
      <c r="BJ60" s="281">
        <v>6</v>
      </c>
      <c r="BK60" s="281">
        <v>1</v>
      </c>
      <c r="BL60" s="281">
        <v>1</v>
      </c>
      <c r="BM60" s="281">
        <v>3</v>
      </c>
      <c r="BN60" s="281">
        <v>7</v>
      </c>
      <c r="BO60" s="281" t="s">
        <v>233</v>
      </c>
      <c r="BP60" s="281">
        <v>3</v>
      </c>
      <c r="BQ60" s="281">
        <v>3</v>
      </c>
      <c r="BR60" s="552">
        <v>2</v>
      </c>
      <c r="BS60" s="281">
        <v>3</v>
      </c>
      <c r="BT60" s="281">
        <v>10</v>
      </c>
      <c r="BU60" s="281">
        <v>6</v>
      </c>
      <c r="BV60" s="281">
        <v>12</v>
      </c>
      <c r="BW60" s="281">
        <v>5</v>
      </c>
      <c r="BX60" s="281">
        <v>2</v>
      </c>
      <c r="BY60" s="281">
        <v>3</v>
      </c>
      <c r="BZ60" s="281">
        <v>6</v>
      </c>
      <c r="CA60" s="281">
        <v>3</v>
      </c>
      <c r="CB60" s="552">
        <v>2</v>
      </c>
      <c r="CC60" s="281">
        <v>3</v>
      </c>
      <c r="CD60" s="281">
        <v>5</v>
      </c>
      <c r="CE60" s="281">
        <v>3</v>
      </c>
      <c r="CF60" s="281">
        <v>1</v>
      </c>
      <c r="CG60" s="281">
        <v>5</v>
      </c>
      <c r="CH60" s="281">
        <v>3</v>
      </c>
      <c r="CI60" s="281">
        <v>3</v>
      </c>
      <c r="CJ60" s="281">
        <v>7</v>
      </c>
      <c r="CK60" s="156">
        <v>3</v>
      </c>
      <c r="CL60" s="320">
        <v>90</v>
      </c>
    </row>
    <row r="61" spans="1:90">
      <c r="A61" s="80">
        <f>ROWS($A$3:A59)</f>
        <v>57</v>
      </c>
      <c r="B61" s="52"/>
      <c r="C61" s="203"/>
      <c r="D61" s="259" t="s">
        <v>1</v>
      </c>
      <c r="E61" s="451"/>
      <c r="F61" s="154">
        <v>68891.14</v>
      </c>
      <c r="G61" s="155">
        <v>91377.29</v>
      </c>
      <c r="H61" s="155">
        <v>172564.82</v>
      </c>
      <c r="I61" s="156">
        <v>58078.42</v>
      </c>
      <c r="J61" s="281"/>
      <c r="K61" s="154">
        <f t="shared" si="102"/>
        <v>3634.42</v>
      </c>
      <c r="L61" s="155">
        <f t="shared" si="103"/>
        <v>2443.54</v>
      </c>
      <c r="M61" s="155">
        <f t="shared" si="104"/>
        <v>2641.61</v>
      </c>
      <c r="N61" s="155">
        <f t="shared" si="105"/>
        <v>19363.93</v>
      </c>
      <c r="O61" s="155">
        <f t="shared" si="106"/>
        <v>7564.35</v>
      </c>
      <c r="P61" s="155">
        <f>'2018'!BA61</f>
        <v>2388.2199999999998</v>
      </c>
      <c r="Q61" s="155">
        <f>'2018'!AU61</f>
        <v>5376.71</v>
      </c>
      <c r="R61" s="155">
        <f t="shared" si="107"/>
        <v>6533.71</v>
      </c>
      <c r="S61" s="155">
        <f t="shared" si="108"/>
        <v>17053.38</v>
      </c>
      <c r="T61" s="155">
        <f t="shared" si="109"/>
        <v>688.8</v>
      </c>
      <c r="U61" s="552">
        <f t="shared" si="109"/>
        <v>1202.48</v>
      </c>
      <c r="V61" s="155">
        <f t="shared" si="110"/>
        <v>26202.809999999998</v>
      </c>
      <c r="W61" s="155">
        <f t="shared" si="111"/>
        <v>37956.53</v>
      </c>
      <c r="X61" s="155">
        <f t="shared" si="112"/>
        <v>12587.51</v>
      </c>
      <c r="Y61" s="155">
        <f t="shared" si="113"/>
        <v>6428.2</v>
      </c>
      <c r="Z61" s="155">
        <f t="shared" si="114"/>
        <v>213.7</v>
      </c>
      <c r="AA61" s="155">
        <f>BQ61</f>
        <v>2397.67</v>
      </c>
      <c r="AB61" s="552">
        <f t="shared" si="116"/>
        <v>5590.87</v>
      </c>
      <c r="AC61" s="155">
        <f t="shared" si="117"/>
        <v>39456.81</v>
      </c>
      <c r="AD61" s="155">
        <f t="shared" si="118"/>
        <v>7224.85</v>
      </c>
      <c r="AE61" s="155">
        <f t="shared" si="119"/>
        <v>27506.32</v>
      </c>
      <c r="AF61" s="155">
        <f t="shared" si="120"/>
        <v>10872.16</v>
      </c>
      <c r="AG61" s="155">
        <f t="shared" si="121"/>
        <v>30712.05</v>
      </c>
      <c r="AH61" s="155">
        <f t="shared" si="122"/>
        <v>9510.5499999999993</v>
      </c>
      <c r="AI61" s="155">
        <f t="shared" si="123"/>
        <v>4108.18</v>
      </c>
      <c r="AJ61" s="155">
        <f t="shared" si="124"/>
        <v>25456.59</v>
      </c>
      <c r="AK61" s="552">
        <f t="shared" si="125"/>
        <v>17717.32</v>
      </c>
      <c r="AL61" s="155">
        <f t="shared" si="126"/>
        <v>19750.669999999998</v>
      </c>
      <c r="AM61" s="155">
        <f t="shared" si="127"/>
        <v>2982.45</v>
      </c>
      <c r="AN61" s="155">
        <f t="shared" si="128"/>
        <v>8762.36</v>
      </c>
      <c r="AO61" s="155">
        <f t="shared" si="129"/>
        <v>21889.26</v>
      </c>
      <c r="AP61" s="155">
        <f t="shared" si="129"/>
        <v>13710.3</v>
      </c>
      <c r="AQ61" s="155">
        <f t="shared" si="130"/>
        <v>8600.44</v>
      </c>
      <c r="AR61" s="155">
        <f t="shared" si="131"/>
        <v>882.97</v>
      </c>
      <c r="AS61" s="156">
        <f t="shared" si="132"/>
        <v>7165.59</v>
      </c>
      <c r="AT61" s="155">
        <v>3.01</v>
      </c>
      <c r="AU61" s="155">
        <v>5376.71</v>
      </c>
      <c r="AV61" s="155">
        <v>17053.38</v>
      </c>
      <c r="AW61" s="155">
        <v>19363.93</v>
      </c>
      <c r="AX61" s="155">
        <v>6530.7</v>
      </c>
      <c r="AY61" s="155">
        <v>2443.54</v>
      </c>
      <c r="AZ61" s="155" t="s">
        <v>233</v>
      </c>
      <c r="BA61" s="155">
        <v>2388.2199999999998</v>
      </c>
      <c r="BB61" s="155">
        <v>688.8</v>
      </c>
      <c r="BC61" s="155">
        <v>1202.48</v>
      </c>
      <c r="BD61" s="155">
        <v>2641.61</v>
      </c>
      <c r="BE61" s="155">
        <v>7564.35</v>
      </c>
      <c r="BF61" s="552">
        <v>3634.42</v>
      </c>
      <c r="BG61" s="155">
        <v>790.76</v>
      </c>
      <c r="BH61" s="155">
        <v>2915.73</v>
      </c>
      <c r="BI61" s="155">
        <v>9671.7800000000007</v>
      </c>
      <c r="BJ61" s="155">
        <v>25412.05</v>
      </c>
      <c r="BK61" s="155">
        <v>3.96</v>
      </c>
      <c r="BL61" s="155">
        <v>400.67</v>
      </c>
      <c r="BM61" s="155">
        <v>213.7</v>
      </c>
      <c r="BN61" s="155">
        <v>6023.57</v>
      </c>
      <c r="BO61" s="155" t="s">
        <v>233</v>
      </c>
      <c r="BP61" s="155">
        <v>5590.87</v>
      </c>
      <c r="BQ61" s="155">
        <v>2397.67</v>
      </c>
      <c r="BR61" s="552">
        <v>37956.53</v>
      </c>
      <c r="BS61" s="155">
        <v>3003.57</v>
      </c>
      <c r="BT61" s="155">
        <v>24502.75</v>
      </c>
      <c r="BU61" s="155">
        <v>7224.85</v>
      </c>
      <c r="BV61" s="155">
        <v>30712.05</v>
      </c>
      <c r="BW61" s="155">
        <v>4108.18</v>
      </c>
      <c r="BX61" s="155">
        <v>39456.81</v>
      </c>
      <c r="BY61" s="155">
        <v>25456.59</v>
      </c>
      <c r="BZ61" s="155">
        <v>9510.5499999999993</v>
      </c>
      <c r="CA61" s="155">
        <v>10872.16</v>
      </c>
      <c r="CB61" s="552">
        <v>17717.32</v>
      </c>
      <c r="CC61" s="155">
        <v>21889.26</v>
      </c>
      <c r="CD61" s="155">
        <v>13710.3</v>
      </c>
      <c r="CE61" s="155">
        <v>19750.669999999998</v>
      </c>
      <c r="CF61" s="155">
        <v>132.03</v>
      </c>
      <c r="CG61" s="155">
        <v>7033.56</v>
      </c>
      <c r="CH61" s="155">
        <v>2982.45</v>
      </c>
      <c r="CI61" s="155">
        <v>882.97</v>
      </c>
      <c r="CJ61" s="155">
        <v>8762.36</v>
      </c>
      <c r="CK61" s="156">
        <v>8600.44</v>
      </c>
      <c r="CL61" s="320">
        <v>398218.13</v>
      </c>
    </row>
    <row r="62" spans="1:90">
      <c r="A62" s="80">
        <f>ROWS($A$3:A60)</f>
        <v>58</v>
      </c>
      <c r="B62" s="92" t="s">
        <v>56</v>
      </c>
      <c r="C62" s="584">
        <v>2018</v>
      </c>
      <c r="D62" s="259" t="s">
        <v>13</v>
      </c>
      <c r="E62" s="483">
        <v>43556</v>
      </c>
      <c r="F62" s="154">
        <f>SUM(AT62:BF62)</f>
        <v>686</v>
      </c>
      <c r="G62" s="155">
        <f>SUM(BG62:BR62)</f>
        <v>324</v>
      </c>
      <c r="H62" s="155">
        <f>SUM(BS62:CB62)</f>
        <v>929</v>
      </c>
      <c r="I62" s="156">
        <f>SUM(CC62:CK62)</f>
        <v>321</v>
      </c>
      <c r="J62" s="281"/>
      <c r="K62" s="154">
        <f t="shared" si="102"/>
        <v>71</v>
      </c>
      <c r="L62" s="155">
        <f t="shared" si="103"/>
        <v>171</v>
      </c>
      <c r="M62" s="155">
        <f t="shared" si="104"/>
        <v>47</v>
      </c>
      <c r="N62" s="155">
        <f t="shared" si="105"/>
        <v>35</v>
      </c>
      <c r="O62" s="155">
        <f t="shared" si="106"/>
        <v>15</v>
      </c>
      <c r="P62" s="155">
        <f>'2018'!AZ62+'2018'!BA62</f>
        <v>100</v>
      </c>
      <c r="Q62" s="155">
        <f>'2018'!AU62</f>
        <v>26</v>
      </c>
      <c r="R62" s="155">
        <f t="shared" si="107"/>
        <v>42</v>
      </c>
      <c r="S62" s="155">
        <f t="shared" si="108"/>
        <v>36</v>
      </c>
      <c r="T62" s="155">
        <f t="shared" si="109"/>
        <v>65</v>
      </c>
      <c r="U62" s="552">
        <f t="shared" si="109"/>
        <v>78</v>
      </c>
      <c r="V62" s="155">
        <f t="shared" si="110"/>
        <v>66</v>
      </c>
      <c r="W62" s="155">
        <f t="shared" si="111"/>
        <v>40</v>
      </c>
      <c r="X62" s="155">
        <f t="shared" si="112"/>
        <v>43</v>
      </c>
      <c r="Y62" s="155">
        <f t="shared" si="113"/>
        <v>55</v>
      </c>
      <c r="Z62" s="155">
        <f t="shared" si="114"/>
        <v>35</v>
      </c>
      <c r="AA62" s="155">
        <f t="shared" si="115"/>
        <v>35</v>
      </c>
      <c r="AB62" s="552">
        <f t="shared" si="116"/>
        <v>50</v>
      </c>
      <c r="AC62" s="155">
        <f t="shared" si="117"/>
        <v>120</v>
      </c>
      <c r="AD62" s="155">
        <f t="shared" si="118"/>
        <v>69</v>
      </c>
      <c r="AE62" s="155">
        <f t="shared" si="119"/>
        <v>119</v>
      </c>
      <c r="AF62" s="155">
        <f t="shared" si="120"/>
        <v>132</v>
      </c>
      <c r="AG62" s="155">
        <f t="shared" si="121"/>
        <v>137</v>
      </c>
      <c r="AH62" s="155">
        <f t="shared" si="122"/>
        <v>98</v>
      </c>
      <c r="AI62" s="155">
        <f t="shared" si="123"/>
        <v>38</v>
      </c>
      <c r="AJ62" s="155">
        <f t="shared" si="124"/>
        <v>39</v>
      </c>
      <c r="AK62" s="552">
        <f t="shared" si="125"/>
        <v>177</v>
      </c>
      <c r="AL62" s="155">
        <f t="shared" si="126"/>
        <v>34</v>
      </c>
      <c r="AM62" s="155">
        <f t="shared" si="127"/>
        <v>44</v>
      </c>
      <c r="AN62" s="155">
        <f t="shared" si="128"/>
        <v>70</v>
      </c>
      <c r="AO62" s="155">
        <f t="shared" si="129"/>
        <v>33</v>
      </c>
      <c r="AP62" s="155">
        <f t="shared" si="129"/>
        <v>13</v>
      </c>
      <c r="AQ62" s="155">
        <f t="shared" si="130"/>
        <v>56</v>
      </c>
      <c r="AR62" s="155">
        <f t="shared" si="131"/>
        <v>38</v>
      </c>
      <c r="AS62" s="156">
        <f t="shared" si="132"/>
        <v>33</v>
      </c>
      <c r="AT62" s="155">
        <v>2</v>
      </c>
      <c r="AU62" s="281">
        <v>26</v>
      </c>
      <c r="AV62" s="281">
        <v>36</v>
      </c>
      <c r="AW62" s="281">
        <v>35</v>
      </c>
      <c r="AX62" s="281">
        <v>40</v>
      </c>
      <c r="AY62" s="281">
        <v>171</v>
      </c>
      <c r="AZ62" s="281">
        <v>5</v>
      </c>
      <c r="BA62" s="281">
        <v>95</v>
      </c>
      <c r="BB62" s="281">
        <v>65</v>
      </c>
      <c r="BC62" s="281">
        <v>78</v>
      </c>
      <c r="BD62" s="281">
        <v>47</v>
      </c>
      <c r="BE62" s="281">
        <v>15</v>
      </c>
      <c r="BF62" s="552">
        <v>71</v>
      </c>
      <c r="BG62" s="281">
        <v>7</v>
      </c>
      <c r="BH62" s="281">
        <v>3</v>
      </c>
      <c r="BI62" s="281">
        <v>40</v>
      </c>
      <c r="BJ62" s="281">
        <v>59</v>
      </c>
      <c r="BK62" s="281">
        <v>5</v>
      </c>
      <c r="BL62" s="281">
        <v>2</v>
      </c>
      <c r="BM62" s="281">
        <v>35</v>
      </c>
      <c r="BN62" s="281">
        <v>48</v>
      </c>
      <c r="BO62" s="281">
        <v>2</v>
      </c>
      <c r="BP62" s="281">
        <v>50</v>
      </c>
      <c r="BQ62" s="281">
        <v>33</v>
      </c>
      <c r="BR62" s="552">
        <v>40</v>
      </c>
      <c r="BS62" s="281">
        <v>6</v>
      </c>
      <c r="BT62" s="281">
        <v>113</v>
      </c>
      <c r="BU62" s="281">
        <v>69</v>
      </c>
      <c r="BV62" s="281">
        <v>137</v>
      </c>
      <c r="BW62" s="281">
        <v>38</v>
      </c>
      <c r="BX62" s="281">
        <v>120</v>
      </c>
      <c r="BY62" s="281">
        <v>39</v>
      </c>
      <c r="BZ62" s="281">
        <v>98</v>
      </c>
      <c r="CA62" s="281">
        <v>132</v>
      </c>
      <c r="CB62" s="552">
        <v>177</v>
      </c>
      <c r="CC62" s="281">
        <v>33</v>
      </c>
      <c r="CD62" s="281">
        <v>13</v>
      </c>
      <c r="CE62" s="281">
        <v>34</v>
      </c>
      <c r="CF62" s="281">
        <v>2</v>
      </c>
      <c r="CG62" s="281">
        <v>31</v>
      </c>
      <c r="CH62" s="281">
        <v>44</v>
      </c>
      <c r="CI62" s="281">
        <v>38</v>
      </c>
      <c r="CJ62" s="281">
        <v>70</v>
      </c>
      <c r="CK62" s="156">
        <v>56</v>
      </c>
      <c r="CL62" s="320">
        <v>2260</v>
      </c>
    </row>
    <row r="63" spans="1:90">
      <c r="A63" s="80">
        <f>ROWS($A$3:A61)</f>
        <v>59</v>
      </c>
      <c r="B63" s="92"/>
      <c r="C63" s="203"/>
      <c r="D63" s="259" t="s">
        <v>1</v>
      </c>
      <c r="E63" s="451"/>
      <c r="F63" s="154">
        <f>SUM(AT63:BF63)</f>
        <v>270613.24</v>
      </c>
      <c r="G63" s="155">
        <f>SUM(BG63:BR63)</f>
        <v>203203.97999999998</v>
      </c>
      <c r="H63" s="155">
        <f>SUM(BS63:CB63)</f>
        <v>158670.63000000003</v>
      </c>
      <c r="I63" s="156">
        <f>SUM(CC63:CK63)</f>
        <v>321997.83</v>
      </c>
      <c r="J63" s="281"/>
      <c r="K63" s="154">
        <f t="shared" si="102"/>
        <v>17234.57</v>
      </c>
      <c r="L63" s="155">
        <f t="shared" si="103"/>
        <v>7400.7799999999988</v>
      </c>
      <c r="M63" s="155">
        <f t="shared" si="104"/>
        <v>52401.079999999994</v>
      </c>
      <c r="N63" s="155">
        <f t="shared" si="105"/>
        <v>21235.45</v>
      </c>
      <c r="O63" s="155">
        <f t="shared" si="106"/>
        <v>68472.180000000008</v>
      </c>
      <c r="P63" s="155">
        <f>'2018'!AZ63+'2018'!BA63</f>
        <v>28564.950000000008</v>
      </c>
      <c r="Q63" s="155">
        <f>'2018'!AU63</f>
        <v>23580.449999999997</v>
      </c>
      <c r="R63" s="155">
        <f t="shared" si="107"/>
        <v>20642.13</v>
      </c>
      <c r="S63" s="155">
        <f t="shared" si="108"/>
        <v>12955.949999999999</v>
      </c>
      <c r="T63" s="155">
        <f t="shared" si="109"/>
        <v>13125.729999999994</v>
      </c>
      <c r="U63" s="552">
        <f t="shared" si="109"/>
        <v>4999.9699999999993</v>
      </c>
      <c r="V63" s="155">
        <f t="shared" si="110"/>
        <v>19957.829999999998</v>
      </c>
      <c r="W63" s="155">
        <f t="shared" si="111"/>
        <v>15564.76</v>
      </c>
      <c r="X63" s="155">
        <f t="shared" si="112"/>
        <v>43463.610000000008</v>
      </c>
      <c r="Y63" s="155">
        <f t="shared" si="113"/>
        <v>43731.4</v>
      </c>
      <c r="Z63" s="155">
        <f t="shared" si="114"/>
        <v>27663.01</v>
      </c>
      <c r="AA63" s="155">
        <f t="shared" si="115"/>
        <v>24277.17</v>
      </c>
      <c r="AB63" s="552">
        <f t="shared" si="116"/>
        <v>28546.199999999997</v>
      </c>
      <c r="AC63" s="155">
        <f t="shared" si="117"/>
        <v>16776.750000000004</v>
      </c>
      <c r="AD63" s="155">
        <f t="shared" si="118"/>
        <v>8672.17</v>
      </c>
      <c r="AE63" s="155">
        <f t="shared" si="119"/>
        <v>22549.209999999988</v>
      </c>
      <c r="AF63" s="155">
        <f t="shared" si="120"/>
        <v>9822.5400000000009</v>
      </c>
      <c r="AG63" s="155">
        <f t="shared" si="121"/>
        <v>19719.570000000007</v>
      </c>
      <c r="AH63" s="155">
        <f t="shared" si="122"/>
        <v>22803.579999999998</v>
      </c>
      <c r="AI63" s="155">
        <f t="shared" si="123"/>
        <v>21300.820000000014</v>
      </c>
      <c r="AJ63" s="155">
        <f t="shared" si="124"/>
        <v>15552.83</v>
      </c>
      <c r="AK63" s="552">
        <f t="shared" si="125"/>
        <v>21473.16</v>
      </c>
      <c r="AL63" s="155">
        <f t="shared" si="126"/>
        <v>32297.29</v>
      </c>
      <c r="AM63" s="155">
        <f t="shared" si="127"/>
        <v>28899.350000000006</v>
      </c>
      <c r="AN63" s="155">
        <f t="shared" si="128"/>
        <v>21332.28</v>
      </c>
      <c r="AO63" s="155">
        <f t="shared" si="129"/>
        <v>55452.76</v>
      </c>
      <c r="AP63" s="155">
        <f t="shared" si="129"/>
        <v>15670.099999999999</v>
      </c>
      <c r="AQ63" s="155">
        <f t="shared" si="130"/>
        <v>43823.67</v>
      </c>
      <c r="AR63" s="155">
        <f t="shared" si="131"/>
        <v>9631.3799999999992</v>
      </c>
      <c r="AS63" s="156">
        <f t="shared" si="132"/>
        <v>114891</v>
      </c>
      <c r="AT63" s="155">
        <v>1642.1299999999999</v>
      </c>
      <c r="AU63" s="155">
        <v>23580.449999999997</v>
      </c>
      <c r="AV63" s="155">
        <v>12955.949999999999</v>
      </c>
      <c r="AW63" s="155">
        <v>21235.45</v>
      </c>
      <c r="AX63" s="155">
        <v>19000</v>
      </c>
      <c r="AY63" s="155">
        <v>7400.7799999999988</v>
      </c>
      <c r="AZ63" s="155">
        <v>802.22</v>
      </c>
      <c r="BA63" s="155">
        <v>27762.730000000007</v>
      </c>
      <c r="BB63" s="155">
        <v>13125.729999999994</v>
      </c>
      <c r="BC63" s="155">
        <v>4999.9699999999993</v>
      </c>
      <c r="BD63" s="155">
        <v>52401.079999999994</v>
      </c>
      <c r="BE63" s="155">
        <v>68472.180000000008</v>
      </c>
      <c r="BF63" s="552">
        <v>17234.57</v>
      </c>
      <c r="BG63" s="155">
        <v>3990.3899999999994</v>
      </c>
      <c r="BH63" s="155">
        <v>8534.01</v>
      </c>
      <c r="BI63" s="155">
        <v>34929.600000000006</v>
      </c>
      <c r="BJ63" s="155">
        <v>15967.439999999999</v>
      </c>
      <c r="BK63" s="155">
        <v>2044.9399999999998</v>
      </c>
      <c r="BL63" s="155">
        <v>6646.3899999999994</v>
      </c>
      <c r="BM63" s="155">
        <v>27663.01</v>
      </c>
      <c r="BN63" s="155">
        <v>35040.07</v>
      </c>
      <c r="BO63" s="155">
        <v>4016.86</v>
      </c>
      <c r="BP63" s="155">
        <v>28546.199999999997</v>
      </c>
      <c r="BQ63" s="155">
        <v>20260.309999999998</v>
      </c>
      <c r="BR63" s="552">
        <v>15564.76</v>
      </c>
      <c r="BS63" s="155">
        <v>1181.7599999999998</v>
      </c>
      <c r="BT63" s="155">
        <v>21367.44999999999</v>
      </c>
      <c r="BU63" s="155">
        <v>8672.17</v>
      </c>
      <c r="BV63" s="155">
        <v>19719.570000000007</v>
      </c>
      <c r="BW63" s="155">
        <v>21300.820000000014</v>
      </c>
      <c r="BX63" s="155">
        <v>16776.750000000004</v>
      </c>
      <c r="BY63" s="155">
        <v>15552.83</v>
      </c>
      <c r="BZ63" s="155">
        <v>22803.579999999998</v>
      </c>
      <c r="CA63" s="155">
        <v>9822.5400000000009</v>
      </c>
      <c r="CB63" s="552">
        <v>21473.16</v>
      </c>
      <c r="CC63" s="155">
        <v>55452.76</v>
      </c>
      <c r="CD63" s="155">
        <v>15670.099999999999</v>
      </c>
      <c r="CE63" s="155">
        <v>32297.29</v>
      </c>
      <c r="CF63" s="155">
        <v>599.70000000000005</v>
      </c>
      <c r="CG63" s="155">
        <v>114291.3</v>
      </c>
      <c r="CH63" s="155">
        <v>28899.350000000006</v>
      </c>
      <c r="CI63" s="155">
        <v>9631.3799999999992</v>
      </c>
      <c r="CJ63" s="155">
        <v>21332.28</v>
      </c>
      <c r="CK63" s="156">
        <v>43823.67</v>
      </c>
      <c r="CL63" s="320">
        <v>954485.68000000017</v>
      </c>
    </row>
    <row r="64" spans="1:90">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c r="A65" s="80">
        <f>ROWS($A$3:A63)</f>
        <v>61</v>
      </c>
      <c r="B65" s="53" t="str">
        <f>'Stand der Daten'!B66</f>
        <v>Gebietskulisse</v>
      </c>
      <c r="C65" s="202">
        <v>2018</v>
      </c>
      <c r="D65" s="259" t="s">
        <v>59</v>
      </c>
      <c r="E65" s="483">
        <v>43563</v>
      </c>
      <c r="F65" s="530">
        <f>SUM(AT65:BF65)</f>
        <v>314479.37931325939</v>
      </c>
      <c r="G65" s="531">
        <f>SUM(BG65:BR65)</f>
        <v>89897.598673236032</v>
      </c>
      <c r="H65" s="531">
        <f>SUM(BS65:CB65)</f>
        <v>243038.02430056277</v>
      </c>
      <c r="I65" s="532">
        <f>SUM(CC65:CK65)</f>
        <v>253397.00401661824</v>
      </c>
      <c r="J65" s="281"/>
      <c r="K65" s="541">
        <f>BF65</f>
        <v>67088.181213494405</v>
      </c>
      <c r="L65" s="542">
        <f>AY65</f>
        <v>21694.709696189002</v>
      </c>
      <c r="M65" s="542">
        <f>BD65</f>
        <v>50743.632540982115</v>
      </c>
      <c r="N65" s="542">
        <f>AW65</f>
        <v>23858.964067028599</v>
      </c>
      <c r="O65" s="542">
        <f>BE65</f>
        <v>13645.5788599189</v>
      </c>
      <c r="P65" s="542">
        <f>'2018'!AZ65+'2018'!BA65</f>
        <v>7281.3166639667988</v>
      </c>
      <c r="Q65" s="542">
        <f>'2018'!AU65</f>
        <v>13241.415086714902</v>
      </c>
      <c r="R65" s="542">
        <f>AT65+AX65</f>
        <v>298.92548990300003</v>
      </c>
      <c r="S65" s="542">
        <f>AV65</f>
        <v>16464.466047333597</v>
      </c>
      <c r="T65" s="542">
        <f>BB65</f>
        <v>24314.555380037702</v>
      </c>
      <c r="U65" s="554">
        <f>BC65</f>
        <v>75847.634267690344</v>
      </c>
      <c r="V65" s="542">
        <f>BG65+BJ65</f>
        <v>4782.2159732278005</v>
      </c>
      <c r="W65" s="542">
        <f>BR65</f>
        <v>19006.765023481603</v>
      </c>
      <c r="X65" s="542">
        <f>BH65+BI65</f>
        <v>2395.2442394348</v>
      </c>
      <c r="Y65" s="542">
        <f>BK65+BL65+BN65</f>
        <v>3495.0278979200002</v>
      </c>
      <c r="Z65" s="542">
        <f>BM65</f>
        <v>33553.801581314015</v>
      </c>
      <c r="AA65" s="542">
        <f>BO65+BQ65</f>
        <v>11118.094937060299</v>
      </c>
      <c r="AB65" s="554">
        <f>BP65</f>
        <v>15546.4490207975</v>
      </c>
      <c r="AC65" s="542">
        <f>BX65</f>
        <v>41771.511534796999</v>
      </c>
      <c r="AD65" s="542">
        <f>BU65</f>
        <v>11015.238704522701</v>
      </c>
      <c r="AE65" s="542">
        <f>BS65+BT65</f>
        <v>27698.816682424698</v>
      </c>
      <c r="AF65" s="542">
        <f>CA65</f>
        <v>15108.251329657398</v>
      </c>
      <c r="AG65" s="542">
        <f>BV65</f>
        <v>22911.120215382296</v>
      </c>
      <c r="AH65" s="542">
        <f>BZ65</f>
        <v>21429.034589089897</v>
      </c>
      <c r="AI65" s="542">
        <f>BW65</f>
        <v>32481.177064181302</v>
      </c>
      <c r="AJ65" s="542">
        <f>BY65</f>
        <v>27337.876733838995</v>
      </c>
      <c r="AK65" s="554">
        <f>CB65</f>
        <v>43284.997446668516</v>
      </c>
      <c r="AL65" s="542">
        <f>CE65</f>
        <v>37587.499231494905</v>
      </c>
      <c r="AM65" s="542">
        <f>CH65</f>
        <v>11780.271234555999</v>
      </c>
      <c r="AN65" s="542">
        <f>CJ65</f>
        <v>53315.547431706</v>
      </c>
      <c r="AO65" s="542">
        <f>CC65</f>
        <v>48696.591738932875</v>
      </c>
      <c r="AP65" s="542">
        <f>CD65</f>
        <v>13425.063013786003</v>
      </c>
      <c r="AQ65" s="542">
        <f>CK65</f>
        <v>43548.144464026976</v>
      </c>
      <c r="AR65" s="542">
        <f>CI65</f>
        <v>10746.678063158999</v>
      </c>
      <c r="AS65" s="543">
        <f>CF65+CG65</f>
        <v>34297.208838956503</v>
      </c>
      <c r="AT65" s="155"/>
      <c r="AU65" s="155">
        <v>13241.415086714902</v>
      </c>
      <c r="AV65" s="155">
        <v>16464.466047333597</v>
      </c>
      <c r="AW65" s="155">
        <v>23858.964067028599</v>
      </c>
      <c r="AX65" s="155">
        <v>298.92548990300003</v>
      </c>
      <c r="AY65" s="155">
        <v>21694.709696189002</v>
      </c>
      <c r="AZ65" s="155"/>
      <c r="BA65" s="155">
        <v>7281.3166639667988</v>
      </c>
      <c r="BB65" s="155">
        <v>24314.555380037702</v>
      </c>
      <c r="BC65" s="155">
        <v>75847.634267690344</v>
      </c>
      <c r="BD65" s="155">
        <v>50743.632540982115</v>
      </c>
      <c r="BE65" s="155">
        <v>13645.5788599189</v>
      </c>
      <c r="BF65" s="552">
        <v>67088.181213494405</v>
      </c>
      <c r="BG65" s="155">
        <v>1368.2561210222</v>
      </c>
      <c r="BH65" s="155"/>
      <c r="BI65" s="155">
        <v>2395.2442394348</v>
      </c>
      <c r="BJ65" s="155">
        <v>3413.9598522056003</v>
      </c>
      <c r="BK65" s="155"/>
      <c r="BL65" s="155"/>
      <c r="BM65" s="155">
        <v>33553.801581314015</v>
      </c>
      <c r="BN65" s="155">
        <v>3495.0278979200002</v>
      </c>
      <c r="BO65" s="155">
        <v>408.51585075379995</v>
      </c>
      <c r="BP65" s="155">
        <v>15546.4490207975</v>
      </c>
      <c r="BQ65" s="155">
        <v>10709.579086306499</v>
      </c>
      <c r="BR65" s="552">
        <v>19006.765023481603</v>
      </c>
      <c r="BS65" s="155">
        <v>1030.3934755529999</v>
      </c>
      <c r="BT65" s="155">
        <v>26668.423206871699</v>
      </c>
      <c r="BU65" s="155">
        <v>11015.238704522701</v>
      </c>
      <c r="BV65" s="155">
        <v>22911.120215382296</v>
      </c>
      <c r="BW65" s="155">
        <v>32481.177064181302</v>
      </c>
      <c r="BX65" s="155">
        <v>41771.511534796999</v>
      </c>
      <c r="BY65" s="155">
        <v>27337.876733838995</v>
      </c>
      <c r="BZ65" s="155">
        <v>21429.034589089897</v>
      </c>
      <c r="CA65" s="155">
        <v>15108.251329657398</v>
      </c>
      <c r="CB65" s="552">
        <v>43284.997446668516</v>
      </c>
      <c r="CC65" s="155">
        <v>48696.591738932875</v>
      </c>
      <c r="CD65" s="155">
        <v>13425.063013786003</v>
      </c>
      <c r="CE65" s="155">
        <v>37587.499231494905</v>
      </c>
      <c r="CF65" s="155">
        <v>438.39042787099999</v>
      </c>
      <c r="CG65" s="155">
        <v>33858.8184110855</v>
      </c>
      <c r="CH65" s="155">
        <v>11780.271234555999</v>
      </c>
      <c r="CI65" s="155">
        <v>10746.678063158999</v>
      </c>
      <c r="CJ65" s="155">
        <v>53315.547431706</v>
      </c>
      <c r="CK65" s="156">
        <v>43548.144464026976</v>
      </c>
      <c r="CL65" s="301">
        <v>900826</v>
      </c>
    </row>
    <row r="66" spans="1:90">
      <c r="A66" s="80">
        <f>ROWS($A$3:A64)</f>
        <v>62</v>
      </c>
      <c r="B66" s="92" t="s">
        <v>364</v>
      </c>
      <c r="C66" s="203">
        <v>2018</v>
      </c>
      <c r="D66" s="259" t="s">
        <v>59</v>
      </c>
      <c r="E66" s="483">
        <v>43563</v>
      </c>
      <c r="F66" s="530">
        <f>SUM(AT66:BF66)</f>
        <v>7436.7885428110003</v>
      </c>
      <c r="G66" s="531">
        <f>SUM(BG66:BR66)</f>
        <v>3765.9288346204003</v>
      </c>
      <c r="H66" s="531">
        <f>SUM(BS66:CB66)</f>
        <v>77864.359661972689</v>
      </c>
      <c r="I66" s="532">
        <f>SUM(CC66:CK66)</f>
        <v>22791.065702010997</v>
      </c>
      <c r="J66" s="281"/>
      <c r="K66" s="154">
        <f>BF66</f>
        <v>416.33703661499999</v>
      </c>
      <c r="L66" s="155">
        <f>AY66</f>
        <v>0</v>
      </c>
      <c r="M66" s="155">
        <f>BD66</f>
        <v>0</v>
      </c>
      <c r="N66" s="155">
        <f>AW66</f>
        <v>5857.7006042200001</v>
      </c>
      <c r="O66" s="155">
        <f>BE66</f>
        <v>0</v>
      </c>
      <c r="P66" s="155">
        <f>'2018'!AZ66+'2018'!BA66</f>
        <v>0</v>
      </c>
      <c r="Q66" s="155">
        <f>'2018'!AU66</f>
        <v>0</v>
      </c>
      <c r="R66" s="155">
        <f>AT66+AX66</f>
        <v>0</v>
      </c>
      <c r="S66" s="155">
        <f>AV66</f>
        <v>1162.750901976</v>
      </c>
      <c r="T66" s="155">
        <f>BB66</f>
        <v>0</v>
      </c>
      <c r="U66" s="552">
        <f>BC66</f>
        <v>0</v>
      </c>
      <c r="V66" s="155">
        <f>BG66+BJ66</f>
        <v>668.76421030620008</v>
      </c>
      <c r="W66" s="155">
        <f>BR66</f>
        <v>2289.1442515935</v>
      </c>
      <c r="X66" s="155">
        <f>BH66+BI66</f>
        <v>0</v>
      </c>
      <c r="Y66" s="155">
        <f>BK66+BL66+BN66</f>
        <v>0</v>
      </c>
      <c r="Z66" s="155">
        <f>BM66</f>
        <v>0</v>
      </c>
      <c r="AA66" s="155">
        <f>BO66+BQ66</f>
        <v>0</v>
      </c>
      <c r="AB66" s="552">
        <f>BP66</f>
        <v>808.02037272069992</v>
      </c>
      <c r="AC66" s="155">
        <f>BX66</f>
        <v>14517.162164764197</v>
      </c>
      <c r="AD66" s="155">
        <f>BU66</f>
        <v>2623.1023695867007</v>
      </c>
      <c r="AE66" s="155">
        <f>BS66+BT66</f>
        <v>20377.447228192701</v>
      </c>
      <c r="AF66" s="155">
        <f>CA66</f>
        <v>9390.6681998048971</v>
      </c>
      <c r="AG66" s="155">
        <f>BV66</f>
        <v>2963.5457446890005</v>
      </c>
      <c r="AH66" s="155">
        <f>BZ66</f>
        <v>0</v>
      </c>
      <c r="AI66" s="155">
        <f>BW66</f>
        <v>2425.9749961440002</v>
      </c>
      <c r="AJ66" s="155">
        <f>BY66</f>
        <v>10801.685651058999</v>
      </c>
      <c r="AK66" s="552">
        <f>CB66</f>
        <v>14764.773307732199</v>
      </c>
      <c r="AL66" s="155">
        <f>CE66</f>
        <v>15108.235963312998</v>
      </c>
      <c r="AM66" s="155">
        <f>CH66</f>
        <v>0</v>
      </c>
      <c r="AN66" s="155">
        <f>CJ66</f>
        <v>1466.1909424380001</v>
      </c>
      <c r="AO66" s="155">
        <f>CC66</f>
        <v>1458.0989126950001</v>
      </c>
      <c r="AP66" s="155">
        <f>CD66</f>
        <v>0</v>
      </c>
      <c r="AQ66" s="155">
        <f>CK66</f>
        <v>2934.8942296199998</v>
      </c>
      <c r="AR66" s="155">
        <f>CI66</f>
        <v>401.156976015</v>
      </c>
      <c r="AS66" s="156">
        <f>CF66+CG66</f>
        <v>1422.48867793</v>
      </c>
      <c r="AT66" s="155"/>
      <c r="AU66" s="155"/>
      <c r="AV66" s="155">
        <v>1162.750901976</v>
      </c>
      <c r="AW66" s="155">
        <v>5857.7006042200001</v>
      </c>
      <c r="AX66" s="155"/>
      <c r="AY66" s="155"/>
      <c r="AZ66" s="155"/>
      <c r="BA66" s="155"/>
      <c r="BB66" s="155"/>
      <c r="BC66" s="155"/>
      <c r="BD66" s="155"/>
      <c r="BE66" s="155"/>
      <c r="BF66" s="552">
        <v>416.33703661499999</v>
      </c>
      <c r="BG66" s="155"/>
      <c r="BH66" s="155"/>
      <c r="BI66" s="155"/>
      <c r="BJ66" s="155">
        <v>668.76421030620008</v>
      </c>
      <c r="BK66" s="155"/>
      <c r="BL66" s="155"/>
      <c r="BM66" s="155"/>
      <c r="BN66" s="155"/>
      <c r="BO66" s="155"/>
      <c r="BP66" s="155">
        <v>808.02037272069992</v>
      </c>
      <c r="BQ66" s="155"/>
      <c r="BR66" s="552">
        <v>2289.1442515935</v>
      </c>
      <c r="BS66" s="155"/>
      <c r="BT66" s="155">
        <v>20377.447228192701</v>
      </c>
      <c r="BU66" s="155">
        <v>2623.1023695867007</v>
      </c>
      <c r="BV66" s="155">
        <v>2963.5457446890005</v>
      </c>
      <c r="BW66" s="155">
        <v>2425.9749961440002</v>
      </c>
      <c r="BX66" s="155">
        <v>14517.162164764197</v>
      </c>
      <c r="BY66" s="155">
        <v>10801.685651058999</v>
      </c>
      <c r="BZ66" s="155"/>
      <c r="CA66" s="155">
        <v>9390.6681998048971</v>
      </c>
      <c r="CB66" s="552">
        <v>14764.773307732199</v>
      </c>
      <c r="CC66" s="155">
        <v>1458.0989126950001</v>
      </c>
      <c r="CD66" s="155"/>
      <c r="CE66" s="155">
        <v>15108.235963312998</v>
      </c>
      <c r="CF66" s="155"/>
      <c r="CG66" s="155">
        <v>1422.48867793</v>
      </c>
      <c r="CH66" s="155"/>
      <c r="CI66" s="155">
        <v>401.156976015</v>
      </c>
      <c r="CJ66" s="155">
        <v>1466.1909424380001</v>
      </c>
      <c r="CK66" s="156">
        <v>2934.8942296199998</v>
      </c>
      <c r="CL66" s="320">
        <v>111858.1427414151</v>
      </c>
    </row>
    <row r="67" spans="1:90">
      <c r="A67" s="80">
        <f>ROWS($A$3:A65)</f>
        <v>63</v>
      </c>
      <c r="B67" s="92" t="s">
        <v>363</v>
      </c>
      <c r="C67" s="203">
        <v>2018</v>
      </c>
      <c r="D67" s="259" t="s">
        <v>3</v>
      </c>
      <c r="E67" s="483">
        <v>43563</v>
      </c>
      <c r="F67" s="381">
        <f>IF(F65/F35%&gt;100,100,F65/F35%)</f>
        <v>67.516720192635873</v>
      </c>
      <c r="G67" s="384">
        <f t="shared" ref="G67:BR67" si="133">IF(G65/G35%&gt;100,100,G65/G35%)</f>
        <v>43.985731740167061</v>
      </c>
      <c r="H67" s="384">
        <f t="shared" si="133"/>
        <v>76.375894228256783</v>
      </c>
      <c r="I67" s="383">
        <f t="shared" si="133"/>
        <v>59.259182245565626</v>
      </c>
      <c r="J67" s="382"/>
      <c r="K67" s="381">
        <f t="shared" si="133"/>
        <v>100</v>
      </c>
      <c r="L67" s="384">
        <f t="shared" si="133"/>
        <v>84.602853395425655</v>
      </c>
      <c r="M67" s="384">
        <f t="shared" si="133"/>
        <v>74.122661068642714</v>
      </c>
      <c r="N67" s="384">
        <f t="shared" si="133"/>
        <v>84.834888589918208</v>
      </c>
      <c r="O67" s="384">
        <f t="shared" si="133"/>
        <v>51.662358913864004</v>
      </c>
      <c r="P67" s="384">
        <f t="shared" si="133"/>
        <v>12.542749024954867</v>
      </c>
      <c r="Q67" s="384">
        <f t="shared" si="133"/>
        <v>58.987059367047856</v>
      </c>
      <c r="R67" s="384">
        <f t="shared" si="133"/>
        <v>0.85652002837535823</v>
      </c>
      <c r="S67" s="384">
        <f t="shared" si="133"/>
        <v>82.702762946220588</v>
      </c>
      <c r="T67" s="384">
        <f t="shared" si="133"/>
        <v>58.115960084224156</v>
      </c>
      <c r="U67" s="385">
        <f t="shared" si="133"/>
        <v>99.661828089731756</v>
      </c>
      <c r="V67" s="384">
        <f t="shared" si="133"/>
        <v>29.324355980057643</v>
      </c>
      <c r="W67" s="384">
        <f t="shared" si="133"/>
        <v>100</v>
      </c>
      <c r="X67" s="384">
        <f t="shared" si="133"/>
        <v>5.8379298531156012</v>
      </c>
      <c r="Y67" s="384">
        <f t="shared" si="133"/>
        <v>8.0321464801783389</v>
      </c>
      <c r="Z67" s="384">
        <f t="shared" si="133"/>
        <v>72.781661492590374</v>
      </c>
      <c r="AA67" s="384">
        <f t="shared" si="133"/>
        <v>54.015910883060286</v>
      </c>
      <c r="AB67" s="385">
        <f t="shared" si="133"/>
        <v>86.963411203208025</v>
      </c>
      <c r="AC67" s="384">
        <f t="shared" si="133"/>
        <v>100</v>
      </c>
      <c r="AD67" s="384">
        <f t="shared" si="133"/>
        <v>49.627134188694811</v>
      </c>
      <c r="AE67" s="384">
        <f t="shared" si="133"/>
        <v>52.48771447438925</v>
      </c>
      <c r="AF67" s="384">
        <f t="shared" si="133"/>
        <v>65.239879651340345</v>
      </c>
      <c r="AG67" s="384">
        <f t="shared" si="133"/>
        <v>40.905410132801812</v>
      </c>
      <c r="AH67" s="384">
        <f t="shared" si="133"/>
        <v>64.212617131397266</v>
      </c>
      <c r="AI67" s="384">
        <f t="shared" si="133"/>
        <v>100</v>
      </c>
      <c r="AJ67" s="384">
        <f t="shared" si="133"/>
        <v>100</v>
      </c>
      <c r="AK67" s="385">
        <f t="shared" si="133"/>
        <v>100</v>
      </c>
      <c r="AL67" s="384">
        <f t="shared" si="133"/>
        <v>100</v>
      </c>
      <c r="AM67" s="384">
        <f t="shared" si="133"/>
        <v>15.566514574515374</v>
      </c>
      <c r="AN67" s="384">
        <f t="shared" si="133"/>
        <v>61.964560832739828</v>
      </c>
      <c r="AO67" s="384">
        <f t="shared" si="133"/>
        <v>100</v>
      </c>
      <c r="AP67" s="384">
        <f t="shared" si="133"/>
        <v>66.59587784010121</v>
      </c>
      <c r="AQ67" s="384">
        <f t="shared" si="133"/>
        <v>79.506589860016746</v>
      </c>
      <c r="AR67" s="384">
        <f t="shared" si="133"/>
        <v>32.050933680760508</v>
      </c>
      <c r="AS67" s="383">
        <f t="shared" si="133"/>
        <v>43.32041888943742</v>
      </c>
      <c r="AT67" s="384">
        <f t="shared" si="133"/>
        <v>0</v>
      </c>
      <c r="AU67" s="384">
        <f t="shared" si="133"/>
        <v>58.987059367047856</v>
      </c>
      <c r="AV67" s="384">
        <f t="shared" si="133"/>
        <v>82.702762946220588</v>
      </c>
      <c r="AW67" s="384">
        <f t="shared" si="133"/>
        <v>84.834888589918208</v>
      </c>
      <c r="AX67" s="384">
        <f t="shared" si="133"/>
        <v>0.92292287475068713</v>
      </c>
      <c r="AY67" s="384">
        <f t="shared" si="133"/>
        <v>84.602853395425655</v>
      </c>
      <c r="AZ67" s="384">
        <f t="shared" si="133"/>
        <v>0</v>
      </c>
      <c r="BA67" s="384">
        <f t="shared" si="133"/>
        <v>13.500420261739901</v>
      </c>
      <c r="BB67" s="384">
        <f t="shared" si="133"/>
        <v>58.115960084224156</v>
      </c>
      <c r="BC67" s="384">
        <f t="shared" si="133"/>
        <v>99.661828089731756</v>
      </c>
      <c r="BD67" s="384">
        <f t="shared" si="133"/>
        <v>74.122661068642714</v>
      </c>
      <c r="BE67" s="384">
        <f t="shared" si="133"/>
        <v>51.662358913864004</v>
      </c>
      <c r="BF67" s="385">
        <f t="shared" si="133"/>
        <v>100</v>
      </c>
      <c r="BG67" s="384">
        <f t="shared" si="133"/>
        <v>86.379805620088376</v>
      </c>
      <c r="BH67" s="384">
        <f t="shared" si="133"/>
        <v>0</v>
      </c>
      <c r="BI67" s="384">
        <f t="shared" si="133"/>
        <v>6.2324215222595756</v>
      </c>
      <c r="BJ67" s="384">
        <f t="shared" si="133"/>
        <v>23.186361397756045</v>
      </c>
      <c r="BK67" s="384">
        <f t="shared" si="133"/>
        <v>0</v>
      </c>
      <c r="BL67" s="384">
        <f t="shared" si="133"/>
        <v>0</v>
      </c>
      <c r="BM67" s="384">
        <f t="shared" si="133"/>
        <v>72.781661492590374</v>
      </c>
      <c r="BN67" s="384">
        <f t="shared" si="133"/>
        <v>9.013844065404653</v>
      </c>
      <c r="BO67" s="384">
        <f t="shared" si="133"/>
        <v>42.115036160185568</v>
      </c>
      <c r="BP67" s="384">
        <f t="shared" si="133"/>
        <v>86.963411203208025</v>
      </c>
      <c r="BQ67" s="384">
        <f t="shared" si="133"/>
        <v>54.604492358672815</v>
      </c>
      <c r="BR67" s="385">
        <f t="shared" si="133"/>
        <v>100</v>
      </c>
      <c r="BS67" s="384">
        <f t="shared" ref="BS67:CL67" si="134">IF(BS65/BS35%&gt;100,100,BS65/BS35%)</f>
        <v>29.875137012264421</v>
      </c>
      <c r="BT67" s="384">
        <f t="shared" si="134"/>
        <v>54.068939859440214</v>
      </c>
      <c r="BU67" s="384">
        <f t="shared" si="134"/>
        <v>49.627134188694811</v>
      </c>
      <c r="BV67" s="384">
        <f t="shared" si="134"/>
        <v>40.905410132801812</v>
      </c>
      <c r="BW67" s="384">
        <f t="shared" si="134"/>
        <v>100</v>
      </c>
      <c r="BX67" s="384">
        <f t="shared" si="134"/>
        <v>100</v>
      </c>
      <c r="BY67" s="384">
        <f t="shared" si="134"/>
        <v>100</v>
      </c>
      <c r="BZ67" s="384">
        <f t="shared" si="134"/>
        <v>64.212617131397266</v>
      </c>
      <c r="CA67" s="384">
        <f t="shared" si="134"/>
        <v>65.239879651340345</v>
      </c>
      <c r="CB67" s="385">
        <f t="shared" si="134"/>
        <v>100</v>
      </c>
      <c r="CC67" s="384">
        <f t="shared" si="134"/>
        <v>100</v>
      </c>
      <c r="CD67" s="384">
        <f t="shared" si="134"/>
        <v>66.59587784010121</v>
      </c>
      <c r="CE67" s="384">
        <f t="shared" si="134"/>
        <v>100</v>
      </c>
      <c r="CF67" s="384">
        <f t="shared" si="134"/>
        <v>9.4358680127206203</v>
      </c>
      <c r="CG67" s="384">
        <f t="shared" si="134"/>
        <v>45.432832487199597</v>
      </c>
      <c r="CH67" s="384">
        <f t="shared" si="134"/>
        <v>15.566514574515374</v>
      </c>
      <c r="CI67" s="384">
        <f t="shared" si="134"/>
        <v>32.050933680760508</v>
      </c>
      <c r="CJ67" s="384">
        <f t="shared" si="134"/>
        <v>61.964560832739828</v>
      </c>
      <c r="CK67" s="383">
        <f t="shared" si="134"/>
        <v>79.506589860016746</v>
      </c>
      <c r="CL67" s="319">
        <f t="shared" si="134"/>
        <v>63.618553934377609</v>
      </c>
    </row>
    <row r="68" spans="1:90">
      <c r="A68" s="80">
        <f>ROWS($A$3:A66)</f>
        <v>64</v>
      </c>
      <c r="B68" s="59" t="s">
        <v>81</v>
      </c>
      <c r="C68" s="203"/>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c r="A69" s="80">
        <f>ROWS($A$3:A67)</f>
        <v>65</v>
      </c>
      <c r="B69" s="92" t="s">
        <v>265</v>
      </c>
      <c r="C69" s="202">
        <v>2016</v>
      </c>
      <c r="D69" s="259" t="s">
        <v>13</v>
      </c>
      <c r="E69" s="447">
        <v>42920</v>
      </c>
      <c r="F69" s="154">
        <f>SUM(AT69:BF69)</f>
        <v>917</v>
      </c>
      <c r="G69" s="155">
        <f>SUM(BG69:BR69)</f>
        <v>298</v>
      </c>
      <c r="H69" s="155">
        <f>SUM(BS69:CB69)</f>
        <v>1148</v>
      </c>
      <c r="I69" s="156">
        <f>SUM(CC69:CK69)</f>
        <v>1083</v>
      </c>
      <c r="J69" s="281"/>
      <c r="K69" s="154">
        <f>BF69</f>
        <v>109</v>
      </c>
      <c r="L69" s="155">
        <f>AY69</f>
        <v>147</v>
      </c>
      <c r="M69" s="155">
        <f>BD69</f>
        <v>103</v>
      </c>
      <c r="N69" s="155">
        <f>AW69</f>
        <v>60</v>
      </c>
      <c r="O69" s="155">
        <f>BE69</f>
        <v>53</v>
      </c>
      <c r="P69" s="155">
        <f>SUM(AZ69,BA69)</f>
        <v>85</v>
      </c>
      <c r="Q69" s="155">
        <f>'2010'!AU69</f>
        <v>29</v>
      </c>
      <c r="R69" s="155">
        <f>SUM(AT69+AX69)</f>
        <v>64</v>
      </c>
      <c r="S69" s="155">
        <f>AV69</f>
        <v>49</v>
      </c>
      <c r="T69" s="155">
        <f>BB69</f>
        <v>65</v>
      </c>
      <c r="U69" s="552">
        <f>BC69</f>
        <v>149</v>
      </c>
      <c r="V69" s="155">
        <f>SUM(BG69,BJ69)</f>
        <v>21</v>
      </c>
      <c r="W69" s="155">
        <f>BR69</f>
        <v>42</v>
      </c>
      <c r="X69" s="155">
        <f>SUM(BH69,BI69)</f>
        <v>51</v>
      </c>
      <c r="Y69" s="155">
        <f>SUM(BK69,BL69,BN69)</f>
        <v>49</v>
      </c>
      <c r="Z69" s="155">
        <f>BM69</f>
        <v>51</v>
      </c>
      <c r="AA69" s="155">
        <f>SUM(BO69,BQ69)</f>
        <v>47</v>
      </c>
      <c r="AB69" s="552">
        <f>BP69</f>
        <v>37</v>
      </c>
      <c r="AC69" s="155">
        <f>BX69</f>
        <v>133</v>
      </c>
      <c r="AD69" s="155">
        <f>BU69</f>
        <v>69</v>
      </c>
      <c r="AE69" s="155">
        <f>SUM(BS69+BT69)</f>
        <v>308</v>
      </c>
      <c r="AF69" s="155">
        <f>CA69</f>
        <v>99</v>
      </c>
      <c r="AG69" s="155">
        <f>BV69</f>
        <v>139</v>
      </c>
      <c r="AH69" s="155">
        <f>BZ69</f>
        <v>101</v>
      </c>
      <c r="AI69" s="155">
        <f>BW69</f>
        <v>66</v>
      </c>
      <c r="AJ69" s="155">
        <f>BY69</f>
        <v>52</v>
      </c>
      <c r="AK69" s="552">
        <f>CB69</f>
        <v>181</v>
      </c>
      <c r="AL69" s="155">
        <f>CE69</f>
        <v>88</v>
      </c>
      <c r="AM69" s="155">
        <f>CH69</f>
        <v>97</v>
      </c>
      <c r="AN69" s="155">
        <f>CJ69</f>
        <v>357</v>
      </c>
      <c r="AO69" s="155">
        <f>CC69</f>
        <v>115</v>
      </c>
      <c r="AP69" s="155">
        <f>CD69</f>
        <v>48</v>
      </c>
      <c r="AQ69" s="155">
        <f>CK69</f>
        <v>98</v>
      </c>
      <c r="AR69" s="155">
        <f>CI69</f>
        <v>170</v>
      </c>
      <c r="AS69" s="156">
        <f>SUM(CF69:CG69)</f>
        <v>110</v>
      </c>
      <c r="AT69" s="155">
        <v>8</v>
      </c>
      <c r="AU69" s="155">
        <v>33</v>
      </c>
      <c r="AV69" s="155">
        <v>49</v>
      </c>
      <c r="AW69" s="155">
        <v>60</v>
      </c>
      <c r="AX69" s="155">
        <v>56</v>
      </c>
      <c r="AY69" s="155">
        <v>147</v>
      </c>
      <c r="AZ69" s="155">
        <v>9</v>
      </c>
      <c r="BA69" s="155">
        <v>76</v>
      </c>
      <c r="BB69" s="155">
        <v>65</v>
      </c>
      <c r="BC69" s="155">
        <v>149</v>
      </c>
      <c r="BD69" s="155">
        <v>103</v>
      </c>
      <c r="BE69" s="155">
        <v>53</v>
      </c>
      <c r="BF69" s="552">
        <v>109</v>
      </c>
      <c r="BG69" s="155">
        <v>5</v>
      </c>
      <c r="BH69" s="155">
        <v>8</v>
      </c>
      <c r="BI69" s="155">
        <v>43</v>
      </c>
      <c r="BJ69" s="155">
        <v>16</v>
      </c>
      <c r="BK69" s="155">
        <v>6</v>
      </c>
      <c r="BL69" s="155" t="s">
        <v>41</v>
      </c>
      <c r="BM69" s="155">
        <v>51</v>
      </c>
      <c r="BN69" s="155">
        <v>43</v>
      </c>
      <c r="BO69" s="155">
        <v>2</v>
      </c>
      <c r="BP69" s="155">
        <v>37</v>
      </c>
      <c r="BQ69" s="155">
        <v>45</v>
      </c>
      <c r="BR69" s="552">
        <v>42</v>
      </c>
      <c r="BS69" s="155">
        <v>16</v>
      </c>
      <c r="BT69" s="155">
        <v>292</v>
      </c>
      <c r="BU69" s="155">
        <v>69</v>
      </c>
      <c r="BV69" s="155">
        <v>139</v>
      </c>
      <c r="BW69" s="155">
        <v>66</v>
      </c>
      <c r="BX69" s="155">
        <v>133</v>
      </c>
      <c r="BY69" s="155">
        <v>52</v>
      </c>
      <c r="BZ69" s="155">
        <v>101</v>
      </c>
      <c r="CA69" s="155">
        <v>99</v>
      </c>
      <c r="CB69" s="552">
        <v>181</v>
      </c>
      <c r="CC69" s="155">
        <v>115</v>
      </c>
      <c r="CD69" s="155">
        <v>48</v>
      </c>
      <c r="CE69" s="155">
        <v>88</v>
      </c>
      <c r="CF69" s="155">
        <v>2</v>
      </c>
      <c r="CG69" s="155">
        <v>108</v>
      </c>
      <c r="CH69" s="155">
        <v>97</v>
      </c>
      <c r="CI69" s="155">
        <v>170</v>
      </c>
      <c r="CJ69" s="155">
        <v>357</v>
      </c>
      <c r="CK69" s="156">
        <v>98</v>
      </c>
      <c r="CL69" s="320">
        <f>SUM(AT69:CK69)</f>
        <v>3446</v>
      </c>
    </row>
    <row r="70" spans="1:90">
      <c r="A70" s="80">
        <f>ROWS($A$3:A68)</f>
        <v>66</v>
      </c>
      <c r="B70" s="92" t="s">
        <v>70</v>
      </c>
      <c r="C70" s="252"/>
      <c r="D70" s="259" t="s">
        <v>1</v>
      </c>
      <c r="E70" s="451"/>
      <c r="F70" s="154">
        <v>34156</v>
      </c>
      <c r="G70" s="155">
        <v>14204</v>
      </c>
      <c r="H70" s="155">
        <f>SUM(BS70:CB70)</f>
        <v>39635</v>
      </c>
      <c r="I70" s="156">
        <v>43866</v>
      </c>
      <c r="J70" s="281"/>
      <c r="K70" s="154">
        <f>BF70</f>
        <v>3936</v>
      </c>
      <c r="L70" s="155">
        <f>AY70</f>
        <v>3380</v>
      </c>
      <c r="M70" s="155">
        <f>BD70</f>
        <v>5380</v>
      </c>
      <c r="N70" s="155">
        <f>AW70</f>
        <v>2214</v>
      </c>
      <c r="O70" s="155">
        <f>BE70</f>
        <v>2828</v>
      </c>
      <c r="P70" s="155">
        <f>SUM(AZ70,BA70)</f>
        <v>2741</v>
      </c>
      <c r="Q70" s="155">
        <f>'2010'!AU70</f>
        <v>1115</v>
      </c>
      <c r="R70" s="155">
        <f>SUM(AT70+AX70)</f>
        <v>1776</v>
      </c>
      <c r="S70" s="155">
        <f>AV70</f>
        <v>1650</v>
      </c>
      <c r="T70" s="155">
        <f>BB70</f>
        <v>2982</v>
      </c>
      <c r="U70" s="552">
        <f>BC70</f>
        <v>5868</v>
      </c>
      <c r="V70" s="155">
        <f>SUM(BG70,BJ70)</f>
        <v>669</v>
      </c>
      <c r="W70" s="155">
        <f>BR70</f>
        <v>1907</v>
      </c>
      <c r="X70" s="155">
        <f>SUM(BH70,BI70)</f>
        <v>2743</v>
      </c>
      <c r="Y70" s="155">
        <f>SUM(BK70,BL70,BN70)</f>
        <v>1899</v>
      </c>
      <c r="Z70" s="155">
        <f>BM70</f>
        <v>2532</v>
      </c>
      <c r="AA70" s="155">
        <f>SUM(BO70,BQ70)</f>
        <v>2645</v>
      </c>
      <c r="AB70" s="552">
        <f>BP70</f>
        <v>1420</v>
      </c>
      <c r="AC70" s="155">
        <f>BX70</f>
        <v>5085</v>
      </c>
      <c r="AD70" s="155">
        <f>BU70</f>
        <v>1598</v>
      </c>
      <c r="AE70" s="155">
        <f>SUM(BS70+BT70)</f>
        <v>8384</v>
      </c>
      <c r="AF70" s="155">
        <f>CA70</f>
        <v>3274</v>
      </c>
      <c r="AG70" s="155">
        <f>BV70</f>
        <v>4429</v>
      </c>
      <c r="AH70" s="155">
        <f>BZ70</f>
        <v>3700</v>
      </c>
      <c r="AI70" s="155">
        <f>BW70</f>
        <v>2710</v>
      </c>
      <c r="AJ70" s="155">
        <f>BY70</f>
        <v>3276</v>
      </c>
      <c r="AK70" s="552">
        <f>CB70</f>
        <v>7179</v>
      </c>
      <c r="AL70" s="155">
        <f>CE70</f>
        <v>5524</v>
      </c>
      <c r="AM70" s="155">
        <f>CH70</f>
        <v>4837</v>
      </c>
      <c r="AN70" s="155">
        <f>CJ70</f>
        <v>12352</v>
      </c>
      <c r="AO70" s="155">
        <f>CC70</f>
        <v>5232</v>
      </c>
      <c r="AP70" s="155" t="str">
        <f>CD70</f>
        <v>.</v>
      </c>
      <c r="AQ70" s="155">
        <f>CK70</f>
        <v>4448</v>
      </c>
      <c r="AR70" s="155">
        <f>CI70</f>
        <v>3603</v>
      </c>
      <c r="AS70" s="156">
        <f>SUM(CF70:CG70)</f>
        <v>4425</v>
      </c>
      <c r="AT70" s="155">
        <v>200</v>
      </c>
      <c r="AU70" s="155">
        <v>1402</v>
      </c>
      <c r="AV70" s="155">
        <v>1650</v>
      </c>
      <c r="AW70" s="155">
        <v>2214</v>
      </c>
      <c r="AX70" s="155">
        <v>1576</v>
      </c>
      <c r="AY70" s="155">
        <v>3380</v>
      </c>
      <c r="AZ70" s="155">
        <v>137</v>
      </c>
      <c r="BA70" s="155">
        <v>2604</v>
      </c>
      <c r="BB70" s="155">
        <v>2982</v>
      </c>
      <c r="BC70" s="155">
        <v>5868</v>
      </c>
      <c r="BD70" s="155">
        <v>5380</v>
      </c>
      <c r="BE70" s="155">
        <v>2828</v>
      </c>
      <c r="BF70" s="552">
        <v>3936</v>
      </c>
      <c r="BG70" s="155">
        <v>264</v>
      </c>
      <c r="BH70" s="155">
        <v>231</v>
      </c>
      <c r="BI70" s="155">
        <v>2512</v>
      </c>
      <c r="BJ70" s="155">
        <v>405</v>
      </c>
      <c r="BK70" s="155" t="s">
        <v>304</v>
      </c>
      <c r="BL70" s="155" t="s">
        <v>41</v>
      </c>
      <c r="BM70" s="155">
        <v>2532</v>
      </c>
      <c r="BN70" s="155">
        <v>1899</v>
      </c>
      <c r="BO70" s="155" t="s">
        <v>304</v>
      </c>
      <c r="BP70" s="155">
        <v>1420</v>
      </c>
      <c r="BQ70" s="155">
        <v>2645</v>
      </c>
      <c r="BR70" s="552">
        <v>1907</v>
      </c>
      <c r="BS70" s="155">
        <v>315</v>
      </c>
      <c r="BT70" s="155">
        <v>8069</v>
      </c>
      <c r="BU70" s="155">
        <v>1598</v>
      </c>
      <c r="BV70" s="155">
        <v>4429</v>
      </c>
      <c r="BW70" s="155">
        <v>2710</v>
      </c>
      <c r="BX70" s="155">
        <v>5085</v>
      </c>
      <c r="BY70" s="155">
        <v>3276</v>
      </c>
      <c r="BZ70" s="155">
        <v>3700</v>
      </c>
      <c r="CA70" s="155">
        <v>3274</v>
      </c>
      <c r="CB70" s="552">
        <v>7179</v>
      </c>
      <c r="CC70" s="155">
        <v>5232</v>
      </c>
      <c r="CD70" s="155" t="s">
        <v>304</v>
      </c>
      <c r="CE70" s="155">
        <v>5524</v>
      </c>
      <c r="CF70" s="155" t="s">
        <v>304</v>
      </c>
      <c r="CG70" s="155">
        <v>4425</v>
      </c>
      <c r="CH70" s="155">
        <v>4837</v>
      </c>
      <c r="CI70" s="155">
        <v>3603</v>
      </c>
      <c r="CJ70" s="155">
        <v>12352</v>
      </c>
      <c r="CK70" s="156">
        <v>4448</v>
      </c>
      <c r="CL70" s="320">
        <v>131861</v>
      </c>
    </row>
    <row r="71" spans="1:90">
      <c r="A71" s="80">
        <f>ROWS($A$3:A69)</f>
        <v>67</v>
      </c>
      <c r="B71" s="54" t="s">
        <v>266</v>
      </c>
      <c r="C71" s="252"/>
      <c r="D71" s="259" t="s">
        <v>1</v>
      </c>
      <c r="E71" s="451"/>
      <c r="F71" s="539">
        <f>IF(ISERROR(F70/F69)=FALSE,F70/F69," -")</f>
        <v>37.24754634678299</v>
      </c>
      <c r="G71" s="521">
        <f>IF(ISERROR(G70/G69)=FALSE,G70/G69," -")</f>
        <v>47.664429530201339</v>
      </c>
      <c r="H71" s="521">
        <f>IF(ISERROR(H70/H69)=FALSE,H70/H69," -")</f>
        <v>34.525261324041814</v>
      </c>
      <c r="I71" s="540">
        <f>IF(ISERROR(I70/I69)=FALSE,I70/I69," -")</f>
        <v>40.504155124653742</v>
      </c>
      <c r="J71" s="382"/>
      <c r="K71" s="539">
        <f t="shared" ref="K71:BV71" si="135">IF(ISERROR(K70/K69)=FALSE,K70/K69," -")</f>
        <v>36.110091743119263</v>
      </c>
      <c r="L71" s="521">
        <f t="shared" si="135"/>
        <v>22.993197278911566</v>
      </c>
      <c r="M71" s="521">
        <f t="shared" si="135"/>
        <v>52.233009708737868</v>
      </c>
      <c r="N71" s="521">
        <f t="shared" si="135"/>
        <v>36.9</v>
      </c>
      <c r="O71" s="521">
        <f t="shared" si="135"/>
        <v>53.358490566037737</v>
      </c>
      <c r="P71" s="521">
        <f t="shared" si="135"/>
        <v>32.247058823529414</v>
      </c>
      <c r="Q71" s="521">
        <f t="shared" si="135"/>
        <v>38.448275862068968</v>
      </c>
      <c r="R71" s="521">
        <f t="shared" si="135"/>
        <v>27.75</v>
      </c>
      <c r="S71" s="521">
        <f t="shared" si="135"/>
        <v>33.673469387755105</v>
      </c>
      <c r="T71" s="521">
        <f t="shared" si="135"/>
        <v>45.876923076923077</v>
      </c>
      <c r="U71" s="559">
        <f t="shared" si="135"/>
        <v>39.382550335570471</v>
      </c>
      <c r="V71" s="521">
        <f t="shared" si="135"/>
        <v>31.857142857142858</v>
      </c>
      <c r="W71" s="521">
        <f t="shared" si="135"/>
        <v>45.404761904761905</v>
      </c>
      <c r="X71" s="521">
        <f t="shared" si="135"/>
        <v>53.784313725490193</v>
      </c>
      <c r="Y71" s="521">
        <f t="shared" si="135"/>
        <v>38.755102040816325</v>
      </c>
      <c r="Z71" s="521">
        <f t="shared" si="135"/>
        <v>49.647058823529413</v>
      </c>
      <c r="AA71" s="521">
        <f t="shared" si="135"/>
        <v>56.276595744680854</v>
      </c>
      <c r="AB71" s="559">
        <f t="shared" si="135"/>
        <v>38.378378378378379</v>
      </c>
      <c r="AC71" s="521">
        <f t="shared" si="135"/>
        <v>38.233082706766915</v>
      </c>
      <c r="AD71" s="521">
        <f t="shared" si="135"/>
        <v>23.159420289855074</v>
      </c>
      <c r="AE71" s="521">
        <f t="shared" si="135"/>
        <v>27.220779220779221</v>
      </c>
      <c r="AF71" s="521">
        <f t="shared" si="135"/>
        <v>33.070707070707073</v>
      </c>
      <c r="AG71" s="521">
        <f t="shared" si="135"/>
        <v>31.863309352517987</v>
      </c>
      <c r="AH71" s="521">
        <f t="shared" si="135"/>
        <v>36.633663366336634</v>
      </c>
      <c r="AI71" s="521">
        <f t="shared" si="135"/>
        <v>41.060606060606062</v>
      </c>
      <c r="AJ71" s="521">
        <f t="shared" si="135"/>
        <v>63</v>
      </c>
      <c r="AK71" s="559">
        <f t="shared" si="135"/>
        <v>39.662983425414367</v>
      </c>
      <c r="AL71" s="521">
        <f t="shared" si="135"/>
        <v>62.772727272727273</v>
      </c>
      <c r="AM71" s="521">
        <f t="shared" si="135"/>
        <v>49.865979381443296</v>
      </c>
      <c r="AN71" s="521">
        <f t="shared" si="135"/>
        <v>34.599439775910362</v>
      </c>
      <c r="AO71" s="521">
        <f t="shared" si="135"/>
        <v>45.495652173913044</v>
      </c>
      <c r="AP71" s="521" t="str">
        <f t="shared" si="135"/>
        <v xml:space="preserve"> -</v>
      </c>
      <c r="AQ71" s="521">
        <f t="shared" si="135"/>
        <v>45.387755102040813</v>
      </c>
      <c r="AR71" s="521">
        <f t="shared" si="135"/>
        <v>21.194117647058825</v>
      </c>
      <c r="AS71" s="540">
        <f t="shared" si="135"/>
        <v>40.227272727272727</v>
      </c>
      <c r="AT71" s="521">
        <f t="shared" si="135"/>
        <v>25</v>
      </c>
      <c r="AU71" s="521">
        <f t="shared" si="135"/>
        <v>42.484848484848484</v>
      </c>
      <c r="AV71" s="521">
        <f t="shared" si="135"/>
        <v>33.673469387755105</v>
      </c>
      <c r="AW71" s="521">
        <f t="shared" si="135"/>
        <v>36.9</v>
      </c>
      <c r="AX71" s="521">
        <f t="shared" si="135"/>
        <v>28.142857142857142</v>
      </c>
      <c r="AY71" s="521">
        <f t="shared" si="135"/>
        <v>22.993197278911566</v>
      </c>
      <c r="AZ71" s="521">
        <f t="shared" si="135"/>
        <v>15.222222222222221</v>
      </c>
      <c r="BA71" s="521">
        <f t="shared" si="135"/>
        <v>34.263157894736842</v>
      </c>
      <c r="BB71" s="521">
        <f t="shared" si="135"/>
        <v>45.876923076923077</v>
      </c>
      <c r="BC71" s="521">
        <f t="shared" si="135"/>
        <v>39.382550335570471</v>
      </c>
      <c r="BD71" s="521">
        <f t="shared" si="135"/>
        <v>52.233009708737868</v>
      </c>
      <c r="BE71" s="521">
        <f t="shared" si="135"/>
        <v>53.358490566037737</v>
      </c>
      <c r="BF71" s="559">
        <f t="shared" si="135"/>
        <v>36.110091743119263</v>
      </c>
      <c r="BG71" s="521">
        <f t="shared" si="135"/>
        <v>52.8</v>
      </c>
      <c r="BH71" s="521">
        <f t="shared" si="135"/>
        <v>28.875</v>
      </c>
      <c r="BI71" s="521">
        <f t="shared" si="135"/>
        <v>58.418604651162788</v>
      </c>
      <c r="BJ71" s="521">
        <f t="shared" si="135"/>
        <v>25.3125</v>
      </c>
      <c r="BK71" s="521" t="str">
        <f t="shared" si="135"/>
        <v xml:space="preserve"> -</v>
      </c>
      <c r="BL71" s="521" t="str">
        <f t="shared" si="135"/>
        <v xml:space="preserve"> -</v>
      </c>
      <c r="BM71" s="521">
        <f t="shared" si="135"/>
        <v>49.647058823529413</v>
      </c>
      <c r="BN71" s="521">
        <f t="shared" si="135"/>
        <v>44.162790697674417</v>
      </c>
      <c r="BO71" s="521" t="str">
        <f t="shared" si="135"/>
        <v xml:space="preserve"> -</v>
      </c>
      <c r="BP71" s="521">
        <f t="shared" si="135"/>
        <v>38.378378378378379</v>
      </c>
      <c r="BQ71" s="521">
        <f t="shared" si="135"/>
        <v>58.777777777777779</v>
      </c>
      <c r="BR71" s="559">
        <f t="shared" si="135"/>
        <v>45.404761904761905</v>
      </c>
      <c r="BS71" s="521">
        <f t="shared" si="135"/>
        <v>19.6875</v>
      </c>
      <c r="BT71" s="521">
        <f t="shared" si="135"/>
        <v>27.633561643835616</v>
      </c>
      <c r="BU71" s="521">
        <f t="shared" si="135"/>
        <v>23.159420289855074</v>
      </c>
      <c r="BV71" s="521">
        <f t="shared" si="135"/>
        <v>31.863309352517987</v>
      </c>
      <c r="BW71" s="521">
        <f t="shared" ref="BW71:CK71" si="136">IF(ISERROR(BW70/BW69)=FALSE,BW70/BW69," -")</f>
        <v>41.060606060606062</v>
      </c>
      <c r="BX71" s="521">
        <f t="shared" si="136"/>
        <v>38.233082706766915</v>
      </c>
      <c r="BY71" s="521">
        <f t="shared" si="136"/>
        <v>63</v>
      </c>
      <c r="BZ71" s="521">
        <f t="shared" si="136"/>
        <v>36.633663366336634</v>
      </c>
      <c r="CA71" s="521">
        <f t="shared" si="136"/>
        <v>33.070707070707073</v>
      </c>
      <c r="CB71" s="559">
        <f t="shared" si="136"/>
        <v>39.662983425414367</v>
      </c>
      <c r="CC71" s="521">
        <f t="shared" si="136"/>
        <v>45.495652173913044</v>
      </c>
      <c r="CD71" s="521" t="str">
        <f t="shared" si="136"/>
        <v xml:space="preserve"> -</v>
      </c>
      <c r="CE71" s="521">
        <f t="shared" si="136"/>
        <v>62.772727272727273</v>
      </c>
      <c r="CF71" s="521" t="str">
        <f t="shared" si="136"/>
        <v xml:space="preserve"> -</v>
      </c>
      <c r="CG71" s="521">
        <f t="shared" si="136"/>
        <v>40.972222222222221</v>
      </c>
      <c r="CH71" s="521">
        <f t="shared" si="136"/>
        <v>49.865979381443296</v>
      </c>
      <c r="CI71" s="521">
        <f t="shared" si="136"/>
        <v>21.194117647058825</v>
      </c>
      <c r="CJ71" s="521">
        <f t="shared" si="136"/>
        <v>34.599439775910362</v>
      </c>
      <c r="CK71" s="540">
        <f t="shared" si="136"/>
        <v>45.387755102040813</v>
      </c>
      <c r="CL71" s="560">
        <f>IF(OR(CL69&lt;0.1,CL70&lt;0.1),0,CL70/CL69)</f>
        <v>38.264944863609983</v>
      </c>
    </row>
    <row r="72" spans="1:90">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c r="A73" s="80">
        <f>ROWS($A$3:A71)</f>
        <v>69</v>
      </c>
      <c r="B73" s="92" t="s">
        <v>84</v>
      </c>
      <c r="C73" s="202">
        <v>2016</v>
      </c>
      <c r="D73" s="259" t="s">
        <v>13</v>
      </c>
      <c r="E73" s="447">
        <v>42920</v>
      </c>
      <c r="F73" s="154">
        <v>3331</v>
      </c>
      <c r="G73" s="155">
        <v>1688</v>
      </c>
      <c r="H73" s="155">
        <v>2270</v>
      </c>
      <c r="I73" s="156">
        <v>2972</v>
      </c>
      <c r="J73" s="281"/>
      <c r="K73" s="154">
        <f t="shared" ref="K73:K78" si="137">BF73</f>
        <v>341</v>
      </c>
      <c r="L73" s="155">
        <f t="shared" ref="L73:L78" si="138">AY73</f>
        <v>149</v>
      </c>
      <c r="M73" s="155">
        <f t="shared" ref="M73:M78" si="139">BD73</f>
        <v>668</v>
      </c>
      <c r="N73" s="155">
        <f t="shared" ref="N73:N78" si="140">AW73</f>
        <v>127</v>
      </c>
      <c r="O73" s="155">
        <f t="shared" ref="O73:O78" si="141">BE73</f>
        <v>179</v>
      </c>
      <c r="P73" s="155">
        <f t="shared" ref="P73:P78" si="142">SUM(AZ73,BA73)</f>
        <v>489</v>
      </c>
      <c r="Q73" s="155">
        <f>'2010'!AU73</f>
        <v>256</v>
      </c>
      <c r="R73" s="155">
        <f t="shared" ref="R73:R78" si="143">SUM(AT73,AX73)</f>
        <v>320</v>
      </c>
      <c r="S73" s="155">
        <f t="shared" ref="S73:S78" si="144">AV73</f>
        <v>164</v>
      </c>
      <c r="T73" s="155">
        <f t="shared" ref="T73:U78" si="145">BB73</f>
        <v>244</v>
      </c>
      <c r="U73" s="552">
        <f t="shared" si="145"/>
        <v>387</v>
      </c>
      <c r="V73" s="155">
        <f t="shared" ref="V73:V78" si="146">SUM(BG73,BJ73)</f>
        <v>120</v>
      </c>
      <c r="W73" s="155">
        <f t="shared" ref="W73:W78" si="147">BR73</f>
        <v>165</v>
      </c>
      <c r="X73" s="155">
        <f t="shared" ref="X73:X78" si="148">SUM(BH73,BI73)</f>
        <v>361</v>
      </c>
      <c r="Y73" s="155">
        <f t="shared" ref="Y73:Y78" si="149">SUM(BK73,BL73,BN73)</f>
        <v>451</v>
      </c>
      <c r="Z73" s="155">
        <f t="shared" ref="Z73:Z78" si="150">BM73</f>
        <v>359</v>
      </c>
      <c r="AA73" s="155">
        <f t="shared" ref="AA73:AA78" si="151">SUM(BO73,BQ73)</f>
        <v>122</v>
      </c>
      <c r="AB73" s="552">
        <f t="shared" ref="AB73:AB78" si="152">BP73</f>
        <v>110</v>
      </c>
      <c r="AC73" s="155">
        <f t="shared" ref="AC73:AC78" si="153">BX73</f>
        <v>230</v>
      </c>
      <c r="AD73" s="155">
        <f t="shared" ref="AD73:AD78" si="154">BU73</f>
        <v>159</v>
      </c>
      <c r="AE73" s="155">
        <f t="shared" ref="AE73:AE78" si="155">SUM(BS73,BT73)</f>
        <v>365</v>
      </c>
      <c r="AF73" s="155">
        <f t="shared" ref="AF73:AF78" si="156">CA73</f>
        <v>137</v>
      </c>
      <c r="AG73" s="155">
        <f t="shared" ref="AG73:AG78" si="157">BV73</f>
        <v>486</v>
      </c>
      <c r="AH73" s="155">
        <f t="shared" ref="AH73:AH78" si="158">BZ73</f>
        <v>215</v>
      </c>
      <c r="AI73" s="155">
        <f t="shared" ref="AI73:AI78" si="159">BW73</f>
        <v>244</v>
      </c>
      <c r="AJ73" s="155">
        <f t="shared" ref="AJ73:AJ78" si="160">BY73</f>
        <v>169</v>
      </c>
      <c r="AK73" s="552">
        <f t="shared" ref="AK73:AK78" si="161">CB73</f>
        <v>265</v>
      </c>
      <c r="AL73" s="155">
        <f t="shared" ref="AL73:AL78" si="162">CE73</f>
        <v>314</v>
      </c>
      <c r="AM73" s="155">
        <f t="shared" ref="AM73:AM78" si="163">CH73</f>
        <v>481</v>
      </c>
      <c r="AN73" s="155">
        <f t="shared" ref="AN73:AN78" si="164">CJ73</f>
        <v>286</v>
      </c>
      <c r="AO73" s="155">
        <f t="shared" ref="AO73:AP78" si="165">CC73</f>
        <v>389</v>
      </c>
      <c r="AP73" s="155">
        <f t="shared" si="165"/>
        <v>190</v>
      </c>
      <c r="AQ73" s="155">
        <f t="shared" ref="AQ73:AQ78" si="166">CK73</f>
        <v>435</v>
      </c>
      <c r="AR73" s="155">
        <f t="shared" ref="AR73:AR78" si="167">CI73</f>
        <v>195</v>
      </c>
      <c r="AS73" s="156">
        <f t="shared" ref="AS73:AS78" si="168">SUM(CF73,CG73)</f>
        <v>682</v>
      </c>
      <c r="AT73" s="155">
        <v>32</v>
      </c>
      <c r="AU73" s="155">
        <v>263</v>
      </c>
      <c r="AV73" s="155">
        <v>164</v>
      </c>
      <c r="AW73" s="155">
        <v>127</v>
      </c>
      <c r="AX73" s="155">
        <v>288</v>
      </c>
      <c r="AY73" s="155">
        <v>149</v>
      </c>
      <c r="AZ73" s="155">
        <v>58</v>
      </c>
      <c r="BA73" s="155">
        <v>431</v>
      </c>
      <c r="BB73" s="155">
        <v>244</v>
      </c>
      <c r="BC73" s="155">
        <v>387</v>
      </c>
      <c r="BD73" s="155">
        <v>668</v>
      </c>
      <c r="BE73" s="155">
        <v>179</v>
      </c>
      <c r="BF73" s="552">
        <v>341</v>
      </c>
      <c r="BG73" s="155">
        <v>7</v>
      </c>
      <c r="BH73" s="155">
        <v>26</v>
      </c>
      <c r="BI73" s="155">
        <v>335</v>
      </c>
      <c r="BJ73" s="155">
        <v>113</v>
      </c>
      <c r="BK73" s="155">
        <v>28</v>
      </c>
      <c r="BL73" s="155">
        <v>34</v>
      </c>
      <c r="BM73" s="155">
        <v>359</v>
      </c>
      <c r="BN73" s="155">
        <v>389</v>
      </c>
      <c r="BO73" s="155">
        <v>4</v>
      </c>
      <c r="BP73" s="155">
        <v>110</v>
      </c>
      <c r="BQ73" s="155">
        <v>118</v>
      </c>
      <c r="BR73" s="552">
        <v>165</v>
      </c>
      <c r="BS73" s="155">
        <v>21</v>
      </c>
      <c r="BT73" s="155">
        <v>344</v>
      </c>
      <c r="BU73" s="155">
        <v>159</v>
      </c>
      <c r="BV73" s="155">
        <v>486</v>
      </c>
      <c r="BW73" s="155">
        <v>244</v>
      </c>
      <c r="BX73" s="155">
        <v>230</v>
      </c>
      <c r="BY73" s="155">
        <v>169</v>
      </c>
      <c r="BZ73" s="155">
        <v>215</v>
      </c>
      <c r="CA73" s="155">
        <v>137</v>
      </c>
      <c r="CB73" s="552">
        <v>265</v>
      </c>
      <c r="CC73" s="155">
        <v>389</v>
      </c>
      <c r="CD73" s="155">
        <v>190</v>
      </c>
      <c r="CE73" s="155">
        <v>314</v>
      </c>
      <c r="CF73" s="155">
        <v>44</v>
      </c>
      <c r="CG73" s="155">
        <v>638</v>
      </c>
      <c r="CH73" s="155">
        <v>481</v>
      </c>
      <c r="CI73" s="155">
        <v>195</v>
      </c>
      <c r="CJ73" s="155">
        <v>286</v>
      </c>
      <c r="CK73" s="156">
        <v>435</v>
      </c>
      <c r="CL73" s="320">
        <v>10261</v>
      </c>
    </row>
    <row r="74" spans="1:90">
      <c r="A74" s="80">
        <f>ROWS($A$3:A72)</f>
        <v>70</v>
      </c>
      <c r="B74" s="92" t="s">
        <v>85</v>
      </c>
      <c r="C74" s="203"/>
      <c r="D74" s="259" t="s">
        <v>13</v>
      </c>
      <c r="E74" s="451"/>
      <c r="F74" s="154">
        <v>389</v>
      </c>
      <c r="G74" s="155">
        <v>188</v>
      </c>
      <c r="H74" s="155">
        <v>261</v>
      </c>
      <c r="I74" s="156">
        <v>158</v>
      </c>
      <c r="J74" s="281"/>
      <c r="K74" s="154">
        <f t="shared" si="137"/>
        <v>35</v>
      </c>
      <c r="L74" s="155">
        <f t="shared" si="138"/>
        <v>61</v>
      </c>
      <c r="M74" s="155">
        <f t="shared" si="139"/>
        <v>8</v>
      </c>
      <c r="N74" s="155">
        <f t="shared" si="140"/>
        <v>22</v>
      </c>
      <c r="O74" s="155">
        <f t="shared" si="141"/>
        <v>9</v>
      </c>
      <c r="P74" s="155">
        <f t="shared" si="142"/>
        <v>50</v>
      </c>
      <c r="Q74" s="155">
        <f>'2010'!AU74</f>
        <v>20</v>
      </c>
      <c r="R74" s="155">
        <f t="shared" si="143"/>
        <v>115</v>
      </c>
      <c r="S74" s="155">
        <f t="shared" si="144"/>
        <v>46</v>
      </c>
      <c r="T74" s="155">
        <f t="shared" si="145"/>
        <v>12</v>
      </c>
      <c r="U74" s="552">
        <f t="shared" si="145"/>
        <v>16</v>
      </c>
      <c r="V74" s="155">
        <f t="shared" si="146"/>
        <v>24</v>
      </c>
      <c r="W74" s="155">
        <f t="shared" si="147"/>
        <v>8</v>
      </c>
      <c r="X74" s="155">
        <f t="shared" si="148"/>
        <v>44</v>
      </c>
      <c r="Y74" s="155">
        <f t="shared" si="149"/>
        <v>65</v>
      </c>
      <c r="Z74" s="155">
        <f t="shared" si="150"/>
        <v>9</v>
      </c>
      <c r="AA74" s="155">
        <f t="shared" si="151"/>
        <v>23</v>
      </c>
      <c r="AB74" s="552">
        <f t="shared" si="152"/>
        <v>15</v>
      </c>
      <c r="AC74" s="155">
        <f t="shared" si="153"/>
        <v>7</v>
      </c>
      <c r="AD74" s="155">
        <f t="shared" si="154"/>
        <v>22</v>
      </c>
      <c r="AE74" s="155">
        <f t="shared" si="155"/>
        <v>45</v>
      </c>
      <c r="AF74" s="155">
        <f t="shared" si="156"/>
        <v>19</v>
      </c>
      <c r="AG74" s="155">
        <f t="shared" si="157"/>
        <v>62</v>
      </c>
      <c r="AH74" s="155">
        <f t="shared" si="158"/>
        <v>81</v>
      </c>
      <c r="AI74" s="155">
        <f t="shared" si="159"/>
        <v>10</v>
      </c>
      <c r="AJ74" s="155">
        <f t="shared" si="160"/>
        <v>4</v>
      </c>
      <c r="AK74" s="552">
        <f t="shared" si="161"/>
        <v>11</v>
      </c>
      <c r="AL74" s="155">
        <f t="shared" si="162"/>
        <v>11</v>
      </c>
      <c r="AM74" s="155">
        <f t="shared" si="163"/>
        <v>17</v>
      </c>
      <c r="AN74" s="155">
        <f t="shared" si="164"/>
        <v>28</v>
      </c>
      <c r="AO74" s="155">
        <f t="shared" si="165"/>
        <v>24</v>
      </c>
      <c r="AP74" s="155">
        <f t="shared" si="165"/>
        <v>20</v>
      </c>
      <c r="AQ74" s="155">
        <f t="shared" si="166"/>
        <v>11</v>
      </c>
      <c r="AR74" s="155">
        <f t="shared" si="167"/>
        <v>17</v>
      </c>
      <c r="AS74" s="156">
        <f t="shared" si="168"/>
        <v>30</v>
      </c>
      <c r="AT74" s="155">
        <v>30</v>
      </c>
      <c r="AU74" s="155">
        <v>15</v>
      </c>
      <c r="AV74" s="155">
        <v>46</v>
      </c>
      <c r="AW74" s="155">
        <v>22</v>
      </c>
      <c r="AX74" s="155">
        <v>85</v>
      </c>
      <c r="AY74" s="155">
        <v>61</v>
      </c>
      <c r="AZ74" s="155">
        <v>11</v>
      </c>
      <c r="BA74" s="155">
        <v>39</v>
      </c>
      <c r="BB74" s="155">
        <v>12</v>
      </c>
      <c r="BC74" s="155">
        <v>16</v>
      </c>
      <c r="BD74" s="155">
        <v>8</v>
      </c>
      <c r="BE74" s="155">
        <v>9</v>
      </c>
      <c r="BF74" s="552">
        <v>35</v>
      </c>
      <c r="BG74" s="155">
        <v>6</v>
      </c>
      <c r="BH74" s="155">
        <v>14</v>
      </c>
      <c r="BI74" s="155">
        <v>30</v>
      </c>
      <c r="BJ74" s="155">
        <v>18</v>
      </c>
      <c r="BK74" s="155">
        <v>19</v>
      </c>
      <c r="BL74" s="155">
        <v>11</v>
      </c>
      <c r="BM74" s="155">
        <v>9</v>
      </c>
      <c r="BN74" s="155">
        <v>35</v>
      </c>
      <c r="BO74" s="155">
        <v>8</v>
      </c>
      <c r="BP74" s="155">
        <v>15</v>
      </c>
      <c r="BQ74" s="155">
        <v>15</v>
      </c>
      <c r="BR74" s="552">
        <v>8</v>
      </c>
      <c r="BS74" s="155">
        <v>7</v>
      </c>
      <c r="BT74" s="155">
        <v>38</v>
      </c>
      <c r="BU74" s="155">
        <v>22</v>
      </c>
      <c r="BV74" s="155">
        <v>62</v>
      </c>
      <c r="BW74" s="155">
        <v>10</v>
      </c>
      <c r="BX74" s="155">
        <v>7</v>
      </c>
      <c r="BY74" s="155">
        <v>4</v>
      </c>
      <c r="BZ74" s="155">
        <v>81</v>
      </c>
      <c r="CA74" s="155">
        <v>19</v>
      </c>
      <c r="CB74" s="552">
        <v>11</v>
      </c>
      <c r="CC74" s="155">
        <v>24</v>
      </c>
      <c r="CD74" s="155">
        <v>20</v>
      </c>
      <c r="CE74" s="155">
        <v>11</v>
      </c>
      <c r="CF74" s="155">
        <v>12</v>
      </c>
      <c r="CG74" s="155">
        <v>18</v>
      </c>
      <c r="CH74" s="155">
        <v>17</v>
      </c>
      <c r="CI74" s="155">
        <v>17</v>
      </c>
      <c r="CJ74" s="155">
        <v>28</v>
      </c>
      <c r="CK74" s="156">
        <v>11</v>
      </c>
      <c r="CL74" s="320">
        <v>996</v>
      </c>
    </row>
    <row r="75" spans="1:90">
      <c r="A75" s="80">
        <f>ROWS($A$3:A73)</f>
        <v>71</v>
      </c>
      <c r="B75" s="92" t="s">
        <v>86</v>
      </c>
      <c r="C75" s="203"/>
      <c r="D75" s="259" t="s">
        <v>13</v>
      </c>
      <c r="E75" s="451"/>
      <c r="F75" s="154">
        <v>2546</v>
      </c>
      <c r="G75" s="155">
        <v>683</v>
      </c>
      <c r="H75" s="155">
        <v>3738</v>
      </c>
      <c r="I75" s="156">
        <v>995</v>
      </c>
      <c r="J75" s="281"/>
      <c r="K75" s="154">
        <f t="shared" si="137"/>
        <v>16</v>
      </c>
      <c r="L75" s="155">
        <f t="shared" si="138"/>
        <v>376</v>
      </c>
      <c r="M75" s="155">
        <f t="shared" si="139"/>
        <v>175</v>
      </c>
      <c r="N75" s="155">
        <f t="shared" si="140"/>
        <v>26</v>
      </c>
      <c r="O75" s="155">
        <f t="shared" si="141"/>
        <v>3</v>
      </c>
      <c r="P75" s="155">
        <f t="shared" si="142"/>
        <v>1038</v>
      </c>
      <c r="Q75" s="155">
        <f>'2010'!AU75</f>
        <v>31</v>
      </c>
      <c r="R75" s="155">
        <f t="shared" si="143"/>
        <v>537</v>
      </c>
      <c r="S75" s="155">
        <f t="shared" si="144"/>
        <v>67</v>
      </c>
      <c r="T75" s="155">
        <f t="shared" si="145"/>
        <v>285</v>
      </c>
      <c r="U75" s="552">
        <f t="shared" si="145"/>
        <v>6</v>
      </c>
      <c r="V75" s="155">
        <f t="shared" si="146"/>
        <v>261</v>
      </c>
      <c r="W75" s="155">
        <f t="shared" si="147"/>
        <v>3</v>
      </c>
      <c r="X75" s="155">
        <f t="shared" si="148"/>
        <v>130</v>
      </c>
      <c r="Y75" s="155">
        <f t="shared" si="149"/>
        <v>167</v>
      </c>
      <c r="Z75" s="155">
        <f t="shared" si="150"/>
        <v>57</v>
      </c>
      <c r="AA75" s="155">
        <f t="shared" si="151"/>
        <v>60</v>
      </c>
      <c r="AB75" s="552">
        <f t="shared" si="152"/>
        <v>5</v>
      </c>
      <c r="AC75" s="155">
        <f t="shared" si="153"/>
        <v>2</v>
      </c>
      <c r="AD75" s="155">
        <f t="shared" si="154"/>
        <v>496</v>
      </c>
      <c r="AE75" s="155">
        <f t="shared" si="155"/>
        <v>1328</v>
      </c>
      <c r="AF75" s="155">
        <f t="shared" si="156"/>
        <v>196</v>
      </c>
      <c r="AG75" s="155">
        <f t="shared" si="157"/>
        <v>1581</v>
      </c>
      <c r="AH75" s="155">
        <f t="shared" si="158"/>
        <v>99</v>
      </c>
      <c r="AI75" s="155">
        <f t="shared" si="159"/>
        <v>5</v>
      </c>
      <c r="AJ75" s="155" t="str">
        <f t="shared" si="160"/>
        <v>–</v>
      </c>
      <c r="AK75" s="552">
        <f t="shared" si="161"/>
        <v>31</v>
      </c>
      <c r="AL75" s="155">
        <f t="shared" si="162"/>
        <v>2</v>
      </c>
      <c r="AM75" s="155">
        <f t="shared" si="163"/>
        <v>6</v>
      </c>
      <c r="AN75" s="155">
        <f t="shared" si="164"/>
        <v>130</v>
      </c>
      <c r="AO75" s="155">
        <f t="shared" si="165"/>
        <v>21</v>
      </c>
      <c r="AP75" s="155">
        <f t="shared" si="165"/>
        <v>12</v>
      </c>
      <c r="AQ75" s="155">
        <f t="shared" si="166"/>
        <v>12</v>
      </c>
      <c r="AR75" s="155">
        <f t="shared" si="167"/>
        <v>801</v>
      </c>
      <c r="AS75" s="156">
        <f t="shared" si="168"/>
        <v>11</v>
      </c>
      <c r="AT75" s="155">
        <v>101</v>
      </c>
      <c r="AU75" s="155">
        <v>17</v>
      </c>
      <c r="AV75" s="281">
        <v>67</v>
      </c>
      <c r="AW75" s="281">
        <v>26</v>
      </c>
      <c r="AX75" s="281">
        <v>436</v>
      </c>
      <c r="AY75" s="281">
        <v>376</v>
      </c>
      <c r="AZ75" s="281">
        <v>89</v>
      </c>
      <c r="BA75" s="281">
        <v>949</v>
      </c>
      <c r="BB75" s="281">
        <v>285</v>
      </c>
      <c r="BC75" s="281">
        <v>6</v>
      </c>
      <c r="BD75" s="281">
        <v>175</v>
      </c>
      <c r="BE75" s="281">
        <v>3</v>
      </c>
      <c r="BF75" s="552">
        <v>16</v>
      </c>
      <c r="BG75" s="281">
        <v>73</v>
      </c>
      <c r="BH75" s="281">
        <v>4</v>
      </c>
      <c r="BI75" s="281">
        <v>126</v>
      </c>
      <c r="BJ75" s="281">
        <v>188</v>
      </c>
      <c r="BK75" s="281">
        <v>8</v>
      </c>
      <c r="BL75" s="281" t="s">
        <v>41</v>
      </c>
      <c r="BM75" s="281">
        <v>57</v>
      </c>
      <c r="BN75" s="281">
        <v>159</v>
      </c>
      <c r="BO75" s="281">
        <v>1</v>
      </c>
      <c r="BP75" s="281">
        <v>5</v>
      </c>
      <c r="BQ75" s="281">
        <v>59</v>
      </c>
      <c r="BR75" s="552">
        <v>3</v>
      </c>
      <c r="BS75" s="281">
        <v>116</v>
      </c>
      <c r="BT75" s="281">
        <v>1212</v>
      </c>
      <c r="BU75" s="281">
        <v>496</v>
      </c>
      <c r="BV75" s="281">
        <v>1581</v>
      </c>
      <c r="BW75" s="281">
        <v>5</v>
      </c>
      <c r="BX75" s="281">
        <v>2</v>
      </c>
      <c r="BY75" s="281" t="s">
        <v>41</v>
      </c>
      <c r="BZ75" s="281">
        <v>99</v>
      </c>
      <c r="CA75" s="281">
        <v>196</v>
      </c>
      <c r="CB75" s="552">
        <v>31</v>
      </c>
      <c r="CC75" s="281">
        <v>21</v>
      </c>
      <c r="CD75" s="281">
        <v>12</v>
      </c>
      <c r="CE75" s="281">
        <v>2</v>
      </c>
      <c r="CF75" s="281">
        <v>1</v>
      </c>
      <c r="CG75" s="281">
        <v>10</v>
      </c>
      <c r="CH75" s="281">
        <v>6</v>
      </c>
      <c r="CI75" s="281">
        <v>801</v>
      </c>
      <c r="CJ75" s="281">
        <v>130</v>
      </c>
      <c r="CK75" s="156">
        <v>12</v>
      </c>
      <c r="CL75" s="320">
        <v>7962</v>
      </c>
    </row>
    <row r="76" spans="1:90">
      <c r="A76" s="80">
        <f>ROWS($A$3:A74)</f>
        <v>72</v>
      </c>
      <c r="B76" s="92" t="s">
        <v>87</v>
      </c>
      <c r="C76" s="203"/>
      <c r="D76" s="259" t="s">
        <v>13</v>
      </c>
      <c r="E76" s="451"/>
      <c r="F76" s="154">
        <v>3759</v>
      </c>
      <c r="G76" s="155">
        <v>1200</v>
      </c>
      <c r="H76" s="155">
        <v>4664</v>
      </c>
      <c r="I76" s="156">
        <v>4651</v>
      </c>
      <c r="J76" s="281"/>
      <c r="K76" s="154">
        <f t="shared" si="137"/>
        <v>975</v>
      </c>
      <c r="L76" s="155">
        <f t="shared" si="138"/>
        <v>384</v>
      </c>
      <c r="M76" s="155">
        <f t="shared" si="139"/>
        <v>173</v>
      </c>
      <c r="N76" s="155">
        <f t="shared" si="140"/>
        <v>445</v>
      </c>
      <c r="O76" s="155">
        <f t="shared" si="141"/>
        <v>199</v>
      </c>
      <c r="P76" s="155">
        <f t="shared" si="142"/>
        <v>134</v>
      </c>
      <c r="Q76" s="155">
        <f>'2010'!AU76</f>
        <v>122</v>
      </c>
      <c r="R76" s="155">
        <f t="shared" si="143"/>
        <v>118</v>
      </c>
      <c r="S76" s="155">
        <f t="shared" si="144"/>
        <v>201</v>
      </c>
      <c r="T76" s="155">
        <f t="shared" si="145"/>
        <v>219</v>
      </c>
      <c r="U76" s="552">
        <f t="shared" si="145"/>
        <v>800</v>
      </c>
      <c r="V76" s="155">
        <f t="shared" si="146"/>
        <v>105</v>
      </c>
      <c r="W76" s="155">
        <f t="shared" si="147"/>
        <v>230</v>
      </c>
      <c r="X76" s="155">
        <f t="shared" si="148"/>
        <v>132</v>
      </c>
      <c r="Y76" s="155">
        <f t="shared" si="149"/>
        <v>163</v>
      </c>
      <c r="Z76" s="155">
        <f t="shared" si="150"/>
        <v>217</v>
      </c>
      <c r="AA76" s="155">
        <f t="shared" si="151"/>
        <v>122</v>
      </c>
      <c r="AB76" s="552">
        <f t="shared" si="152"/>
        <v>231</v>
      </c>
      <c r="AC76" s="155">
        <f t="shared" si="153"/>
        <v>594</v>
      </c>
      <c r="AD76" s="155">
        <f t="shared" si="154"/>
        <v>466</v>
      </c>
      <c r="AE76" s="155">
        <f t="shared" si="155"/>
        <v>822</v>
      </c>
      <c r="AF76" s="155">
        <f t="shared" si="156"/>
        <v>490</v>
      </c>
      <c r="AG76" s="155">
        <f t="shared" si="157"/>
        <v>768</v>
      </c>
      <c r="AH76" s="155">
        <f t="shared" si="158"/>
        <v>284</v>
      </c>
      <c r="AI76" s="155">
        <f t="shared" si="159"/>
        <v>352</v>
      </c>
      <c r="AJ76" s="155">
        <f t="shared" si="160"/>
        <v>200</v>
      </c>
      <c r="AK76" s="552">
        <f t="shared" si="161"/>
        <v>688</v>
      </c>
      <c r="AL76" s="155">
        <f t="shared" si="162"/>
        <v>309</v>
      </c>
      <c r="AM76" s="155">
        <f t="shared" si="163"/>
        <v>867</v>
      </c>
      <c r="AN76" s="155">
        <f t="shared" si="164"/>
        <v>1721</v>
      </c>
      <c r="AO76" s="155">
        <f t="shared" si="165"/>
        <v>391</v>
      </c>
      <c r="AP76" s="155">
        <f t="shared" si="165"/>
        <v>85</v>
      </c>
      <c r="AQ76" s="155">
        <f t="shared" si="166"/>
        <v>427</v>
      </c>
      <c r="AR76" s="155">
        <f t="shared" si="167"/>
        <v>278</v>
      </c>
      <c r="AS76" s="156">
        <f t="shared" si="168"/>
        <v>573</v>
      </c>
      <c r="AT76" s="155">
        <v>10</v>
      </c>
      <c r="AU76" s="155">
        <v>111</v>
      </c>
      <c r="AV76" s="155">
        <v>201</v>
      </c>
      <c r="AW76" s="155">
        <v>445</v>
      </c>
      <c r="AX76" s="155">
        <v>108</v>
      </c>
      <c r="AY76" s="155">
        <v>384</v>
      </c>
      <c r="AZ76" s="155">
        <v>2</v>
      </c>
      <c r="BA76" s="155">
        <v>132</v>
      </c>
      <c r="BB76" s="155">
        <v>219</v>
      </c>
      <c r="BC76" s="155">
        <v>800</v>
      </c>
      <c r="BD76" s="155">
        <v>173</v>
      </c>
      <c r="BE76" s="155">
        <v>199</v>
      </c>
      <c r="BF76" s="552">
        <v>975</v>
      </c>
      <c r="BG76" s="155">
        <v>16</v>
      </c>
      <c r="BH76" s="155">
        <v>6</v>
      </c>
      <c r="BI76" s="155">
        <v>126</v>
      </c>
      <c r="BJ76" s="155">
        <v>89</v>
      </c>
      <c r="BK76" s="155">
        <v>6</v>
      </c>
      <c r="BL76" s="155">
        <v>6</v>
      </c>
      <c r="BM76" s="155">
        <v>217</v>
      </c>
      <c r="BN76" s="155">
        <v>151</v>
      </c>
      <c r="BO76" s="155">
        <v>7</v>
      </c>
      <c r="BP76" s="155">
        <v>231</v>
      </c>
      <c r="BQ76" s="155">
        <v>115</v>
      </c>
      <c r="BR76" s="552">
        <v>230</v>
      </c>
      <c r="BS76" s="155">
        <v>18</v>
      </c>
      <c r="BT76" s="155">
        <v>804</v>
      </c>
      <c r="BU76" s="155">
        <v>466</v>
      </c>
      <c r="BV76" s="155">
        <v>768</v>
      </c>
      <c r="BW76" s="155">
        <v>352</v>
      </c>
      <c r="BX76" s="155">
        <v>594</v>
      </c>
      <c r="BY76" s="155">
        <v>200</v>
      </c>
      <c r="BZ76" s="155">
        <v>284</v>
      </c>
      <c r="CA76" s="155">
        <v>490</v>
      </c>
      <c r="CB76" s="552">
        <v>688</v>
      </c>
      <c r="CC76" s="155">
        <v>391</v>
      </c>
      <c r="CD76" s="155">
        <v>85</v>
      </c>
      <c r="CE76" s="155">
        <v>309</v>
      </c>
      <c r="CF76" s="155">
        <v>19</v>
      </c>
      <c r="CG76" s="155">
        <v>554</v>
      </c>
      <c r="CH76" s="155">
        <v>867</v>
      </c>
      <c r="CI76" s="155">
        <v>278</v>
      </c>
      <c r="CJ76" s="155">
        <v>1721</v>
      </c>
      <c r="CK76" s="156">
        <v>427</v>
      </c>
      <c r="CL76" s="320">
        <v>14274</v>
      </c>
    </row>
    <row r="77" spans="1:90">
      <c r="A77" s="80">
        <f>ROWS($A$3:A75)</f>
        <v>73</v>
      </c>
      <c r="B77" s="92" t="s">
        <v>88</v>
      </c>
      <c r="C77" s="203"/>
      <c r="D77" s="259" t="s">
        <v>13</v>
      </c>
      <c r="E77" s="451"/>
      <c r="F77" s="154">
        <v>839</v>
      </c>
      <c r="G77" s="281">
        <v>61</v>
      </c>
      <c r="H77" s="281">
        <v>94</v>
      </c>
      <c r="I77" s="156">
        <v>471</v>
      </c>
      <c r="J77" s="281"/>
      <c r="K77" s="154">
        <f t="shared" si="137"/>
        <v>103</v>
      </c>
      <c r="L77" s="155">
        <f t="shared" si="138"/>
        <v>14</v>
      </c>
      <c r="M77" s="155">
        <f t="shared" si="139"/>
        <v>88</v>
      </c>
      <c r="N77" s="155">
        <f t="shared" si="140"/>
        <v>20</v>
      </c>
      <c r="O77" s="155">
        <f t="shared" si="141"/>
        <v>34</v>
      </c>
      <c r="P77" s="155">
        <f t="shared" si="142"/>
        <v>20</v>
      </c>
      <c r="Q77" s="155">
        <f>'2010'!AU77</f>
        <v>14</v>
      </c>
      <c r="R77" s="155">
        <f t="shared" si="143"/>
        <v>26</v>
      </c>
      <c r="S77" s="155">
        <f t="shared" si="144"/>
        <v>7</v>
      </c>
      <c r="T77" s="155">
        <f t="shared" si="145"/>
        <v>114</v>
      </c>
      <c r="U77" s="552">
        <f t="shared" si="145"/>
        <v>399</v>
      </c>
      <c r="V77" s="155">
        <f t="shared" si="146"/>
        <v>5</v>
      </c>
      <c r="W77" s="155">
        <f t="shared" si="147"/>
        <v>8</v>
      </c>
      <c r="X77" s="155">
        <f t="shared" si="148"/>
        <v>2</v>
      </c>
      <c r="Y77" s="155">
        <f t="shared" si="149"/>
        <v>18</v>
      </c>
      <c r="Z77" s="155">
        <f t="shared" si="150"/>
        <v>22</v>
      </c>
      <c r="AA77" s="155">
        <f t="shared" si="151"/>
        <v>4</v>
      </c>
      <c r="AB77" s="552">
        <f t="shared" si="152"/>
        <v>2</v>
      </c>
      <c r="AC77" s="155">
        <f t="shared" si="153"/>
        <v>11</v>
      </c>
      <c r="AD77" s="155">
        <f t="shared" si="154"/>
        <v>7</v>
      </c>
      <c r="AE77" s="155">
        <f t="shared" si="155"/>
        <v>6</v>
      </c>
      <c r="AF77" s="155">
        <f t="shared" si="156"/>
        <v>3</v>
      </c>
      <c r="AG77" s="155">
        <f t="shared" si="157"/>
        <v>22</v>
      </c>
      <c r="AH77" s="155">
        <f t="shared" si="158"/>
        <v>10</v>
      </c>
      <c r="AI77" s="155">
        <f t="shared" si="159"/>
        <v>17</v>
      </c>
      <c r="AJ77" s="155">
        <f t="shared" si="160"/>
        <v>6</v>
      </c>
      <c r="AK77" s="552">
        <f t="shared" si="161"/>
        <v>12</v>
      </c>
      <c r="AL77" s="155">
        <f t="shared" si="162"/>
        <v>5</v>
      </c>
      <c r="AM77" s="155">
        <f t="shared" si="163"/>
        <v>113</v>
      </c>
      <c r="AN77" s="155">
        <f t="shared" si="164"/>
        <v>43</v>
      </c>
      <c r="AO77" s="155">
        <f t="shared" si="165"/>
        <v>16</v>
      </c>
      <c r="AP77" s="155">
        <f t="shared" si="165"/>
        <v>10</v>
      </c>
      <c r="AQ77" s="155">
        <f t="shared" si="166"/>
        <v>66</v>
      </c>
      <c r="AR77" s="155">
        <f t="shared" si="167"/>
        <v>12</v>
      </c>
      <c r="AS77" s="156">
        <f t="shared" si="168"/>
        <v>206</v>
      </c>
      <c r="AT77" s="155" t="s">
        <v>41</v>
      </c>
      <c r="AU77" s="281">
        <v>14</v>
      </c>
      <c r="AV77" s="281">
        <v>7</v>
      </c>
      <c r="AW77" s="281">
        <v>20</v>
      </c>
      <c r="AX77" s="281">
        <v>26</v>
      </c>
      <c r="AY77" s="281">
        <v>14</v>
      </c>
      <c r="AZ77" s="281">
        <v>1</v>
      </c>
      <c r="BA77" s="281">
        <v>19</v>
      </c>
      <c r="BB77" s="281">
        <v>114</v>
      </c>
      <c r="BC77" s="281">
        <v>399</v>
      </c>
      <c r="BD77" s="281">
        <v>88</v>
      </c>
      <c r="BE77" s="281">
        <v>34</v>
      </c>
      <c r="BF77" s="552">
        <v>103</v>
      </c>
      <c r="BG77" s="281" t="s">
        <v>41</v>
      </c>
      <c r="BH77" s="281" t="s">
        <v>41</v>
      </c>
      <c r="BI77" s="281">
        <v>2</v>
      </c>
      <c r="BJ77" s="281">
        <v>5</v>
      </c>
      <c r="BK77" s="281">
        <v>1</v>
      </c>
      <c r="BL77" s="281" t="s">
        <v>41</v>
      </c>
      <c r="BM77" s="281">
        <v>22</v>
      </c>
      <c r="BN77" s="281">
        <v>17</v>
      </c>
      <c r="BO77" s="281" t="s">
        <v>41</v>
      </c>
      <c r="BP77" s="281">
        <v>2</v>
      </c>
      <c r="BQ77" s="281">
        <v>4</v>
      </c>
      <c r="BR77" s="552">
        <v>8</v>
      </c>
      <c r="BS77" s="281">
        <v>1</v>
      </c>
      <c r="BT77" s="281">
        <v>5</v>
      </c>
      <c r="BU77" s="281">
        <v>7</v>
      </c>
      <c r="BV77" s="281">
        <v>22</v>
      </c>
      <c r="BW77" s="281">
        <v>17</v>
      </c>
      <c r="BX77" s="281">
        <v>11</v>
      </c>
      <c r="BY77" s="281">
        <v>6</v>
      </c>
      <c r="BZ77" s="281">
        <v>10</v>
      </c>
      <c r="CA77" s="281">
        <v>3</v>
      </c>
      <c r="CB77" s="552">
        <v>12</v>
      </c>
      <c r="CC77" s="281">
        <v>16</v>
      </c>
      <c r="CD77" s="281">
        <v>10</v>
      </c>
      <c r="CE77" s="281">
        <v>5</v>
      </c>
      <c r="CF77" s="281">
        <v>10</v>
      </c>
      <c r="CG77" s="281">
        <v>196</v>
      </c>
      <c r="CH77" s="281">
        <v>113</v>
      </c>
      <c r="CI77" s="281">
        <v>12</v>
      </c>
      <c r="CJ77" s="281">
        <v>43</v>
      </c>
      <c r="CK77" s="156">
        <v>66</v>
      </c>
      <c r="CL77" s="320">
        <v>1465</v>
      </c>
    </row>
    <row r="78" spans="1:90">
      <c r="A78" s="80">
        <f>ROWS($A$3:A76)</f>
        <v>74</v>
      </c>
      <c r="B78" s="92" t="s">
        <v>89</v>
      </c>
      <c r="C78" s="203"/>
      <c r="D78" s="259" t="s">
        <v>13</v>
      </c>
      <c r="E78" s="451"/>
      <c r="F78" s="154">
        <v>2113</v>
      </c>
      <c r="G78" s="155">
        <v>739</v>
      </c>
      <c r="H78" s="155">
        <v>1336</v>
      </c>
      <c r="I78" s="156">
        <v>1443</v>
      </c>
      <c r="J78" s="281"/>
      <c r="K78" s="154">
        <f t="shared" si="137"/>
        <v>207</v>
      </c>
      <c r="L78" s="155">
        <f t="shared" si="138"/>
        <v>144</v>
      </c>
      <c r="M78" s="155">
        <f t="shared" si="139"/>
        <v>243</v>
      </c>
      <c r="N78" s="155">
        <f t="shared" si="140"/>
        <v>85</v>
      </c>
      <c r="O78" s="155">
        <f t="shared" si="141"/>
        <v>118</v>
      </c>
      <c r="P78" s="155">
        <f t="shared" si="142"/>
        <v>280</v>
      </c>
      <c r="Q78" s="155">
        <f>'2010'!AU78</f>
        <v>161</v>
      </c>
      <c r="R78" s="155">
        <f t="shared" si="143"/>
        <v>258</v>
      </c>
      <c r="S78" s="155">
        <f t="shared" si="144"/>
        <v>148</v>
      </c>
      <c r="T78" s="155">
        <f t="shared" si="145"/>
        <v>224</v>
      </c>
      <c r="U78" s="552">
        <f t="shared" si="145"/>
        <v>266</v>
      </c>
      <c r="V78" s="155">
        <f t="shared" si="146"/>
        <v>61</v>
      </c>
      <c r="W78" s="155">
        <f t="shared" si="147"/>
        <v>63</v>
      </c>
      <c r="X78" s="155">
        <f t="shared" si="148"/>
        <v>108</v>
      </c>
      <c r="Y78" s="155">
        <f t="shared" si="149"/>
        <v>150</v>
      </c>
      <c r="Z78" s="155">
        <f t="shared" si="150"/>
        <v>166</v>
      </c>
      <c r="AA78" s="155">
        <f t="shared" si="151"/>
        <v>108</v>
      </c>
      <c r="AB78" s="552">
        <f t="shared" si="152"/>
        <v>83</v>
      </c>
      <c r="AC78" s="155">
        <f t="shared" si="153"/>
        <v>124</v>
      </c>
      <c r="AD78" s="155">
        <f t="shared" si="154"/>
        <v>116</v>
      </c>
      <c r="AE78" s="155">
        <f t="shared" si="155"/>
        <v>206</v>
      </c>
      <c r="AF78" s="155">
        <f t="shared" si="156"/>
        <v>121</v>
      </c>
      <c r="AG78" s="155">
        <f t="shared" si="157"/>
        <v>366</v>
      </c>
      <c r="AH78" s="155">
        <f t="shared" si="158"/>
        <v>122</v>
      </c>
      <c r="AI78" s="155">
        <f t="shared" si="159"/>
        <v>130</v>
      </c>
      <c r="AJ78" s="155">
        <f t="shared" si="160"/>
        <v>45</v>
      </c>
      <c r="AK78" s="552">
        <f t="shared" si="161"/>
        <v>106</v>
      </c>
      <c r="AL78" s="155">
        <f t="shared" si="162"/>
        <v>60</v>
      </c>
      <c r="AM78" s="155">
        <f t="shared" si="163"/>
        <v>230</v>
      </c>
      <c r="AN78" s="155">
        <f t="shared" si="164"/>
        <v>132</v>
      </c>
      <c r="AO78" s="155">
        <f t="shared" si="165"/>
        <v>170</v>
      </c>
      <c r="AP78" s="155">
        <f t="shared" si="165"/>
        <v>69</v>
      </c>
      <c r="AQ78" s="155">
        <f t="shared" si="166"/>
        <v>216</v>
      </c>
      <c r="AR78" s="155">
        <f t="shared" si="167"/>
        <v>207</v>
      </c>
      <c r="AS78" s="156">
        <f t="shared" si="168"/>
        <v>359</v>
      </c>
      <c r="AT78" s="155">
        <v>18</v>
      </c>
      <c r="AU78" s="155">
        <v>140</v>
      </c>
      <c r="AV78" s="155">
        <v>148</v>
      </c>
      <c r="AW78" s="155">
        <v>85</v>
      </c>
      <c r="AX78" s="155">
        <v>240</v>
      </c>
      <c r="AY78" s="155">
        <v>144</v>
      </c>
      <c r="AZ78" s="155">
        <v>11</v>
      </c>
      <c r="BA78" s="155">
        <v>269</v>
      </c>
      <c r="BB78" s="155">
        <v>224</v>
      </c>
      <c r="BC78" s="155">
        <v>266</v>
      </c>
      <c r="BD78" s="155">
        <v>243</v>
      </c>
      <c r="BE78" s="155">
        <v>118</v>
      </c>
      <c r="BF78" s="552">
        <v>207</v>
      </c>
      <c r="BG78" s="155">
        <v>3</v>
      </c>
      <c r="BH78" s="155">
        <v>12</v>
      </c>
      <c r="BI78" s="155">
        <v>96</v>
      </c>
      <c r="BJ78" s="155">
        <v>58</v>
      </c>
      <c r="BK78" s="155">
        <v>12</v>
      </c>
      <c r="BL78" s="155">
        <v>8</v>
      </c>
      <c r="BM78" s="155">
        <v>166</v>
      </c>
      <c r="BN78" s="155">
        <v>130</v>
      </c>
      <c r="BO78" s="155">
        <v>5</v>
      </c>
      <c r="BP78" s="155">
        <v>83</v>
      </c>
      <c r="BQ78" s="155">
        <v>103</v>
      </c>
      <c r="BR78" s="552">
        <v>63</v>
      </c>
      <c r="BS78" s="155">
        <v>18</v>
      </c>
      <c r="BT78" s="155">
        <v>188</v>
      </c>
      <c r="BU78" s="155">
        <v>116</v>
      </c>
      <c r="BV78" s="155">
        <v>366</v>
      </c>
      <c r="BW78" s="155">
        <v>130</v>
      </c>
      <c r="BX78" s="155">
        <v>124</v>
      </c>
      <c r="BY78" s="155">
        <v>45</v>
      </c>
      <c r="BZ78" s="155">
        <v>122</v>
      </c>
      <c r="CA78" s="155">
        <v>121</v>
      </c>
      <c r="CB78" s="552">
        <v>106</v>
      </c>
      <c r="CC78" s="155">
        <v>170</v>
      </c>
      <c r="CD78" s="155">
        <v>69</v>
      </c>
      <c r="CE78" s="155">
        <v>60</v>
      </c>
      <c r="CF78" s="155">
        <v>22</v>
      </c>
      <c r="CG78" s="155">
        <v>337</v>
      </c>
      <c r="CH78" s="155">
        <v>230</v>
      </c>
      <c r="CI78" s="155">
        <v>207</v>
      </c>
      <c r="CJ78" s="155">
        <v>132</v>
      </c>
      <c r="CK78" s="156">
        <v>216</v>
      </c>
      <c r="CL78" s="320">
        <v>5631</v>
      </c>
    </row>
    <row r="79" spans="1:90">
      <c r="A79" s="80">
        <f>ROWS($A$3:A77)</f>
        <v>75</v>
      </c>
      <c r="B79" s="59" t="s">
        <v>79</v>
      </c>
      <c r="C79" s="614"/>
      <c r="D79" s="259"/>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281"/>
      <c r="CD79" s="281"/>
      <c r="CE79" s="281"/>
      <c r="CF79" s="281"/>
      <c r="CG79" s="281"/>
      <c r="CH79" s="281"/>
      <c r="CI79" s="281"/>
      <c r="CJ79" s="281"/>
      <c r="CK79" s="156"/>
      <c r="CL79" s="320" t="s">
        <v>57</v>
      </c>
    </row>
    <row r="80" spans="1:90">
      <c r="A80" s="80">
        <f>ROWS($A$3:A78)</f>
        <v>76</v>
      </c>
      <c r="B80" s="92" t="s">
        <v>90</v>
      </c>
      <c r="C80" s="591">
        <v>2018</v>
      </c>
      <c r="D80" s="259" t="s">
        <v>13</v>
      </c>
      <c r="E80" s="483">
        <v>43556</v>
      </c>
      <c r="F80" s="154">
        <f>SUM(AT80:BF80)</f>
        <v>14616</v>
      </c>
      <c r="G80" s="155">
        <f>SUM(BG80:BR80)</f>
        <v>4913</v>
      </c>
      <c r="H80" s="155">
        <f>SUM(BS80:CB80)</f>
        <v>12621</v>
      </c>
      <c r="I80" s="156">
        <f>SUM(CC80:CK80)</f>
        <v>12267</v>
      </c>
      <c r="J80" s="281"/>
      <c r="K80" s="154">
        <f>BF80</f>
        <v>2183</v>
      </c>
      <c r="L80" s="155">
        <f>AY80</f>
        <v>1030</v>
      </c>
      <c r="M80" s="155">
        <f>BD80</f>
        <v>1726</v>
      </c>
      <c r="N80" s="155">
        <f>AW80</f>
        <v>789</v>
      </c>
      <c r="O80" s="155">
        <f>BE80</f>
        <v>626</v>
      </c>
      <c r="P80" s="155">
        <f>AZ80+BA80</f>
        <v>1891</v>
      </c>
      <c r="Q80" s="155">
        <f>AU80</f>
        <v>628</v>
      </c>
      <c r="R80" s="155">
        <f>AT80+AX80</f>
        <v>1358</v>
      </c>
      <c r="S80" s="155">
        <f>AV80</f>
        <v>597</v>
      </c>
      <c r="T80" s="155">
        <f t="shared" ref="T80:U83" si="169">BB80</f>
        <v>1397</v>
      </c>
      <c r="U80" s="552">
        <f t="shared" si="169"/>
        <v>2391</v>
      </c>
      <c r="V80" s="155">
        <f>BG80+BJ80</f>
        <v>556</v>
      </c>
      <c r="W80" s="155">
        <f>BR80</f>
        <v>633</v>
      </c>
      <c r="X80" s="155">
        <f>BH80+BI80</f>
        <v>786</v>
      </c>
      <c r="Y80" s="155">
        <f>BK80+BL80+BN80</f>
        <v>944</v>
      </c>
      <c r="Z80" s="155">
        <f>BM80</f>
        <v>995</v>
      </c>
      <c r="AA80" s="155">
        <f>BO80+BQ80</f>
        <v>468</v>
      </c>
      <c r="AB80" s="552">
        <f>BP80</f>
        <v>531</v>
      </c>
      <c r="AC80" s="155">
        <f>BX80</f>
        <v>1185</v>
      </c>
      <c r="AD80" s="155">
        <f>BU80</f>
        <v>1144</v>
      </c>
      <c r="AE80" s="155">
        <f>BS80+BT80</f>
        <v>2311</v>
      </c>
      <c r="AF80" s="155">
        <f>CA80</f>
        <v>1024</v>
      </c>
      <c r="AG80" s="155">
        <f>BV80</f>
        <v>3244</v>
      </c>
      <c r="AH80" s="155">
        <f>BZ80</f>
        <v>939</v>
      </c>
      <c r="AI80" s="155">
        <f>BW80</f>
        <v>936</v>
      </c>
      <c r="AJ80" s="155">
        <f>BY80</f>
        <v>489</v>
      </c>
      <c r="AK80" s="552">
        <f>CB80</f>
        <v>1349</v>
      </c>
      <c r="AL80" s="155">
        <f>CE80</f>
        <v>835</v>
      </c>
      <c r="AM80" s="155">
        <f>CH80</f>
        <v>1954</v>
      </c>
      <c r="AN80" s="155">
        <f>CJ80</f>
        <v>2878</v>
      </c>
      <c r="AO80" s="155">
        <f t="shared" ref="AO80:AP83" si="170">CC80</f>
        <v>1155</v>
      </c>
      <c r="AP80" s="155">
        <f t="shared" si="170"/>
        <v>429</v>
      </c>
      <c r="AQ80" s="155">
        <f>CK80</f>
        <v>1412</v>
      </c>
      <c r="AR80" s="155">
        <f>CI80</f>
        <v>1486</v>
      </c>
      <c r="AS80" s="156">
        <f>CF80+CG80</f>
        <v>2118</v>
      </c>
      <c r="AT80" s="281">
        <v>203</v>
      </c>
      <c r="AU80" s="281">
        <v>628</v>
      </c>
      <c r="AV80" s="281">
        <v>597</v>
      </c>
      <c r="AW80" s="281">
        <v>789</v>
      </c>
      <c r="AX80" s="281">
        <v>1155</v>
      </c>
      <c r="AY80" s="281">
        <v>1030</v>
      </c>
      <c r="AZ80" s="281">
        <v>256</v>
      </c>
      <c r="BA80" s="281">
        <v>1635</v>
      </c>
      <c r="BB80" s="281">
        <v>1397</v>
      </c>
      <c r="BC80" s="281">
        <v>2391</v>
      </c>
      <c r="BD80" s="281">
        <v>1726</v>
      </c>
      <c r="BE80" s="281">
        <v>626</v>
      </c>
      <c r="BF80" s="299">
        <v>2183</v>
      </c>
      <c r="BG80" s="281">
        <v>154</v>
      </c>
      <c r="BH80" s="281">
        <v>78</v>
      </c>
      <c r="BI80" s="281">
        <v>708</v>
      </c>
      <c r="BJ80" s="281">
        <v>402</v>
      </c>
      <c r="BK80" s="281">
        <v>130</v>
      </c>
      <c r="BL80" s="281">
        <v>68</v>
      </c>
      <c r="BM80" s="281">
        <v>995</v>
      </c>
      <c r="BN80" s="281">
        <v>746</v>
      </c>
      <c r="BO80" s="281">
        <v>42</v>
      </c>
      <c r="BP80" s="281">
        <v>531</v>
      </c>
      <c r="BQ80" s="281">
        <v>426</v>
      </c>
      <c r="BR80" s="299">
        <v>633</v>
      </c>
      <c r="BS80" s="281">
        <v>250</v>
      </c>
      <c r="BT80" s="281">
        <v>2061</v>
      </c>
      <c r="BU80" s="281">
        <v>1144</v>
      </c>
      <c r="BV80" s="281">
        <v>3244</v>
      </c>
      <c r="BW80" s="281">
        <v>936</v>
      </c>
      <c r="BX80" s="281">
        <v>1185</v>
      </c>
      <c r="BY80" s="281">
        <v>489</v>
      </c>
      <c r="BZ80" s="281">
        <v>939</v>
      </c>
      <c r="CA80" s="281">
        <v>1024</v>
      </c>
      <c r="CB80" s="299">
        <v>1349</v>
      </c>
      <c r="CC80" s="281">
        <v>1155</v>
      </c>
      <c r="CD80" s="281">
        <v>429</v>
      </c>
      <c r="CE80" s="281">
        <v>835</v>
      </c>
      <c r="CF80" s="155">
        <v>170</v>
      </c>
      <c r="CG80" s="281">
        <v>1948</v>
      </c>
      <c r="CH80" s="281">
        <v>1954</v>
      </c>
      <c r="CI80" s="281">
        <v>1486</v>
      </c>
      <c r="CJ80" s="281">
        <v>2878</v>
      </c>
      <c r="CK80" s="300">
        <v>1412</v>
      </c>
      <c r="CL80" s="553">
        <f>SUM(AT80:CK80)</f>
        <v>44417</v>
      </c>
    </row>
    <row r="81" spans="1:90">
      <c r="A81" s="80">
        <f>ROWS($A$3:A79)</f>
        <v>77</v>
      </c>
      <c r="B81" s="602" t="s">
        <v>365</v>
      </c>
      <c r="C81" s="591">
        <v>2018</v>
      </c>
      <c r="D81" s="254" t="s">
        <v>13</v>
      </c>
      <c r="E81" s="483">
        <v>43556</v>
      </c>
      <c r="F81" s="154">
        <f>SUM(AT81:BF81)</f>
        <v>1051934</v>
      </c>
      <c r="G81" s="155">
        <f>SUM(BG81:BR81)</f>
        <v>683020</v>
      </c>
      <c r="H81" s="155">
        <f>SUM(BS81:CB81)</f>
        <v>686923</v>
      </c>
      <c r="I81" s="156">
        <f>SUM(CC81:CK81)</f>
        <v>605541</v>
      </c>
      <c r="J81" s="281"/>
      <c r="K81" s="154">
        <f>BF81</f>
        <v>80307</v>
      </c>
      <c r="L81" s="155">
        <f>AY81</f>
        <v>126309</v>
      </c>
      <c r="M81" s="155">
        <f>BD81</f>
        <v>102788</v>
      </c>
      <c r="N81" s="155">
        <f>AW81</f>
        <v>54520</v>
      </c>
      <c r="O81" s="155">
        <f>BE81</f>
        <v>30671</v>
      </c>
      <c r="P81" s="155">
        <f>AZ81+BA81</f>
        <v>156058</v>
      </c>
      <c r="Q81" s="155">
        <f>AU81</f>
        <v>103910</v>
      </c>
      <c r="R81" s="155">
        <f>AT81+AX81</f>
        <v>149663</v>
      </c>
      <c r="S81" s="155">
        <f>AV81</f>
        <v>109933</v>
      </c>
      <c r="T81" s="155">
        <f t="shared" si="169"/>
        <v>52348</v>
      </c>
      <c r="U81" s="552">
        <f t="shared" si="169"/>
        <v>85427</v>
      </c>
      <c r="V81" s="155">
        <f>BG81+BJ81</f>
        <v>94413</v>
      </c>
      <c r="W81" s="155">
        <f>BR81</f>
        <v>51818</v>
      </c>
      <c r="X81" s="155">
        <f>BH81+BI81</f>
        <v>177344</v>
      </c>
      <c r="Y81" s="155">
        <f>BK81+BL81+BN81</f>
        <v>103639</v>
      </c>
      <c r="Z81" s="155">
        <f>BM81</f>
        <v>80827</v>
      </c>
      <c r="AA81" s="155">
        <f>BO81+BQ81</f>
        <v>115545</v>
      </c>
      <c r="AB81" s="552">
        <f>BP81</f>
        <v>59434</v>
      </c>
      <c r="AC81" s="155">
        <f>BX81</f>
        <v>38990</v>
      </c>
      <c r="AD81" s="155">
        <f>BU81</f>
        <v>57907</v>
      </c>
      <c r="AE81" s="155">
        <f>BS81+BT81</f>
        <v>106778</v>
      </c>
      <c r="AF81" s="155">
        <f>CA81</f>
        <v>74549</v>
      </c>
      <c r="AG81" s="155">
        <f>BV81</f>
        <v>143880</v>
      </c>
      <c r="AH81" s="155">
        <f>BZ81</f>
        <v>61673</v>
      </c>
      <c r="AI81" s="155">
        <f>BW81</f>
        <v>62398</v>
      </c>
      <c r="AJ81" s="155">
        <f>BY81</f>
        <v>75614</v>
      </c>
      <c r="AK81" s="552">
        <f>CB81</f>
        <v>65134</v>
      </c>
      <c r="AL81" s="155">
        <f>CE81</f>
        <v>105903</v>
      </c>
      <c r="AM81" s="155">
        <f>CH81</f>
        <v>75723</v>
      </c>
      <c r="AN81" s="155">
        <f>CJ81</f>
        <v>63231</v>
      </c>
      <c r="AO81" s="155">
        <f t="shared" si="170"/>
        <v>82105</v>
      </c>
      <c r="AP81" s="155">
        <f t="shared" si="170"/>
        <v>95467</v>
      </c>
      <c r="AQ81" s="155">
        <f>CK81</f>
        <v>71902</v>
      </c>
      <c r="AR81" s="155">
        <f>CI81</f>
        <v>34652</v>
      </c>
      <c r="AS81" s="156">
        <f>CF81+CG81</f>
        <v>76558</v>
      </c>
      <c r="AT81" s="155">
        <v>12790</v>
      </c>
      <c r="AU81" s="155">
        <v>103910</v>
      </c>
      <c r="AV81" s="155">
        <v>109933</v>
      </c>
      <c r="AW81" s="155">
        <v>54520</v>
      </c>
      <c r="AX81" s="155">
        <v>136873</v>
      </c>
      <c r="AY81" s="155">
        <v>126309</v>
      </c>
      <c r="AZ81" s="155">
        <v>15863</v>
      </c>
      <c r="BA81" s="155">
        <v>140195</v>
      </c>
      <c r="BB81" s="155">
        <v>52348</v>
      </c>
      <c r="BC81" s="155">
        <v>85427</v>
      </c>
      <c r="BD81" s="155">
        <v>102788</v>
      </c>
      <c r="BE81" s="155">
        <v>30671</v>
      </c>
      <c r="BF81" s="552">
        <v>80307</v>
      </c>
      <c r="BG81" s="155">
        <v>12179</v>
      </c>
      <c r="BH81" s="155">
        <v>10620</v>
      </c>
      <c r="BI81" s="155">
        <v>166724</v>
      </c>
      <c r="BJ81" s="155">
        <v>82234</v>
      </c>
      <c r="BK81" s="155">
        <v>3770</v>
      </c>
      <c r="BL81" s="155">
        <v>5418</v>
      </c>
      <c r="BM81" s="155">
        <v>80827</v>
      </c>
      <c r="BN81" s="155">
        <v>94451</v>
      </c>
      <c r="BO81" s="155">
        <v>4816</v>
      </c>
      <c r="BP81" s="155">
        <v>59434</v>
      </c>
      <c r="BQ81" s="155">
        <v>110729</v>
      </c>
      <c r="BR81" s="552">
        <v>51818</v>
      </c>
      <c r="BS81" s="155">
        <v>9346</v>
      </c>
      <c r="BT81" s="155">
        <v>97432</v>
      </c>
      <c r="BU81" s="155">
        <v>57907</v>
      </c>
      <c r="BV81" s="155">
        <v>143880</v>
      </c>
      <c r="BW81" s="155">
        <v>62398</v>
      </c>
      <c r="BX81" s="155">
        <v>38990</v>
      </c>
      <c r="BY81" s="155">
        <v>75614</v>
      </c>
      <c r="BZ81" s="155">
        <v>61673</v>
      </c>
      <c r="CA81" s="155">
        <v>74549</v>
      </c>
      <c r="CB81" s="552">
        <v>65134</v>
      </c>
      <c r="CC81" s="155">
        <v>82105</v>
      </c>
      <c r="CD81" s="155">
        <v>95467</v>
      </c>
      <c r="CE81" s="155">
        <v>105903</v>
      </c>
      <c r="CF81" s="155">
        <v>5866</v>
      </c>
      <c r="CG81" s="155">
        <v>70692</v>
      </c>
      <c r="CH81" s="155">
        <v>75723</v>
      </c>
      <c r="CI81" s="155">
        <v>34652</v>
      </c>
      <c r="CJ81" s="155">
        <v>63231</v>
      </c>
      <c r="CK81" s="156">
        <v>71902</v>
      </c>
      <c r="CL81" s="553">
        <f>SUM(AT81:CK81)</f>
        <v>3027418</v>
      </c>
    </row>
    <row r="82" spans="1:90">
      <c r="A82" s="80">
        <f>ROWS($A$3:A80)</f>
        <v>78</v>
      </c>
      <c r="B82" s="610" t="s">
        <v>367</v>
      </c>
      <c r="C82" s="591">
        <v>2018</v>
      </c>
      <c r="D82" s="254" t="s">
        <v>13</v>
      </c>
      <c r="E82" s="483">
        <v>43556</v>
      </c>
      <c r="F82" s="530">
        <f t="shared" ref="F82:AQ82" si="171">F81/F80</f>
        <v>71.971401204159818</v>
      </c>
      <c r="G82" s="531">
        <f t="shared" si="171"/>
        <v>139.02300020354161</v>
      </c>
      <c r="H82" s="531">
        <f t="shared" si="171"/>
        <v>54.426986768084937</v>
      </c>
      <c r="I82" s="532">
        <f t="shared" si="171"/>
        <v>49.363414037662018</v>
      </c>
      <c r="J82" s="281"/>
      <c r="K82" s="530">
        <f t="shared" si="171"/>
        <v>36.78744846541457</v>
      </c>
      <c r="L82" s="531">
        <f t="shared" si="171"/>
        <v>122.63009708737864</v>
      </c>
      <c r="M82" s="531">
        <f t="shared" si="171"/>
        <v>59.552723059096174</v>
      </c>
      <c r="N82" s="531">
        <f t="shared" si="171"/>
        <v>69.100126742712291</v>
      </c>
      <c r="O82" s="531">
        <f t="shared" si="171"/>
        <v>48.995207667731627</v>
      </c>
      <c r="P82" s="531">
        <f>P81/P80</f>
        <v>82.526705446853512</v>
      </c>
      <c r="Q82" s="531">
        <f t="shared" si="171"/>
        <v>165.46178343949043</v>
      </c>
      <c r="R82" s="531">
        <f t="shared" si="171"/>
        <v>110.20839469808541</v>
      </c>
      <c r="S82" s="531">
        <f t="shared" si="171"/>
        <v>184.14237855946399</v>
      </c>
      <c r="T82" s="531">
        <f t="shared" si="171"/>
        <v>37.471725125268435</v>
      </c>
      <c r="U82" s="555">
        <f t="shared" si="171"/>
        <v>35.728565453785031</v>
      </c>
      <c r="V82" s="531">
        <f t="shared" si="171"/>
        <v>169.80755395683454</v>
      </c>
      <c r="W82" s="531">
        <f t="shared" si="171"/>
        <v>81.860979462875193</v>
      </c>
      <c r="X82" s="531">
        <f t="shared" si="171"/>
        <v>225.62849872773538</v>
      </c>
      <c r="Y82" s="531">
        <f t="shared" si="171"/>
        <v>109.78707627118644</v>
      </c>
      <c r="Z82" s="531">
        <f t="shared" si="171"/>
        <v>81.233165829145733</v>
      </c>
      <c r="AA82" s="531">
        <f t="shared" si="171"/>
        <v>246.89102564102564</v>
      </c>
      <c r="AB82" s="555">
        <f t="shared" si="171"/>
        <v>111.92843691148776</v>
      </c>
      <c r="AC82" s="531">
        <f t="shared" si="171"/>
        <v>32.902953586497887</v>
      </c>
      <c r="AD82" s="531">
        <f t="shared" si="171"/>
        <v>50.618006993006993</v>
      </c>
      <c r="AE82" s="531">
        <f t="shared" si="171"/>
        <v>46.204240588489832</v>
      </c>
      <c r="AF82" s="531">
        <f t="shared" si="171"/>
        <v>72.8017578125</v>
      </c>
      <c r="AG82" s="531">
        <f t="shared" si="171"/>
        <v>44.352651048088781</v>
      </c>
      <c r="AH82" s="531">
        <f t="shared" si="171"/>
        <v>65.679446219382328</v>
      </c>
      <c r="AI82" s="531">
        <f t="shared" si="171"/>
        <v>66.664529914529908</v>
      </c>
      <c r="AJ82" s="531">
        <f t="shared" si="171"/>
        <v>154.62985685071575</v>
      </c>
      <c r="AK82" s="555">
        <f t="shared" si="171"/>
        <v>48.283172720533727</v>
      </c>
      <c r="AL82" s="531">
        <f t="shared" si="171"/>
        <v>126.82994011976048</v>
      </c>
      <c r="AM82" s="531">
        <f t="shared" si="171"/>
        <v>38.752814738996932</v>
      </c>
      <c r="AN82" s="531">
        <f t="shared" si="171"/>
        <v>21.970465601111883</v>
      </c>
      <c r="AO82" s="531">
        <f t="shared" si="171"/>
        <v>71.086580086580085</v>
      </c>
      <c r="AP82" s="531">
        <f t="shared" si="171"/>
        <v>222.53379953379954</v>
      </c>
      <c r="AQ82" s="531">
        <f t="shared" si="171"/>
        <v>50.922096317280456</v>
      </c>
      <c r="AR82" s="531">
        <f>AR81/AR80</f>
        <v>23.318977119784655</v>
      </c>
      <c r="AS82" s="532">
        <f>AS81/AS80</f>
        <v>36.14636449480642</v>
      </c>
      <c r="AT82" s="531">
        <f>IF(OR(AT80&lt;0.1,AT81&lt;0.1),0,AT81/AT80)</f>
        <v>63.004926108374384</v>
      </c>
      <c r="AU82" s="531">
        <f>IF(OR(AU80&lt;0.1,AU81&lt;0.1),0,AU81/AU80)</f>
        <v>165.46178343949043</v>
      </c>
      <c r="AV82" s="531">
        <f t="shared" ref="AV82:CK82" si="172">IF(OR(AV80&lt;0.1,AV81&lt;0.1),0,AV81/AV80)</f>
        <v>184.14237855946399</v>
      </c>
      <c r="AW82" s="531">
        <f t="shared" si="172"/>
        <v>69.100126742712291</v>
      </c>
      <c r="AX82" s="531">
        <f>IF(OR(AX80&lt;0.1,AX81&lt;0.1),0,AX81/AX80)</f>
        <v>118.50476190476191</v>
      </c>
      <c r="AY82" s="531">
        <f t="shared" si="172"/>
        <v>122.63009708737864</v>
      </c>
      <c r="AZ82" s="531">
        <f t="shared" si="172"/>
        <v>61.96484375</v>
      </c>
      <c r="BA82" s="531">
        <f t="shared" si="172"/>
        <v>85.74617737003058</v>
      </c>
      <c r="BB82" s="531">
        <f t="shared" si="172"/>
        <v>37.471725125268435</v>
      </c>
      <c r="BC82" s="531">
        <f t="shared" si="172"/>
        <v>35.728565453785031</v>
      </c>
      <c r="BD82" s="531">
        <f t="shared" si="172"/>
        <v>59.552723059096174</v>
      </c>
      <c r="BE82" s="531">
        <f t="shared" si="172"/>
        <v>48.995207667731627</v>
      </c>
      <c r="BF82" s="555">
        <f t="shared" si="172"/>
        <v>36.78744846541457</v>
      </c>
      <c r="BG82" s="531">
        <f t="shared" si="172"/>
        <v>79.084415584415581</v>
      </c>
      <c r="BH82" s="531">
        <f>IF(OR(BH80&lt;0.1,BH81&lt;0.1),0,BH81/BH80)</f>
        <v>136.15384615384616</v>
      </c>
      <c r="BI82" s="531">
        <f>IF(OR(BI80&lt;0.1,BI81&lt;0.1),0,BI81/BI80)</f>
        <v>235.4858757062147</v>
      </c>
      <c r="BJ82" s="531">
        <f>IF(OR(BJ80&lt;0.1,BJ81&lt;0.1),0,BJ81/BJ80)</f>
        <v>204.56218905472636</v>
      </c>
      <c r="BK82" s="531">
        <f t="shared" si="172"/>
        <v>29</v>
      </c>
      <c r="BL82" s="531">
        <f t="shared" si="172"/>
        <v>79.67647058823529</v>
      </c>
      <c r="BM82" s="531">
        <f>IF(OR(BM80&lt;0.1,BM81&lt;0.1),0,BM81/BM80)</f>
        <v>81.233165829145733</v>
      </c>
      <c r="BN82" s="531">
        <f t="shared" si="172"/>
        <v>126.60991957104558</v>
      </c>
      <c r="BO82" s="531">
        <f t="shared" si="172"/>
        <v>114.66666666666667</v>
      </c>
      <c r="BP82" s="531">
        <f t="shared" si="172"/>
        <v>111.92843691148776</v>
      </c>
      <c r="BQ82" s="531">
        <f>IF(OR(BQ80&lt;0.1,BQ81&lt;0.1),0,BQ81/BQ80)</f>
        <v>259.92723004694835</v>
      </c>
      <c r="BR82" s="555">
        <f t="shared" si="172"/>
        <v>81.860979462875193</v>
      </c>
      <c r="BS82" s="531">
        <f t="shared" si="172"/>
        <v>37.384</v>
      </c>
      <c r="BT82" s="531">
        <f t="shared" si="172"/>
        <v>47.274138767588546</v>
      </c>
      <c r="BU82" s="531">
        <f t="shared" si="172"/>
        <v>50.618006993006993</v>
      </c>
      <c r="BV82" s="531">
        <f t="shared" si="172"/>
        <v>44.352651048088781</v>
      </c>
      <c r="BW82" s="531">
        <f t="shared" si="172"/>
        <v>66.664529914529908</v>
      </c>
      <c r="BX82" s="531">
        <f t="shared" si="172"/>
        <v>32.902953586497887</v>
      </c>
      <c r="BY82" s="531">
        <f t="shared" si="172"/>
        <v>154.62985685071575</v>
      </c>
      <c r="BZ82" s="531">
        <f t="shared" si="172"/>
        <v>65.679446219382328</v>
      </c>
      <c r="CA82" s="531">
        <f t="shared" si="172"/>
        <v>72.8017578125</v>
      </c>
      <c r="CB82" s="555">
        <f t="shared" si="172"/>
        <v>48.283172720533727</v>
      </c>
      <c r="CC82" s="531">
        <f t="shared" si="172"/>
        <v>71.086580086580085</v>
      </c>
      <c r="CD82" s="531">
        <f t="shared" si="172"/>
        <v>222.53379953379954</v>
      </c>
      <c r="CE82" s="531">
        <f t="shared" si="172"/>
        <v>126.82994011976048</v>
      </c>
      <c r="CF82" s="531">
        <f t="shared" si="172"/>
        <v>34.505882352941178</v>
      </c>
      <c r="CG82" s="531">
        <f t="shared" si="172"/>
        <v>36.289527720739223</v>
      </c>
      <c r="CH82" s="531">
        <f t="shared" si="172"/>
        <v>38.752814738996932</v>
      </c>
      <c r="CI82" s="531">
        <f t="shared" si="172"/>
        <v>23.318977119784655</v>
      </c>
      <c r="CJ82" s="531">
        <f t="shared" si="172"/>
        <v>21.970465601111883</v>
      </c>
      <c r="CK82" s="532">
        <f t="shared" si="172"/>
        <v>50.922096317280456</v>
      </c>
      <c r="CL82" s="556">
        <f>IF(OR(CL80&lt;0.1,CL81&lt;0.1),0,CL81/CL80)</f>
        <v>68.158993178287588</v>
      </c>
    </row>
    <row r="83" spans="1:90">
      <c r="A83" s="80">
        <f>ROWS($A$3:A81)</f>
        <v>79</v>
      </c>
      <c r="B83" s="602" t="s">
        <v>366</v>
      </c>
      <c r="C83" s="591">
        <v>2018</v>
      </c>
      <c r="D83" s="254" t="s">
        <v>13</v>
      </c>
      <c r="E83" s="483">
        <v>43556</v>
      </c>
      <c r="F83" s="154">
        <f>SUM(AT83:BF83)</f>
        <v>1246522</v>
      </c>
      <c r="G83" s="155">
        <f>SUM(BG83:BR83)</f>
        <v>786542</v>
      </c>
      <c r="H83" s="155">
        <f>SUM(BS83:CB83)</f>
        <v>878103</v>
      </c>
      <c r="I83" s="156">
        <f>SUM(CC83:CK83)</f>
        <v>762807</v>
      </c>
      <c r="J83" s="598"/>
      <c r="K83" s="154">
        <f>BF83</f>
        <v>105580</v>
      </c>
      <c r="L83" s="155">
        <f>AY83</f>
        <v>142592</v>
      </c>
      <c r="M83" s="155">
        <f>BD83</f>
        <v>124012</v>
      </c>
      <c r="N83" s="155">
        <f>AW83</f>
        <v>67441</v>
      </c>
      <c r="O83" s="155">
        <f>BE83</f>
        <v>37778</v>
      </c>
      <c r="P83" s="155">
        <f>AZ83+BA83</f>
        <v>179730</v>
      </c>
      <c r="Q83" s="155">
        <f>AU83</f>
        <v>117126</v>
      </c>
      <c r="R83" s="155">
        <f>AT83+AX83</f>
        <v>166816</v>
      </c>
      <c r="S83" s="155">
        <f>AV83</f>
        <v>122963</v>
      </c>
      <c r="T83" s="155">
        <f t="shared" si="169"/>
        <v>66539</v>
      </c>
      <c r="U83" s="552">
        <f t="shared" si="169"/>
        <v>115945</v>
      </c>
      <c r="V83" s="155">
        <f>BG83+BJ83</f>
        <v>104973</v>
      </c>
      <c r="W83" s="155">
        <f>BR83</f>
        <v>64331</v>
      </c>
      <c r="X83" s="155">
        <f>BH83+BI83</f>
        <v>197356</v>
      </c>
      <c r="Y83" s="155">
        <f>BK83+BL83+BN83</f>
        <v>119250</v>
      </c>
      <c r="Z83" s="155">
        <f>BM83</f>
        <v>100039</v>
      </c>
      <c r="AA83" s="155">
        <f>BO83+BQ83</f>
        <v>130726</v>
      </c>
      <c r="AB83" s="552">
        <f>BP83</f>
        <v>69867</v>
      </c>
      <c r="AC83" s="155">
        <f>BX83</f>
        <v>60885</v>
      </c>
      <c r="AD83" s="155">
        <f>BU83</f>
        <v>71777</v>
      </c>
      <c r="AE83" s="155">
        <f>BS83+BT83</f>
        <v>130095</v>
      </c>
      <c r="AF83" s="155">
        <f>CA83</f>
        <v>91098</v>
      </c>
      <c r="AG83" s="155">
        <f>BV83</f>
        <v>190526</v>
      </c>
      <c r="AH83" s="155">
        <f>BZ83</f>
        <v>80728</v>
      </c>
      <c r="AI83" s="155">
        <f>BW83</f>
        <v>78859</v>
      </c>
      <c r="AJ83" s="155">
        <f>BY83</f>
        <v>89622</v>
      </c>
      <c r="AK83" s="552">
        <f>CB83</f>
        <v>84513</v>
      </c>
      <c r="AL83" s="155">
        <f>CE83</f>
        <v>121058</v>
      </c>
      <c r="AM83" s="155">
        <f>CH83</f>
        <v>94969</v>
      </c>
      <c r="AN83" s="155">
        <f>CJ83</f>
        <v>99750</v>
      </c>
      <c r="AO83" s="155">
        <f t="shared" si="170"/>
        <v>98888</v>
      </c>
      <c r="AP83" s="155">
        <f t="shared" si="170"/>
        <v>105208</v>
      </c>
      <c r="AQ83" s="155">
        <f>CK83</f>
        <v>91357</v>
      </c>
      <c r="AR83" s="155">
        <f>CI83</f>
        <v>51862</v>
      </c>
      <c r="AS83" s="156">
        <f>CF83+CG83</f>
        <v>99715</v>
      </c>
      <c r="AT83" s="155">
        <v>13916</v>
      </c>
      <c r="AU83" s="155">
        <v>117126</v>
      </c>
      <c r="AV83" s="155">
        <v>122963</v>
      </c>
      <c r="AW83" s="155">
        <v>67441</v>
      </c>
      <c r="AX83" s="155">
        <v>152900</v>
      </c>
      <c r="AY83" s="155">
        <v>142592</v>
      </c>
      <c r="AZ83" s="155">
        <v>21342</v>
      </c>
      <c r="BA83" s="155">
        <v>158388</v>
      </c>
      <c r="BB83" s="155">
        <v>66539</v>
      </c>
      <c r="BC83" s="155">
        <v>115945</v>
      </c>
      <c r="BD83" s="155">
        <v>124012</v>
      </c>
      <c r="BE83" s="155">
        <v>37778</v>
      </c>
      <c r="BF83" s="552">
        <v>105580</v>
      </c>
      <c r="BG83" s="155">
        <v>13848</v>
      </c>
      <c r="BH83" s="155">
        <v>11950</v>
      </c>
      <c r="BI83" s="155">
        <v>185406</v>
      </c>
      <c r="BJ83" s="155">
        <v>91125</v>
      </c>
      <c r="BK83" s="155">
        <v>4663</v>
      </c>
      <c r="BL83" s="155">
        <v>6185</v>
      </c>
      <c r="BM83" s="155">
        <v>100039</v>
      </c>
      <c r="BN83" s="155">
        <v>108402</v>
      </c>
      <c r="BO83" s="155">
        <v>5270</v>
      </c>
      <c r="BP83" s="155">
        <v>69867</v>
      </c>
      <c r="BQ83" s="155">
        <v>125456</v>
      </c>
      <c r="BR83" s="552">
        <v>64331</v>
      </c>
      <c r="BS83" s="155">
        <v>10607</v>
      </c>
      <c r="BT83" s="155">
        <v>119488</v>
      </c>
      <c r="BU83" s="155">
        <v>71777</v>
      </c>
      <c r="BV83" s="155">
        <v>190526</v>
      </c>
      <c r="BW83" s="155">
        <v>78859</v>
      </c>
      <c r="BX83" s="155">
        <v>60885</v>
      </c>
      <c r="BY83" s="155">
        <v>89622</v>
      </c>
      <c r="BZ83" s="155">
        <v>80728</v>
      </c>
      <c r="CA83" s="155">
        <v>91098</v>
      </c>
      <c r="CB83" s="552">
        <v>84513</v>
      </c>
      <c r="CC83" s="155">
        <v>98888</v>
      </c>
      <c r="CD83" s="155">
        <v>105208</v>
      </c>
      <c r="CE83" s="155">
        <v>121058</v>
      </c>
      <c r="CF83" s="155">
        <v>7164</v>
      </c>
      <c r="CG83" s="155">
        <v>92551</v>
      </c>
      <c r="CH83" s="155">
        <v>94969</v>
      </c>
      <c r="CI83" s="155">
        <v>51862</v>
      </c>
      <c r="CJ83" s="155">
        <v>99750</v>
      </c>
      <c r="CK83" s="156">
        <v>91357</v>
      </c>
      <c r="CL83" s="320">
        <f>SUM(AT83:CK83)</f>
        <v>3673974</v>
      </c>
    </row>
    <row r="84" spans="1:90">
      <c r="A84" s="80">
        <f>ROWS($A$3:A82)</f>
        <v>80</v>
      </c>
      <c r="B84" s="610" t="s">
        <v>368</v>
      </c>
      <c r="C84" s="591">
        <v>2018</v>
      </c>
      <c r="D84" s="254" t="s">
        <v>13</v>
      </c>
      <c r="E84" s="483">
        <v>43556</v>
      </c>
      <c r="F84" s="530">
        <f>F83/F80</f>
        <v>85.284756431308153</v>
      </c>
      <c r="G84" s="531">
        <f>G83/G80</f>
        <v>160.09403623040913</v>
      </c>
      <c r="H84" s="531">
        <f>H83/H80</f>
        <v>69.574756358450202</v>
      </c>
      <c r="I84" s="532">
        <f>I83/I80</f>
        <v>62.183663487405234</v>
      </c>
      <c r="J84" s="598"/>
      <c r="K84" s="530">
        <f t="shared" ref="K84:BV84" si="173">K83/K80</f>
        <v>48.36463582226294</v>
      </c>
      <c r="L84" s="531">
        <f t="shared" si="173"/>
        <v>138.4388349514563</v>
      </c>
      <c r="M84" s="531">
        <f t="shared" si="173"/>
        <v>71.849362688296637</v>
      </c>
      <c r="N84" s="531">
        <f t="shared" si="173"/>
        <v>85.476552598225595</v>
      </c>
      <c r="O84" s="531">
        <f t="shared" si="173"/>
        <v>60.348242811501599</v>
      </c>
      <c r="P84" s="531">
        <f t="shared" si="173"/>
        <v>95.044949762030669</v>
      </c>
      <c r="Q84" s="531">
        <f t="shared" si="173"/>
        <v>186.5063694267516</v>
      </c>
      <c r="R84" s="531">
        <f t="shared" si="173"/>
        <v>122.83946980854198</v>
      </c>
      <c r="S84" s="531">
        <f t="shared" si="173"/>
        <v>205.96817420435511</v>
      </c>
      <c r="T84" s="531">
        <f t="shared" si="173"/>
        <v>47.629921259842519</v>
      </c>
      <c r="U84" s="555">
        <f t="shared" si="173"/>
        <v>48.492262651610204</v>
      </c>
      <c r="V84" s="531">
        <f t="shared" si="173"/>
        <v>188.8003597122302</v>
      </c>
      <c r="W84" s="531">
        <f t="shared" si="173"/>
        <v>101.62875197472354</v>
      </c>
      <c r="X84" s="531">
        <f t="shared" si="173"/>
        <v>251.08905852417303</v>
      </c>
      <c r="Y84" s="531">
        <f t="shared" si="173"/>
        <v>126.32415254237289</v>
      </c>
      <c r="Z84" s="531">
        <f t="shared" si="173"/>
        <v>100.54170854271356</v>
      </c>
      <c r="AA84" s="531">
        <f t="shared" si="173"/>
        <v>279.32905982905982</v>
      </c>
      <c r="AB84" s="555">
        <f t="shared" si="173"/>
        <v>131.57627118644066</v>
      </c>
      <c r="AC84" s="531">
        <f t="shared" si="173"/>
        <v>51.379746835443036</v>
      </c>
      <c r="AD84" s="531">
        <f t="shared" si="173"/>
        <v>62.742132867132867</v>
      </c>
      <c r="AE84" s="531">
        <f t="shared" si="173"/>
        <v>56.293812202509734</v>
      </c>
      <c r="AF84" s="531">
        <f t="shared" si="173"/>
        <v>88.962890625</v>
      </c>
      <c r="AG84" s="531">
        <f t="shared" si="173"/>
        <v>58.731812577065348</v>
      </c>
      <c r="AH84" s="531">
        <f t="shared" si="173"/>
        <v>85.97231096911608</v>
      </c>
      <c r="AI84" s="531">
        <f t="shared" si="173"/>
        <v>84.251068376068375</v>
      </c>
      <c r="AJ84" s="531">
        <f t="shared" si="173"/>
        <v>183.27607361963192</v>
      </c>
      <c r="AK84" s="555">
        <f t="shared" si="173"/>
        <v>62.648628613787992</v>
      </c>
      <c r="AL84" s="531">
        <f t="shared" si="173"/>
        <v>144.97964071856288</v>
      </c>
      <c r="AM84" s="531">
        <f t="shared" si="173"/>
        <v>48.602354145342886</v>
      </c>
      <c r="AN84" s="531">
        <f t="shared" si="173"/>
        <v>34.659485753995831</v>
      </c>
      <c r="AO84" s="531">
        <f t="shared" si="173"/>
        <v>85.617316017316014</v>
      </c>
      <c r="AP84" s="531">
        <f t="shared" si="173"/>
        <v>245.24009324009324</v>
      </c>
      <c r="AQ84" s="531">
        <f t="shared" si="173"/>
        <v>64.700424929178467</v>
      </c>
      <c r="AR84" s="531">
        <f t="shared" si="173"/>
        <v>34.90040376850606</v>
      </c>
      <c r="AS84" s="532">
        <f t="shared" si="173"/>
        <v>47.079792256846083</v>
      </c>
      <c r="AT84" s="531">
        <f t="shared" si="173"/>
        <v>68.551724137931032</v>
      </c>
      <c r="AU84" s="531">
        <f t="shared" si="173"/>
        <v>186.5063694267516</v>
      </c>
      <c r="AV84" s="531">
        <f t="shared" si="173"/>
        <v>205.96817420435511</v>
      </c>
      <c r="AW84" s="531">
        <f t="shared" si="173"/>
        <v>85.476552598225595</v>
      </c>
      <c r="AX84" s="531">
        <f t="shared" si="173"/>
        <v>132.38095238095238</v>
      </c>
      <c r="AY84" s="531">
        <f t="shared" si="173"/>
        <v>138.4388349514563</v>
      </c>
      <c r="AZ84" s="531">
        <f t="shared" si="173"/>
        <v>83.3671875</v>
      </c>
      <c r="BA84" s="531">
        <f t="shared" si="173"/>
        <v>96.873394495412839</v>
      </c>
      <c r="BB84" s="531">
        <f t="shared" si="173"/>
        <v>47.629921259842519</v>
      </c>
      <c r="BC84" s="531">
        <f t="shared" si="173"/>
        <v>48.492262651610204</v>
      </c>
      <c r="BD84" s="531">
        <f t="shared" si="173"/>
        <v>71.849362688296637</v>
      </c>
      <c r="BE84" s="531">
        <f t="shared" si="173"/>
        <v>60.348242811501599</v>
      </c>
      <c r="BF84" s="555">
        <f t="shared" si="173"/>
        <v>48.36463582226294</v>
      </c>
      <c r="BG84" s="531">
        <f t="shared" si="173"/>
        <v>89.922077922077918</v>
      </c>
      <c r="BH84" s="531">
        <f t="shared" si="173"/>
        <v>153.2051282051282</v>
      </c>
      <c r="BI84" s="531">
        <f t="shared" si="173"/>
        <v>261.87288135593218</v>
      </c>
      <c r="BJ84" s="531">
        <f t="shared" si="173"/>
        <v>226.67910447761193</v>
      </c>
      <c r="BK84" s="531">
        <f t="shared" si="173"/>
        <v>35.869230769230768</v>
      </c>
      <c r="BL84" s="531">
        <f t="shared" si="173"/>
        <v>90.955882352941174</v>
      </c>
      <c r="BM84" s="531">
        <f t="shared" si="173"/>
        <v>100.54170854271356</v>
      </c>
      <c r="BN84" s="531">
        <f t="shared" si="173"/>
        <v>145.31099195710456</v>
      </c>
      <c r="BO84" s="531">
        <f t="shared" si="173"/>
        <v>125.47619047619048</v>
      </c>
      <c r="BP84" s="531">
        <f t="shared" si="173"/>
        <v>131.57627118644066</v>
      </c>
      <c r="BQ84" s="531">
        <f t="shared" si="173"/>
        <v>294.49765258215962</v>
      </c>
      <c r="BR84" s="555">
        <f t="shared" si="173"/>
        <v>101.62875197472354</v>
      </c>
      <c r="BS84" s="531">
        <f t="shared" si="173"/>
        <v>42.427999999999997</v>
      </c>
      <c r="BT84" s="531">
        <f t="shared" si="173"/>
        <v>57.975739932071811</v>
      </c>
      <c r="BU84" s="531">
        <f t="shared" si="173"/>
        <v>62.742132867132867</v>
      </c>
      <c r="BV84" s="531">
        <f t="shared" si="173"/>
        <v>58.731812577065348</v>
      </c>
      <c r="BW84" s="531">
        <f t="shared" ref="BW84:CL84" si="174">BW83/BW80</f>
        <v>84.251068376068375</v>
      </c>
      <c r="BX84" s="531">
        <f t="shared" si="174"/>
        <v>51.379746835443036</v>
      </c>
      <c r="BY84" s="531">
        <f t="shared" si="174"/>
        <v>183.27607361963192</v>
      </c>
      <c r="BZ84" s="531">
        <f t="shared" si="174"/>
        <v>85.97231096911608</v>
      </c>
      <c r="CA84" s="531">
        <f t="shared" si="174"/>
        <v>88.962890625</v>
      </c>
      <c r="CB84" s="555">
        <f t="shared" si="174"/>
        <v>62.648628613787992</v>
      </c>
      <c r="CC84" s="531">
        <f t="shared" si="174"/>
        <v>85.617316017316014</v>
      </c>
      <c r="CD84" s="531">
        <f t="shared" si="174"/>
        <v>245.24009324009324</v>
      </c>
      <c r="CE84" s="531">
        <f t="shared" si="174"/>
        <v>144.97964071856288</v>
      </c>
      <c r="CF84" s="531">
        <f t="shared" si="174"/>
        <v>42.141176470588235</v>
      </c>
      <c r="CG84" s="531">
        <f t="shared" si="174"/>
        <v>47.510780287474333</v>
      </c>
      <c r="CH84" s="531">
        <f t="shared" si="174"/>
        <v>48.602354145342886</v>
      </c>
      <c r="CI84" s="531">
        <f t="shared" si="174"/>
        <v>34.90040376850606</v>
      </c>
      <c r="CJ84" s="531">
        <f t="shared" si="174"/>
        <v>34.659485753995831</v>
      </c>
      <c r="CK84" s="532">
        <f t="shared" si="174"/>
        <v>64.700424929178467</v>
      </c>
      <c r="CL84" s="556">
        <f t="shared" si="174"/>
        <v>82.715491816196504</v>
      </c>
    </row>
    <row r="85" spans="1:90">
      <c r="A85" s="80">
        <f>ROWS($A$3:A83)</f>
        <v>81</v>
      </c>
      <c r="B85" s="92"/>
      <c r="C85" s="203"/>
      <c r="D85" s="259"/>
      <c r="E85" s="451"/>
      <c r="F85" s="547"/>
      <c r="G85" s="548"/>
      <c r="H85" s="548"/>
      <c r="I85" s="549"/>
      <c r="J85" s="598"/>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2">
        <v>2017</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c r="A87" s="80">
        <f>ROWS($A$3:A85)</f>
        <v>83</v>
      </c>
      <c r="B87" s="54" t="s">
        <v>292</v>
      </c>
      <c r="C87" s="266"/>
      <c r="D87" s="259" t="s">
        <v>188</v>
      </c>
      <c r="E87" s="483">
        <v>43556</v>
      </c>
      <c r="F87" s="550">
        <v>29491</v>
      </c>
      <c r="G87" s="550">
        <v>20208</v>
      </c>
      <c r="H87" s="550">
        <v>17936</v>
      </c>
      <c r="I87" s="551">
        <v>32722</v>
      </c>
      <c r="J87" s="599"/>
      <c r="K87" s="154">
        <f>BF87</f>
        <v>33885</v>
      </c>
      <c r="L87" s="155">
        <f>AY87</f>
        <v>21762</v>
      </c>
      <c r="M87" s="155">
        <f>BD87</f>
        <v>16357</v>
      </c>
      <c r="N87" s="155">
        <f>AW87</f>
        <v>26407</v>
      </c>
      <c r="O87" s="155">
        <f>BE87</f>
        <v>30421</v>
      </c>
      <c r="P87" s="531">
        <f>BA87</f>
        <v>30971</v>
      </c>
      <c r="Q87" s="155">
        <f>'2008'!AU87</f>
        <v>31866</v>
      </c>
      <c r="R87" s="531">
        <f>AX87</f>
        <v>40139</v>
      </c>
      <c r="S87" s="155">
        <f>AV87</f>
        <v>33414</v>
      </c>
      <c r="T87" s="155">
        <f>BB87</f>
        <v>33682</v>
      </c>
      <c r="U87" s="552">
        <f>BC87</f>
        <v>30258</v>
      </c>
      <c r="V87" s="531">
        <f>BJ87</f>
        <v>18695</v>
      </c>
      <c r="W87" s="155">
        <f>BR87</f>
        <v>23396</v>
      </c>
      <c r="X87" s="531">
        <f>BI87</f>
        <v>25625</v>
      </c>
      <c r="Y87" s="531">
        <f>BN87</f>
        <v>23536</v>
      </c>
      <c r="Z87" s="155">
        <f>BM87</f>
        <v>13783</v>
      </c>
      <c r="AA87" s="531">
        <f>BQ87</f>
        <v>20123</v>
      </c>
      <c r="AB87" s="552">
        <f>BP87</f>
        <v>19010</v>
      </c>
      <c r="AC87" s="155">
        <f>BX87</f>
        <v>19161</v>
      </c>
      <c r="AD87" s="155">
        <f>BU87</f>
        <v>30212</v>
      </c>
      <c r="AE87" s="531">
        <f>BT87</f>
        <v>25869</v>
      </c>
      <c r="AF87" s="155">
        <f>CA87</f>
        <v>19334</v>
      </c>
      <c r="AG87" s="155">
        <f>BV87</f>
        <v>19526</v>
      </c>
      <c r="AH87" s="155">
        <f>BZ87</f>
        <v>18763</v>
      </c>
      <c r="AI87" s="155">
        <f>BW87</f>
        <v>13715</v>
      </c>
      <c r="AJ87" s="155">
        <f>BY87</f>
        <v>12754</v>
      </c>
      <c r="AK87" s="552">
        <f>CB87</f>
        <v>18237</v>
      </c>
      <c r="AL87" s="155">
        <f>CE87</f>
        <v>17936</v>
      </c>
      <c r="AM87" s="155">
        <f>CH87</f>
        <v>37638</v>
      </c>
      <c r="AN87" s="155">
        <f>CJ87</f>
        <v>34006</v>
      </c>
      <c r="AO87" s="155">
        <f>CC87</f>
        <v>18374</v>
      </c>
      <c r="AP87" s="155">
        <f>CD87</f>
        <v>20425</v>
      </c>
      <c r="AQ87" s="155">
        <f>CK87</f>
        <v>23594</v>
      </c>
      <c r="AR87" s="155">
        <f>CI87</f>
        <v>34322</v>
      </c>
      <c r="AS87" s="532">
        <f>(CG100*CG87)/(CG100)</f>
        <v>37864</v>
      </c>
      <c r="AT87" s="155" t="s">
        <v>233</v>
      </c>
      <c r="AU87" s="550">
        <v>42890</v>
      </c>
      <c r="AV87" s="550">
        <v>33414</v>
      </c>
      <c r="AW87" s="550">
        <v>26407</v>
      </c>
      <c r="AX87" s="550">
        <v>40139</v>
      </c>
      <c r="AY87" s="550">
        <v>21762</v>
      </c>
      <c r="AZ87" s="550" t="s">
        <v>233</v>
      </c>
      <c r="BA87" s="550">
        <v>30971</v>
      </c>
      <c r="BB87" s="550">
        <v>33682</v>
      </c>
      <c r="BC87" s="550">
        <v>30258</v>
      </c>
      <c r="BD87" s="550">
        <v>16357</v>
      </c>
      <c r="BE87" s="550">
        <v>30421</v>
      </c>
      <c r="BF87" s="572">
        <v>33885</v>
      </c>
      <c r="BG87" s="550" t="s">
        <v>233</v>
      </c>
      <c r="BH87" s="550" t="s">
        <v>233</v>
      </c>
      <c r="BI87" s="550">
        <v>25625</v>
      </c>
      <c r="BJ87" s="550">
        <v>18695</v>
      </c>
      <c r="BK87" s="550" t="s">
        <v>233</v>
      </c>
      <c r="BL87" s="550" t="s">
        <v>233</v>
      </c>
      <c r="BM87" s="550">
        <v>13783</v>
      </c>
      <c r="BN87" s="550">
        <v>23536</v>
      </c>
      <c r="BO87" s="550" t="s">
        <v>233</v>
      </c>
      <c r="BP87" s="550">
        <v>19010</v>
      </c>
      <c r="BQ87" s="550">
        <v>20123</v>
      </c>
      <c r="BR87" s="572">
        <v>23396</v>
      </c>
      <c r="BS87" s="550" t="s">
        <v>233</v>
      </c>
      <c r="BT87" s="550">
        <v>25869</v>
      </c>
      <c r="BU87" s="550">
        <v>30212</v>
      </c>
      <c r="BV87" s="550">
        <v>19526</v>
      </c>
      <c r="BW87" s="550">
        <v>13715</v>
      </c>
      <c r="BX87" s="550">
        <v>19161</v>
      </c>
      <c r="BY87" s="550">
        <v>12754</v>
      </c>
      <c r="BZ87" s="550">
        <v>18763</v>
      </c>
      <c r="CA87" s="550">
        <v>19334</v>
      </c>
      <c r="CB87" s="572">
        <v>18237</v>
      </c>
      <c r="CC87" s="550">
        <v>18374</v>
      </c>
      <c r="CD87" s="550">
        <v>20425</v>
      </c>
      <c r="CE87" s="550">
        <v>17936</v>
      </c>
      <c r="CF87" s="550" t="s">
        <v>233</v>
      </c>
      <c r="CG87" s="550">
        <v>37864</v>
      </c>
      <c r="CH87" s="550">
        <v>37638</v>
      </c>
      <c r="CI87" s="550">
        <v>34322</v>
      </c>
      <c r="CJ87" s="550">
        <v>34006</v>
      </c>
      <c r="CK87" s="550">
        <v>23594</v>
      </c>
      <c r="CL87" s="320">
        <v>26638</v>
      </c>
    </row>
    <row r="88" spans="1:90">
      <c r="A88" s="80">
        <f>ROWS($A$3:A86)</f>
        <v>84</v>
      </c>
      <c r="B88" s="59" t="s">
        <v>190</v>
      </c>
      <c r="C88" s="586">
        <v>2018</v>
      </c>
      <c r="D88" s="259"/>
      <c r="E88" s="451"/>
      <c r="F88" s="154"/>
      <c r="G88" s="155"/>
      <c r="H88" s="155"/>
      <c r="I88" s="156"/>
      <c r="J88" s="281"/>
      <c r="K88" s="154"/>
      <c r="L88" s="155"/>
      <c r="M88" s="155"/>
      <c r="N88" s="155"/>
      <c r="O88" s="155"/>
      <c r="P88" s="155"/>
      <c r="Q88" s="155"/>
      <c r="R88" s="155"/>
      <c r="S88" s="155"/>
      <c r="T88" s="155"/>
      <c r="U88" s="552"/>
      <c r="V88" s="155"/>
      <c r="W88" s="155"/>
      <c r="X88" s="155"/>
      <c r="Y88" s="155"/>
      <c r="Z88" s="155"/>
      <c r="AA88" s="155"/>
      <c r="AB88" s="552"/>
      <c r="AC88" s="155"/>
      <c r="AD88" s="155"/>
      <c r="AE88" s="155"/>
      <c r="AF88" s="155"/>
      <c r="AG88" s="155"/>
      <c r="AH88" s="155"/>
      <c r="AI88" s="155"/>
      <c r="AJ88" s="155"/>
      <c r="AK88" s="552"/>
      <c r="AL88" s="155"/>
      <c r="AM88" s="155"/>
      <c r="AN88" s="155"/>
      <c r="AO88" s="155"/>
      <c r="AP88" s="155"/>
      <c r="AQ88" s="155"/>
      <c r="AR88" s="155"/>
      <c r="AS88" s="156"/>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c r="A89" s="80">
        <f>ROWS($A$3:A87)</f>
        <v>85</v>
      </c>
      <c r="B89" s="388" t="s">
        <v>284</v>
      </c>
      <c r="C89" s="205"/>
      <c r="D89" s="259" t="s">
        <v>192</v>
      </c>
      <c r="E89" s="483">
        <v>43557</v>
      </c>
      <c r="F89" s="381">
        <v>73.099999999999994</v>
      </c>
      <c r="G89" s="382">
        <v>71.900000000000006</v>
      </c>
      <c r="H89" s="382">
        <v>78.5</v>
      </c>
      <c r="I89" s="383">
        <v>82.3</v>
      </c>
      <c r="J89" s="382"/>
      <c r="K89" s="381">
        <f>BF89</f>
        <v>79</v>
      </c>
      <c r="L89" s="384">
        <f>AY89</f>
        <v>69.599999999999994</v>
      </c>
      <c r="M89" s="384">
        <f>BD89</f>
        <v>66.400000000000006</v>
      </c>
      <c r="N89" s="384">
        <f>AW89</f>
        <v>79.8</v>
      </c>
      <c r="O89" s="384">
        <f>BE89</f>
        <v>76.5</v>
      </c>
      <c r="P89" s="384">
        <f>'2018'!BA89</f>
        <v>74.5</v>
      </c>
      <c r="Q89" s="384">
        <f>'2018'!AU89</f>
        <v>86</v>
      </c>
      <c r="R89" s="384">
        <f>AX89</f>
        <v>69.7</v>
      </c>
      <c r="S89" s="384">
        <f>AV89</f>
        <v>73.400000000000006</v>
      </c>
      <c r="T89" s="384">
        <f t="shared" ref="T89:U93" si="175">BB89</f>
        <v>68.7</v>
      </c>
      <c r="U89" s="385">
        <f t="shared" si="175"/>
        <v>74.400000000000006</v>
      </c>
      <c r="V89" s="384">
        <f>BJ89</f>
        <v>67</v>
      </c>
      <c r="W89" s="384">
        <f>BR89</f>
        <v>84.5</v>
      </c>
      <c r="X89" s="384">
        <f>BI89</f>
        <v>66.900000000000006</v>
      </c>
      <c r="Y89" s="384">
        <f>BN89</f>
        <v>76.099999999999994</v>
      </c>
      <c r="Z89" s="384">
        <f>BM89</f>
        <v>63.8</v>
      </c>
      <c r="AA89" s="384">
        <f>BQ89</f>
        <v>80.400000000000006</v>
      </c>
      <c r="AB89" s="385">
        <f>BP89</f>
        <v>83.1</v>
      </c>
      <c r="AC89" s="384">
        <f>BX89</f>
        <v>78.7</v>
      </c>
      <c r="AD89" s="384">
        <f>BU89</f>
        <v>86.3</v>
      </c>
      <c r="AE89" s="384">
        <f>BT89</f>
        <v>82.2</v>
      </c>
      <c r="AF89" s="384" t="str">
        <f>CA89</f>
        <v>*</v>
      </c>
      <c r="AG89" s="384">
        <f>BV89</f>
        <v>78.2</v>
      </c>
      <c r="AH89" s="384">
        <f>BZ89</f>
        <v>69</v>
      </c>
      <c r="AI89" s="384">
        <f>BW89</f>
        <v>83.9</v>
      </c>
      <c r="AJ89" s="384">
        <f>BY89</f>
        <v>71.900000000000006</v>
      </c>
      <c r="AK89" s="385">
        <f>CB89</f>
        <v>78.2</v>
      </c>
      <c r="AL89" s="384">
        <f>CE89</f>
        <v>73.099999999999994</v>
      </c>
      <c r="AM89" s="384">
        <f>CH89</f>
        <v>87.3</v>
      </c>
      <c r="AN89" s="384">
        <f>CJ89</f>
        <v>84.7</v>
      </c>
      <c r="AO89" s="384">
        <f t="shared" ref="AO89:AP93" si="176">CC89</f>
        <v>70.599999999999994</v>
      </c>
      <c r="AP89" s="384">
        <f t="shared" si="176"/>
        <v>85.7</v>
      </c>
      <c r="AQ89" s="384">
        <f>CK89</f>
        <v>85.9</v>
      </c>
      <c r="AR89" s="384">
        <f>CI89</f>
        <v>81.2</v>
      </c>
      <c r="AS89" s="383">
        <f>CG89</f>
        <v>81.3</v>
      </c>
      <c r="AT89" s="384">
        <v>78.900000000000006</v>
      </c>
      <c r="AU89" s="382">
        <v>86</v>
      </c>
      <c r="AV89" s="382">
        <v>73.400000000000006</v>
      </c>
      <c r="AW89" s="382">
        <v>79.8</v>
      </c>
      <c r="AX89" s="382">
        <v>69.7</v>
      </c>
      <c r="AY89" s="382">
        <v>69.599999999999994</v>
      </c>
      <c r="AZ89" s="384" t="s">
        <v>233</v>
      </c>
      <c r="BA89" s="382">
        <v>74.5</v>
      </c>
      <c r="BB89" s="382">
        <v>68.7</v>
      </c>
      <c r="BC89" s="382">
        <v>74.400000000000006</v>
      </c>
      <c r="BD89" s="382">
        <v>66.400000000000006</v>
      </c>
      <c r="BE89" s="382">
        <v>76.5</v>
      </c>
      <c r="BF89" s="385">
        <v>79</v>
      </c>
      <c r="BG89" s="384" t="s">
        <v>233</v>
      </c>
      <c r="BH89" s="384" t="s">
        <v>233</v>
      </c>
      <c r="BI89" s="382">
        <v>66.900000000000006</v>
      </c>
      <c r="BJ89" s="382">
        <v>67</v>
      </c>
      <c r="BK89" s="384" t="s">
        <v>233</v>
      </c>
      <c r="BL89" s="382" t="s">
        <v>233</v>
      </c>
      <c r="BM89" s="382">
        <v>63.8</v>
      </c>
      <c r="BN89" s="382">
        <v>76.099999999999994</v>
      </c>
      <c r="BO89" s="384" t="s">
        <v>233</v>
      </c>
      <c r="BP89" s="382">
        <v>83.1</v>
      </c>
      <c r="BQ89" s="382">
        <v>80.400000000000006</v>
      </c>
      <c r="BR89" s="385">
        <v>84.5</v>
      </c>
      <c r="BS89" s="384" t="s">
        <v>233</v>
      </c>
      <c r="BT89" s="382">
        <v>82.2</v>
      </c>
      <c r="BU89" s="382">
        <v>86.3</v>
      </c>
      <c r="BV89" s="382">
        <v>78.2</v>
      </c>
      <c r="BW89" s="382">
        <v>83.9</v>
      </c>
      <c r="BX89" s="382">
        <v>78.7</v>
      </c>
      <c r="BY89" s="382">
        <v>71.900000000000006</v>
      </c>
      <c r="BZ89" s="382">
        <v>69</v>
      </c>
      <c r="CA89" s="382" t="s">
        <v>233</v>
      </c>
      <c r="CB89" s="385">
        <v>78.2</v>
      </c>
      <c r="CC89" s="382">
        <v>70.599999999999994</v>
      </c>
      <c r="CD89" s="382">
        <v>85.7</v>
      </c>
      <c r="CE89" s="382">
        <v>73.099999999999994</v>
      </c>
      <c r="CF89" s="384" t="s">
        <v>233</v>
      </c>
      <c r="CG89" s="382">
        <v>81.3</v>
      </c>
      <c r="CH89" s="382">
        <v>87.3</v>
      </c>
      <c r="CI89" s="384">
        <v>81.2</v>
      </c>
      <c r="CJ89" s="382">
        <v>84.7</v>
      </c>
      <c r="CK89" s="383">
        <v>85.9</v>
      </c>
      <c r="CL89" s="319">
        <v>76</v>
      </c>
    </row>
    <row r="90" spans="1:90">
      <c r="A90" s="80">
        <f>ROWS($A$3:A88)</f>
        <v>86</v>
      </c>
      <c r="B90" s="92" t="s">
        <v>193</v>
      </c>
      <c r="C90" s="203"/>
      <c r="D90" s="259" t="s">
        <v>192</v>
      </c>
      <c r="E90" s="483">
        <v>43557</v>
      </c>
      <c r="F90" s="381">
        <v>366</v>
      </c>
      <c r="G90" s="382">
        <v>401.9</v>
      </c>
      <c r="H90" s="384" t="s">
        <v>233</v>
      </c>
      <c r="I90" s="383">
        <v>739</v>
      </c>
      <c r="J90" s="382"/>
      <c r="K90" s="381" t="str">
        <f>BF90</f>
        <v>*</v>
      </c>
      <c r="L90" s="384" t="str">
        <f>AY90</f>
        <v>*</v>
      </c>
      <c r="M90" s="384">
        <f>BD90</f>
        <v>583.4</v>
      </c>
      <c r="N90" s="384" t="str">
        <f>AW90</f>
        <v>*</v>
      </c>
      <c r="O90" s="384" t="str">
        <f>BE90</f>
        <v>*</v>
      </c>
      <c r="P90" s="384">
        <f>'2018'!BA90</f>
        <v>612.6</v>
      </c>
      <c r="Q90" s="384" t="str">
        <f>'2018'!AU90</f>
        <v>*</v>
      </c>
      <c r="R90" s="384">
        <f>AX90</f>
        <v>574.4</v>
      </c>
      <c r="S90" s="384" t="str">
        <f>AV90</f>
        <v>*</v>
      </c>
      <c r="T90" s="384">
        <f t="shared" si="175"/>
        <v>628.1</v>
      </c>
      <c r="U90" s="385" t="str">
        <f t="shared" si="175"/>
        <v>*</v>
      </c>
      <c r="V90" s="384" t="str">
        <f>BJ90</f>
        <v>*</v>
      </c>
      <c r="W90" s="384" t="str">
        <f>BR90</f>
        <v>*</v>
      </c>
      <c r="X90" s="384">
        <f>BI90</f>
        <v>570.79999999999995</v>
      </c>
      <c r="Y90" s="384">
        <f>BN90</f>
        <v>631</v>
      </c>
      <c r="Z90" s="384">
        <f>BM90</f>
        <v>462.8</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6"/>
        <v>*</v>
      </c>
      <c r="AP90" s="384" t="str">
        <f t="shared" si="176"/>
        <v>*</v>
      </c>
      <c r="AQ90" s="384" t="str">
        <f>CK90</f>
        <v>*</v>
      </c>
      <c r="AR90" s="384" t="str">
        <f>CI90</f>
        <v>*</v>
      </c>
      <c r="AS90" s="383">
        <f>CG90</f>
        <v>654.6</v>
      </c>
      <c r="AT90" s="384">
        <v>646.70000000000005</v>
      </c>
      <c r="AU90" s="683" t="s">
        <v>233</v>
      </c>
      <c r="AV90" s="384" t="s">
        <v>233</v>
      </c>
      <c r="AW90" s="382" t="s">
        <v>233</v>
      </c>
      <c r="AX90" s="382">
        <v>574.4</v>
      </c>
      <c r="AY90" s="384" t="s">
        <v>233</v>
      </c>
      <c r="AZ90" s="384" t="s">
        <v>233</v>
      </c>
      <c r="BA90" s="382">
        <v>612.6</v>
      </c>
      <c r="BB90" s="382">
        <v>628.1</v>
      </c>
      <c r="BC90" s="382" t="s">
        <v>233</v>
      </c>
      <c r="BD90" s="382">
        <v>583.4</v>
      </c>
      <c r="BE90" s="384" t="s">
        <v>233</v>
      </c>
      <c r="BF90" s="385" t="s">
        <v>233</v>
      </c>
      <c r="BG90" s="384" t="s">
        <v>233</v>
      </c>
      <c r="BH90" s="384" t="s">
        <v>233</v>
      </c>
      <c r="BI90" s="382">
        <v>570.79999999999995</v>
      </c>
      <c r="BJ90" s="382" t="s">
        <v>233</v>
      </c>
      <c r="BK90" s="382" t="s">
        <v>233</v>
      </c>
      <c r="BL90" s="382" t="s">
        <v>233</v>
      </c>
      <c r="BM90" s="382">
        <v>462.8</v>
      </c>
      <c r="BN90" s="382">
        <v>631</v>
      </c>
      <c r="BO90" s="384" t="s">
        <v>233</v>
      </c>
      <c r="BP90" s="384" t="s">
        <v>233</v>
      </c>
      <c r="BQ90" s="384" t="s">
        <v>233</v>
      </c>
      <c r="BR90" s="385" t="s">
        <v>233</v>
      </c>
      <c r="BS90" s="384" t="s">
        <v>233</v>
      </c>
      <c r="BT90" s="382" t="s">
        <v>233</v>
      </c>
      <c r="BU90" s="382" t="s">
        <v>233</v>
      </c>
      <c r="BV90" s="382" t="s">
        <v>233</v>
      </c>
      <c r="BW90" s="382" t="s">
        <v>233</v>
      </c>
      <c r="BX90" s="382" t="s">
        <v>233</v>
      </c>
      <c r="BY90" s="382" t="s">
        <v>233</v>
      </c>
      <c r="BZ90" s="382" t="s">
        <v>233</v>
      </c>
      <c r="CA90" s="382" t="s">
        <v>233</v>
      </c>
      <c r="CB90" s="385" t="s">
        <v>233</v>
      </c>
      <c r="CC90" s="382" t="s">
        <v>233</v>
      </c>
      <c r="CD90" s="382" t="s">
        <v>233</v>
      </c>
      <c r="CE90" s="382" t="s">
        <v>233</v>
      </c>
      <c r="CF90" s="384" t="s">
        <v>233</v>
      </c>
      <c r="CG90" s="384">
        <v>654.6</v>
      </c>
      <c r="CH90" s="384" t="s">
        <v>233</v>
      </c>
      <c r="CI90" s="384" t="s">
        <v>233</v>
      </c>
      <c r="CJ90" s="382" t="s">
        <v>233</v>
      </c>
      <c r="CK90" s="383" t="s">
        <v>233</v>
      </c>
      <c r="CL90" s="386">
        <v>608.9</v>
      </c>
    </row>
    <row r="91" spans="1:90">
      <c r="A91" s="80">
        <f>ROWS($A$3:A89)</f>
        <v>87</v>
      </c>
      <c r="B91" s="92" t="s">
        <v>194</v>
      </c>
      <c r="C91" s="203"/>
      <c r="D91" s="259" t="s">
        <v>192</v>
      </c>
      <c r="E91" s="483">
        <v>43557</v>
      </c>
      <c r="F91" s="381">
        <v>36.799999999999997</v>
      </c>
      <c r="G91" s="384">
        <v>36.5</v>
      </c>
      <c r="H91" s="384">
        <v>40.299999999999997</v>
      </c>
      <c r="I91" s="383">
        <v>41.2</v>
      </c>
      <c r="J91" s="382"/>
      <c r="K91" s="381">
        <f>BF91</f>
        <v>43.7</v>
      </c>
      <c r="L91" s="384">
        <f>AY91</f>
        <v>40.200000000000003</v>
      </c>
      <c r="M91" s="384">
        <f>BD91</f>
        <v>31.8</v>
      </c>
      <c r="N91" s="384" t="str">
        <f>AW91</f>
        <v>*</v>
      </c>
      <c r="O91" s="384" t="str">
        <f>BE91</f>
        <v>*</v>
      </c>
      <c r="P91" s="384">
        <f>'2018'!BA91</f>
        <v>36.9</v>
      </c>
      <c r="Q91" s="384">
        <f>'2018'!AU91</f>
        <v>41.7</v>
      </c>
      <c r="R91" s="384" t="str">
        <f>AX91</f>
        <v>*</v>
      </c>
      <c r="S91" s="384" t="str">
        <f>AV91</f>
        <v>*</v>
      </c>
      <c r="T91" s="384">
        <f t="shared" si="175"/>
        <v>37.299999999999997</v>
      </c>
      <c r="U91" s="385">
        <f t="shared" si="175"/>
        <v>37.799999999999997</v>
      </c>
      <c r="V91" s="384" t="str">
        <f>BJ91</f>
        <v>*</v>
      </c>
      <c r="W91" s="384">
        <f>BR91</f>
        <v>43.9</v>
      </c>
      <c r="X91" s="384">
        <f>BI91</f>
        <v>34.200000000000003</v>
      </c>
      <c r="Y91" s="384">
        <f>BN91</f>
        <v>36.9</v>
      </c>
      <c r="Z91" s="384">
        <f>BM91</f>
        <v>32.5</v>
      </c>
      <c r="AA91" s="384">
        <f>BQ91</f>
        <v>42</v>
      </c>
      <c r="AB91" s="385" t="str">
        <f>BP91</f>
        <v>*</v>
      </c>
      <c r="AC91" s="384" t="str">
        <f>BX91</f>
        <v>*</v>
      </c>
      <c r="AD91" s="384" t="str">
        <f>BU91</f>
        <v>*</v>
      </c>
      <c r="AE91" s="384">
        <f>BT91</f>
        <v>37.9</v>
      </c>
      <c r="AF91" s="384" t="str">
        <f>CA91</f>
        <v>*</v>
      </c>
      <c r="AG91" s="384" t="str">
        <f>BV91</f>
        <v>*</v>
      </c>
      <c r="AH91" s="384" t="str">
        <f>BZ91</f>
        <v>*</v>
      </c>
      <c r="AI91" s="384">
        <f>BW91</f>
        <v>44.6</v>
      </c>
      <c r="AJ91" s="384" t="str">
        <f>BY91</f>
        <v>*</v>
      </c>
      <c r="AK91" s="385" t="str">
        <f>CB91</f>
        <v>*</v>
      </c>
      <c r="AL91" s="384">
        <f>CE91</f>
        <v>38.5</v>
      </c>
      <c r="AM91" s="384">
        <f>CH91</f>
        <v>42.1</v>
      </c>
      <c r="AN91" s="384" t="str">
        <f>CJ91</f>
        <v>*</v>
      </c>
      <c r="AO91" s="384">
        <f t="shared" si="176"/>
        <v>38.4</v>
      </c>
      <c r="AP91" s="384">
        <f t="shared" si="176"/>
        <v>46.2</v>
      </c>
      <c r="AQ91" s="384">
        <f>CK91</f>
        <v>40.6</v>
      </c>
      <c r="AR91" s="384" t="str">
        <f>CI91</f>
        <v>*</v>
      </c>
      <c r="AS91" s="383">
        <f>CG91</f>
        <v>41.4</v>
      </c>
      <c r="AT91" s="384" t="s">
        <v>233</v>
      </c>
      <c r="AU91" s="384">
        <v>41.7</v>
      </c>
      <c r="AV91" s="384" t="s">
        <v>233</v>
      </c>
      <c r="AW91" s="382" t="s">
        <v>233</v>
      </c>
      <c r="AX91" s="382" t="s">
        <v>233</v>
      </c>
      <c r="AY91" s="382">
        <v>40.200000000000003</v>
      </c>
      <c r="AZ91" s="384" t="s">
        <v>233</v>
      </c>
      <c r="BA91" s="382">
        <v>36.9</v>
      </c>
      <c r="BB91" s="382">
        <v>37.299999999999997</v>
      </c>
      <c r="BC91" s="382">
        <v>37.799999999999997</v>
      </c>
      <c r="BD91" s="382">
        <v>31.8</v>
      </c>
      <c r="BE91" s="382" t="s">
        <v>233</v>
      </c>
      <c r="BF91" s="385">
        <v>43.7</v>
      </c>
      <c r="BG91" s="384" t="s">
        <v>233</v>
      </c>
      <c r="BH91" s="384" t="s">
        <v>233</v>
      </c>
      <c r="BI91" s="382">
        <v>34.200000000000003</v>
      </c>
      <c r="BJ91" s="382" t="s">
        <v>233</v>
      </c>
      <c r="BK91" s="382" t="s">
        <v>233</v>
      </c>
      <c r="BL91" s="382" t="s">
        <v>233</v>
      </c>
      <c r="BM91" s="384">
        <v>32.5</v>
      </c>
      <c r="BN91" s="384">
        <v>36.9</v>
      </c>
      <c r="BO91" s="384" t="s">
        <v>233</v>
      </c>
      <c r="BP91" s="382" t="s">
        <v>233</v>
      </c>
      <c r="BQ91" s="384">
        <v>42</v>
      </c>
      <c r="BR91" s="385">
        <v>43.9</v>
      </c>
      <c r="BS91" s="384" t="s">
        <v>233</v>
      </c>
      <c r="BT91" s="382">
        <v>37.9</v>
      </c>
      <c r="BU91" s="382" t="s">
        <v>233</v>
      </c>
      <c r="BV91" s="382" t="s">
        <v>233</v>
      </c>
      <c r="BW91" s="382">
        <v>44.6</v>
      </c>
      <c r="BX91" s="382" t="s">
        <v>233</v>
      </c>
      <c r="BY91" s="382" t="s">
        <v>233</v>
      </c>
      <c r="BZ91" s="382" t="s">
        <v>233</v>
      </c>
      <c r="CA91" s="382" t="s">
        <v>233</v>
      </c>
      <c r="CB91" s="385" t="s">
        <v>233</v>
      </c>
      <c r="CC91" s="382">
        <v>38.4</v>
      </c>
      <c r="CD91" s="382">
        <v>46.2</v>
      </c>
      <c r="CE91" s="382">
        <v>38.5</v>
      </c>
      <c r="CF91" s="384" t="s">
        <v>233</v>
      </c>
      <c r="CG91" s="382">
        <v>41.4</v>
      </c>
      <c r="CH91" s="382">
        <v>42.1</v>
      </c>
      <c r="CI91" s="384" t="s">
        <v>233</v>
      </c>
      <c r="CJ91" s="382" t="s">
        <v>233</v>
      </c>
      <c r="CK91" s="383">
        <v>40.6</v>
      </c>
      <c r="CL91" s="386">
        <v>38.299999999999997</v>
      </c>
    </row>
    <row r="92" spans="1:90">
      <c r="A92" s="80">
        <f>ROWS($A$3:A90)</f>
        <v>88</v>
      </c>
      <c r="B92" s="92" t="s">
        <v>195</v>
      </c>
      <c r="C92" s="203"/>
      <c r="D92" s="259" t="s">
        <v>192</v>
      </c>
      <c r="E92" s="483">
        <v>43557</v>
      </c>
      <c r="F92" s="381">
        <v>427</v>
      </c>
      <c r="G92" s="382">
        <v>421.8</v>
      </c>
      <c r="H92" s="382">
        <v>443.8</v>
      </c>
      <c r="I92" s="383">
        <v>447.8</v>
      </c>
      <c r="J92" s="382"/>
      <c r="K92" s="381">
        <f>BF92</f>
        <v>402.3</v>
      </c>
      <c r="L92" s="384">
        <f>AY92</f>
        <v>444.2</v>
      </c>
      <c r="M92" s="384">
        <f>BD92</f>
        <v>427.3</v>
      </c>
      <c r="N92" s="384">
        <f>AW92</f>
        <v>475.8</v>
      </c>
      <c r="O92" s="384">
        <f>BE92</f>
        <v>377.1</v>
      </c>
      <c r="P92" s="384">
        <f>'2018'!BA92</f>
        <v>440.5</v>
      </c>
      <c r="Q92" s="384" t="str">
        <f>'2018'!AU92</f>
        <v>*</v>
      </c>
      <c r="R92" s="384">
        <f>AX92</f>
        <v>393.9</v>
      </c>
      <c r="S92" s="384">
        <f>AV92</f>
        <v>370.4</v>
      </c>
      <c r="T92" s="384">
        <f t="shared" si="175"/>
        <v>397.4</v>
      </c>
      <c r="U92" s="385">
        <f t="shared" si="175"/>
        <v>457.9</v>
      </c>
      <c r="V92" s="384" t="str">
        <f>BJ92</f>
        <v>*</v>
      </c>
      <c r="W92" s="384">
        <f>BR92</f>
        <v>525.20000000000005</v>
      </c>
      <c r="X92" s="384" t="str">
        <f>BI92</f>
        <v>*</v>
      </c>
      <c r="Y92" s="384">
        <f>BN92</f>
        <v>415.9</v>
      </c>
      <c r="Z92" s="384">
        <f>BM92</f>
        <v>397.6</v>
      </c>
      <c r="AA92" s="384" t="str">
        <f>BQ92</f>
        <v>*</v>
      </c>
      <c r="AB92" s="385" t="str">
        <f>BP92</f>
        <v>*</v>
      </c>
      <c r="AC92" s="384" t="str">
        <f>BX92</f>
        <v>*</v>
      </c>
      <c r="AD92" s="384" t="str">
        <f>BU92</f>
        <v>*</v>
      </c>
      <c r="AE92" s="384">
        <f>BT92</f>
        <v>287.8</v>
      </c>
      <c r="AF92" s="384" t="str">
        <f>CA92</f>
        <v>*</v>
      </c>
      <c r="AG92" s="384">
        <f>BV92</f>
        <v>361.6</v>
      </c>
      <c r="AH92" s="384">
        <f>BZ92</f>
        <v>460.7</v>
      </c>
      <c r="AI92" s="384">
        <f>BW92</f>
        <v>471.6</v>
      </c>
      <c r="AJ92" s="384">
        <f>BY92</f>
        <v>440.7</v>
      </c>
      <c r="AK92" s="385">
        <f>CB92</f>
        <v>411.8</v>
      </c>
      <c r="AL92" s="384">
        <f>CE92</f>
        <v>455</v>
      </c>
      <c r="AM92" s="384">
        <f>CH92</f>
        <v>454.7</v>
      </c>
      <c r="AN92" s="384">
        <f>CJ92</f>
        <v>469.2</v>
      </c>
      <c r="AO92" s="384">
        <f t="shared" si="176"/>
        <v>349.3</v>
      </c>
      <c r="AP92" s="384" t="str">
        <f t="shared" si="176"/>
        <v>*</v>
      </c>
      <c r="AQ92" s="384">
        <f>CK92</f>
        <v>443.1</v>
      </c>
      <c r="AR92" s="384">
        <f>CI92</f>
        <v>465.4</v>
      </c>
      <c r="AS92" s="383">
        <f>CG92</f>
        <v>451.6</v>
      </c>
      <c r="AT92" s="384" t="s">
        <v>233</v>
      </c>
      <c r="AU92" s="384" t="s">
        <v>233</v>
      </c>
      <c r="AV92" s="382">
        <v>370.4</v>
      </c>
      <c r="AW92" s="382">
        <v>475.8</v>
      </c>
      <c r="AX92" s="382">
        <v>393.9</v>
      </c>
      <c r="AY92" s="382">
        <v>444.2</v>
      </c>
      <c r="AZ92" s="384" t="s">
        <v>233</v>
      </c>
      <c r="BA92" s="382">
        <v>440.5</v>
      </c>
      <c r="BB92" s="382">
        <v>397.4</v>
      </c>
      <c r="BC92" s="382">
        <v>457.9</v>
      </c>
      <c r="BD92" s="382">
        <v>427.3</v>
      </c>
      <c r="BE92" s="382">
        <v>377.1</v>
      </c>
      <c r="BF92" s="385">
        <v>402.3</v>
      </c>
      <c r="BG92" s="384" t="s">
        <v>233</v>
      </c>
      <c r="BH92" s="384" t="s">
        <v>233</v>
      </c>
      <c r="BI92" s="382" t="s">
        <v>233</v>
      </c>
      <c r="BJ92" s="382" t="s">
        <v>233</v>
      </c>
      <c r="BK92" s="382" t="s">
        <v>233</v>
      </c>
      <c r="BL92" s="382" t="s">
        <v>233</v>
      </c>
      <c r="BM92" s="382">
        <v>397.6</v>
      </c>
      <c r="BN92" s="382">
        <v>415.9</v>
      </c>
      <c r="BO92" s="384" t="s">
        <v>233</v>
      </c>
      <c r="BP92" s="382" t="s">
        <v>233</v>
      </c>
      <c r="BQ92" s="683" t="s">
        <v>233</v>
      </c>
      <c r="BR92" s="385">
        <v>525.20000000000005</v>
      </c>
      <c r="BS92" s="384" t="s">
        <v>233</v>
      </c>
      <c r="BT92" s="382">
        <v>287.8</v>
      </c>
      <c r="BU92" s="382" t="s">
        <v>233</v>
      </c>
      <c r="BV92" s="382">
        <v>361.6</v>
      </c>
      <c r="BW92" s="382">
        <v>471.6</v>
      </c>
      <c r="BX92" s="382" t="s">
        <v>233</v>
      </c>
      <c r="BY92" s="382">
        <v>440.7</v>
      </c>
      <c r="BZ92" s="382">
        <v>460.7</v>
      </c>
      <c r="CA92" s="382" t="s">
        <v>233</v>
      </c>
      <c r="CB92" s="385">
        <v>411.8</v>
      </c>
      <c r="CC92" s="382">
        <v>349.3</v>
      </c>
      <c r="CD92" s="382" t="s">
        <v>233</v>
      </c>
      <c r="CE92" s="382">
        <v>455</v>
      </c>
      <c r="CF92" s="384" t="s">
        <v>233</v>
      </c>
      <c r="CG92" s="382">
        <v>451.6</v>
      </c>
      <c r="CH92" s="382">
        <v>454.7</v>
      </c>
      <c r="CI92" s="384">
        <v>465.4</v>
      </c>
      <c r="CJ92" s="382">
        <v>469.2</v>
      </c>
      <c r="CK92" s="383">
        <v>443.1</v>
      </c>
      <c r="CL92" s="386">
        <v>437.8</v>
      </c>
    </row>
    <row r="93" spans="1:90">
      <c r="A93" s="80">
        <f>ROWS($A$3:A91)</f>
        <v>89</v>
      </c>
      <c r="B93" s="54" t="s">
        <v>94</v>
      </c>
      <c r="C93" s="252"/>
      <c r="D93" s="259" t="s">
        <v>3</v>
      </c>
      <c r="E93" s="447"/>
      <c r="F93" s="547">
        <v>0.37</v>
      </c>
      <c r="G93" s="548">
        <v>0.37</v>
      </c>
      <c r="H93" s="548">
        <v>0.69</v>
      </c>
      <c r="I93" s="549">
        <v>0.54</v>
      </c>
      <c r="J93" s="598"/>
      <c r="K93" s="547">
        <f>BF93</f>
        <v>0.99</v>
      </c>
      <c r="L93" s="548">
        <f>AY93</f>
        <v>0.69</v>
      </c>
      <c r="M93" s="548">
        <f>BD93</f>
        <v>0.7</v>
      </c>
      <c r="N93" s="548">
        <f>AW93</f>
        <v>0.74</v>
      </c>
      <c r="O93" s="548">
        <f>BE93</f>
        <v>0.6</v>
      </c>
      <c r="P93" s="573">
        <f>(AZ35*AZ93+BA35*BA93)/P35</f>
        <v>0.12077826775993937</v>
      </c>
      <c r="Q93" s="548">
        <f>'2018'!AU93</f>
        <v>0.48</v>
      </c>
      <c r="R93" s="573">
        <f>(AT35*AT93+AX35*AX93)/R35</f>
        <v>1.7194842406876788E-2</v>
      </c>
      <c r="S93" s="548">
        <f>AV93</f>
        <v>0.56999999999999995</v>
      </c>
      <c r="T93" s="548">
        <f t="shared" si="175"/>
        <v>0.56999999999999995</v>
      </c>
      <c r="U93" s="570">
        <f t="shared" si="175"/>
        <v>0.97</v>
      </c>
      <c r="V93" s="573">
        <f>(BG35*BG93+BJ35*BJ93)/V35</f>
        <v>0.32284768211920528</v>
      </c>
      <c r="W93" s="548">
        <f>BR93</f>
        <v>0.82</v>
      </c>
      <c r="X93" s="573">
        <f>(BH35*BH93+BI35*BI93)/X35</f>
        <v>6.556923151916938E-2</v>
      </c>
      <c r="Y93" s="573">
        <f>(BK35*BK93+BL35*BL93+BN35*BN93)/Y35</f>
        <v>0.10734998736009928</v>
      </c>
      <c r="Z93" s="548">
        <f>BM93</f>
        <v>0.7</v>
      </c>
      <c r="AA93" s="573">
        <f>(BO35*BO93+BQ35*BQ93)/AA35</f>
        <v>0.46104600884224839</v>
      </c>
      <c r="AB93" s="570">
        <f>BP93</f>
        <v>0.78</v>
      </c>
      <c r="AC93" s="548">
        <f>BX93</f>
        <v>0.65</v>
      </c>
      <c r="AD93" s="548">
        <f>BU93</f>
        <v>0.36</v>
      </c>
      <c r="AE93" s="573">
        <f>(BS35*BS93+BT35*BT93)/AE35</f>
        <v>0.1160786022890927</v>
      </c>
      <c r="AF93" s="548">
        <f>CA93</f>
        <v>0.28999999999999998</v>
      </c>
      <c r="AG93" s="548">
        <f>BV93</f>
        <v>0.34</v>
      </c>
      <c r="AH93" s="548">
        <f>BZ93</f>
        <v>0.65</v>
      </c>
      <c r="AI93" s="548">
        <f>BW93</f>
        <v>0.96</v>
      </c>
      <c r="AJ93" s="548">
        <f>BY93</f>
        <v>0.63</v>
      </c>
      <c r="AK93" s="570">
        <f>CB93</f>
        <v>0.71</v>
      </c>
      <c r="AL93" s="548">
        <f>CE93</f>
        <v>0.61</v>
      </c>
      <c r="AM93" s="548">
        <f>CH93</f>
        <v>0.2</v>
      </c>
      <c r="AN93" s="548">
        <f>CJ93</f>
        <v>0.57999999999999996</v>
      </c>
      <c r="AO93" s="548">
        <f t="shared" si="176"/>
        <v>1</v>
      </c>
      <c r="AP93" s="548">
        <f t="shared" si="176"/>
        <v>0.61</v>
      </c>
      <c r="AQ93" s="548">
        <f>CK93</f>
        <v>0.72</v>
      </c>
      <c r="AR93" s="548">
        <f>CI93</f>
        <v>0.24</v>
      </c>
      <c r="AS93" s="574">
        <f>(CF35*CF93+CG35*CG93)/AS35</f>
        <v>0.45061070341412895</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c r="A94" s="80">
        <f>ROWS($A$3:A92)</f>
        <v>90</v>
      </c>
      <c r="B94" s="59" t="s">
        <v>247</v>
      </c>
      <c r="C94" s="203"/>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c r="A95" s="80">
        <f>ROWS($A$3:A93)</f>
        <v>91</v>
      </c>
      <c r="B95" s="236" t="s">
        <v>95</v>
      </c>
      <c r="C95" s="393">
        <v>2010</v>
      </c>
      <c r="D95" s="259" t="s">
        <v>10</v>
      </c>
      <c r="E95" s="447">
        <v>40441</v>
      </c>
      <c r="F95" s="154">
        <f>SUM(AT95:BF95)</f>
        <v>617300</v>
      </c>
      <c r="G95" s="155">
        <f>SUM(BG95:BR95)</f>
        <v>141500</v>
      </c>
      <c r="H95" s="155">
        <f>SUM(BS95:CB95)</f>
        <v>370400</v>
      </c>
      <c r="I95" s="156">
        <f>SUM(CC95:CK95)</f>
        <v>1004800</v>
      </c>
      <c r="J95" s="281"/>
      <c r="K95" s="154">
        <f>BF95</f>
        <v>165800</v>
      </c>
      <c r="L95" s="155">
        <f>AY95</f>
        <v>42000</v>
      </c>
      <c r="M95" s="155">
        <f>BD95</f>
        <v>41900</v>
      </c>
      <c r="N95" s="155">
        <f>AW95</f>
        <v>57600</v>
      </c>
      <c r="O95" s="155">
        <f>BE95</f>
        <v>44000</v>
      </c>
      <c r="P95" s="155">
        <f>'2018'!BA95</f>
        <v>27400</v>
      </c>
      <c r="Q95" s="155">
        <f>'2018'!AU95</f>
        <v>17100</v>
      </c>
      <c r="R95" s="155">
        <f>AX95</f>
        <v>28800</v>
      </c>
      <c r="S95" s="155">
        <f>AV95</f>
        <v>12300</v>
      </c>
      <c r="T95" s="155">
        <f t="shared" ref="T95:U98" si="177">BB95</f>
        <v>43200</v>
      </c>
      <c r="U95" s="552">
        <f t="shared" si="177"/>
        <v>135100</v>
      </c>
      <c r="V95" s="155">
        <f>BJ95</f>
        <v>1900</v>
      </c>
      <c r="W95" s="155">
        <f>BR95</f>
        <v>23000</v>
      </c>
      <c r="X95" s="155">
        <f>BI95</f>
        <v>6400</v>
      </c>
      <c r="Y95" s="155">
        <f>BN95</f>
        <v>22700</v>
      </c>
      <c r="Z95" s="155">
        <f>BM95</f>
        <v>47900</v>
      </c>
      <c r="AA95" s="155">
        <f>BQ95</f>
        <v>18600</v>
      </c>
      <c r="AB95" s="552">
        <f>BP95</f>
        <v>21000</v>
      </c>
      <c r="AC95" s="155">
        <f>BX95</f>
        <v>64900</v>
      </c>
      <c r="AD95" s="155">
        <f>BU95</f>
        <v>18300</v>
      </c>
      <c r="AE95" s="155">
        <f>BT95</f>
        <v>56300</v>
      </c>
      <c r="AF95" s="155">
        <f>CA95</f>
        <v>17900</v>
      </c>
      <c r="AG95" s="155">
        <f>BV95</f>
        <v>38800</v>
      </c>
      <c r="AH95" s="155">
        <f>BZ95</f>
        <v>56400</v>
      </c>
      <c r="AI95" s="155">
        <f>BW95</f>
        <v>26900</v>
      </c>
      <c r="AJ95" s="155">
        <f>BY95</f>
        <v>32900</v>
      </c>
      <c r="AK95" s="552">
        <f>CB95</f>
        <v>58000</v>
      </c>
      <c r="AL95" s="155">
        <f>CE95</f>
        <v>21200</v>
      </c>
      <c r="AM95" s="155">
        <f>CH95</f>
        <v>217100</v>
      </c>
      <c r="AN95" s="155">
        <f>CJ95</f>
        <v>443900</v>
      </c>
      <c r="AO95" s="155">
        <f t="shared" ref="AO95:AP98" si="178">CC95</f>
        <v>49800</v>
      </c>
      <c r="AP95" s="155">
        <f t="shared" si="178"/>
        <v>9200</v>
      </c>
      <c r="AQ95" s="155">
        <f>CK95</f>
        <v>78000</v>
      </c>
      <c r="AR95" s="155">
        <f>CI95</f>
        <v>62000</v>
      </c>
      <c r="AS95" s="156">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c r="A96" s="80">
        <f>ROWS($A$3:A94)</f>
        <v>92</v>
      </c>
      <c r="B96" s="92" t="s">
        <v>96</v>
      </c>
      <c r="C96" s="396">
        <v>2010</v>
      </c>
      <c r="D96" s="259" t="s">
        <v>10</v>
      </c>
      <c r="E96" s="447">
        <v>40441</v>
      </c>
      <c r="F96" s="154">
        <f>SUM(AT96:BF96)</f>
        <v>617399</v>
      </c>
      <c r="G96" s="155">
        <f>SUM(BG96:BR96)</f>
        <v>142781</v>
      </c>
      <c r="H96" s="155">
        <f>SUM(BS96:CB96)</f>
        <v>370424</v>
      </c>
      <c r="I96" s="156">
        <f>SUM(CC96:CK96)</f>
        <v>1004630</v>
      </c>
      <c r="J96" s="281"/>
      <c r="K96" s="154">
        <f>BF96</f>
        <v>165837</v>
      </c>
      <c r="L96" s="155">
        <f>AY96</f>
        <v>41990</v>
      </c>
      <c r="M96" s="155">
        <f>BD96</f>
        <v>41892</v>
      </c>
      <c r="N96" s="155">
        <f>AW96</f>
        <v>57563</v>
      </c>
      <c r="O96" s="155">
        <f>BE96</f>
        <v>44020</v>
      </c>
      <c r="P96" s="155">
        <f>'2018'!BA96</f>
        <v>26046</v>
      </c>
      <c r="Q96" s="155">
        <f>'2018'!AU96</f>
        <v>17142</v>
      </c>
      <c r="R96" s="155">
        <f>AX96</f>
        <v>28784</v>
      </c>
      <c r="S96" s="155">
        <f>AV96</f>
        <v>12315</v>
      </c>
      <c r="T96" s="155">
        <f>BB96</f>
        <v>43221</v>
      </c>
      <c r="U96" s="552">
        <f>BC96</f>
        <v>135140</v>
      </c>
      <c r="V96" s="155">
        <f>BJ96</f>
        <v>1905</v>
      </c>
      <c r="W96" s="155">
        <f>BR96</f>
        <v>23030</v>
      </c>
      <c r="X96" s="155">
        <f>BI96</f>
        <v>6427</v>
      </c>
      <c r="Y96" s="155">
        <f>BN96</f>
        <v>22732</v>
      </c>
      <c r="Z96" s="155">
        <f>BM96</f>
        <v>47945</v>
      </c>
      <c r="AA96" s="155">
        <f>BQ96</f>
        <v>18389</v>
      </c>
      <c r="AB96" s="552">
        <f>BP96</f>
        <v>21039</v>
      </c>
      <c r="AC96" s="155">
        <f>BX96</f>
        <v>64945</v>
      </c>
      <c r="AD96" s="155">
        <f>BU96</f>
        <v>18303</v>
      </c>
      <c r="AE96" s="155">
        <f>BT96</f>
        <v>56256</v>
      </c>
      <c r="AF96" s="155">
        <f>CA96</f>
        <v>17921</v>
      </c>
      <c r="AG96" s="155">
        <f>BV96</f>
        <v>38783</v>
      </c>
      <c r="AH96" s="155">
        <f>BZ96</f>
        <v>56430</v>
      </c>
      <c r="AI96" s="155">
        <f>BW96</f>
        <v>26870</v>
      </c>
      <c r="AJ96" s="155">
        <f>BY96</f>
        <v>32882</v>
      </c>
      <c r="AK96" s="552">
        <f>CB96</f>
        <v>58034</v>
      </c>
      <c r="AL96" s="155">
        <f>CE96</f>
        <v>21184</v>
      </c>
      <c r="AM96" s="155">
        <f>CH96</f>
        <v>217098</v>
      </c>
      <c r="AN96" s="155">
        <f>CJ96</f>
        <v>443864</v>
      </c>
      <c r="AO96" s="155">
        <f>CC96</f>
        <v>49804</v>
      </c>
      <c r="AP96" s="155">
        <f>CD96</f>
        <v>9156</v>
      </c>
      <c r="AQ96" s="155">
        <f>CK96</f>
        <v>78000</v>
      </c>
      <c r="AR96" s="155">
        <f>CI96</f>
        <v>61951</v>
      </c>
      <c r="AS96" s="156">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1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'2018'!AZ97+'2018'!BA97</f>
        <v>6750</v>
      </c>
      <c r="Q97" s="113">
        <f>'2018'!AU97</f>
        <v>3596</v>
      </c>
      <c r="R97" s="113">
        <f>AT97+AX97</f>
        <v>6359</v>
      </c>
      <c r="S97" s="113">
        <f>AV97</f>
        <v>3597</v>
      </c>
      <c r="T97" s="113">
        <f t="shared" si="177"/>
        <v>9048</v>
      </c>
      <c r="U97" s="112">
        <f t="shared" si="177"/>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8"/>
        <v>10463</v>
      </c>
      <c r="AP97" s="113">
        <f t="shared" si="178"/>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'2018'!AZ98+'2018'!BA98</f>
        <v>34324</v>
      </c>
      <c r="Q98" s="113">
        <f>'2018'!AU98</f>
        <v>18437</v>
      </c>
      <c r="R98" s="113">
        <f>AT98+AX98</f>
        <v>31700</v>
      </c>
      <c r="S98" s="113">
        <f>AV98</f>
        <v>14642</v>
      </c>
      <c r="T98" s="113">
        <f t="shared" si="177"/>
        <v>45007</v>
      </c>
      <c r="U98" s="112">
        <f t="shared" si="177"/>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8"/>
        <v>51966</v>
      </c>
      <c r="AP98" s="113">
        <f t="shared" si="178"/>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c r="A100" s="80">
        <f>ROWS($A$3:A98)</f>
        <v>96</v>
      </c>
      <c r="B100" s="55" t="s">
        <v>255</v>
      </c>
      <c r="C100" s="203">
        <v>2017</v>
      </c>
      <c r="D100" s="259" t="s">
        <v>13</v>
      </c>
      <c r="E100" s="483">
        <v>43556</v>
      </c>
      <c r="F100" s="154">
        <v>2013</v>
      </c>
      <c r="G100" s="155">
        <v>891</v>
      </c>
      <c r="H100" s="155">
        <v>914</v>
      </c>
      <c r="I100" s="156">
        <v>630</v>
      </c>
      <c r="J100" s="281"/>
      <c r="K100" s="157">
        <f>BF100</f>
        <v>57</v>
      </c>
      <c r="L100" s="113">
        <f>AY100</f>
        <v>242</v>
      </c>
      <c r="M100" s="113">
        <f>BD100</f>
        <v>151</v>
      </c>
      <c r="N100" s="113">
        <f>AW100</f>
        <v>61</v>
      </c>
      <c r="O100" s="113">
        <f>BE100</f>
        <v>66</v>
      </c>
      <c r="P100" s="113">
        <f>'2009'!AZ101+'2009'!BA101</f>
        <v>658</v>
      </c>
      <c r="Q100" s="113">
        <f>'2009'!AU101</f>
        <v>260</v>
      </c>
      <c r="R100" s="113">
        <f>AX100</f>
        <v>233</v>
      </c>
      <c r="S100" s="113">
        <f>AV100</f>
        <v>314</v>
      </c>
      <c r="T100" s="113">
        <f>BB100</f>
        <v>97</v>
      </c>
      <c r="U100" s="112">
        <f>BC100</f>
        <v>129</v>
      </c>
      <c r="V100" s="113">
        <f>BJ100</f>
        <v>74</v>
      </c>
      <c r="W100" s="113">
        <f>BR100</f>
        <v>58</v>
      </c>
      <c r="X100" s="113">
        <f>BI100</f>
        <v>223</v>
      </c>
      <c r="Y100" s="113">
        <f>BN100</f>
        <v>195</v>
      </c>
      <c r="Z100" s="113">
        <f>BM100</f>
        <v>100</v>
      </c>
      <c r="AA100" s="113">
        <f>BQ100</f>
        <v>194</v>
      </c>
      <c r="AB100" s="112">
        <f>BP100</f>
        <v>47</v>
      </c>
      <c r="AC100" s="113">
        <f>BX100</f>
        <v>52</v>
      </c>
      <c r="AD100" s="113">
        <f>BU100</f>
        <v>156</v>
      </c>
      <c r="AE100" s="113">
        <f>BT100</f>
        <v>135</v>
      </c>
      <c r="AF100" s="113">
        <f>CA100</f>
        <v>97</v>
      </c>
      <c r="AG100" s="113">
        <f>BV100</f>
        <v>94</v>
      </c>
      <c r="AH100" s="113">
        <f>BZ100</f>
        <v>97</v>
      </c>
      <c r="AI100" s="113">
        <f>BW100</f>
        <v>81</v>
      </c>
      <c r="AJ100" s="113">
        <f>BY100</f>
        <v>82</v>
      </c>
      <c r="AK100" s="112">
        <f>CB100</f>
        <v>120</v>
      </c>
      <c r="AL100" s="113">
        <f>CE100</f>
        <v>58</v>
      </c>
      <c r="AM100" s="113">
        <f>CH100</f>
        <v>167</v>
      </c>
      <c r="AN100" s="113">
        <f>CJ100</f>
        <v>45</v>
      </c>
      <c r="AO100" s="113">
        <f>CC100</f>
        <v>46</v>
      </c>
      <c r="AP100" s="113">
        <f>CD100</f>
        <v>51</v>
      </c>
      <c r="AQ100" s="113">
        <f>CK100</f>
        <v>110</v>
      </c>
      <c r="AR100" s="113">
        <f>CI100</f>
        <v>34</v>
      </c>
      <c r="AS100" s="158">
        <f>CG100</f>
        <v>119</v>
      </c>
      <c r="AT100" s="113" t="s">
        <v>233</v>
      </c>
      <c r="AU100" s="113">
        <v>184</v>
      </c>
      <c r="AV100" s="113">
        <v>314</v>
      </c>
      <c r="AW100" s="113">
        <v>61</v>
      </c>
      <c r="AX100" s="113">
        <v>233</v>
      </c>
      <c r="AY100" s="113">
        <v>242</v>
      </c>
      <c r="AZ100" s="113" t="s">
        <v>233</v>
      </c>
      <c r="BA100" s="113">
        <v>479</v>
      </c>
      <c r="BB100" s="113">
        <v>97</v>
      </c>
      <c r="BC100" s="113">
        <v>129</v>
      </c>
      <c r="BD100" s="113">
        <v>151</v>
      </c>
      <c r="BE100" s="113">
        <v>66</v>
      </c>
      <c r="BF100" s="112">
        <v>57</v>
      </c>
      <c r="BG100" s="159" t="s">
        <v>233</v>
      </c>
      <c r="BH100" s="113" t="s">
        <v>233</v>
      </c>
      <c r="BI100" s="113">
        <v>223</v>
      </c>
      <c r="BJ100" s="113">
        <v>74</v>
      </c>
      <c r="BK100" s="113" t="s">
        <v>233</v>
      </c>
      <c r="BL100" s="113" t="s">
        <v>233</v>
      </c>
      <c r="BM100" s="113">
        <v>100</v>
      </c>
      <c r="BN100" s="113">
        <v>195</v>
      </c>
      <c r="BO100" s="159" t="s">
        <v>233</v>
      </c>
      <c r="BP100" s="113">
        <v>47</v>
      </c>
      <c r="BQ100" s="113">
        <v>194</v>
      </c>
      <c r="BR100" s="112">
        <v>58</v>
      </c>
      <c r="BS100" s="159" t="s">
        <v>233</v>
      </c>
      <c r="BT100" s="113">
        <v>135</v>
      </c>
      <c r="BU100" s="113">
        <v>156</v>
      </c>
      <c r="BV100" s="113">
        <v>94</v>
      </c>
      <c r="BW100" s="113">
        <v>81</v>
      </c>
      <c r="BX100" s="113">
        <v>52</v>
      </c>
      <c r="BY100" s="113">
        <v>82</v>
      </c>
      <c r="BZ100" s="113">
        <v>97</v>
      </c>
      <c r="CA100" s="113">
        <v>97</v>
      </c>
      <c r="CB100" s="112">
        <v>120</v>
      </c>
      <c r="CC100" s="113">
        <v>46</v>
      </c>
      <c r="CD100" s="113">
        <v>51</v>
      </c>
      <c r="CE100" s="113">
        <v>58</v>
      </c>
      <c r="CF100" s="113" t="s">
        <v>233</v>
      </c>
      <c r="CG100" s="113">
        <v>119</v>
      </c>
      <c r="CH100" s="113">
        <v>167</v>
      </c>
      <c r="CI100" s="113">
        <v>34</v>
      </c>
      <c r="CJ100" s="113">
        <v>45</v>
      </c>
      <c r="CK100" s="158">
        <v>110</v>
      </c>
      <c r="CL100" s="123">
        <v>4448</v>
      </c>
    </row>
    <row r="101" spans="1:102">
      <c r="A101" s="80">
        <f>ROWS($A$3:A99)</f>
        <v>97</v>
      </c>
      <c r="B101" s="602"/>
      <c r="C101" s="203"/>
      <c r="D101" s="254"/>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c r="A102" s="80">
        <f>ROWS($A$3:A100)</f>
        <v>98</v>
      </c>
      <c r="B102" s="602"/>
      <c r="C102" s="203"/>
      <c r="D102" s="254"/>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'2018'!AZ103+'2018'!BA103</f>
        <v>0</v>
      </c>
      <c r="Q103" s="113">
        <f>'2018'!AU103</f>
        <v>0</v>
      </c>
      <c r="R103" s="113">
        <f>AT103+AX103</f>
        <v>0</v>
      </c>
      <c r="S103" s="113">
        <f>AV103</f>
        <v>0</v>
      </c>
      <c r="T103" s="113">
        <f t="shared" ref="T103:U106" si="179">BB103</f>
        <v>0</v>
      </c>
      <c r="U103" s="112">
        <f t="shared" si="179"/>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0">CC103</f>
        <v>0</v>
      </c>
      <c r="AP103" s="113">
        <f t="shared" si="180"/>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'2018'!AZ104+'2018'!BA104</f>
        <v>0</v>
      </c>
      <c r="Q104" s="113">
        <f>'2018'!AU104</f>
        <v>0</v>
      </c>
      <c r="R104" s="113">
        <f>AT104+AX104</f>
        <v>0</v>
      </c>
      <c r="S104" s="113">
        <f>AV104</f>
        <v>0</v>
      </c>
      <c r="T104" s="113">
        <f t="shared" si="179"/>
        <v>0</v>
      </c>
      <c r="U104" s="112">
        <f t="shared" si="179"/>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0"/>
        <v>0</v>
      </c>
      <c r="AP104" s="113">
        <f t="shared" si="180"/>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1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'2018'!AZ105+'2018'!BA105</f>
        <v>0</v>
      </c>
      <c r="Q105" s="113">
        <f>'2018'!AU105</f>
        <v>0</v>
      </c>
      <c r="R105" s="113">
        <f>AT105+AX105</f>
        <v>0</v>
      </c>
      <c r="S105" s="113">
        <f>AV105</f>
        <v>0</v>
      </c>
      <c r="T105" s="113">
        <f t="shared" si="179"/>
        <v>0</v>
      </c>
      <c r="U105" s="112">
        <f t="shared" si="179"/>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0"/>
        <v>0</v>
      </c>
      <c r="AP105" s="113">
        <f t="shared" si="180"/>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'2018'!AZ106+'2018'!BA106</f>
        <v>0</v>
      </c>
      <c r="Q106" s="164">
        <f>'2018'!AU106</f>
        <v>0</v>
      </c>
      <c r="R106" s="164">
        <f>AT106+AX106</f>
        <v>0</v>
      </c>
      <c r="S106" s="164">
        <f>AV106</f>
        <v>0</v>
      </c>
      <c r="T106" s="164">
        <f t="shared" si="179"/>
        <v>0</v>
      </c>
      <c r="U106" s="114">
        <f t="shared" si="179"/>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0"/>
        <v>0</v>
      </c>
      <c r="AP106" s="164">
        <f t="shared" si="180"/>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c r="B107" s="57"/>
      <c r="C107" s="203"/>
      <c r="D107" s="48"/>
      <c r="E107" s="449"/>
      <c r="F107" s="155">
        <f t="shared" ref="F107:BQ107" si="181">SUM(F7:F92)</f>
        <v>16556347.375726752</v>
      </c>
      <c r="G107" s="155">
        <f t="shared" si="181"/>
        <v>9744138.842934506</v>
      </c>
      <c r="H107" s="155">
        <f t="shared" si="181"/>
        <v>10028721.148334056</v>
      </c>
      <c r="I107" s="155">
        <f t="shared" si="181"/>
        <v>10141820.448648345</v>
      </c>
      <c r="J107" s="155">
        <f t="shared" si="181"/>
        <v>0</v>
      </c>
      <c r="K107" s="155">
        <f t="shared" si="181"/>
        <v>1694315.2584923028</v>
      </c>
      <c r="L107" s="155">
        <f t="shared" si="181"/>
        <v>1419000.1138582786</v>
      </c>
      <c r="M107" s="155">
        <f t="shared" si="181"/>
        <v>1222504.3375814208</v>
      </c>
      <c r="N107" s="155">
        <f t="shared" si="181"/>
        <v>1006662.4248343266</v>
      </c>
      <c r="O107" s="155">
        <f t="shared" si="181"/>
        <v>734812.13910735282</v>
      </c>
      <c r="P107" s="155">
        <f t="shared" si="181"/>
        <v>1829559.2811928473</v>
      </c>
      <c r="Q107" s="155">
        <f t="shared" si="181"/>
        <v>1357540.443857138</v>
      </c>
      <c r="R107" s="155">
        <f t="shared" si="181"/>
        <v>3381193.7804426802</v>
      </c>
      <c r="S107" s="155">
        <f t="shared" si="181"/>
        <v>1588854.8702140232</v>
      </c>
      <c r="T107" s="155">
        <f t="shared" si="181"/>
        <v>920902.29392208869</v>
      </c>
      <c r="U107" s="155">
        <f t="shared" si="181"/>
        <v>1777807.5058970293</v>
      </c>
      <c r="V107" s="155">
        <f t="shared" si="181"/>
        <v>1097401.7616667936</v>
      </c>
      <c r="W107" s="155">
        <f t="shared" si="181"/>
        <v>716795.68604372814</v>
      </c>
      <c r="X107" s="155">
        <f t="shared" si="181"/>
        <v>2425034.7505171662</v>
      </c>
      <c r="Y107" s="155">
        <f t="shared" si="181"/>
        <v>2850320.4567699833</v>
      </c>
      <c r="Z107" s="155">
        <f t="shared" si="181"/>
        <v>938132.22597347188</v>
      </c>
      <c r="AA107" s="155">
        <f t="shared" si="181"/>
        <v>1098834.3237404102</v>
      </c>
      <c r="AB107" s="155">
        <f t="shared" si="181"/>
        <v>770028.03549900651</v>
      </c>
      <c r="AC107" s="155">
        <f t="shared" si="181"/>
        <v>1053087.8681780661</v>
      </c>
      <c r="AD107" s="155">
        <f t="shared" si="181"/>
        <v>723286.14440907724</v>
      </c>
      <c r="AE107" s="155">
        <f t="shared" si="181"/>
        <v>1913093.4525996589</v>
      </c>
      <c r="AF107" s="155">
        <f t="shared" si="181"/>
        <v>929517.25825377495</v>
      </c>
      <c r="AG107" s="155">
        <f t="shared" si="181"/>
        <v>1911469.5072601412</v>
      </c>
      <c r="AH107" s="155">
        <f t="shared" si="181"/>
        <v>1089263.0741832566</v>
      </c>
      <c r="AI107" s="155">
        <f t="shared" si="181"/>
        <v>800403.11605642433</v>
      </c>
      <c r="AJ107" s="155">
        <f t="shared" si="181"/>
        <v>825015.32150348357</v>
      </c>
      <c r="AK107" s="155">
        <f t="shared" si="181"/>
        <v>1001528.3911819546</v>
      </c>
      <c r="AL107" s="155">
        <f t="shared" si="181"/>
        <v>1039731.8089407599</v>
      </c>
      <c r="AM107" s="155">
        <f t="shared" si="181"/>
        <v>1478619.232289928</v>
      </c>
      <c r="AN107" s="155">
        <f t="shared" si="181"/>
        <v>1754393.2065136714</v>
      </c>
      <c r="AO107" s="155">
        <f t="shared" si="181"/>
        <v>1335079.4737269508</v>
      </c>
      <c r="AP107" s="155">
        <f t="shared" si="181"/>
        <v>893897.58216803207</v>
      </c>
      <c r="AQ107" s="155">
        <f t="shared" si="181"/>
        <v>1099938.0955834249</v>
      </c>
      <c r="AR107" s="155">
        <f t="shared" si="181"/>
        <v>870040.77083134523</v>
      </c>
      <c r="AS107" s="155">
        <f t="shared" si="181"/>
        <v>1943952.7621694407</v>
      </c>
      <c r="AT107" s="155">
        <f t="shared" si="181"/>
        <v>1705735.7757014667</v>
      </c>
      <c r="AU107" s="155">
        <f t="shared" si="181"/>
        <v>1371469.4974262826</v>
      </c>
      <c r="AV107" s="155">
        <f t="shared" si="181"/>
        <v>1588854.8774400933</v>
      </c>
      <c r="AW107" s="155">
        <f t="shared" si="181"/>
        <v>1006662.4409796234</v>
      </c>
      <c r="AX107" s="155">
        <f t="shared" si="181"/>
        <v>1680553.7791153376</v>
      </c>
      <c r="AY107" s="155">
        <f t="shared" si="181"/>
        <v>1419000.1143303574</v>
      </c>
      <c r="AZ107" s="155">
        <f t="shared" si="181"/>
        <v>370461.67044732178</v>
      </c>
      <c r="BA107" s="155">
        <f t="shared" si="181"/>
        <v>1461904.5494676973</v>
      </c>
      <c r="BB107" s="155">
        <f t="shared" si="181"/>
        <v>920902.29025686788</v>
      </c>
      <c r="BC107" s="155">
        <f t="shared" si="181"/>
        <v>1777807.5497319584</v>
      </c>
      <c r="BD107" s="155">
        <f t="shared" si="181"/>
        <v>1222504.3624566686</v>
      </c>
      <c r="BE107" s="155">
        <f t="shared" si="181"/>
        <v>734812.13987475471</v>
      </c>
      <c r="BF107" s="155">
        <f t="shared" si="181"/>
        <v>1694315.2829887746</v>
      </c>
      <c r="BG107" s="155">
        <f t="shared" si="181"/>
        <v>199832.05599669836</v>
      </c>
      <c r="BH107" s="155">
        <f t="shared" si="181"/>
        <v>825871.02745837171</v>
      </c>
      <c r="BI107" s="155">
        <f t="shared" si="181"/>
        <v>1604424.0806232202</v>
      </c>
      <c r="BJ107" s="155">
        <f t="shared" si="181"/>
        <v>900555.13860884635</v>
      </c>
      <c r="BK107" s="155">
        <f t="shared" si="181"/>
        <v>424658.79966744967</v>
      </c>
      <c r="BL107" s="155">
        <f t="shared" si="181"/>
        <v>817006.54938138544</v>
      </c>
      <c r="BM107" s="155">
        <f t="shared" si="181"/>
        <v>938132.11852885142</v>
      </c>
      <c r="BN107" s="155">
        <f t="shared" si="181"/>
        <v>1615427.4142769335</v>
      </c>
      <c r="BO107" s="155">
        <f t="shared" si="181"/>
        <v>305023.07647221396</v>
      </c>
      <c r="BP107" s="155">
        <f t="shared" si="181"/>
        <v>729082.99793154234</v>
      </c>
      <c r="BQ107" s="155">
        <f t="shared" si="181"/>
        <v>845874.37985021947</v>
      </c>
      <c r="BR107" s="155">
        <f t="shared" ref="BR107:CL107" si="182">SUM(BR7:BR92)</f>
        <v>716795.60273354372</v>
      </c>
      <c r="BS107" s="155">
        <f t="shared" si="182"/>
        <v>615933.63053238369</v>
      </c>
      <c r="BT107" s="155">
        <f t="shared" si="182"/>
        <v>1301420.545354015</v>
      </c>
      <c r="BU107" s="155">
        <f t="shared" si="182"/>
        <v>723286.10796981631</v>
      </c>
      <c r="BV107" s="155">
        <f t="shared" si="182"/>
        <v>1911469.5087664416</v>
      </c>
      <c r="BW107" s="155">
        <f t="shared" si="182"/>
        <v>800403.06143189687</v>
      </c>
      <c r="BX107" s="155">
        <f t="shared" si="182"/>
        <v>1053087.8207370981</v>
      </c>
      <c r="BY107" s="155">
        <f t="shared" si="182"/>
        <v>825015.29622373125</v>
      </c>
      <c r="BZ107" s="155">
        <f t="shared" si="182"/>
        <v>1089263.0411731179</v>
      </c>
      <c r="CA107" s="155">
        <f t="shared" si="182"/>
        <v>929517.20712581777</v>
      </c>
      <c r="CB107" s="155">
        <f t="shared" si="182"/>
        <v>1001528.3217592826</v>
      </c>
      <c r="CC107" s="155">
        <f t="shared" si="182"/>
        <v>1335079.4501436229</v>
      </c>
      <c r="CD107" s="155">
        <f t="shared" si="182"/>
        <v>893897.56510289677</v>
      </c>
      <c r="CE107" s="155">
        <f t="shared" si="182"/>
        <v>1039731.7617200094</v>
      </c>
      <c r="CF107" s="155">
        <f t="shared" si="182"/>
        <v>425550.53409240843</v>
      </c>
      <c r="CG107" s="155">
        <f t="shared" si="182"/>
        <v>1521721.6827090429</v>
      </c>
      <c r="CH107" s="155">
        <f t="shared" si="182"/>
        <v>1478619.1522688172</v>
      </c>
      <c r="CI107" s="155">
        <f t="shared" si="182"/>
        <v>870040.7558055704</v>
      </c>
      <c r="CJ107" s="155">
        <f t="shared" si="182"/>
        <v>1754393.1733858618</v>
      </c>
      <c r="CK107" s="155">
        <f t="shared" si="182"/>
        <v>1099938.0195259468</v>
      </c>
      <c r="CL107" s="155">
        <f t="shared" si="182"/>
        <v>46392059.271561667</v>
      </c>
    </row>
    <row r="108" spans="1:102">
      <c r="B108" s="71" t="s">
        <v>209</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M110" s="507" t="s">
        <v>339</v>
      </c>
      <c r="CN110" s="126"/>
      <c r="CO110" s="126"/>
      <c r="CP110" s="126"/>
      <c r="CQ110" s="126"/>
      <c r="CR110" s="126"/>
      <c r="CS110" s="126"/>
      <c r="CT110" s="126"/>
      <c r="CU110" s="126"/>
      <c r="CV110" s="126"/>
      <c r="CW110" s="126"/>
      <c r="CX110" s="126"/>
    </row>
    <row r="111" spans="1:102" ht="1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M111" s="508">
        <v>88614.660000000033</v>
      </c>
      <c r="CN111" s="126"/>
      <c r="CO111" s="126"/>
      <c r="CP111" s="126"/>
      <c r="CQ111" s="126"/>
      <c r="CR111" s="126"/>
      <c r="CS111" s="126"/>
      <c r="CT111" s="126"/>
      <c r="CU111" s="126"/>
      <c r="CV111" s="126"/>
      <c r="CW111" s="126"/>
      <c r="CX111" s="126"/>
    </row>
    <row r="112" spans="1:102">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'2018'!AZ117+'2018'!BA117</f>
        <v>5400</v>
      </c>
      <c r="Q117" s="323">
        <f>'2018'!AU117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593">
        <v>2015</v>
      </c>
      <c r="D118" s="329" t="s">
        <v>285</v>
      </c>
      <c r="E118" s="459"/>
      <c r="F118" s="489">
        <v>538.54300000000001</v>
      </c>
      <c r="G118" s="592">
        <v>284.96699999999998</v>
      </c>
      <c r="H118" s="592">
        <v>462.73399999999998</v>
      </c>
      <c r="I118" s="489">
        <v>386.41800000000001</v>
      </c>
      <c r="J118" s="324"/>
      <c r="K118" s="323">
        <f>BF118</f>
        <v>63.302999999999997</v>
      </c>
      <c r="L118" s="324">
        <f>AY118</f>
        <v>40.700000000000003</v>
      </c>
      <c r="M118" s="324">
        <f>BD118</f>
        <v>46.728999999999999</v>
      </c>
      <c r="N118" s="324">
        <f>AW118</f>
        <v>24.513999999999999</v>
      </c>
      <c r="O118" s="324">
        <f>BE118</f>
        <v>23.31</v>
      </c>
      <c r="P118" s="423">
        <f>AZ118+BA118</f>
        <v>75.56</v>
      </c>
      <c r="Q118" s="323">
        <f>AU118</f>
        <v>20.469000000000001</v>
      </c>
      <c r="R118" s="423">
        <f>AT118+AX118</f>
        <v>67.084000000000003</v>
      </c>
      <c r="S118" s="324">
        <f>AV118</f>
        <v>25.663</v>
      </c>
      <c r="T118" s="324">
        <f>BB118</f>
        <v>58.972999999999999</v>
      </c>
      <c r="U118" s="323">
        <f>BC118</f>
        <v>92.238</v>
      </c>
      <c r="V118" s="423">
        <f>BG118+BJ118</f>
        <v>39.152000000000001</v>
      </c>
      <c r="W118" s="324">
        <f>BR118</f>
        <v>23.024000000000001</v>
      </c>
      <c r="X118" s="423">
        <f>BH118+BI118</f>
        <v>53.928999999999995</v>
      </c>
      <c r="Y118" s="423">
        <f>BK118+BL118+BN118</f>
        <v>64.858999999999995</v>
      </c>
      <c r="Z118" s="324">
        <f>BM118</f>
        <v>48.371000000000002</v>
      </c>
      <c r="AA118" s="423">
        <f>BO118+BQ118</f>
        <v>29.02</v>
      </c>
      <c r="AB118" s="323">
        <f>BP118</f>
        <v>26.611999999999998</v>
      </c>
      <c r="AC118" s="324">
        <f>BX118</f>
        <v>35.753</v>
      </c>
      <c r="AD118" s="324">
        <f>BU118</f>
        <v>37.515000000000001</v>
      </c>
      <c r="AE118" s="423">
        <f>BS118+BT118</f>
        <v>109.90700000000001</v>
      </c>
      <c r="AF118" s="324">
        <f>CA118</f>
        <v>36.46</v>
      </c>
      <c r="AG118" s="324">
        <f>BV118</f>
        <v>104.33799999999999</v>
      </c>
      <c r="AH118" s="324">
        <f>BZ118</f>
        <v>56.154000000000003</v>
      </c>
      <c r="AI118" s="324">
        <f>BW118</f>
        <v>28.632000000000001</v>
      </c>
      <c r="AJ118" s="324">
        <f>BY118</f>
        <v>19.510999999999999</v>
      </c>
      <c r="AK118" s="323">
        <f>CB118</f>
        <v>34.463999999999999</v>
      </c>
      <c r="AL118" s="324">
        <f>CE118</f>
        <v>23.974</v>
      </c>
      <c r="AM118" s="324">
        <f>CH118</f>
        <v>69.561999999999998</v>
      </c>
      <c r="AN118" s="324">
        <f>CJ118</f>
        <v>88.519000000000005</v>
      </c>
      <c r="AO118" s="324">
        <f>CC118</f>
        <v>29.577000000000002</v>
      </c>
      <c r="AP118" s="324">
        <f>CD118</f>
        <v>13.565</v>
      </c>
      <c r="AQ118" s="324">
        <f>CK118</f>
        <v>46.732999999999997</v>
      </c>
      <c r="AR118" s="324">
        <f>CI118</f>
        <v>49.366</v>
      </c>
      <c r="AS118" s="423">
        <f>CF118+CG118</f>
        <v>65.122</v>
      </c>
      <c r="AT118" s="592">
        <v>19.713000000000001</v>
      </c>
      <c r="AU118" s="592">
        <v>20.469000000000001</v>
      </c>
      <c r="AV118" s="592">
        <v>25.663</v>
      </c>
      <c r="AW118" s="592">
        <v>24.513999999999999</v>
      </c>
      <c r="AX118" s="592">
        <v>47.371000000000002</v>
      </c>
      <c r="AY118" s="592">
        <v>40.700000000000003</v>
      </c>
      <c r="AZ118" s="592">
        <v>11.385</v>
      </c>
      <c r="BA118" s="592">
        <v>64.174999999999997</v>
      </c>
      <c r="BB118" s="592">
        <v>58.972999999999999</v>
      </c>
      <c r="BC118" s="592">
        <v>92.238</v>
      </c>
      <c r="BD118" s="592">
        <v>46.728999999999999</v>
      </c>
      <c r="BE118" s="592">
        <v>23.31</v>
      </c>
      <c r="BF118" s="489">
        <v>63.302999999999997</v>
      </c>
      <c r="BG118" s="592">
        <v>10.122999999999999</v>
      </c>
      <c r="BH118" s="592">
        <v>9.9459999999999997</v>
      </c>
      <c r="BI118" s="592">
        <v>43.982999999999997</v>
      </c>
      <c r="BJ118" s="592">
        <v>29.029</v>
      </c>
      <c r="BK118" s="592">
        <v>9.0640000000000001</v>
      </c>
      <c r="BL118" s="592">
        <v>3.7789999999999999</v>
      </c>
      <c r="BM118" s="592">
        <v>48.371000000000002</v>
      </c>
      <c r="BN118" s="592">
        <v>52.015999999999998</v>
      </c>
      <c r="BO118" s="592">
        <v>8.4149999999999991</v>
      </c>
      <c r="BP118" s="592">
        <v>26.611999999999998</v>
      </c>
      <c r="BQ118" s="592">
        <v>20.605</v>
      </c>
      <c r="BR118" s="489">
        <v>23.024000000000001</v>
      </c>
      <c r="BS118" s="592">
        <v>17.939</v>
      </c>
      <c r="BT118" s="592">
        <v>91.968000000000004</v>
      </c>
      <c r="BU118" s="592">
        <v>37.515000000000001</v>
      </c>
      <c r="BV118" s="592">
        <v>104.33799999999999</v>
      </c>
      <c r="BW118" s="592">
        <v>28.632000000000001</v>
      </c>
      <c r="BX118" s="592">
        <v>35.753</v>
      </c>
      <c r="BY118" s="592">
        <v>19.510999999999999</v>
      </c>
      <c r="BZ118" s="592">
        <v>56.154000000000003</v>
      </c>
      <c r="CA118" s="592">
        <v>36.46</v>
      </c>
      <c r="CB118" s="489">
        <v>34.463999999999999</v>
      </c>
      <c r="CC118" s="592">
        <v>29.577000000000002</v>
      </c>
      <c r="CD118" s="592">
        <v>13.565</v>
      </c>
      <c r="CE118" s="592">
        <v>23.974</v>
      </c>
      <c r="CF118" s="592">
        <v>7.6950000000000003</v>
      </c>
      <c r="CG118" s="592">
        <v>57.427</v>
      </c>
      <c r="CH118" s="592">
        <v>69.561999999999998</v>
      </c>
      <c r="CI118" s="592">
        <v>49.366</v>
      </c>
      <c r="CJ118" s="592">
        <v>88.519000000000005</v>
      </c>
      <c r="CK118" s="489">
        <v>46.732999999999997</v>
      </c>
      <c r="CL118" s="489">
        <v>1672.6619999999994</v>
      </c>
    </row>
    <row r="119" spans="1:90" s="69" customFormat="1" ht="11.25">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2">
      <c r="B123" s="328" t="s">
        <v>370</v>
      </c>
      <c r="C123" s="585">
        <v>2018</v>
      </c>
      <c r="D123" s="69" t="s">
        <v>13</v>
      </c>
      <c r="E123" s="486">
        <v>43556</v>
      </c>
      <c r="F123" s="487">
        <v>3419</v>
      </c>
      <c r="G123" s="487">
        <v>1134</v>
      </c>
      <c r="H123" s="487">
        <v>4289</v>
      </c>
      <c r="I123" s="487">
        <v>3919</v>
      </c>
      <c r="J123" s="488"/>
      <c r="K123" s="488">
        <f>BF123</f>
        <v>464</v>
      </c>
      <c r="L123" s="488">
        <f>AY123</f>
        <v>162</v>
      </c>
      <c r="M123" s="488">
        <f>BD123</f>
        <v>128</v>
      </c>
      <c r="N123" s="488">
        <f>AW123</f>
        <v>191</v>
      </c>
      <c r="O123" s="488">
        <f>BE123</f>
        <v>128</v>
      </c>
      <c r="P123" s="488">
        <f>'2018'!BA123</f>
        <v>72</v>
      </c>
      <c r="Q123" s="488">
        <f>'2018'!AU123</f>
        <v>50</v>
      </c>
      <c r="R123" s="488">
        <f>AX123</f>
        <v>82</v>
      </c>
      <c r="S123" s="488">
        <f>AV123</f>
        <v>61</v>
      </c>
      <c r="T123" s="488">
        <f>BB123</f>
        <v>139</v>
      </c>
      <c r="U123" s="488">
        <f>BC123</f>
        <v>397</v>
      </c>
      <c r="V123" s="488">
        <f>BJ123</f>
        <v>10</v>
      </c>
      <c r="W123" s="488">
        <f>BR123</f>
        <v>71</v>
      </c>
      <c r="X123" s="488">
        <f>BI123</f>
        <v>19</v>
      </c>
      <c r="Y123" s="488">
        <f>BN123</f>
        <v>50</v>
      </c>
      <c r="Z123" s="488">
        <f>BM123</f>
        <v>120</v>
      </c>
      <c r="AA123" s="488">
        <f>BQ123</f>
        <v>53</v>
      </c>
      <c r="AB123" s="488">
        <f>BP123</f>
        <v>70</v>
      </c>
      <c r="AC123" s="488">
        <f>BX123</f>
        <v>324</v>
      </c>
      <c r="AD123" s="488">
        <f>BU123</f>
        <v>113</v>
      </c>
      <c r="AE123" s="488">
        <f>BT123</f>
        <v>308</v>
      </c>
      <c r="AF123" s="488">
        <f>CA123</f>
        <v>98</v>
      </c>
      <c r="AG123" s="488">
        <f>BV123</f>
        <v>255</v>
      </c>
      <c r="AH123" s="488">
        <f>BZ123</f>
        <v>150</v>
      </c>
      <c r="AI123" s="488">
        <f>BW123</f>
        <v>133</v>
      </c>
      <c r="AJ123" s="488">
        <f>BY123</f>
        <v>85</v>
      </c>
      <c r="AK123" s="488">
        <f>CB123</f>
        <v>222</v>
      </c>
      <c r="AL123" s="488">
        <f>CE123</f>
        <v>50</v>
      </c>
      <c r="AM123" s="488">
        <f>CH123</f>
        <v>551</v>
      </c>
      <c r="AN123" s="488">
        <f>CJ123</f>
        <v>1179</v>
      </c>
      <c r="AO123" s="488">
        <f>CC123</f>
        <v>137</v>
      </c>
      <c r="AP123" s="488">
        <f>CD123</f>
        <v>21</v>
      </c>
      <c r="AQ123" s="488">
        <f>CK123</f>
        <v>219</v>
      </c>
      <c r="AR123" s="488">
        <f>CI123</f>
        <v>188</v>
      </c>
      <c r="AS123" s="488">
        <f>CG123</f>
        <v>335</v>
      </c>
      <c r="AT123" s="487">
        <v>11</v>
      </c>
      <c r="AU123" s="487">
        <v>50</v>
      </c>
      <c r="AV123" s="487">
        <v>61</v>
      </c>
      <c r="AW123" s="487">
        <v>191</v>
      </c>
      <c r="AX123" s="487">
        <v>82</v>
      </c>
      <c r="AY123" s="487">
        <v>162</v>
      </c>
      <c r="AZ123" s="487">
        <v>1</v>
      </c>
      <c r="BA123" s="487">
        <v>72</v>
      </c>
      <c r="BB123" s="487">
        <v>139</v>
      </c>
      <c r="BC123" s="487">
        <v>397</v>
      </c>
      <c r="BD123" s="487">
        <v>128</v>
      </c>
      <c r="BE123" s="487">
        <v>128</v>
      </c>
      <c r="BF123" s="487">
        <v>464</v>
      </c>
      <c r="BG123" s="487" t="s">
        <v>267</v>
      </c>
      <c r="BH123" s="487">
        <v>2</v>
      </c>
      <c r="BI123" s="487">
        <v>19</v>
      </c>
      <c r="BJ123" s="487">
        <v>10</v>
      </c>
      <c r="BK123" s="487">
        <v>3</v>
      </c>
      <c r="BL123" s="487" t="s">
        <v>267</v>
      </c>
      <c r="BM123" s="487">
        <v>120</v>
      </c>
      <c r="BN123" s="487">
        <v>50</v>
      </c>
      <c r="BO123" s="487">
        <v>1</v>
      </c>
      <c r="BP123" s="487">
        <v>70</v>
      </c>
      <c r="BQ123" s="487">
        <v>53</v>
      </c>
      <c r="BR123" s="487">
        <v>71</v>
      </c>
      <c r="BS123" s="487">
        <v>4</v>
      </c>
      <c r="BT123" s="487">
        <v>308</v>
      </c>
      <c r="BU123" s="487">
        <v>113</v>
      </c>
      <c r="BV123" s="487">
        <v>255</v>
      </c>
      <c r="BW123" s="487">
        <v>133</v>
      </c>
      <c r="BX123" s="487">
        <v>324</v>
      </c>
      <c r="BY123" s="487">
        <v>85</v>
      </c>
      <c r="BZ123" s="487">
        <v>150</v>
      </c>
      <c r="CA123" s="487">
        <v>98</v>
      </c>
      <c r="CB123" s="487">
        <v>222</v>
      </c>
      <c r="CC123" s="487">
        <v>137</v>
      </c>
      <c r="CD123" s="487">
        <v>21</v>
      </c>
      <c r="CE123" s="487">
        <v>50</v>
      </c>
      <c r="CF123" s="487">
        <v>13</v>
      </c>
      <c r="CG123" s="487">
        <v>335</v>
      </c>
      <c r="CH123" s="487">
        <v>551</v>
      </c>
      <c r="CI123" s="487">
        <v>188</v>
      </c>
      <c r="CJ123" s="487">
        <v>1179</v>
      </c>
      <c r="CK123" s="487">
        <v>219</v>
      </c>
      <c r="CL123" s="487">
        <v>6670</v>
      </c>
    </row>
    <row r="124" spans="1:90" s="69" customFormat="1" ht="11.25">
      <c r="B124" s="328" t="s">
        <v>236</v>
      </c>
      <c r="C124" s="322">
        <v>2010</v>
      </c>
      <c r="D124" s="69" t="s">
        <v>13</v>
      </c>
      <c r="E124" s="460">
        <v>42887</v>
      </c>
      <c r="F124" s="323">
        <v>1906</v>
      </c>
      <c r="G124" s="323">
        <v>421</v>
      </c>
      <c r="H124" s="323">
        <v>1152</v>
      </c>
      <c r="I124" s="323">
        <v>1392</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t="s">
        <v>41</v>
      </c>
      <c r="AU124" s="323">
        <v>57</v>
      </c>
      <c r="AV124" s="323">
        <v>43</v>
      </c>
      <c r="AW124" s="323">
        <v>70</v>
      </c>
      <c r="AX124" s="323">
        <v>76</v>
      </c>
      <c r="AY124" s="323">
        <v>96</v>
      </c>
      <c r="AZ124" s="323">
        <v>1</v>
      </c>
      <c r="BA124" s="323">
        <v>67</v>
      </c>
      <c r="BB124" s="323">
        <v>228</v>
      </c>
      <c r="BC124" s="323">
        <v>612</v>
      </c>
      <c r="BD124" s="323">
        <v>245</v>
      </c>
      <c r="BE124" s="323">
        <v>113</v>
      </c>
      <c r="BF124" s="323">
        <v>298</v>
      </c>
      <c r="BG124" s="323" t="s">
        <v>41</v>
      </c>
      <c r="BH124" s="323">
        <v>7</v>
      </c>
      <c r="BI124" s="323">
        <v>41</v>
      </c>
      <c r="BJ124" s="323">
        <v>27</v>
      </c>
      <c r="BK124" s="323">
        <v>5</v>
      </c>
      <c r="BL124" s="323">
        <v>1</v>
      </c>
      <c r="BM124" s="323">
        <v>114</v>
      </c>
      <c r="BN124" s="323">
        <v>73</v>
      </c>
      <c r="BO124" s="323">
        <v>2</v>
      </c>
      <c r="BP124" s="323">
        <v>55</v>
      </c>
      <c r="BQ124" s="323">
        <v>39</v>
      </c>
      <c r="BR124" s="323">
        <v>57</v>
      </c>
      <c r="BS124" s="323">
        <v>4</v>
      </c>
      <c r="BT124" s="323">
        <v>175</v>
      </c>
      <c r="BU124" s="323">
        <v>90</v>
      </c>
      <c r="BV124" s="323">
        <v>303</v>
      </c>
      <c r="BW124" s="323">
        <v>136</v>
      </c>
      <c r="BX124" s="323">
        <v>152</v>
      </c>
      <c r="BY124" s="323">
        <v>42</v>
      </c>
      <c r="BZ124" s="323">
        <v>60</v>
      </c>
      <c r="CA124" s="323">
        <v>65</v>
      </c>
      <c r="CB124" s="323">
        <v>125</v>
      </c>
      <c r="CC124" s="323">
        <v>110</v>
      </c>
      <c r="CD124" s="323">
        <v>37</v>
      </c>
      <c r="CE124" s="323">
        <v>54</v>
      </c>
      <c r="CF124" s="323">
        <v>22</v>
      </c>
      <c r="CG124" s="323">
        <v>441</v>
      </c>
      <c r="CH124" s="323">
        <v>300</v>
      </c>
      <c r="CI124" s="323">
        <v>70</v>
      </c>
      <c r="CJ124" s="323">
        <v>145</v>
      </c>
      <c r="CK124" s="323">
        <v>213</v>
      </c>
      <c r="CL124" s="323">
        <v>4871</v>
      </c>
    </row>
    <row r="125" spans="1:90" s="69" customFormat="1" ht="11.25">
      <c r="B125" s="328" t="s">
        <v>237</v>
      </c>
      <c r="C125" s="322">
        <v>2010</v>
      </c>
      <c r="D125" s="69" t="s">
        <v>13</v>
      </c>
      <c r="E125" s="460">
        <v>42887</v>
      </c>
      <c r="F125" s="323">
        <v>484450</v>
      </c>
      <c r="G125" s="323">
        <v>52226</v>
      </c>
      <c r="H125" s="323">
        <v>68285</v>
      </c>
      <c r="I125" s="323">
        <v>346813</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t="s">
        <v>41</v>
      </c>
      <c r="AU125" s="323">
        <v>9877</v>
      </c>
      <c r="AV125" s="323" t="s">
        <v>304</v>
      </c>
      <c r="AW125" s="323">
        <v>13131</v>
      </c>
      <c r="AX125" s="323">
        <v>21703</v>
      </c>
      <c r="AY125" s="323">
        <v>6704</v>
      </c>
      <c r="AZ125" s="323" t="s">
        <v>304</v>
      </c>
      <c r="BA125" s="323">
        <v>14031</v>
      </c>
      <c r="BB125" s="323">
        <v>70737</v>
      </c>
      <c r="BC125" s="323">
        <v>207846</v>
      </c>
      <c r="BD125" s="323">
        <v>55831</v>
      </c>
      <c r="BE125" s="323">
        <v>32010</v>
      </c>
      <c r="BF125" s="323">
        <v>47664</v>
      </c>
      <c r="BG125" s="323" t="s">
        <v>41</v>
      </c>
      <c r="BH125" s="323" t="s">
        <v>304</v>
      </c>
      <c r="BI125" s="323">
        <v>2226</v>
      </c>
      <c r="BJ125" s="323">
        <v>2539</v>
      </c>
      <c r="BK125" s="323">
        <v>411</v>
      </c>
      <c r="BL125" s="323" t="s">
        <v>304</v>
      </c>
      <c r="BM125" s="323">
        <v>22768</v>
      </c>
      <c r="BN125" s="323">
        <v>12430</v>
      </c>
      <c r="BO125" s="323" t="s">
        <v>304</v>
      </c>
      <c r="BP125" s="323">
        <v>2682</v>
      </c>
      <c r="BQ125" s="323">
        <v>4772</v>
      </c>
      <c r="BR125" s="323">
        <v>3187</v>
      </c>
      <c r="BS125" s="323" t="s">
        <v>304</v>
      </c>
      <c r="BT125" s="323">
        <v>5018</v>
      </c>
      <c r="BU125" s="323" t="s">
        <v>304</v>
      </c>
      <c r="BV125" s="323">
        <v>11124</v>
      </c>
      <c r="BW125" s="323">
        <v>20734</v>
      </c>
      <c r="BX125" s="323">
        <v>10615</v>
      </c>
      <c r="BY125" s="323">
        <v>2849</v>
      </c>
      <c r="BZ125" s="323">
        <v>7673</v>
      </c>
      <c r="CA125" s="323">
        <v>2012</v>
      </c>
      <c r="CB125" s="323">
        <v>5856</v>
      </c>
      <c r="CC125" s="323">
        <v>11102</v>
      </c>
      <c r="CD125" s="323">
        <v>8585</v>
      </c>
      <c r="CE125" s="323">
        <v>4426</v>
      </c>
      <c r="CF125" s="323">
        <v>11271</v>
      </c>
      <c r="CG125" s="323">
        <v>141280</v>
      </c>
      <c r="CH125" s="323">
        <v>89667</v>
      </c>
      <c r="CI125" s="323">
        <v>10421</v>
      </c>
      <c r="CJ125" s="323">
        <v>18652</v>
      </c>
      <c r="CK125" s="323">
        <v>51409</v>
      </c>
      <c r="CL125" s="323">
        <v>951774</v>
      </c>
    </row>
    <row r="126" spans="1:90"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'2018'!AZ126+'2018'!BA126</f>
        <v>6973</v>
      </c>
      <c r="Q126" s="323">
        <f>'2018'!AU126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c r="B127" s="328"/>
      <c r="C127" s="322"/>
      <c r="E127" s="460"/>
      <c r="F127" s="323">
        <f>F126/F35%</f>
        <v>62.775559276911842</v>
      </c>
      <c r="G127" s="323">
        <f>G126/G35%</f>
        <v>41.844807930364667</v>
      </c>
      <c r="H127" s="323">
        <f>H126/H35%</f>
        <v>49.642220776649602</v>
      </c>
      <c r="I127" s="323">
        <f>I126/I35%</f>
        <v>52.439617593683934</v>
      </c>
      <c r="J127" s="323"/>
      <c r="K127" s="323">
        <f t="shared" ref="K127:BV127" si="183">K126/K35%</f>
        <v>100.45389804510808</v>
      </c>
      <c r="L127" s="323">
        <f t="shared" si="183"/>
        <v>68.779004016690706</v>
      </c>
      <c r="M127" s="323">
        <f t="shared" si="183"/>
        <v>69.840342394718007</v>
      </c>
      <c r="N127" s="323">
        <f t="shared" si="183"/>
        <v>73.915516996159866</v>
      </c>
      <c r="O127" s="323">
        <f t="shared" si="183"/>
        <v>59.224624238064592</v>
      </c>
      <c r="P127" s="323">
        <f t="shared" si="183"/>
        <v>12.011644732308964</v>
      </c>
      <c r="Q127" s="323">
        <f t="shared" si="183"/>
        <v>47.500890947968642</v>
      </c>
      <c r="R127" s="323">
        <f t="shared" si="183"/>
        <v>1.4383954154727794</v>
      </c>
      <c r="S127" s="323">
        <f t="shared" si="183"/>
        <v>55.952380952380949</v>
      </c>
      <c r="T127" s="323">
        <f t="shared" si="183"/>
        <v>55.707729815000718</v>
      </c>
      <c r="U127" s="323">
        <f t="shared" si="183"/>
        <v>96.906904933972811</v>
      </c>
      <c r="V127" s="323">
        <f t="shared" si="183"/>
        <v>33.07579102281089</v>
      </c>
      <c r="W127" s="323">
        <f t="shared" si="183"/>
        <v>82.163758106184432</v>
      </c>
      <c r="X127" s="323">
        <f t="shared" si="183"/>
        <v>6.4076628726023053</v>
      </c>
      <c r="Y127" s="323">
        <f t="shared" si="183"/>
        <v>15.517201755797119</v>
      </c>
      <c r="Z127" s="323">
        <f t="shared" si="183"/>
        <v>70.513209839052536</v>
      </c>
      <c r="AA127" s="323">
        <f t="shared" si="183"/>
        <v>44.993441189331001</v>
      </c>
      <c r="AB127" s="323">
        <f t="shared" si="183"/>
        <v>74.923085528891875</v>
      </c>
      <c r="AC127" s="323">
        <f t="shared" si="183"/>
        <v>65.327392584486304</v>
      </c>
      <c r="AD127" s="323">
        <f t="shared" si="183"/>
        <v>35.866822850964134</v>
      </c>
      <c r="AE127" s="323">
        <f t="shared" si="183"/>
        <v>11.043735314181763</v>
      </c>
      <c r="AF127" s="323">
        <f t="shared" si="183"/>
        <v>28.974868296053199</v>
      </c>
      <c r="AG127" s="323">
        <f t="shared" si="183"/>
        <v>33.826102481699692</v>
      </c>
      <c r="AH127" s="323">
        <f t="shared" si="183"/>
        <v>65.998441807503298</v>
      </c>
      <c r="AI127" s="323">
        <f t="shared" si="183"/>
        <v>96.361096327833963</v>
      </c>
      <c r="AJ127" s="323">
        <f t="shared" si="183"/>
        <v>62.832150519887769</v>
      </c>
      <c r="AK127" s="323">
        <f t="shared" si="183"/>
        <v>71.603639615000262</v>
      </c>
      <c r="AL127" s="323">
        <f t="shared" si="183"/>
        <v>60.114740392654305</v>
      </c>
      <c r="AM127" s="323">
        <f t="shared" si="183"/>
        <v>19.834295756967112</v>
      </c>
      <c r="AN127" s="323">
        <f t="shared" si="183"/>
        <v>58.559773134050815</v>
      </c>
      <c r="AO127" s="323">
        <f t="shared" si="183"/>
        <v>99.029148496672022</v>
      </c>
      <c r="AP127" s="323">
        <f t="shared" si="183"/>
        <v>60.489111563073564</v>
      </c>
      <c r="AQ127" s="323">
        <f t="shared" si="183"/>
        <v>71.982546144998452</v>
      </c>
      <c r="AR127" s="323">
        <f t="shared" si="183"/>
        <v>23.396957948106174</v>
      </c>
      <c r="AS127" s="323">
        <f t="shared" si="183"/>
        <v>44.681764787611627</v>
      </c>
      <c r="AT127" s="323">
        <f t="shared" si="183"/>
        <v>11.111111111111111</v>
      </c>
      <c r="AU127" s="323">
        <f t="shared" si="183"/>
        <v>47.500890947968642</v>
      </c>
      <c r="AV127" s="323">
        <f t="shared" si="183"/>
        <v>55.952380952380949</v>
      </c>
      <c r="AW127" s="323">
        <f t="shared" si="183"/>
        <v>73.915516996159866</v>
      </c>
      <c r="AX127" s="323">
        <f t="shared" si="183"/>
        <v>0.6885053567569237</v>
      </c>
      <c r="AY127" s="323">
        <f t="shared" si="183"/>
        <v>68.779004016690706</v>
      </c>
      <c r="AZ127" s="323">
        <f t="shared" si="183"/>
        <v>0</v>
      </c>
      <c r="BA127" s="323">
        <f t="shared" si="183"/>
        <v>12.928764786591017</v>
      </c>
      <c r="BB127" s="323">
        <f t="shared" si="183"/>
        <v>55.707729815000718</v>
      </c>
      <c r="BC127" s="323">
        <f t="shared" si="183"/>
        <v>96.906904933972811</v>
      </c>
      <c r="BD127" s="323">
        <f t="shared" si="183"/>
        <v>69.840342394718007</v>
      </c>
      <c r="BE127" s="323">
        <f t="shared" si="183"/>
        <v>59.224624238064592</v>
      </c>
      <c r="BF127" s="323">
        <f t="shared" si="183"/>
        <v>100.45389804510808</v>
      </c>
      <c r="BG127" s="323">
        <f t="shared" si="183"/>
        <v>113.57323232323232</v>
      </c>
      <c r="BH127" s="323">
        <f t="shared" si="183"/>
        <v>0</v>
      </c>
      <c r="BI127" s="323">
        <f t="shared" si="183"/>
        <v>6.8406536219816818</v>
      </c>
      <c r="BJ127" s="323">
        <f t="shared" si="183"/>
        <v>24.415919587068728</v>
      </c>
      <c r="BK127" s="323">
        <f t="shared" si="183"/>
        <v>113.32236842105264</v>
      </c>
      <c r="BL127" s="323">
        <f t="shared" si="183"/>
        <v>0</v>
      </c>
      <c r="BM127" s="323">
        <f t="shared" si="183"/>
        <v>70.513209839052536</v>
      </c>
      <c r="BN127" s="323">
        <f t="shared" si="183"/>
        <v>12.082839015835352</v>
      </c>
      <c r="BO127" s="323">
        <f t="shared" si="183"/>
        <v>28.969072164948457</v>
      </c>
      <c r="BP127" s="323">
        <f t="shared" si="183"/>
        <v>74.923085528891875</v>
      </c>
      <c r="BQ127" s="323">
        <f t="shared" si="183"/>
        <v>45.785958292968949</v>
      </c>
      <c r="BR127" s="323">
        <f t="shared" si="183"/>
        <v>82.163758106184432</v>
      </c>
      <c r="BS127" s="323">
        <f t="shared" si="183"/>
        <v>6.088721368512612</v>
      </c>
      <c r="BT127" s="323">
        <f t="shared" si="183"/>
        <v>11.390223627922065</v>
      </c>
      <c r="BU127" s="323">
        <f t="shared" si="183"/>
        <v>35.866822850964134</v>
      </c>
      <c r="BV127" s="323">
        <f t="shared" si="183"/>
        <v>33.826102481699692</v>
      </c>
      <c r="BW127" s="323">
        <f t="shared" ref="BW127:CL127" si="184">BW126/BW35%</f>
        <v>96.361096327833963</v>
      </c>
      <c r="BX127" s="323">
        <f t="shared" si="184"/>
        <v>65.327392584486304</v>
      </c>
      <c r="BY127" s="323">
        <f t="shared" si="184"/>
        <v>62.832150519887769</v>
      </c>
      <c r="BZ127" s="323">
        <f t="shared" si="184"/>
        <v>65.998441807503298</v>
      </c>
      <c r="CA127" s="323">
        <f t="shared" si="184"/>
        <v>28.974868296053199</v>
      </c>
      <c r="CB127" s="323">
        <f t="shared" si="184"/>
        <v>71.603639615000262</v>
      </c>
      <c r="CC127" s="323">
        <f t="shared" si="184"/>
        <v>99.029148496672022</v>
      </c>
      <c r="CD127" s="323">
        <f t="shared" si="184"/>
        <v>60.489111563073564</v>
      </c>
      <c r="CE127" s="323">
        <f t="shared" si="184"/>
        <v>60.114740392654305</v>
      </c>
      <c r="CF127" s="323">
        <f t="shared" si="184"/>
        <v>30.068876452862678</v>
      </c>
      <c r="CG127" s="323">
        <f t="shared" si="184"/>
        <v>45.592754109359277</v>
      </c>
      <c r="CH127" s="323">
        <f t="shared" si="184"/>
        <v>19.834295756967112</v>
      </c>
      <c r="CI127" s="323">
        <f t="shared" si="184"/>
        <v>23.396957948106174</v>
      </c>
      <c r="CJ127" s="323">
        <f t="shared" si="184"/>
        <v>58.559773134050815</v>
      </c>
      <c r="CK127" s="323">
        <f t="shared" si="184"/>
        <v>71.982546144998452</v>
      </c>
      <c r="CL127" s="323">
        <f t="shared" si="184"/>
        <v>53.681690419356208</v>
      </c>
    </row>
    <row r="128" spans="1:90"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2:90">
      <c r="B130" s="58" t="s">
        <v>290</v>
      </c>
      <c r="D130" t="s">
        <v>7</v>
      </c>
      <c r="E130" s="457">
        <v>42024</v>
      </c>
      <c r="F130" s="126">
        <v>16888</v>
      </c>
      <c r="G130" s="126">
        <v>7358</v>
      </c>
      <c r="H130" s="126">
        <v>22942</v>
      </c>
      <c r="I130" s="126">
        <v>14975</v>
      </c>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row r="131" spans="2:90">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row>
    <row r="132" spans="2:90">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2:90">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CX133"/>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AE45" sqref="AE45:AE47"/>
    </sheetView>
  </sheetViews>
  <sheetFormatPr baseColWidth="10" defaultRowHeight="12.75"/>
  <cols>
    <col min="1" max="1" width="4" customWidth="1"/>
    <col min="2" max="2" width="39" style="58" customWidth="1"/>
    <col min="3" max="3" width="6.85546875" style="198" customWidth="1"/>
    <col min="4" max="4" width="12.5703125" customWidth="1"/>
    <col min="5" max="5" width="8.7109375" style="457" customWidth="1"/>
    <col min="6" max="89" width="11.42578125" style="126" customWidth="1"/>
    <col min="90" max="90" width="17.85546875" style="126" customWidth="1"/>
  </cols>
  <sheetData>
    <row r="1" spans="1:91" ht="13.5" thickBot="1">
      <c r="B1" s="70" t="s">
        <v>187</v>
      </c>
      <c r="E1" s="449"/>
    </row>
    <row r="2" spans="1:91">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c r="A7" s="80">
        <f>ROWS($A$3:A5)</f>
        <v>3</v>
      </c>
      <c r="B7" s="92" t="s">
        <v>60</v>
      </c>
      <c r="C7" s="202">
        <v>2016</v>
      </c>
      <c r="D7" s="259" t="s">
        <v>1</v>
      </c>
      <c r="E7" s="447">
        <v>43320</v>
      </c>
      <c r="F7" s="154">
        <f t="shared" ref="F7:F13" si="0">SUM(AT7:BF7)</f>
        <v>1055684</v>
      </c>
      <c r="G7" s="155">
        <f t="shared" ref="G7:G13" si="1">SUM(BG7:BR7)</f>
        <v>691802</v>
      </c>
      <c r="H7" s="155">
        <f t="shared" ref="H7:H13" si="2">SUM(BS7:CB7)</f>
        <v>935634</v>
      </c>
      <c r="I7" s="156">
        <f t="shared" ref="I7:I13" si="3">SUM(CC7:CK7)</f>
        <v>891706</v>
      </c>
      <c r="J7" s="137"/>
      <c r="K7" s="154">
        <f t="shared" ref="K7:K20" si="4">BF7</f>
        <v>151137</v>
      </c>
      <c r="L7" s="155">
        <f t="shared" ref="L7:L20" si="5">AY7</f>
        <v>85808</v>
      </c>
      <c r="M7" s="155">
        <f t="shared" ref="M7:M20" si="6">BD7</f>
        <v>130413</v>
      </c>
      <c r="N7" s="155">
        <f t="shared" ref="N7:N20" si="7">AW7</f>
        <v>64234</v>
      </c>
      <c r="O7" s="155">
        <f t="shared" ref="O7:O20" si="8">BE7</f>
        <v>62714</v>
      </c>
      <c r="P7" s="155">
        <f>'2017'!AZ7+'2017'!BA7</f>
        <v>119980</v>
      </c>
      <c r="Q7" s="155">
        <f>'2017'!AU7</f>
        <v>61777</v>
      </c>
      <c r="R7" s="155">
        <f>AT7+AX7</f>
        <v>89410</v>
      </c>
      <c r="S7" s="155">
        <f t="shared" ref="S7:S20" si="9">AV7</f>
        <v>64128</v>
      </c>
      <c r="T7" s="155">
        <f t="shared" ref="T7:U20" si="10">BB7</f>
        <v>77676</v>
      </c>
      <c r="U7" s="552">
        <f t="shared" si="10"/>
        <v>148407</v>
      </c>
      <c r="V7" s="155">
        <f t="shared" ref="V7:V13" si="11">BG7+BJ7</f>
        <v>87862</v>
      </c>
      <c r="W7" s="155">
        <f t="shared" ref="W7:W20" si="12">BR7</f>
        <v>87039</v>
      </c>
      <c r="X7" s="155">
        <f t="shared" ref="X7:X13" si="13">BH7+BI7</f>
        <v>125870</v>
      </c>
      <c r="Y7" s="155">
        <f t="shared" ref="Y7:Y13" si="14">BK7+BL7+BN7</f>
        <v>131541</v>
      </c>
      <c r="Z7" s="155">
        <f t="shared" ref="Z7:Z20" si="15">BM7</f>
        <v>112594</v>
      </c>
      <c r="AA7" s="155">
        <f t="shared" ref="AA7:AA12" si="16">BO7+BQ7</f>
        <v>67167</v>
      </c>
      <c r="AB7" s="552">
        <f t="shared" ref="AB7:AB20" si="17">BP7</f>
        <v>79729</v>
      </c>
      <c r="AC7" s="155">
        <f t="shared" ref="AC7:AC20" si="18">BX7</f>
        <v>102533</v>
      </c>
      <c r="AD7" s="155">
        <f t="shared" ref="AD7:AD20" si="19">BU7</f>
        <v>67979</v>
      </c>
      <c r="AE7" s="155">
        <f t="shared" ref="AE7:AE13" si="20">BS7+BT7</f>
        <v>153135</v>
      </c>
      <c r="AF7" s="155">
        <f t="shared" ref="AF7:AF20" si="21">CA7</f>
        <v>80671</v>
      </c>
      <c r="AG7" s="155">
        <f t="shared" ref="AG7:AG20" si="22">BV7</f>
        <v>186028</v>
      </c>
      <c r="AH7" s="155">
        <f t="shared" ref="AH7:AH20" si="23">BZ7</f>
        <v>81798</v>
      </c>
      <c r="AI7" s="155">
        <f t="shared" ref="AI7:AI20" si="24">BW7</f>
        <v>76942</v>
      </c>
      <c r="AJ7" s="155">
        <f t="shared" ref="AJ7:AJ20" si="25">BY7</f>
        <v>73438</v>
      </c>
      <c r="AK7" s="552">
        <f t="shared" ref="AK7:AK20" si="26">CB7</f>
        <v>113110</v>
      </c>
      <c r="AL7" s="155">
        <f t="shared" ref="AL7:AL20" si="27">CE7</f>
        <v>91758</v>
      </c>
      <c r="AM7" s="155">
        <f t="shared" ref="AM7:AM20" si="28">CH7</f>
        <v>140953</v>
      </c>
      <c r="AN7" s="155">
        <f t="shared" ref="AN7:AN20" si="29">CJ7</f>
        <v>163210</v>
      </c>
      <c r="AO7" s="155">
        <f t="shared" ref="AO7:AP20" si="30">CC7</f>
        <v>109248</v>
      </c>
      <c r="AP7" s="155">
        <f t="shared" si="30"/>
        <v>51912</v>
      </c>
      <c r="AQ7" s="155">
        <f t="shared" ref="AQ7:AQ20" si="31">CK7</f>
        <v>120423</v>
      </c>
      <c r="AR7" s="155">
        <f t="shared" ref="AR7:AR20" si="32">CI7</f>
        <v>66479</v>
      </c>
      <c r="AS7" s="156">
        <f t="shared" ref="AS7:AS13" si="33">CF7+CG7</f>
        <v>147723</v>
      </c>
      <c r="AT7" s="534">
        <v>20733</v>
      </c>
      <c r="AU7" s="534">
        <v>61777</v>
      </c>
      <c r="AV7" s="534">
        <v>64128</v>
      </c>
      <c r="AW7" s="534">
        <v>64234</v>
      </c>
      <c r="AX7" s="534">
        <v>68677</v>
      </c>
      <c r="AY7" s="534">
        <v>85808</v>
      </c>
      <c r="AZ7" s="534">
        <v>9989</v>
      </c>
      <c r="BA7" s="534">
        <v>109991</v>
      </c>
      <c r="BB7" s="534">
        <v>77676</v>
      </c>
      <c r="BC7" s="534">
        <v>148407</v>
      </c>
      <c r="BD7" s="534">
        <v>130413</v>
      </c>
      <c r="BE7" s="534">
        <v>62714</v>
      </c>
      <c r="BF7" s="557">
        <v>151137</v>
      </c>
      <c r="BG7" s="534">
        <v>14019</v>
      </c>
      <c r="BH7" s="534">
        <v>17342</v>
      </c>
      <c r="BI7" s="534">
        <v>108528</v>
      </c>
      <c r="BJ7" s="534">
        <v>73843</v>
      </c>
      <c r="BK7" s="534">
        <v>10889</v>
      </c>
      <c r="BL7" s="534">
        <v>14497</v>
      </c>
      <c r="BM7" s="534">
        <v>112594</v>
      </c>
      <c r="BN7" s="534">
        <v>106155</v>
      </c>
      <c r="BO7" s="534">
        <v>9807</v>
      </c>
      <c r="BP7" s="534">
        <v>79729</v>
      </c>
      <c r="BQ7" s="534">
        <v>57360</v>
      </c>
      <c r="BR7" s="557">
        <v>87039</v>
      </c>
      <c r="BS7" s="534">
        <v>15304</v>
      </c>
      <c r="BT7" s="534">
        <v>137831</v>
      </c>
      <c r="BU7" s="534">
        <v>67979</v>
      </c>
      <c r="BV7" s="534">
        <v>186028</v>
      </c>
      <c r="BW7" s="534">
        <v>76942</v>
      </c>
      <c r="BX7" s="534">
        <v>102533</v>
      </c>
      <c r="BY7" s="534">
        <v>73438</v>
      </c>
      <c r="BZ7" s="534">
        <v>81798</v>
      </c>
      <c r="CA7" s="534">
        <v>80671</v>
      </c>
      <c r="CB7" s="557">
        <v>113110</v>
      </c>
      <c r="CC7" s="534">
        <v>109248</v>
      </c>
      <c r="CD7" s="534">
        <v>51912</v>
      </c>
      <c r="CE7" s="534">
        <v>91758</v>
      </c>
      <c r="CF7" s="534">
        <v>11868</v>
      </c>
      <c r="CG7" s="534">
        <v>135855</v>
      </c>
      <c r="CH7" s="534">
        <v>140953</v>
      </c>
      <c r="CI7" s="534">
        <v>66479</v>
      </c>
      <c r="CJ7" s="534">
        <v>163210</v>
      </c>
      <c r="CK7" s="534">
        <v>120423</v>
      </c>
      <c r="CL7" s="553">
        <v>3574828</v>
      </c>
      <c r="CM7" s="422"/>
    </row>
    <row r="8" spans="1:91" ht="14.25">
      <c r="A8" s="80">
        <f>ROWS($A$3:A6)</f>
        <v>4</v>
      </c>
      <c r="B8" s="92" t="s">
        <v>242</v>
      </c>
      <c r="C8" s="203"/>
      <c r="D8" s="259" t="s">
        <v>1</v>
      </c>
      <c r="E8" s="447">
        <v>43320</v>
      </c>
      <c r="F8" s="154">
        <f t="shared" si="0"/>
        <v>175931</v>
      </c>
      <c r="G8" s="155">
        <f t="shared" si="1"/>
        <v>115050</v>
      </c>
      <c r="H8" s="155">
        <f t="shared" si="2"/>
        <v>114493</v>
      </c>
      <c r="I8" s="156">
        <f t="shared" si="3"/>
        <v>111961</v>
      </c>
      <c r="J8" s="137"/>
      <c r="K8" s="154">
        <f t="shared" si="4"/>
        <v>19685</v>
      </c>
      <c r="L8" s="155">
        <f t="shared" si="5"/>
        <v>15247</v>
      </c>
      <c r="M8" s="155">
        <f t="shared" si="6"/>
        <v>14233</v>
      </c>
      <c r="N8" s="155">
        <f t="shared" si="7"/>
        <v>10650</v>
      </c>
      <c r="O8" s="155">
        <f t="shared" si="8"/>
        <v>7940</v>
      </c>
      <c r="P8" s="155">
        <f>'2017'!AZ8+'2017'!BA8</f>
        <v>22940</v>
      </c>
      <c r="Q8" s="155">
        <f>'2017'!AU8</f>
        <v>14054</v>
      </c>
      <c r="R8" s="155">
        <f>AT8+AX8</f>
        <v>27526</v>
      </c>
      <c r="S8" s="155">
        <f t="shared" si="9"/>
        <v>15925</v>
      </c>
      <c r="T8" s="155">
        <f t="shared" si="10"/>
        <v>10242</v>
      </c>
      <c r="U8" s="552">
        <f t="shared" si="10"/>
        <v>17489</v>
      </c>
      <c r="V8" s="155">
        <f t="shared" si="11"/>
        <v>12608</v>
      </c>
      <c r="W8" s="155">
        <f t="shared" si="12"/>
        <v>8477</v>
      </c>
      <c r="X8" s="155">
        <f t="shared" si="13"/>
        <v>27776</v>
      </c>
      <c r="Y8" s="155">
        <f t="shared" si="14"/>
        <v>32750</v>
      </c>
      <c r="Z8" s="155">
        <f t="shared" si="15"/>
        <v>12082</v>
      </c>
      <c r="AA8" s="155">
        <f t="shared" si="16"/>
        <v>12348</v>
      </c>
      <c r="AB8" s="552">
        <f t="shared" si="17"/>
        <v>9009</v>
      </c>
      <c r="AC8" s="155">
        <f t="shared" si="18"/>
        <v>11917</v>
      </c>
      <c r="AD8" s="155">
        <f t="shared" si="19"/>
        <v>7617</v>
      </c>
      <c r="AE8" s="155">
        <f t="shared" si="20"/>
        <v>19397</v>
      </c>
      <c r="AF8" s="155">
        <f t="shared" si="21"/>
        <v>10371</v>
      </c>
      <c r="AG8" s="155">
        <f t="shared" si="22"/>
        <v>22058</v>
      </c>
      <c r="AH8" s="155">
        <f t="shared" si="23"/>
        <v>12802</v>
      </c>
      <c r="AI8" s="155">
        <f t="shared" si="24"/>
        <v>9989</v>
      </c>
      <c r="AJ8" s="155">
        <f t="shared" si="25"/>
        <v>8684</v>
      </c>
      <c r="AK8" s="552">
        <f t="shared" si="26"/>
        <v>11658</v>
      </c>
      <c r="AL8" s="155">
        <f t="shared" si="27"/>
        <v>12422</v>
      </c>
      <c r="AM8" s="155">
        <f t="shared" si="28"/>
        <v>16619</v>
      </c>
      <c r="AN8" s="155">
        <f t="shared" si="29"/>
        <v>17440</v>
      </c>
      <c r="AO8" s="155">
        <f t="shared" si="30"/>
        <v>14468</v>
      </c>
      <c r="AP8" s="155">
        <f t="shared" si="30"/>
        <v>9377</v>
      </c>
      <c r="AQ8" s="155">
        <f t="shared" si="31"/>
        <v>12025</v>
      </c>
      <c r="AR8" s="155">
        <f t="shared" si="32"/>
        <v>9929</v>
      </c>
      <c r="AS8" s="156">
        <f t="shared" si="33"/>
        <v>19681</v>
      </c>
      <c r="AT8" s="534">
        <v>10703</v>
      </c>
      <c r="AU8" s="534">
        <v>14054</v>
      </c>
      <c r="AV8" s="534">
        <v>15925</v>
      </c>
      <c r="AW8" s="534">
        <v>10650</v>
      </c>
      <c r="AX8" s="534">
        <v>16823</v>
      </c>
      <c r="AY8" s="534">
        <v>15247</v>
      </c>
      <c r="AZ8" s="534">
        <v>3587</v>
      </c>
      <c r="BA8" s="534">
        <v>19353</v>
      </c>
      <c r="BB8" s="534">
        <v>10242</v>
      </c>
      <c r="BC8" s="534">
        <v>17489</v>
      </c>
      <c r="BD8" s="534">
        <v>14233</v>
      </c>
      <c r="BE8" s="534">
        <v>7940</v>
      </c>
      <c r="BF8" s="557">
        <v>19685</v>
      </c>
      <c r="BG8" s="534">
        <v>2073</v>
      </c>
      <c r="BH8" s="534">
        <v>8084</v>
      </c>
      <c r="BI8" s="534">
        <v>19692</v>
      </c>
      <c r="BJ8" s="534">
        <v>10535</v>
      </c>
      <c r="BK8" s="534">
        <v>3309</v>
      </c>
      <c r="BL8" s="534">
        <v>8430</v>
      </c>
      <c r="BM8" s="534">
        <v>12082</v>
      </c>
      <c r="BN8" s="534">
        <v>21011</v>
      </c>
      <c r="BO8" s="534">
        <v>3056</v>
      </c>
      <c r="BP8" s="534">
        <v>9009</v>
      </c>
      <c r="BQ8" s="534">
        <v>9292</v>
      </c>
      <c r="BR8" s="557">
        <v>8477</v>
      </c>
      <c r="BS8" s="534">
        <v>4901</v>
      </c>
      <c r="BT8" s="534">
        <v>14496</v>
      </c>
      <c r="BU8" s="534">
        <v>7617</v>
      </c>
      <c r="BV8" s="534">
        <v>22058</v>
      </c>
      <c r="BW8" s="534">
        <v>9989</v>
      </c>
      <c r="BX8" s="534">
        <v>11917</v>
      </c>
      <c r="BY8" s="534">
        <v>8684</v>
      </c>
      <c r="BZ8" s="534">
        <v>12802</v>
      </c>
      <c r="CA8" s="534">
        <v>10371</v>
      </c>
      <c r="CB8" s="557">
        <v>11658</v>
      </c>
      <c r="CC8" s="534">
        <v>14468</v>
      </c>
      <c r="CD8" s="534">
        <v>9377</v>
      </c>
      <c r="CE8" s="534">
        <v>12422</v>
      </c>
      <c r="CF8" s="534">
        <v>3906</v>
      </c>
      <c r="CG8" s="534">
        <v>15775</v>
      </c>
      <c r="CH8" s="534">
        <v>16619</v>
      </c>
      <c r="CI8" s="534">
        <v>9929</v>
      </c>
      <c r="CJ8" s="534">
        <v>17440</v>
      </c>
      <c r="CK8" s="534">
        <v>12025</v>
      </c>
      <c r="CL8" s="320">
        <v>517434</v>
      </c>
      <c r="CM8" s="422"/>
    </row>
    <row r="9" spans="1:91">
      <c r="A9" s="80">
        <f>ROWS($A$3:A7)</f>
        <v>5</v>
      </c>
      <c r="B9" s="92" t="s">
        <v>0</v>
      </c>
      <c r="C9" s="203"/>
      <c r="D9" s="259" t="s">
        <v>1</v>
      </c>
      <c r="E9" s="447">
        <v>43320</v>
      </c>
      <c r="F9" s="154">
        <f t="shared" si="0"/>
        <v>527566</v>
      </c>
      <c r="G9" s="155">
        <f t="shared" si="1"/>
        <v>250635</v>
      </c>
      <c r="H9" s="155">
        <f t="shared" si="2"/>
        <v>369453</v>
      </c>
      <c r="I9" s="156">
        <f t="shared" si="3"/>
        <v>471280</v>
      </c>
      <c r="J9" s="137"/>
      <c r="K9" s="154">
        <f t="shared" si="4"/>
        <v>70367</v>
      </c>
      <c r="L9" s="155">
        <f t="shared" si="5"/>
        <v>35947</v>
      </c>
      <c r="M9" s="155">
        <f t="shared" si="6"/>
        <v>75228</v>
      </c>
      <c r="N9" s="155">
        <f t="shared" si="7"/>
        <v>32115</v>
      </c>
      <c r="O9" s="155">
        <f t="shared" si="8"/>
        <v>26626</v>
      </c>
      <c r="P9" s="155">
        <f>'2017'!AZ9+'2017'!BA9</f>
        <v>65355</v>
      </c>
      <c r="Q9" s="155">
        <f>'2017'!AU9</f>
        <v>25549</v>
      </c>
      <c r="R9" s="155">
        <f t="shared" ref="R9:R16" si="34">AT9+AX9</f>
        <v>42452</v>
      </c>
      <c r="S9" s="155">
        <f t="shared" si="9"/>
        <v>28342</v>
      </c>
      <c r="T9" s="155">
        <f t="shared" si="10"/>
        <v>44108</v>
      </c>
      <c r="U9" s="552">
        <f t="shared" si="10"/>
        <v>81477</v>
      </c>
      <c r="V9" s="155">
        <f t="shared" si="11"/>
        <v>25737</v>
      </c>
      <c r="W9" s="155">
        <f t="shared" si="12"/>
        <v>22752</v>
      </c>
      <c r="X9" s="155">
        <f t="shared" si="13"/>
        <v>52315</v>
      </c>
      <c r="Y9" s="155">
        <f t="shared" si="14"/>
        <v>50719</v>
      </c>
      <c r="Z9" s="155">
        <f t="shared" si="15"/>
        <v>51630</v>
      </c>
      <c r="AA9" s="155">
        <f t="shared" si="16"/>
        <v>26921</v>
      </c>
      <c r="AB9" s="552">
        <f t="shared" si="17"/>
        <v>20561</v>
      </c>
      <c r="AC9" s="155">
        <f t="shared" si="18"/>
        <v>42310</v>
      </c>
      <c r="AD9" s="155">
        <f t="shared" si="19"/>
        <v>27398</v>
      </c>
      <c r="AE9" s="155">
        <f t="shared" si="20"/>
        <v>58069</v>
      </c>
      <c r="AF9" s="155">
        <f t="shared" si="21"/>
        <v>27445</v>
      </c>
      <c r="AG9" s="155">
        <f t="shared" si="22"/>
        <v>70347</v>
      </c>
      <c r="AH9" s="155">
        <f t="shared" si="23"/>
        <v>40120</v>
      </c>
      <c r="AI9" s="155">
        <f t="shared" si="24"/>
        <v>32759</v>
      </c>
      <c r="AJ9" s="155">
        <f t="shared" si="25"/>
        <v>27144</v>
      </c>
      <c r="AK9" s="552">
        <f t="shared" si="26"/>
        <v>43861</v>
      </c>
      <c r="AL9" s="155">
        <f t="shared" si="27"/>
        <v>40772</v>
      </c>
      <c r="AM9" s="155">
        <f t="shared" si="28"/>
        <v>81642</v>
      </c>
      <c r="AN9" s="155">
        <f t="shared" si="29"/>
        <v>94223</v>
      </c>
      <c r="AO9" s="155">
        <f t="shared" si="30"/>
        <v>51878</v>
      </c>
      <c r="AP9" s="155">
        <f t="shared" si="30"/>
        <v>23699</v>
      </c>
      <c r="AQ9" s="155">
        <f t="shared" si="31"/>
        <v>59517</v>
      </c>
      <c r="AR9" s="155">
        <f t="shared" si="32"/>
        <v>36825</v>
      </c>
      <c r="AS9" s="156">
        <f t="shared" si="33"/>
        <v>82724</v>
      </c>
      <c r="AT9" s="534">
        <v>4735</v>
      </c>
      <c r="AU9" s="534">
        <v>25549</v>
      </c>
      <c r="AV9" s="534">
        <v>28342</v>
      </c>
      <c r="AW9" s="534">
        <v>32115</v>
      </c>
      <c r="AX9" s="534">
        <v>37717</v>
      </c>
      <c r="AY9" s="534">
        <v>35947</v>
      </c>
      <c r="AZ9" s="534">
        <v>4705</v>
      </c>
      <c r="BA9" s="534">
        <v>60650</v>
      </c>
      <c r="BB9" s="534">
        <v>44108</v>
      </c>
      <c r="BC9" s="534">
        <v>81477</v>
      </c>
      <c r="BD9" s="534">
        <v>75228</v>
      </c>
      <c r="BE9" s="534">
        <v>26626</v>
      </c>
      <c r="BF9" s="557">
        <v>70367</v>
      </c>
      <c r="BG9" s="534">
        <v>3108</v>
      </c>
      <c r="BH9" s="534">
        <v>3922</v>
      </c>
      <c r="BI9" s="534">
        <v>48393</v>
      </c>
      <c r="BJ9" s="534">
        <v>22629</v>
      </c>
      <c r="BK9" s="534">
        <v>2860</v>
      </c>
      <c r="BL9" s="534">
        <v>3452</v>
      </c>
      <c r="BM9" s="534">
        <v>51630</v>
      </c>
      <c r="BN9" s="534">
        <v>44407</v>
      </c>
      <c r="BO9" s="534">
        <v>1637</v>
      </c>
      <c r="BP9" s="534">
        <v>20561</v>
      </c>
      <c r="BQ9" s="534">
        <v>25284</v>
      </c>
      <c r="BR9" s="557">
        <v>22752</v>
      </c>
      <c r="BS9" s="534">
        <v>3578</v>
      </c>
      <c r="BT9" s="534">
        <v>54491</v>
      </c>
      <c r="BU9" s="534">
        <v>27398</v>
      </c>
      <c r="BV9" s="534">
        <v>70347</v>
      </c>
      <c r="BW9" s="534">
        <v>32759</v>
      </c>
      <c r="BX9" s="534">
        <v>42310</v>
      </c>
      <c r="BY9" s="534">
        <v>27144</v>
      </c>
      <c r="BZ9" s="534">
        <v>40120</v>
      </c>
      <c r="CA9" s="534">
        <v>27445</v>
      </c>
      <c r="CB9" s="557">
        <v>43861</v>
      </c>
      <c r="CC9" s="534">
        <v>51878</v>
      </c>
      <c r="CD9" s="534">
        <v>23699</v>
      </c>
      <c r="CE9" s="534">
        <v>40772</v>
      </c>
      <c r="CF9" s="534">
        <v>5370</v>
      </c>
      <c r="CG9" s="534">
        <v>77354</v>
      </c>
      <c r="CH9" s="534">
        <v>81642</v>
      </c>
      <c r="CI9" s="534">
        <v>36825</v>
      </c>
      <c r="CJ9" s="534">
        <v>94223</v>
      </c>
      <c r="CK9" s="534">
        <v>59517</v>
      </c>
      <c r="CL9" s="320">
        <v>1618933</v>
      </c>
      <c r="CM9" s="422"/>
    </row>
    <row r="10" spans="1:91">
      <c r="A10" s="80">
        <f>ROWS($A$3:A8)</f>
        <v>6</v>
      </c>
      <c r="B10" s="92" t="s">
        <v>202</v>
      </c>
      <c r="C10" s="203"/>
      <c r="D10" s="259" t="s">
        <v>1</v>
      </c>
      <c r="E10" s="447">
        <v>43320</v>
      </c>
      <c r="F10" s="154">
        <f t="shared" si="0"/>
        <v>331332</v>
      </c>
      <c r="G10" s="155">
        <f t="shared" si="1"/>
        <v>306892</v>
      </c>
      <c r="H10" s="155">
        <f t="shared" si="2"/>
        <v>427588</v>
      </c>
      <c r="I10" s="156">
        <f t="shared" si="3"/>
        <v>286755</v>
      </c>
      <c r="J10" s="137"/>
      <c r="K10" s="154">
        <f t="shared" si="4"/>
        <v>58532</v>
      </c>
      <c r="L10" s="155">
        <f t="shared" si="5"/>
        <v>33507</v>
      </c>
      <c r="M10" s="155">
        <f t="shared" si="6"/>
        <v>38055</v>
      </c>
      <c r="N10" s="155">
        <f t="shared" si="7"/>
        <v>20405</v>
      </c>
      <c r="O10" s="155">
        <f t="shared" si="8"/>
        <v>26892</v>
      </c>
      <c r="P10" s="155">
        <f>'2017'!AZ10+'2017'!BA10</f>
        <v>29126</v>
      </c>
      <c r="Q10" s="155">
        <f>'2017'!AU10</f>
        <v>21180</v>
      </c>
      <c r="R10" s="155">
        <f t="shared" si="34"/>
        <v>17233</v>
      </c>
      <c r="S10" s="155">
        <f t="shared" si="9"/>
        <v>18572</v>
      </c>
      <c r="T10" s="155">
        <f t="shared" si="10"/>
        <v>21258</v>
      </c>
      <c r="U10" s="552">
        <f t="shared" si="10"/>
        <v>46572</v>
      </c>
      <c r="V10" s="155">
        <f t="shared" si="11"/>
        <v>45557</v>
      </c>
      <c r="W10" s="155">
        <f t="shared" si="12"/>
        <v>54167</v>
      </c>
      <c r="X10" s="155">
        <f t="shared" si="13"/>
        <v>40765</v>
      </c>
      <c r="Y10" s="155">
        <f t="shared" si="14"/>
        <v>43754</v>
      </c>
      <c r="Z10" s="155">
        <f t="shared" si="15"/>
        <v>46842</v>
      </c>
      <c r="AA10" s="155">
        <f t="shared" si="16"/>
        <v>26822</v>
      </c>
      <c r="AB10" s="552">
        <f t="shared" si="17"/>
        <v>48985</v>
      </c>
      <c r="AC10" s="155">
        <f t="shared" si="18"/>
        <v>46691</v>
      </c>
      <c r="AD10" s="155">
        <f t="shared" si="19"/>
        <v>30938</v>
      </c>
      <c r="AE10" s="155">
        <f t="shared" si="20"/>
        <v>71358</v>
      </c>
      <c r="AF10" s="155">
        <f t="shared" si="21"/>
        <v>40590</v>
      </c>
      <c r="AG10" s="155">
        <f t="shared" si="22"/>
        <v>87440</v>
      </c>
      <c r="AH10" s="155">
        <f t="shared" si="23"/>
        <v>26774</v>
      </c>
      <c r="AI10" s="155">
        <f t="shared" si="24"/>
        <v>32640</v>
      </c>
      <c r="AJ10" s="155">
        <f t="shared" si="25"/>
        <v>36538</v>
      </c>
      <c r="AK10" s="552">
        <f t="shared" si="26"/>
        <v>54619</v>
      </c>
      <c r="AL10" s="155">
        <f t="shared" si="27"/>
        <v>37038</v>
      </c>
      <c r="AM10" s="155">
        <f t="shared" si="28"/>
        <v>39395</v>
      </c>
      <c r="AN10" s="155">
        <f t="shared" si="29"/>
        <v>45515</v>
      </c>
      <c r="AO10" s="155">
        <f t="shared" si="30"/>
        <v>40459</v>
      </c>
      <c r="AP10" s="155">
        <f t="shared" si="30"/>
        <v>17764</v>
      </c>
      <c r="AQ10" s="155">
        <f t="shared" si="31"/>
        <v>46117</v>
      </c>
      <c r="AR10" s="155">
        <f t="shared" si="32"/>
        <v>18467</v>
      </c>
      <c r="AS10" s="156">
        <f t="shared" si="33"/>
        <v>42000</v>
      </c>
      <c r="AT10" s="534">
        <v>4877</v>
      </c>
      <c r="AU10" s="534">
        <v>21180</v>
      </c>
      <c r="AV10" s="534">
        <v>18572</v>
      </c>
      <c r="AW10" s="534">
        <v>20405</v>
      </c>
      <c r="AX10" s="534">
        <v>12356</v>
      </c>
      <c r="AY10" s="534">
        <v>33507</v>
      </c>
      <c r="AZ10" s="534">
        <v>1344</v>
      </c>
      <c r="BA10" s="534">
        <v>27782</v>
      </c>
      <c r="BB10" s="534">
        <v>21258</v>
      </c>
      <c r="BC10" s="534">
        <v>46572</v>
      </c>
      <c r="BD10" s="534">
        <v>38055</v>
      </c>
      <c r="BE10" s="534">
        <v>26892</v>
      </c>
      <c r="BF10" s="557">
        <v>58532</v>
      </c>
      <c r="BG10" s="534">
        <v>8526</v>
      </c>
      <c r="BH10" s="534">
        <v>4454</v>
      </c>
      <c r="BI10" s="534">
        <v>36311</v>
      </c>
      <c r="BJ10" s="534">
        <v>37031</v>
      </c>
      <c r="BK10" s="534">
        <v>4400</v>
      </c>
      <c r="BL10" s="534">
        <v>1735</v>
      </c>
      <c r="BM10" s="534">
        <v>46842</v>
      </c>
      <c r="BN10" s="534">
        <v>37619</v>
      </c>
      <c r="BO10" s="534">
        <v>5004</v>
      </c>
      <c r="BP10" s="534">
        <v>48985</v>
      </c>
      <c r="BQ10" s="534">
        <v>21818</v>
      </c>
      <c r="BR10" s="557">
        <v>54167</v>
      </c>
      <c r="BS10" s="534">
        <v>6507</v>
      </c>
      <c r="BT10" s="534">
        <v>64851</v>
      </c>
      <c r="BU10" s="534">
        <v>30938</v>
      </c>
      <c r="BV10" s="534">
        <v>87440</v>
      </c>
      <c r="BW10" s="534">
        <v>32640</v>
      </c>
      <c r="BX10" s="534">
        <v>46691</v>
      </c>
      <c r="BY10" s="534">
        <v>36538</v>
      </c>
      <c r="BZ10" s="534">
        <v>26774</v>
      </c>
      <c r="CA10" s="534">
        <v>40590</v>
      </c>
      <c r="CB10" s="557">
        <v>54619</v>
      </c>
      <c r="CC10" s="534">
        <v>40459</v>
      </c>
      <c r="CD10" s="534">
        <v>17764</v>
      </c>
      <c r="CE10" s="534">
        <v>37038</v>
      </c>
      <c r="CF10" s="534">
        <v>2230</v>
      </c>
      <c r="CG10" s="534">
        <v>39770</v>
      </c>
      <c r="CH10" s="534">
        <v>39395</v>
      </c>
      <c r="CI10" s="534">
        <v>18467</v>
      </c>
      <c r="CJ10" s="534">
        <v>45515</v>
      </c>
      <c r="CK10" s="534">
        <v>46117</v>
      </c>
      <c r="CL10" s="320">
        <v>1352564</v>
      </c>
      <c r="CM10" s="422"/>
    </row>
    <row r="11" spans="1:91">
      <c r="A11" s="80">
        <f>ROWS($A$3:A9)</f>
        <v>7</v>
      </c>
      <c r="B11" s="92" t="s">
        <v>2</v>
      </c>
      <c r="C11" s="203"/>
      <c r="D11" s="259" t="s">
        <v>1</v>
      </c>
      <c r="E11" s="447">
        <v>43320</v>
      </c>
      <c r="F11" s="154">
        <f t="shared" si="0"/>
        <v>9042</v>
      </c>
      <c r="G11" s="155">
        <f t="shared" si="1"/>
        <v>10134</v>
      </c>
      <c r="H11" s="155">
        <f t="shared" si="2"/>
        <v>11783</v>
      </c>
      <c r="I11" s="156">
        <f t="shared" si="3"/>
        <v>7933</v>
      </c>
      <c r="J11" s="137"/>
      <c r="K11" s="154">
        <f t="shared" si="4"/>
        <v>1168</v>
      </c>
      <c r="L11" s="155">
        <f t="shared" si="5"/>
        <v>539</v>
      </c>
      <c r="M11" s="155">
        <f t="shared" si="6"/>
        <v>1066</v>
      </c>
      <c r="N11" s="155">
        <f t="shared" si="7"/>
        <v>295</v>
      </c>
      <c r="O11" s="155">
        <f t="shared" si="8"/>
        <v>255</v>
      </c>
      <c r="P11" s="155">
        <f>'2017'!AZ11+'2017'!BA11</f>
        <v>1462</v>
      </c>
      <c r="Q11" s="155">
        <f>'2017'!AU11</f>
        <v>256</v>
      </c>
      <c r="R11" s="155">
        <f t="shared" si="34"/>
        <v>1185</v>
      </c>
      <c r="S11" s="155">
        <f t="shared" si="9"/>
        <v>613</v>
      </c>
      <c r="T11" s="155">
        <f t="shared" si="10"/>
        <v>829</v>
      </c>
      <c r="U11" s="552">
        <f t="shared" si="10"/>
        <v>1374</v>
      </c>
      <c r="V11" s="155">
        <f t="shared" si="11"/>
        <v>2357</v>
      </c>
      <c r="W11" s="155">
        <f t="shared" si="12"/>
        <v>520</v>
      </c>
      <c r="X11" s="155">
        <f t="shared" si="13"/>
        <v>3092</v>
      </c>
      <c r="Y11" s="155">
        <f t="shared" si="14"/>
        <v>2680</v>
      </c>
      <c r="Z11" s="155">
        <f t="shared" si="15"/>
        <v>760</v>
      </c>
      <c r="AA11" s="155">
        <f t="shared" si="16"/>
        <v>400</v>
      </c>
      <c r="AB11" s="552">
        <f t="shared" si="17"/>
        <v>325</v>
      </c>
      <c r="AC11" s="155">
        <f t="shared" si="18"/>
        <v>677</v>
      </c>
      <c r="AD11" s="155">
        <f t="shared" si="19"/>
        <v>980</v>
      </c>
      <c r="AE11" s="155">
        <f t="shared" si="20"/>
        <v>2242</v>
      </c>
      <c r="AF11" s="155">
        <f t="shared" si="21"/>
        <v>922</v>
      </c>
      <c r="AG11" s="155">
        <f t="shared" si="22"/>
        <v>3736</v>
      </c>
      <c r="AH11" s="155">
        <f t="shared" si="23"/>
        <v>955</v>
      </c>
      <c r="AI11" s="155">
        <f t="shared" si="24"/>
        <v>458</v>
      </c>
      <c r="AJ11" s="155">
        <f t="shared" si="25"/>
        <v>353</v>
      </c>
      <c r="AK11" s="552">
        <f t="shared" si="26"/>
        <v>1460</v>
      </c>
      <c r="AL11" s="155">
        <f t="shared" si="27"/>
        <v>380</v>
      </c>
      <c r="AM11" s="155">
        <f t="shared" si="28"/>
        <v>1530</v>
      </c>
      <c r="AN11" s="155">
        <f t="shared" si="29"/>
        <v>2184</v>
      </c>
      <c r="AO11" s="155">
        <f t="shared" si="30"/>
        <v>273</v>
      </c>
      <c r="AP11" s="155">
        <f t="shared" si="30"/>
        <v>474</v>
      </c>
      <c r="AQ11" s="155">
        <f t="shared" si="31"/>
        <v>1123</v>
      </c>
      <c r="AR11" s="155">
        <f t="shared" si="32"/>
        <v>705</v>
      </c>
      <c r="AS11" s="156">
        <f t="shared" si="33"/>
        <v>1264</v>
      </c>
      <c r="AT11" s="466">
        <v>273</v>
      </c>
      <c r="AU11" s="466">
        <v>256</v>
      </c>
      <c r="AV11" s="466">
        <v>613</v>
      </c>
      <c r="AW11" s="466">
        <v>295</v>
      </c>
      <c r="AX11" s="466">
        <v>912</v>
      </c>
      <c r="AY11" s="466">
        <v>539</v>
      </c>
      <c r="AZ11" s="466">
        <v>219</v>
      </c>
      <c r="BA11" s="534">
        <v>1243</v>
      </c>
      <c r="BB11" s="466">
        <v>829</v>
      </c>
      <c r="BC11" s="534">
        <v>1374</v>
      </c>
      <c r="BD11" s="534">
        <v>1066</v>
      </c>
      <c r="BE11" s="466">
        <v>255</v>
      </c>
      <c r="BF11" s="557">
        <v>1168</v>
      </c>
      <c r="BG11" s="466">
        <v>136</v>
      </c>
      <c r="BH11" s="466">
        <v>702</v>
      </c>
      <c r="BI11" s="534">
        <v>2390</v>
      </c>
      <c r="BJ11" s="534">
        <v>2221</v>
      </c>
      <c r="BK11" s="466">
        <v>253</v>
      </c>
      <c r="BL11" s="466">
        <v>765</v>
      </c>
      <c r="BM11" s="466">
        <v>760</v>
      </c>
      <c r="BN11" s="534">
        <v>1662</v>
      </c>
      <c r="BO11" s="466">
        <v>73</v>
      </c>
      <c r="BP11" s="466">
        <v>325</v>
      </c>
      <c r="BQ11" s="466">
        <v>327</v>
      </c>
      <c r="BR11" s="558">
        <v>520</v>
      </c>
      <c r="BS11" s="466">
        <v>202</v>
      </c>
      <c r="BT11" s="534">
        <v>2040</v>
      </c>
      <c r="BU11" s="466">
        <v>980</v>
      </c>
      <c r="BV11" s="534">
        <v>3736</v>
      </c>
      <c r="BW11" s="466">
        <v>458</v>
      </c>
      <c r="BX11" s="466">
        <v>677</v>
      </c>
      <c r="BY11" s="466">
        <v>353</v>
      </c>
      <c r="BZ11" s="466">
        <v>955</v>
      </c>
      <c r="CA11" s="466">
        <v>922</v>
      </c>
      <c r="CB11" s="557">
        <v>1460</v>
      </c>
      <c r="CC11" s="466">
        <v>273</v>
      </c>
      <c r="CD11" s="466">
        <v>474</v>
      </c>
      <c r="CE11" s="466">
        <v>380</v>
      </c>
      <c r="CF11" s="466">
        <v>177</v>
      </c>
      <c r="CG11" s="534">
        <v>1087</v>
      </c>
      <c r="CH11" s="534">
        <v>1530</v>
      </c>
      <c r="CI11" s="466">
        <v>705</v>
      </c>
      <c r="CJ11" s="534">
        <v>2184</v>
      </c>
      <c r="CK11" s="534">
        <v>1123</v>
      </c>
      <c r="CL11" s="320">
        <v>38894</v>
      </c>
      <c r="CM11" s="422"/>
    </row>
    <row r="12" spans="1:91">
      <c r="A12" s="80">
        <f>ROWS($A$3:A10)</f>
        <v>8</v>
      </c>
      <c r="B12" s="92" t="s">
        <v>283</v>
      </c>
      <c r="C12" s="203"/>
      <c r="D12" s="259" t="s">
        <v>1</v>
      </c>
      <c r="E12" s="447">
        <v>43320</v>
      </c>
      <c r="F12" s="154">
        <f t="shared" si="0"/>
        <v>11813</v>
      </c>
      <c r="G12" s="155">
        <f t="shared" si="1"/>
        <v>9091</v>
      </c>
      <c r="H12" s="155">
        <f t="shared" si="2"/>
        <v>12317</v>
      </c>
      <c r="I12" s="156">
        <f t="shared" si="3"/>
        <v>13777</v>
      </c>
      <c r="J12" s="137"/>
      <c r="K12" s="154">
        <f t="shared" si="4"/>
        <v>1385</v>
      </c>
      <c r="L12" s="155">
        <f t="shared" si="5"/>
        <v>568</v>
      </c>
      <c r="M12" s="155">
        <f t="shared" si="6"/>
        <v>1831</v>
      </c>
      <c r="N12" s="155">
        <f t="shared" si="7"/>
        <v>769</v>
      </c>
      <c r="O12" s="155">
        <f t="shared" si="8"/>
        <v>1001</v>
      </c>
      <c r="P12" s="155">
        <f>'2017'!AZ12+'2017'!BA12</f>
        <v>1097</v>
      </c>
      <c r="Q12" s="155">
        <f>'2017'!AU12</f>
        <v>738</v>
      </c>
      <c r="R12" s="155">
        <f t="shared" si="34"/>
        <v>1014</v>
      </c>
      <c r="S12" s="155">
        <f t="shared" si="9"/>
        <v>676</v>
      </c>
      <c r="T12" s="155">
        <f t="shared" si="10"/>
        <v>1239</v>
      </c>
      <c r="U12" s="552">
        <f t="shared" si="10"/>
        <v>1495</v>
      </c>
      <c r="V12" s="155">
        <f t="shared" si="11"/>
        <v>1603</v>
      </c>
      <c r="W12" s="155">
        <f t="shared" si="12"/>
        <v>1123</v>
      </c>
      <c r="X12" s="155">
        <f t="shared" si="13"/>
        <v>1922</v>
      </c>
      <c r="Y12" s="155">
        <f t="shared" si="14"/>
        <v>1638</v>
      </c>
      <c r="Z12" s="155">
        <f t="shared" si="15"/>
        <v>1280</v>
      </c>
      <c r="AA12" s="155">
        <f t="shared" si="16"/>
        <v>676</v>
      </c>
      <c r="AB12" s="552">
        <f t="shared" si="17"/>
        <v>849</v>
      </c>
      <c r="AC12" s="155">
        <f t="shared" si="18"/>
        <v>938</v>
      </c>
      <c r="AD12" s="155">
        <f t="shared" si="19"/>
        <v>1046</v>
      </c>
      <c r="AE12" s="155">
        <f t="shared" si="20"/>
        <v>2069</v>
      </c>
      <c r="AF12" s="155">
        <f t="shared" si="21"/>
        <v>1343</v>
      </c>
      <c r="AG12" s="155">
        <f t="shared" si="22"/>
        <v>2447</v>
      </c>
      <c r="AH12" s="155">
        <f t="shared" si="23"/>
        <v>1147</v>
      </c>
      <c r="AI12" s="155">
        <f t="shared" si="24"/>
        <v>1096</v>
      </c>
      <c r="AJ12" s="155">
        <f t="shared" si="25"/>
        <v>719</v>
      </c>
      <c r="AK12" s="552">
        <f t="shared" si="26"/>
        <v>1512</v>
      </c>
      <c r="AL12" s="155">
        <f t="shared" si="27"/>
        <v>1146</v>
      </c>
      <c r="AM12" s="155">
        <f t="shared" si="28"/>
        <v>1767</v>
      </c>
      <c r="AN12" s="155">
        <f t="shared" si="29"/>
        <v>3848</v>
      </c>
      <c r="AO12" s="155">
        <f t="shared" si="30"/>
        <v>2170</v>
      </c>
      <c r="AP12" s="155">
        <f t="shared" si="30"/>
        <v>598</v>
      </c>
      <c r="AQ12" s="155">
        <f t="shared" si="31"/>
        <v>1641</v>
      </c>
      <c r="AR12" s="155">
        <f t="shared" si="32"/>
        <v>553</v>
      </c>
      <c r="AS12" s="156">
        <f t="shared" si="33"/>
        <v>2054</v>
      </c>
      <c r="AT12" s="281">
        <f>AT7-SUM(AT8:AT11)</f>
        <v>145</v>
      </c>
      <c r="AU12" s="155">
        <f t="shared" ref="AU12:CL12" si="35">AU7-SUM(AU8:AU11)</f>
        <v>738</v>
      </c>
      <c r="AV12" s="155">
        <f t="shared" si="35"/>
        <v>676</v>
      </c>
      <c r="AW12" s="155">
        <f t="shared" si="35"/>
        <v>769</v>
      </c>
      <c r="AX12" s="155">
        <f t="shared" si="35"/>
        <v>869</v>
      </c>
      <c r="AY12" s="155">
        <f t="shared" si="35"/>
        <v>568</v>
      </c>
      <c r="AZ12" s="155">
        <f t="shared" si="35"/>
        <v>134</v>
      </c>
      <c r="BA12" s="155">
        <f t="shared" si="35"/>
        <v>963</v>
      </c>
      <c r="BB12" s="155">
        <f t="shared" si="35"/>
        <v>1239</v>
      </c>
      <c r="BC12" s="155">
        <f t="shared" si="35"/>
        <v>1495</v>
      </c>
      <c r="BD12" s="155">
        <f t="shared" si="35"/>
        <v>1831</v>
      </c>
      <c r="BE12" s="155">
        <f t="shared" si="35"/>
        <v>1001</v>
      </c>
      <c r="BF12" s="552">
        <f t="shared" si="35"/>
        <v>1385</v>
      </c>
      <c r="BG12" s="155">
        <f t="shared" si="35"/>
        <v>176</v>
      </c>
      <c r="BH12" s="155">
        <f t="shared" si="35"/>
        <v>180</v>
      </c>
      <c r="BI12" s="155">
        <f t="shared" si="35"/>
        <v>1742</v>
      </c>
      <c r="BJ12" s="155">
        <f t="shared" si="35"/>
        <v>1427</v>
      </c>
      <c r="BK12" s="155">
        <f t="shared" si="35"/>
        <v>67</v>
      </c>
      <c r="BL12" s="155">
        <f t="shared" si="35"/>
        <v>115</v>
      </c>
      <c r="BM12" s="155">
        <f t="shared" si="35"/>
        <v>1280</v>
      </c>
      <c r="BN12" s="155">
        <f t="shared" si="35"/>
        <v>1456</v>
      </c>
      <c r="BO12" s="155">
        <f t="shared" si="35"/>
        <v>37</v>
      </c>
      <c r="BP12" s="155">
        <f t="shared" si="35"/>
        <v>849</v>
      </c>
      <c r="BQ12" s="155">
        <f t="shared" si="35"/>
        <v>639</v>
      </c>
      <c r="BR12" s="552">
        <f t="shared" si="35"/>
        <v>1123</v>
      </c>
      <c r="BS12" s="155">
        <f t="shared" si="35"/>
        <v>116</v>
      </c>
      <c r="BT12" s="155">
        <f t="shared" si="35"/>
        <v>1953</v>
      </c>
      <c r="BU12" s="155">
        <f t="shared" si="35"/>
        <v>1046</v>
      </c>
      <c r="BV12" s="155">
        <f t="shared" si="35"/>
        <v>2447</v>
      </c>
      <c r="BW12" s="155">
        <f t="shared" si="35"/>
        <v>1096</v>
      </c>
      <c r="BX12" s="155">
        <f t="shared" si="35"/>
        <v>938</v>
      </c>
      <c r="BY12" s="155">
        <f t="shared" si="35"/>
        <v>719</v>
      </c>
      <c r="BZ12" s="155">
        <f t="shared" si="35"/>
        <v>1147</v>
      </c>
      <c r="CA12" s="155">
        <f t="shared" si="35"/>
        <v>1343</v>
      </c>
      <c r="CB12" s="552">
        <f t="shared" si="35"/>
        <v>1512</v>
      </c>
      <c r="CC12" s="155">
        <f t="shared" si="35"/>
        <v>2170</v>
      </c>
      <c r="CD12" s="155">
        <f t="shared" si="35"/>
        <v>598</v>
      </c>
      <c r="CE12" s="155">
        <f t="shared" si="35"/>
        <v>1146</v>
      </c>
      <c r="CF12" s="155">
        <f t="shared" si="35"/>
        <v>185</v>
      </c>
      <c r="CG12" s="281">
        <f t="shared" si="35"/>
        <v>1869</v>
      </c>
      <c r="CH12" s="155">
        <f t="shared" si="35"/>
        <v>1767</v>
      </c>
      <c r="CI12" s="155">
        <f t="shared" si="35"/>
        <v>553</v>
      </c>
      <c r="CJ12" s="155">
        <f t="shared" si="35"/>
        <v>3848</v>
      </c>
      <c r="CK12" s="156">
        <f t="shared" si="35"/>
        <v>1641</v>
      </c>
      <c r="CL12" s="320">
        <f t="shared" si="35"/>
        <v>47003</v>
      </c>
      <c r="CM12" s="422"/>
    </row>
    <row r="13" spans="1:91">
      <c r="A13" s="80">
        <f>ROWS($A$3:A11)</f>
        <v>9</v>
      </c>
      <c r="B13" s="92" t="s">
        <v>65</v>
      </c>
      <c r="C13" s="202">
        <v>2016</v>
      </c>
      <c r="D13" s="259" t="s">
        <v>11</v>
      </c>
      <c r="E13" s="447">
        <v>43320</v>
      </c>
      <c r="F13" s="154">
        <f t="shared" si="0"/>
        <v>4098278</v>
      </c>
      <c r="G13" s="155">
        <f t="shared" si="1"/>
        <v>2779314</v>
      </c>
      <c r="H13" s="155">
        <f t="shared" si="2"/>
        <v>2239734</v>
      </c>
      <c r="I13" s="156">
        <f t="shared" si="3"/>
        <v>1834567</v>
      </c>
      <c r="J13" s="137"/>
      <c r="K13" s="154">
        <f t="shared" si="4"/>
        <v>311587</v>
      </c>
      <c r="L13" s="155">
        <f t="shared" si="5"/>
        <v>422698</v>
      </c>
      <c r="M13" s="155">
        <f t="shared" si="6"/>
        <v>132274</v>
      </c>
      <c r="N13" s="155">
        <f t="shared" si="7"/>
        <v>254618</v>
      </c>
      <c r="O13" s="155">
        <f t="shared" si="8"/>
        <v>131498</v>
      </c>
      <c r="P13" s="155">
        <f>'2017'!AZ13+'2017'!BA13</f>
        <v>461342</v>
      </c>
      <c r="Q13" s="155">
        <f>'2017'!AU13</f>
        <v>385888</v>
      </c>
      <c r="R13" s="155">
        <f t="shared" si="34"/>
        <v>1165934</v>
      </c>
      <c r="S13" s="155">
        <f t="shared" si="9"/>
        <v>528792</v>
      </c>
      <c r="T13" s="155">
        <f t="shared" si="10"/>
        <v>110689</v>
      </c>
      <c r="U13" s="552">
        <f t="shared" si="10"/>
        <v>192958</v>
      </c>
      <c r="V13" s="155">
        <f t="shared" si="11"/>
        <v>283214</v>
      </c>
      <c r="W13" s="155">
        <f>BR13</f>
        <v>116692</v>
      </c>
      <c r="X13" s="155">
        <f t="shared" si="13"/>
        <v>750336</v>
      </c>
      <c r="Y13" s="155">
        <f t="shared" si="14"/>
        <v>1009095</v>
      </c>
      <c r="Z13" s="155">
        <f t="shared" si="15"/>
        <v>143278</v>
      </c>
      <c r="AA13" s="155">
        <f>BP13+BR13</f>
        <v>272652</v>
      </c>
      <c r="AB13" s="552">
        <f>BQ13</f>
        <v>197246</v>
      </c>
      <c r="AC13" s="155">
        <f t="shared" si="18"/>
        <v>210084</v>
      </c>
      <c r="AD13" s="155">
        <f t="shared" si="19"/>
        <v>163251</v>
      </c>
      <c r="AE13" s="155">
        <f t="shared" si="20"/>
        <v>488006</v>
      </c>
      <c r="AF13" s="155">
        <f t="shared" si="21"/>
        <v>227545</v>
      </c>
      <c r="AG13" s="155">
        <f t="shared" si="22"/>
        <v>423359</v>
      </c>
      <c r="AH13" s="155">
        <f t="shared" si="23"/>
        <v>282191</v>
      </c>
      <c r="AI13" s="155">
        <f t="shared" si="24"/>
        <v>138327</v>
      </c>
      <c r="AJ13" s="155">
        <f t="shared" si="25"/>
        <v>138119</v>
      </c>
      <c r="AK13" s="552">
        <f t="shared" si="26"/>
        <v>168852</v>
      </c>
      <c r="AL13" s="155">
        <f t="shared" si="27"/>
        <v>187401</v>
      </c>
      <c r="AM13" s="155">
        <f t="shared" si="28"/>
        <v>196206</v>
      </c>
      <c r="AN13" s="155">
        <f t="shared" si="29"/>
        <v>281627</v>
      </c>
      <c r="AO13" s="155">
        <f t="shared" si="30"/>
        <v>284082</v>
      </c>
      <c r="AP13" s="155">
        <f t="shared" si="30"/>
        <v>224635</v>
      </c>
      <c r="AQ13" s="155">
        <f t="shared" si="31"/>
        <v>130275</v>
      </c>
      <c r="AR13" s="155">
        <f t="shared" si="32"/>
        <v>213070</v>
      </c>
      <c r="AS13" s="156">
        <f t="shared" si="33"/>
        <v>317271</v>
      </c>
      <c r="AT13" s="281">
        <v>628032</v>
      </c>
      <c r="AU13" s="155">
        <v>385888</v>
      </c>
      <c r="AV13" s="155">
        <v>528792</v>
      </c>
      <c r="AW13" s="155">
        <v>254618</v>
      </c>
      <c r="AX13" s="155">
        <v>537902</v>
      </c>
      <c r="AY13" s="155">
        <v>422698</v>
      </c>
      <c r="AZ13" s="155">
        <v>123771</v>
      </c>
      <c r="BA13" s="155">
        <v>337571</v>
      </c>
      <c r="BB13" s="155">
        <v>110689</v>
      </c>
      <c r="BC13" s="155">
        <v>192958</v>
      </c>
      <c r="BD13" s="155">
        <v>132274</v>
      </c>
      <c r="BE13" s="155">
        <v>131498</v>
      </c>
      <c r="BF13" s="552">
        <v>311587</v>
      </c>
      <c r="BG13" s="155">
        <v>54307</v>
      </c>
      <c r="BH13" s="155">
        <v>309999</v>
      </c>
      <c r="BI13" s="155">
        <v>440337</v>
      </c>
      <c r="BJ13" s="155">
        <v>228907</v>
      </c>
      <c r="BK13" s="155">
        <v>159914</v>
      </c>
      <c r="BL13" s="155">
        <v>304781</v>
      </c>
      <c r="BM13" s="155">
        <v>143278</v>
      </c>
      <c r="BN13" s="155">
        <v>544400</v>
      </c>
      <c r="BO13" s="155">
        <v>123493</v>
      </c>
      <c r="BP13" s="155">
        <v>155960</v>
      </c>
      <c r="BQ13" s="155">
        <v>197246</v>
      </c>
      <c r="BR13" s="552">
        <v>116692</v>
      </c>
      <c r="BS13" s="155">
        <v>227590</v>
      </c>
      <c r="BT13" s="155">
        <v>260416</v>
      </c>
      <c r="BU13" s="155">
        <v>163251</v>
      </c>
      <c r="BV13" s="155">
        <v>423359</v>
      </c>
      <c r="BW13" s="155">
        <v>138327</v>
      </c>
      <c r="BX13" s="155">
        <v>210084</v>
      </c>
      <c r="BY13" s="155">
        <v>138119</v>
      </c>
      <c r="BZ13" s="155">
        <v>282191</v>
      </c>
      <c r="CA13" s="155">
        <v>227545</v>
      </c>
      <c r="CB13" s="552">
        <v>168852</v>
      </c>
      <c r="CC13" s="155">
        <v>284082</v>
      </c>
      <c r="CD13" s="155">
        <v>224635</v>
      </c>
      <c r="CE13" s="155">
        <v>187401</v>
      </c>
      <c r="CF13" s="155">
        <v>123953</v>
      </c>
      <c r="CG13" s="281">
        <v>193318</v>
      </c>
      <c r="CH13" s="155">
        <v>196206</v>
      </c>
      <c r="CI13" s="155">
        <v>213070</v>
      </c>
      <c r="CJ13" s="155">
        <v>281627</v>
      </c>
      <c r="CK13" s="156">
        <v>130275</v>
      </c>
      <c r="CL13" s="320">
        <v>10951893</v>
      </c>
      <c r="CM13" s="49"/>
    </row>
    <row r="14" spans="1:91">
      <c r="A14" s="80">
        <f>ROWS($A$3:A12)</f>
        <v>10</v>
      </c>
      <c r="B14" s="54" t="s">
        <v>61</v>
      </c>
      <c r="C14" s="252"/>
      <c r="D14" s="259" t="s">
        <v>12</v>
      </c>
      <c r="E14" s="447">
        <v>43320</v>
      </c>
      <c r="F14" s="530">
        <f>F13/F7*100</f>
        <v>388.21067667976405</v>
      </c>
      <c r="G14" s="531">
        <f>G13/G7*100</f>
        <v>401.74992266573383</v>
      </c>
      <c r="H14" s="531">
        <f>H13/H7*100</f>
        <v>239.3814247878978</v>
      </c>
      <c r="I14" s="532">
        <f>I13/I7*100</f>
        <v>205.73675628514331</v>
      </c>
      <c r="J14" s="141"/>
      <c r="K14" s="541">
        <f t="shared" si="4"/>
        <v>206.16195901731541</v>
      </c>
      <c r="L14" s="542">
        <f t="shared" si="5"/>
        <v>492.60908073839272</v>
      </c>
      <c r="M14" s="542">
        <f t="shared" si="6"/>
        <v>101.42700497649774</v>
      </c>
      <c r="N14" s="542">
        <f t="shared" si="7"/>
        <v>396.39131923903233</v>
      </c>
      <c r="O14" s="542">
        <f t="shared" si="8"/>
        <v>209.67885958478169</v>
      </c>
      <c r="P14" s="531">
        <f>P13/P7*100</f>
        <v>384.51575262543759</v>
      </c>
      <c r="Q14" s="542">
        <f>'2017'!AU14</f>
        <v>624.64671317804368</v>
      </c>
      <c r="R14" s="531">
        <f>R13/R7*100</f>
        <v>1304.0308690303098</v>
      </c>
      <c r="S14" s="542">
        <f t="shared" si="9"/>
        <v>824.58832335329339</v>
      </c>
      <c r="T14" s="542">
        <f t="shared" si="10"/>
        <v>142.50090117925743</v>
      </c>
      <c r="U14" s="554">
        <f t="shared" si="10"/>
        <v>130.01947347497085</v>
      </c>
      <c r="V14" s="531">
        <f>V13/V7*100</f>
        <v>322.33957797455099</v>
      </c>
      <c r="W14" s="542">
        <f t="shared" si="12"/>
        <v>134.06863589884995</v>
      </c>
      <c r="X14" s="531">
        <f>X13/X7*100</f>
        <v>596.11980614920151</v>
      </c>
      <c r="Y14" s="531">
        <f>Y13/Y7*100</f>
        <v>767.13344128446636</v>
      </c>
      <c r="Z14" s="542">
        <f t="shared" si="15"/>
        <v>127.25189619340284</v>
      </c>
      <c r="AA14" s="531">
        <f>AA13/AA7*100</f>
        <v>405.93148421099647</v>
      </c>
      <c r="AB14" s="554">
        <f t="shared" si="17"/>
        <v>195.61263781058335</v>
      </c>
      <c r="AC14" s="542">
        <f t="shared" si="18"/>
        <v>204.89403411584561</v>
      </c>
      <c r="AD14" s="542">
        <f t="shared" si="19"/>
        <v>240.14916371232295</v>
      </c>
      <c r="AE14" s="531">
        <f>AE13/AE7*100</f>
        <v>318.67698436020504</v>
      </c>
      <c r="AF14" s="542">
        <f t="shared" si="21"/>
        <v>282.06542623743354</v>
      </c>
      <c r="AG14" s="542">
        <f t="shared" si="22"/>
        <v>227.5781065215989</v>
      </c>
      <c r="AH14" s="542">
        <f t="shared" si="23"/>
        <v>344.98520746228513</v>
      </c>
      <c r="AI14" s="542">
        <f t="shared" si="24"/>
        <v>179.78087390501935</v>
      </c>
      <c r="AJ14" s="542">
        <f t="shared" si="25"/>
        <v>188.07565565511044</v>
      </c>
      <c r="AK14" s="554">
        <f t="shared" si="26"/>
        <v>149.28123066041906</v>
      </c>
      <c r="AL14" s="542">
        <f t="shared" si="27"/>
        <v>204.23396325116067</v>
      </c>
      <c r="AM14" s="542">
        <f t="shared" si="28"/>
        <v>139.19959135314608</v>
      </c>
      <c r="AN14" s="542">
        <f t="shared" si="29"/>
        <v>172.55499050303291</v>
      </c>
      <c r="AO14" s="542">
        <f t="shared" si="30"/>
        <v>260.03405096660811</v>
      </c>
      <c r="AP14" s="542">
        <f t="shared" si="30"/>
        <v>432.72268454307283</v>
      </c>
      <c r="AQ14" s="542">
        <f t="shared" si="31"/>
        <v>108.1811614060437</v>
      </c>
      <c r="AR14" s="542">
        <f t="shared" si="32"/>
        <v>320.50722784638759</v>
      </c>
      <c r="AS14" s="532">
        <f>AS13/AS7*100</f>
        <v>214.77427347129426</v>
      </c>
      <c r="AT14" s="531">
        <f t="shared" ref="AT14:CK14" si="36">AT13/AT7*100</f>
        <v>3029.1419476197366</v>
      </c>
      <c r="AU14" s="531">
        <f t="shared" si="36"/>
        <v>624.64671317804368</v>
      </c>
      <c r="AV14" s="531">
        <f t="shared" si="36"/>
        <v>824.58832335329339</v>
      </c>
      <c r="AW14" s="531">
        <f t="shared" si="36"/>
        <v>396.39131923903233</v>
      </c>
      <c r="AX14" s="531">
        <f t="shared" si="36"/>
        <v>783.23456178924528</v>
      </c>
      <c r="AY14" s="531">
        <f t="shared" si="36"/>
        <v>492.60908073839272</v>
      </c>
      <c r="AZ14" s="531">
        <f t="shared" si="36"/>
        <v>1239.0729802783062</v>
      </c>
      <c r="BA14" s="531">
        <f t="shared" si="36"/>
        <v>306.90783791401117</v>
      </c>
      <c r="BB14" s="531">
        <f t="shared" si="36"/>
        <v>142.50090117925743</v>
      </c>
      <c r="BC14" s="531">
        <f t="shared" si="36"/>
        <v>130.01947347497085</v>
      </c>
      <c r="BD14" s="531">
        <f t="shared" si="36"/>
        <v>101.42700497649774</v>
      </c>
      <c r="BE14" s="531">
        <f t="shared" si="36"/>
        <v>209.67885958478169</v>
      </c>
      <c r="BF14" s="555">
        <f t="shared" si="36"/>
        <v>206.16195901731541</v>
      </c>
      <c r="BG14" s="531">
        <f t="shared" si="36"/>
        <v>387.38141094229263</v>
      </c>
      <c r="BH14" s="531">
        <f t="shared" si="36"/>
        <v>1787.5619882366507</v>
      </c>
      <c r="BI14" s="531">
        <f t="shared" si="36"/>
        <v>405.73584697036711</v>
      </c>
      <c r="BJ14" s="531">
        <f t="shared" si="36"/>
        <v>309.99146838562899</v>
      </c>
      <c r="BK14" s="531">
        <f t="shared" si="36"/>
        <v>1468.582973643126</v>
      </c>
      <c r="BL14" s="531">
        <f t="shared" si="36"/>
        <v>2102.3729047389115</v>
      </c>
      <c r="BM14" s="531">
        <f t="shared" si="36"/>
        <v>127.25189619340284</v>
      </c>
      <c r="BN14" s="531">
        <f t="shared" si="36"/>
        <v>512.83500541660783</v>
      </c>
      <c r="BO14" s="531">
        <f t="shared" si="36"/>
        <v>1259.2332007749567</v>
      </c>
      <c r="BP14" s="531">
        <f t="shared" si="36"/>
        <v>195.61263781058335</v>
      </c>
      <c r="BQ14" s="531">
        <f t="shared" si="36"/>
        <v>343.87377963737794</v>
      </c>
      <c r="BR14" s="555">
        <f t="shared" si="36"/>
        <v>134.06863589884995</v>
      </c>
      <c r="BS14" s="531">
        <f t="shared" si="36"/>
        <v>1487.1275483533716</v>
      </c>
      <c r="BT14" s="531">
        <f t="shared" si="36"/>
        <v>188.93862773976826</v>
      </c>
      <c r="BU14" s="531">
        <f t="shared" si="36"/>
        <v>240.14916371232295</v>
      </c>
      <c r="BV14" s="531">
        <f t="shared" si="36"/>
        <v>227.5781065215989</v>
      </c>
      <c r="BW14" s="531">
        <f t="shared" si="36"/>
        <v>179.78087390501935</v>
      </c>
      <c r="BX14" s="531">
        <f t="shared" si="36"/>
        <v>204.89403411584561</v>
      </c>
      <c r="BY14" s="531">
        <f t="shared" si="36"/>
        <v>188.07565565511044</v>
      </c>
      <c r="BZ14" s="531">
        <f t="shared" si="36"/>
        <v>344.98520746228513</v>
      </c>
      <c r="CA14" s="531">
        <f t="shared" si="36"/>
        <v>282.06542623743354</v>
      </c>
      <c r="CB14" s="555">
        <f t="shared" si="36"/>
        <v>149.28123066041906</v>
      </c>
      <c r="CC14" s="531">
        <f t="shared" si="36"/>
        <v>260.03405096660811</v>
      </c>
      <c r="CD14" s="531">
        <f t="shared" si="36"/>
        <v>432.72268454307283</v>
      </c>
      <c r="CE14" s="531">
        <f t="shared" si="36"/>
        <v>204.23396325116067</v>
      </c>
      <c r="CF14" s="531">
        <f t="shared" si="36"/>
        <v>1044.4304010785306</v>
      </c>
      <c r="CG14" s="531">
        <f>CG13/CG7*100</f>
        <v>142.29730227080344</v>
      </c>
      <c r="CH14" s="531">
        <f t="shared" si="36"/>
        <v>139.19959135314608</v>
      </c>
      <c r="CI14" s="531">
        <f t="shared" si="36"/>
        <v>320.50722784638759</v>
      </c>
      <c r="CJ14" s="531">
        <f t="shared" si="36"/>
        <v>172.55499050303291</v>
      </c>
      <c r="CK14" s="532">
        <f t="shared" si="36"/>
        <v>108.1811614060437</v>
      </c>
      <c r="CL14" s="556">
        <f>CL13/CL7*100</f>
        <v>306.36139696791008</v>
      </c>
    </row>
    <row r="15" spans="1:91">
      <c r="A15" s="80">
        <f>ROWS($A$3:A13)</f>
        <v>11</v>
      </c>
      <c r="B15" s="59" t="s">
        <v>269</v>
      </c>
      <c r="C15" s="252"/>
      <c r="D15" s="259"/>
      <c r="E15" s="451"/>
      <c r="F15" s="533"/>
      <c r="G15" s="281"/>
      <c r="H15" s="281"/>
      <c r="I15" s="300"/>
      <c r="J15" s="14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c r="A16" s="80">
        <f>ROWS($A$3:A14)</f>
        <v>12</v>
      </c>
      <c r="B16" s="92" t="s">
        <v>200</v>
      </c>
      <c r="C16" s="202">
        <v>2016</v>
      </c>
      <c r="D16" s="259" t="s">
        <v>11</v>
      </c>
      <c r="E16" s="447">
        <v>43320</v>
      </c>
      <c r="F16" s="534">
        <v>2369000</v>
      </c>
      <c r="G16" s="534">
        <v>1548100</v>
      </c>
      <c r="H16" s="534">
        <v>1220900</v>
      </c>
      <c r="I16" s="535">
        <v>1027800</v>
      </c>
      <c r="J16" s="141"/>
      <c r="K16" s="154">
        <f t="shared" si="4"/>
        <v>168000</v>
      </c>
      <c r="L16" s="155">
        <f t="shared" si="5"/>
        <v>200600</v>
      </c>
      <c r="M16" s="155">
        <f t="shared" si="6"/>
        <v>74000</v>
      </c>
      <c r="N16" s="155">
        <f t="shared" si="7"/>
        <v>122600</v>
      </c>
      <c r="O16" s="155">
        <f t="shared" si="8"/>
        <v>65000</v>
      </c>
      <c r="P16" s="155">
        <f>'2017'!AZ16+'2017'!BA16</f>
        <v>268700</v>
      </c>
      <c r="Q16" s="155">
        <f>'2017'!AU16</f>
        <v>232300</v>
      </c>
      <c r="R16" s="155">
        <f t="shared" si="34"/>
        <v>781100</v>
      </c>
      <c r="S16" s="155">
        <f t="shared" si="9"/>
        <v>276800</v>
      </c>
      <c r="T16" s="155">
        <f t="shared" si="10"/>
        <v>70600</v>
      </c>
      <c r="U16" s="552">
        <f t="shared" si="10"/>
        <v>109400</v>
      </c>
      <c r="V16" s="155">
        <f>BG16+BJ16</f>
        <v>156900</v>
      </c>
      <c r="W16" s="155">
        <f t="shared" si="12"/>
        <v>62700</v>
      </c>
      <c r="X16" s="155">
        <f>BH16+BI16</f>
        <v>442100</v>
      </c>
      <c r="Y16" s="155">
        <f>BK16+BL16+BN16</f>
        <v>595300</v>
      </c>
      <c r="Z16" s="155">
        <f t="shared" si="15"/>
        <v>66300</v>
      </c>
      <c r="AA16" s="155">
        <f>BO16+BQ16</f>
        <v>159100</v>
      </c>
      <c r="AB16" s="552">
        <f t="shared" si="17"/>
        <v>65700</v>
      </c>
      <c r="AC16" s="155">
        <f t="shared" si="18"/>
        <v>120500</v>
      </c>
      <c r="AD16" s="155">
        <f t="shared" si="19"/>
        <v>73500</v>
      </c>
      <c r="AE16" s="155">
        <f>BS16+BT16</f>
        <v>291200</v>
      </c>
      <c r="AF16" s="155">
        <f t="shared" si="21"/>
        <v>106800</v>
      </c>
      <c r="AG16" s="155">
        <f t="shared" si="22"/>
        <v>242300</v>
      </c>
      <c r="AH16" s="155">
        <f t="shared" si="23"/>
        <v>147300</v>
      </c>
      <c r="AI16" s="155">
        <f t="shared" si="24"/>
        <v>75800</v>
      </c>
      <c r="AJ16" s="155">
        <f t="shared" si="25"/>
        <v>85300</v>
      </c>
      <c r="AK16" s="552">
        <f t="shared" si="26"/>
        <v>78100</v>
      </c>
      <c r="AL16" s="155">
        <f t="shared" si="27"/>
        <v>92800</v>
      </c>
      <c r="AM16" s="155">
        <f t="shared" si="28"/>
        <v>110500</v>
      </c>
      <c r="AN16" s="155">
        <f t="shared" si="29"/>
        <v>162100</v>
      </c>
      <c r="AO16" s="155">
        <f t="shared" si="30"/>
        <v>155900</v>
      </c>
      <c r="AP16" s="155">
        <f t="shared" si="30"/>
        <v>114400</v>
      </c>
      <c r="AQ16" s="155">
        <f t="shared" si="31"/>
        <v>68300</v>
      </c>
      <c r="AR16" s="155">
        <f t="shared" si="32"/>
        <v>123300</v>
      </c>
      <c r="AS16" s="156">
        <f>CF16+CG16</f>
        <v>200500</v>
      </c>
      <c r="AT16" s="534">
        <v>519300</v>
      </c>
      <c r="AU16" s="534">
        <v>232300</v>
      </c>
      <c r="AV16" s="534">
        <v>276800</v>
      </c>
      <c r="AW16" s="534">
        <v>122600</v>
      </c>
      <c r="AX16" s="534">
        <v>261800</v>
      </c>
      <c r="AY16" s="534">
        <v>200600</v>
      </c>
      <c r="AZ16" s="534">
        <v>96500</v>
      </c>
      <c r="BA16" s="534">
        <v>172200</v>
      </c>
      <c r="BB16" s="534">
        <v>70600</v>
      </c>
      <c r="BC16" s="534">
        <v>109400</v>
      </c>
      <c r="BD16" s="534">
        <v>74000</v>
      </c>
      <c r="BE16" s="534">
        <v>65000</v>
      </c>
      <c r="BF16" s="557">
        <v>168000</v>
      </c>
      <c r="BG16" s="534">
        <v>41400</v>
      </c>
      <c r="BH16" s="534">
        <v>235500</v>
      </c>
      <c r="BI16" s="534">
        <v>206600</v>
      </c>
      <c r="BJ16" s="534">
        <v>115500</v>
      </c>
      <c r="BK16" s="534">
        <v>120000</v>
      </c>
      <c r="BL16" s="534">
        <v>243000</v>
      </c>
      <c r="BM16" s="534">
        <v>66300</v>
      </c>
      <c r="BN16" s="534">
        <v>232300</v>
      </c>
      <c r="BO16" s="534">
        <v>76500</v>
      </c>
      <c r="BP16" s="534">
        <v>65700</v>
      </c>
      <c r="BQ16" s="534">
        <v>82600</v>
      </c>
      <c r="BR16" s="557">
        <v>62700</v>
      </c>
      <c r="BS16" s="534">
        <v>172600</v>
      </c>
      <c r="BT16" s="534">
        <v>118600</v>
      </c>
      <c r="BU16" s="534">
        <v>73500</v>
      </c>
      <c r="BV16" s="534">
        <v>242300</v>
      </c>
      <c r="BW16" s="534">
        <v>75800</v>
      </c>
      <c r="BX16" s="534">
        <v>120500</v>
      </c>
      <c r="BY16" s="534">
        <v>85300</v>
      </c>
      <c r="BZ16" s="534">
        <v>147300</v>
      </c>
      <c r="CA16" s="534">
        <v>106800</v>
      </c>
      <c r="CB16" s="557">
        <v>78100</v>
      </c>
      <c r="CC16" s="534">
        <v>155900</v>
      </c>
      <c r="CD16" s="534">
        <v>114400</v>
      </c>
      <c r="CE16" s="534">
        <v>92800</v>
      </c>
      <c r="CF16" s="534">
        <v>122400</v>
      </c>
      <c r="CG16" s="534">
        <v>78100</v>
      </c>
      <c r="CH16" s="534">
        <v>110500</v>
      </c>
      <c r="CI16" s="534">
        <v>123300</v>
      </c>
      <c r="CJ16" s="534">
        <v>162100</v>
      </c>
      <c r="CK16" s="534">
        <v>68300</v>
      </c>
      <c r="CL16" s="320">
        <v>6165800</v>
      </c>
    </row>
    <row r="17" spans="1:90" ht="14.25">
      <c r="A17" s="80">
        <f>ROWS($A$3:A15)</f>
        <v>13</v>
      </c>
      <c r="B17" s="388" t="s">
        <v>243</v>
      </c>
      <c r="C17" s="202">
        <v>2017</v>
      </c>
      <c r="D17" s="259" t="s">
        <v>3</v>
      </c>
      <c r="E17" s="447">
        <v>43320</v>
      </c>
      <c r="F17" s="536">
        <f>(AT16*AT17+AU16*AU17+AV16*AV17+AW16*AW17+AX16*AX17+AY16*AY17+AZ16*AZ17+BA16*BA17+BB16*BB17+BC16*BC17+BD16*BD17+BE16*BE17+BF16*BF17)/F16</f>
        <v>3.3400337695230053</v>
      </c>
      <c r="G17" s="537">
        <f>(BG16*BG17+BH16*BH17+BI16*BI17+BJ16*BJ17+BK16*BK17+BL16*BL17+BM16*BM17+BN16*BN17+BO16*BO17+BP16*BP17+BQ16*BQ17+BR16*BR17)/G16</f>
        <v>3.803152251146567</v>
      </c>
      <c r="H17" s="537">
        <f>(BS16*BS17+BT16*BT17+BU16*BU17+BV16*BV17+BW16*BW17+BX16*BX17+BY16*BY17+BZ16*BZ17+CA16*CA17+CB16*CB17)/H16</f>
        <v>3.1182324514702269</v>
      </c>
      <c r="I17" s="538">
        <f>(CC16*CC17+CD16*CD17+CE16*CE17+CF16*CF17+CG16*CG17+CH16*CH17+CI16*CI17+CJ16*CJ17+CK16*CK17)/I16</f>
        <v>2.8214341311539211</v>
      </c>
      <c r="J17" s="173"/>
      <c r="K17" s="381">
        <f t="shared" si="4"/>
        <v>2.7</v>
      </c>
      <c r="L17" s="384">
        <f t="shared" si="5"/>
        <v>3.1</v>
      </c>
      <c r="M17" s="384">
        <f t="shared" si="6"/>
        <v>2.6</v>
      </c>
      <c r="N17" s="384">
        <f t="shared" si="7"/>
        <v>3.4</v>
      </c>
      <c r="O17" s="384">
        <f t="shared" si="8"/>
        <v>4</v>
      </c>
      <c r="P17" s="521">
        <f>ROUND((AZ16*AZ17/100+BA16*BA17/100)/P16%,1)</f>
        <v>3.6</v>
      </c>
      <c r="Q17" s="384">
        <f>'2017'!AU17</f>
        <v>2.8</v>
      </c>
      <c r="R17" s="521">
        <f>ROUND((AT16*AT17/100+AX16*AX17/100)/R16%,1)</f>
        <v>3.9</v>
      </c>
      <c r="S17" s="384">
        <f t="shared" si="9"/>
        <v>3.1</v>
      </c>
      <c r="T17" s="384">
        <f t="shared" si="10"/>
        <v>2.2999999999999998</v>
      </c>
      <c r="U17" s="385">
        <f t="shared" si="10"/>
        <v>2.8</v>
      </c>
      <c r="V17" s="521">
        <f>ROUND((BG16*BG17/100+BJ16*BJ17/100)/V16%,1)</f>
        <v>3.3</v>
      </c>
      <c r="W17" s="384">
        <f t="shared" si="12"/>
        <v>2.9</v>
      </c>
      <c r="X17" s="521">
        <f>ROUND((BH16*BH17/100+BI16*BI17/100)/X16%,1)</f>
        <v>3.6</v>
      </c>
      <c r="Y17" s="521">
        <f>ROUND((BK16*BK17/100+BL16*BL17/100+BN16*BN17/100)/Y16%,1)</f>
        <v>4.3</v>
      </c>
      <c r="Z17" s="384">
        <f t="shared" si="15"/>
        <v>3.2</v>
      </c>
      <c r="AA17" s="521">
        <f>ROUND((BO16*BO17/100+BQ16*BQ17/100)/AA16%,1)</f>
        <v>4</v>
      </c>
      <c r="AB17" s="385">
        <f t="shared" si="17"/>
        <v>2.9</v>
      </c>
      <c r="AC17" s="384">
        <f t="shared" si="18"/>
        <v>2.8</v>
      </c>
      <c r="AD17" s="384">
        <f t="shared" si="19"/>
        <v>2.5</v>
      </c>
      <c r="AE17" s="521">
        <f>ROUND((BS16*BS17/100+BT16*BT17/100)/AE16%,1)</f>
        <v>4</v>
      </c>
      <c r="AF17" s="384">
        <f t="shared" si="21"/>
        <v>3</v>
      </c>
      <c r="AG17" s="384">
        <f t="shared" si="22"/>
        <v>2.9</v>
      </c>
      <c r="AH17" s="384">
        <f t="shared" si="23"/>
        <v>3.3</v>
      </c>
      <c r="AI17" s="384">
        <f t="shared" si="24"/>
        <v>2.1</v>
      </c>
      <c r="AJ17" s="384">
        <f t="shared" si="25"/>
        <v>2.5</v>
      </c>
      <c r="AK17" s="385">
        <f t="shared" si="26"/>
        <v>2.9</v>
      </c>
      <c r="AL17" s="384">
        <f t="shared" si="27"/>
        <v>3.1</v>
      </c>
      <c r="AM17" s="384">
        <f t="shared" si="28"/>
        <v>2.1</v>
      </c>
      <c r="AN17" s="384">
        <f t="shared" si="29"/>
        <v>2.6</v>
      </c>
      <c r="AO17" s="384">
        <f t="shared" si="30"/>
        <v>3.1</v>
      </c>
      <c r="AP17" s="384">
        <f t="shared" si="30"/>
        <v>2.7</v>
      </c>
      <c r="AQ17" s="384">
        <f t="shared" si="31"/>
        <v>3.3</v>
      </c>
      <c r="AR17" s="384">
        <f t="shared" si="32"/>
        <v>2.9</v>
      </c>
      <c r="AS17" s="540">
        <f>ROUND((CF16*CF17/100+CG16*CG17/100)/AS16%,1)</f>
        <v>2.9</v>
      </c>
      <c r="AT17" s="466">
        <v>4.3</v>
      </c>
      <c r="AU17" s="466">
        <v>2.8</v>
      </c>
      <c r="AV17" s="466">
        <v>3.1</v>
      </c>
      <c r="AW17" s="466">
        <v>3.4</v>
      </c>
      <c r="AX17" s="466">
        <v>3</v>
      </c>
      <c r="AY17" s="466">
        <v>3.1</v>
      </c>
      <c r="AZ17" s="466">
        <v>4.9000000000000004</v>
      </c>
      <c r="BA17" s="466">
        <v>2.9</v>
      </c>
      <c r="BB17" s="466">
        <v>2.2999999999999998</v>
      </c>
      <c r="BC17" s="466">
        <v>2.8</v>
      </c>
      <c r="BD17" s="466">
        <v>2.6</v>
      </c>
      <c r="BE17" s="466">
        <v>4</v>
      </c>
      <c r="BF17" s="558">
        <v>2.7</v>
      </c>
      <c r="BG17" s="466">
        <v>4.9000000000000004</v>
      </c>
      <c r="BH17" s="466">
        <v>4.2</v>
      </c>
      <c r="BI17" s="466">
        <v>2.9</v>
      </c>
      <c r="BJ17" s="466">
        <v>2.7</v>
      </c>
      <c r="BK17" s="466">
        <v>4.0999999999999996</v>
      </c>
      <c r="BL17" s="466">
        <v>5</v>
      </c>
      <c r="BM17" s="466">
        <v>3.2</v>
      </c>
      <c r="BN17" s="466">
        <v>3.7</v>
      </c>
      <c r="BO17" s="466">
        <v>5.8</v>
      </c>
      <c r="BP17" s="466">
        <v>2.9</v>
      </c>
      <c r="BQ17" s="466">
        <v>2.2999999999999998</v>
      </c>
      <c r="BR17" s="558">
        <v>2.9</v>
      </c>
      <c r="BS17" s="466">
        <v>4.9000000000000004</v>
      </c>
      <c r="BT17" s="466">
        <v>2.8</v>
      </c>
      <c r="BU17" s="466">
        <v>2.5</v>
      </c>
      <c r="BV17" s="466">
        <v>2.9</v>
      </c>
      <c r="BW17" s="466">
        <v>2.1</v>
      </c>
      <c r="BX17" s="466">
        <v>2.8</v>
      </c>
      <c r="BY17" s="466">
        <v>2.5</v>
      </c>
      <c r="BZ17" s="466">
        <v>3.3</v>
      </c>
      <c r="CA17" s="466">
        <v>3</v>
      </c>
      <c r="CB17" s="558">
        <v>2.9</v>
      </c>
      <c r="CC17" s="466">
        <v>3.1</v>
      </c>
      <c r="CD17" s="466">
        <v>2.7</v>
      </c>
      <c r="CE17" s="466">
        <v>3.1</v>
      </c>
      <c r="CF17" s="466">
        <v>3.3</v>
      </c>
      <c r="CG17" s="466">
        <v>2.2999999999999998</v>
      </c>
      <c r="CH17" s="466">
        <v>2.1</v>
      </c>
      <c r="CI17" s="466">
        <v>2.9</v>
      </c>
      <c r="CJ17" s="466">
        <v>2.6</v>
      </c>
      <c r="CK17" s="466">
        <v>3.3</v>
      </c>
      <c r="CL17" s="319">
        <v>3.2</v>
      </c>
    </row>
    <row r="18" spans="1:90">
      <c r="A18" s="80">
        <f>ROWS($A$3:A16)</f>
        <v>14</v>
      </c>
      <c r="B18" s="238" t="s">
        <v>302</v>
      </c>
      <c r="C18" s="202">
        <v>2016</v>
      </c>
      <c r="D18" s="259" t="s">
        <v>11</v>
      </c>
      <c r="E18" s="447">
        <v>43320</v>
      </c>
      <c r="F18" s="534">
        <v>24500</v>
      </c>
      <c r="G18" s="534">
        <v>9600</v>
      </c>
      <c r="H18" s="534">
        <v>18600</v>
      </c>
      <c r="I18" s="535">
        <v>20000</v>
      </c>
      <c r="J18" s="173"/>
      <c r="K18" s="154">
        <f>BF18</f>
        <v>2300</v>
      </c>
      <c r="L18" s="155">
        <f>AY18</f>
        <v>2400</v>
      </c>
      <c r="M18" s="155">
        <f>BD18</f>
        <v>1700</v>
      </c>
      <c r="N18" s="155">
        <f>AW18</f>
        <v>1100</v>
      </c>
      <c r="O18" s="155">
        <f>BE18</f>
        <v>800</v>
      </c>
      <c r="P18" s="531">
        <f>'2017'!AZ18+'2017'!BA18</f>
        <v>4500</v>
      </c>
      <c r="Q18" s="155">
        <f>'2017'!AU18</f>
        <v>900</v>
      </c>
      <c r="R18" s="531">
        <f>AT18+AX18</f>
        <v>4300</v>
      </c>
      <c r="S18" s="155">
        <f>AV18</f>
        <v>1600</v>
      </c>
      <c r="T18" s="155">
        <f>BB18</f>
        <v>2000</v>
      </c>
      <c r="U18" s="552">
        <f>BC18</f>
        <v>2900</v>
      </c>
      <c r="V18" s="531">
        <f>BG18+BJ18</f>
        <v>1300</v>
      </c>
      <c r="W18" s="155">
        <f>BR18</f>
        <v>600</v>
      </c>
      <c r="X18" s="531">
        <f>BH18+BI18</f>
        <v>1900</v>
      </c>
      <c r="Y18" s="531">
        <f>BK18+BL18+BN18</f>
        <v>3000</v>
      </c>
      <c r="Z18" s="155">
        <f>BM18</f>
        <v>1300</v>
      </c>
      <c r="AA18" s="531">
        <f>BO18+BQ18</f>
        <v>800</v>
      </c>
      <c r="AB18" s="552">
        <f>BP18</f>
        <v>700</v>
      </c>
      <c r="AC18" s="155">
        <f>BX18</f>
        <v>1200</v>
      </c>
      <c r="AD18" s="155">
        <f>BU18</f>
        <v>1800</v>
      </c>
      <c r="AE18" s="531">
        <f>BS18+BT18</f>
        <v>4700</v>
      </c>
      <c r="AF18" s="155">
        <f>CA18</f>
        <v>1400</v>
      </c>
      <c r="AG18" s="155">
        <f>BV18</f>
        <v>4500</v>
      </c>
      <c r="AH18" s="155">
        <f>BZ18</f>
        <v>2300</v>
      </c>
      <c r="AI18" s="155">
        <f>BW18</f>
        <v>800</v>
      </c>
      <c r="AJ18" s="155">
        <f>BY18</f>
        <v>500</v>
      </c>
      <c r="AK18" s="552">
        <f>CB18</f>
        <v>1300</v>
      </c>
      <c r="AL18" s="155">
        <f>CE18</f>
        <v>900</v>
      </c>
      <c r="AM18" s="155">
        <f>CH18</f>
        <v>3200</v>
      </c>
      <c r="AN18" s="155">
        <f>CJ18</f>
        <v>5400</v>
      </c>
      <c r="AO18" s="155">
        <f>CC18</f>
        <v>1400</v>
      </c>
      <c r="AP18" s="155">
        <f>CD18</f>
        <v>500</v>
      </c>
      <c r="AQ18" s="155">
        <f>CK18</f>
        <v>1700</v>
      </c>
      <c r="AR18" s="155">
        <f>CI18</f>
        <v>3900</v>
      </c>
      <c r="AS18" s="532">
        <f>CF18+CG18</f>
        <v>3000</v>
      </c>
      <c r="AT18" s="534">
        <v>1000</v>
      </c>
      <c r="AU18" s="534">
        <v>900</v>
      </c>
      <c r="AV18" s="534">
        <v>1600</v>
      </c>
      <c r="AW18" s="534">
        <v>1100</v>
      </c>
      <c r="AX18" s="534">
        <v>3300</v>
      </c>
      <c r="AY18" s="534">
        <v>2400</v>
      </c>
      <c r="AZ18" s="534">
        <v>600</v>
      </c>
      <c r="BA18" s="534">
        <v>3900</v>
      </c>
      <c r="BB18" s="534">
        <v>2000</v>
      </c>
      <c r="BC18" s="534">
        <v>2900</v>
      </c>
      <c r="BD18" s="534">
        <v>1700</v>
      </c>
      <c r="BE18" s="534">
        <v>800</v>
      </c>
      <c r="BF18" s="557">
        <v>2300</v>
      </c>
      <c r="BG18" s="534">
        <v>200</v>
      </c>
      <c r="BH18" s="534">
        <v>200</v>
      </c>
      <c r="BI18" s="534">
        <v>1700</v>
      </c>
      <c r="BJ18" s="534">
        <v>1100</v>
      </c>
      <c r="BK18" s="534">
        <v>300</v>
      </c>
      <c r="BL18" s="534">
        <v>500</v>
      </c>
      <c r="BM18" s="534">
        <v>1300</v>
      </c>
      <c r="BN18" s="534">
        <v>2200</v>
      </c>
      <c r="BO18" s="534">
        <v>100</v>
      </c>
      <c r="BP18" s="534">
        <v>700</v>
      </c>
      <c r="BQ18" s="534">
        <v>700</v>
      </c>
      <c r="BR18" s="557">
        <v>600</v>
      </c>
      <c r="BS18" s="534">
        <v>500</v>
      </c>
      <c r="BT18" s="534">
        <v>4200</v>
      </c>
      <c r="BU18" s="534">
        <v>1800</v>
      </c>
      <c r="BV18" s="534">
        <v>4500</v>
      </c>
      <c r="BW18" s="534">
        <v>800</v>
      </c>
      <c r="BX18" s="534">
        <v>1200</v>
      </c>
      <c r="BY18" s="534">
        <v>500</v>
      </c>
      <c r="BZ18" s="534">
        <v>2300</v>
      </c>
      <c r="CA18" s="534">
        <v>1400</v>
      </c>
      <c r="CB18" s="557">
        <v>1300</v>
      </c>
      <c r="CC18" s="534">
        <v>1400</v>
      </c>
      <c r="CD18" s="534">
        <v>500</v>
      </c>
      <c r="CE18" s="534">
        <v>900</v>
      </c>
      <c r="CF18" s="534">
        <v>300</v>
      </c>
      <c r="CG18" s="534">
        <v>2700</v>
      </c>
      <c r="CH18" s="534">
        <v>3200</v>
      </c>
      <c r="CI18" s="534">
        <v>3900</v>
      </c>
      <c r="CJ18" s="534">
        <v>5400</v>
      </c>
      <c r="CK18" s="534">
        <v>1700</v>
      </c>
      <c r="CL18" s="320">
        <v>72800</v>
      </c>
    </row>
    <row r="19" spans="1:90">
      <c r="A19" s="80">
        <f>ROWS($A$3:A17)</f>
        <v>15</v>
      </c>
      <c r="B19" s="238" t="s">
        <v>268</v>
      </c>
      <c r="C19" s="202">
        <v>2016</v>
      </c>
      <c r="D19" s="259" t="s">
        <v>11</v>
      </c>
      <c r="E19" s="447">
        <v>42909</v>
      </c>
      <c r="F19" s="533">
        <v>1757168</v>
      </c>
      <c r="G19" s="281">
        <v>1125507</v>
      </c>
      <c r="H19" s="281">
        <v>847404</v>
      </c>
      <c r="I19" s="300">
        <v>721108</v>
      </c>
      <c r="J19" s="173"/>
      <c r="K19" s="154">
        <f>BF19</f>
        <v>120725</v>
      </c>
      <c r="L19" s="155">
        <f>AY19</f>
        <v>143182</v>
      </c>
      <c r="M19" s="155">
        <f>BD19</f>
        <v>53100</v>
      </c>
      <c r="N19" s="155">
        <f>AW19</f>
        <v>86117</v>
      </c>
      <c r="O19" s="155">
        <f>BE19</f>
        <v>49517</v>
      </c>
      <c r="P19" s="531">
        <f>'2017'!AZ19+'2017'!BA19</f>
        <v>201569</v>
      </c>
      <c r="Q19" s="155">
        <f>'2017'!AU19</f>
        <v>173452</v>
      </c>
      <c r="R19" s="531">
        <f>AT19+AX19</f>
        <v>589980</v>
      </c>
      <c r="S19" s="155">
        <f>AV19</f>
        <v>206779</v>
      </c>
      <c r="T19" s="155">
        <f>BB19</f>
        <v>54513</v>
      </c>
      <c r="U19" s="552">
        <f>BC19</f>
        <v>78234</v>
      </c>
      <c r="V19" s="531">
        <f>BG19+BJ19</f>
        <v>117779</v>
      </c>
      <c r="W19" s="155">
        <f>BR19</f>
        <v>45062</v>
      </c>
      <c r="X19" s="531">
        <f>BH19+BI19</f>
        <v>321231</v>
      </c>
      <c r="Y19" s="531">
        <f>BK19+BL19+BN19</f>
        <v>436221</v>
      </c>
      <c r="Z19" s="155">
        <f>BM19</f>
        <v>45304</v>
      </c>
      <c r="AA19" s="531">
        <f>BO19+BQ19</f>
        <v>115493</v>
      </c>
      <c r="AB19" s="552">
        <f>BP19</f>
        <v>44417</v>
      </c>
      <c r="AC19" s="155">
        <f>BX19</f>
        <v>83936</v>
      </c>
      <c r="AD19" s="155">
        <f>BU19</f>
        <v>49805</v>
      </c>
      <c r="AE19" s="531">
        <f>BS19+BT19</f>
        <v>197549</v>
      </c>
      <c r="AF19" s="155">
        <f>CA19</f>
        <v>77030</v>
      </c>
      <c r="AG19" s="155">
        <f>BV19</f>
        <v>171530</v>
      </c>
      <c r="AH19" s="155">
        <f>BZ19</f>
        <v>98039</v>
      </c>
      <c r="AI19" s="155">
        <f>BW19</f>
        <v>54027</v>
      </c>
      <c r="AJ19" s="155">
        <f>BY19</f>
        <v>62443</v>
      </c>
      <c r="AK19" s="552">
        <f>CB19</f>
        <v>53045</v>
      </c>
      <c r="AL19" s="155">
        <f>CE19</f>
        <v>65975</v>
      </c>
      <c r="AM19" s="155">
        <f>CH19</f>
        <v>79147</v>
      </c>
      <c r="AN19" s="155">
        <f>CJ19</f>
        <v>111437</v>
      </c>
      <c r="AO19" s="155">
        <f>CC19</f>
        <v>109730</v>
      </c>
      <c r="AP19" s="155">
        <f>CD19</f>
        <v>76410</v>
      </c>
      <c r="AQ19" s="155">
        <f>CK19</f>
        <v>45990</v>
      </c>
      <c r="AR19" s="155">
        <f>CI19</f>
        <v>88622</v>
      </c>
      <c r="AS19" s="532">
        <f>CF19+CG19</f>
        <v>143797</v>
      </c>
      <c r="AT19" s="534">
        <v>396516</v>
      </c>
      <c r="AU19" s="534">
        <v>173452</v>
      </c>
      <c r="AV19" s="534">
        <v>206779</v>
      </c>
      <c r="AW19" s="534">
        <v>86117</v>
      </c>
      <c r="AX19" s="534">
        <v>193464</v>
      </c>
      <c r="AY19" s="534">
        <v>143182</v>
      </c>
      <c r="AZ19" s="534">
        <v>69270</v>
      </c>
      <c r="BA19" s="534">
        <v>132299</v>
      </c>
      <c r="BB19" s="534">
        <v>54513</v>
      </c>
      <c r="BC19" s="534">
        <v>78234</v>
      </c>
      <c r="BD19" s="534">
        <v>53100</v>
      </c>
      <c r="BE19" s="534">
        <v>49517</v>
      </c>
      <c r="BF19" s="557">
        <v>120725</v>
      </c>
      <c r="BG19" s="534">
        <v>29480</v>
      </c>
      <c r="BH19" s="534">
        <v>173336</v>
      </c>
      <c r="BI19" s="534">
        <v>147895</v>
      </c>
      <c r="BJ19" s="534">
        <v>88299</v>
      </c>
      <c r="BK19" s="534">
        <v>89455</v>
      </c>
      <c r="BL19" s="534">
        <v>183055</v>
      </c>
      <c r="BM19" s="534">
        <v>45304</v>
      </c>
      <c r="BN19" s="534">
        <v>163711</v>
      </c>
      <c r="BO19" s="534">
        <v>56548</v>
      </c>
      <c r="BP19" s="534">
        <v>44417</v>
      </c>
      <c r="BQ19" s="534">
        <v>58945</v>
      </c>
      <c r="BR19" s="557">
        <v>45062</v>
      </c>
      <c r="BS19" s="534">
        <v>119149</v>
      </c>
      <c r="BT19" s="534">
        <v>78400</v>
      </c>
      <c r="BU19" s="534">
        <v>49805</v>
      </c>
      <c r="BV19" s="534">
        <v>171530</v>
      </c>
      <c r="BW19" s="534">
        <v>54027</v>
      </c>
      <c r="BX19" s="534">
        <v>83936</v>
      </c>
      <c r="BY19" s="534">
        <v>62443</v>
      </c>
      <c r="BZ19" s="534">
        <v>98039</v>
      </c>
      <c r="CA19" s="534">
        <v>77030</v>
      </c>
      <c r="CB19" s="557">
        <v>53045</v>
      </c>
      <c r="CC19" s="534">
        <v>109730</v>
      </c>
      <c r="CD19" s="534">
        <v>76410</v>
      </c>
      <c r="CE19" s="534">
        <v>65975</v>
      </c>
      <c r="CF19" s="534">
        <v>91869</v>
      </c>
      <c r="CG19" s="534">
        <v>51928</v>
      </c>
      <c r="CH19" s="534">
        <v>79147</v>
      </c>
      <c r="CI19" s="534">
        <v>88622</v>
      </c>
      <c r="CJ19" s="534">
        <v>111437</v>
      </c>
      <c r="CK19" s="534">
        <v>45990</v>
      </c>
      <c r="CL19" s="320">
        <v>4451187</v>
      </c>
    </row>
    <row r="20" spans="1:90">
      <c r="A20" s="80">
        <f>ROWS($A$3:A18)</f>
        <v>16</v>
      </c>
      <c r="B20" s="92" t="s">
        <v>64</v>
      </c>
      <c r="C20" s="202">
        <v>2015</v>
      </c>
      <c r="D20" s="259" t="s">
        <v>285</v>
      </c>
      <c r="E20" s="447">
        <v>43320</v>
      </c>
      <c r="F20" s="154">
        <v>177218.29399999999</v>
      </c>
      <c r="G20" s="155">
        <v>101376.02899999999</v>
      </c>
      <c r="H20" s="155">
        <v>70747.856999999989</v>
      </c>
      <c r="I20" s="156">
        <v>64898.463999999993</v>
      </c>
      <c r="J20" s="141"/>
      <c r="K20" s="154">
        <f t="shared" si="4"/>
        <v>11084.72</v>
      </c>
      <c r="L20" s="155">
        <f t="shared" si="5"/>
        <v>12175.51</v>
      </c>
      <c r="M20" s="155">
        <f t="shared" si="6"/>
        <v>4141.2</v>
      </c>
      <c r="N20" s="155">
        <f t="shared" si="7"/>
        <v>7428.9859999999999</v>
      </c>
      <c r="O20" s="155">
        <f t="shared" si="8"/>
        <v>3871.3069999999998</v>
      </c>
      <c r="P20" s="155">
        <f>'2017'!AZ20+'2017'!BA20</f>
        <v>20442.294000000002</v>
      </c>
      <c r="Q20" s="155">
        <f>'2017'!AU20</f>
        <v>22209.684000000001</v>
      </c>
      <c r="R20" s="155">
        <f>AT20+AX20</f>
        <v>66563.678</v>
      </c>
      <c r="S20" s="155">
        <f t="shared" si="9"/>
        <v>18394.671999999999</v>
      </c>
      <c r="T20" s="155">
        <f t="shared" si="10"/>
        <v>4459.0420000000004</v>
      </c>
      <c r="U20" s="552">
        <f t="shared" si="10"/>
        <v>6447.201</v>
      </c>
      <c r="V20" s="155">
        <f>BG20+BJ20</f>
        <v>10754.963</v>
      </c>
      <c r="W20" s="155">
        <f t="shared" si="12"/>
        <v>3762.8490000000002</v>
      </c>
      <c r="X20" s="155">
        <f>BH20+BI20</f>
        <v>30418.514999999999</v>
      </c>
      <c r="Y20" s="155">
        <f>BK20+BL20+BN20</f>
        <v>39458.062000000005</v>
      </c>
      <c r="Z20" s="155">
        <f t="shared" si="15"/>
        <v>3829.893</v>
      </c>
      <c r="AA20" s="155">
        <f>BO20+BQ20</f>
        <v>9419.9290000000001</v>
      </c>
      <c r="AB20" s="552">
        <f t="shared" si="17"/>
        <v>3731.8180000000002</v>
      </c>
      <c r="AC20" s="155">
        <f t="shared" si="18"/>
        <v>6898.473</v>
      </c>
      <c r="AD20" s="155">
        <f t="shared" si="19"/>
        <v>4258.5219999999999</v>
      </c>
      <c r="AE20" s="155">
        <f>BS20+BT20</f>
        <v>16182.088</v>
      </c>
      <c r="AF20" s="155">
        <f t="shared" si="21"/>
        <v>6663.1719999999996</v>
      </c>
      <c r="AG20" s="155">
        <f t="shared" si="22"/>
        <v>13612.88</v>
      </c>
      <c r="AH20" s="155">
        <f t="shared" si="23"/>
        <v>8104.8729999999996</v>
      </c>
      <c r="AI20" s="155">
        <f t="shared" si="24"/>
        <v>5092.5600000000004</v>
      </c>
      <c r="AJ20" s="155">
        <f t="shared" si="25"/>
        <v>5512.643</v>
      </c>
      <c r="AK20" s="552">
        <f t="shared" si="26"/>
        <v>4422.6459999999997</v>
      </c>
      <c r="AL20" s="155">
        <f t="shared" si="27"/>
        <v>5454.393</v>
      </c>
      <c r="AM20" s="155">
        <f t="shared" si="28"/>
        <v>8283.5869999999995</v>
      </c>
      <c r="AN20" s="155">
        <f t="shared" si="29"/>
        <v>9827.59</v>
      </c>
      <c r="AO20" s="155">
        <f t="shared" si="30"/>
        <v>9760.2109999999993</v>
      </c>
      <c r="AP20" s="155">
        <f t="shared" si="30"/>
        <v>6156.1959999999999</v>
      </c>
      <c r="AQ20" s="155">
        <f t="shared" si="31"/>
        <v>3980.701</v>
      </c>
      <c r="AR20" s="155">
        <f t="shared" si="32"/>
        <v>8496.2759999999998</v>
      </c>
      <c r="AS20" s="156">
        <f>CF20+CG20</f>
        <v>12939.509999999998</v>
      </c>
      <c r="AT20" s="281">
        <v>46030.567999999999</v>
      </c>
      <c r="AU20" s="155">
        <v>22209.684000000001</v>
      </c>
      <c r="AV20" s="155">
        <v>18394.671999999999</v>
      </c>
      <c r="AW20" s="155">
        <v>7428.9859999999999</v>
      </c>
      <c r="AX20" s="155">
        <v>20533.11</v>
      </c>
      <c r="AY20" s="155">
        <v>12175.51</v>
      </c>
      <c r="AZ20" s="155">
        <v>5766.1469999999999</v>
      </c>
      <c r="BA20" s="155">
        <v>14676.147000000001</v>
      </c>
      <c r="BB20" s="155">
        <v>4459.0420000000004</v>
      </c>
      <c r="BC20" s="155">
        <v>6447.201</v>
      </c>
      <c r="BD20" s="155">
        <v>4141.2</v>
      </c>
      <c r="BE20" s="155">
        <v>3871.3069999999998</v>
      </c>
      <c r="BF20" s="552">
        <v>11084.72</v>
      </c>
      <c r="BG20" s="155">
        <v>2534.7689999999998</v>
      </c>
      <c r="BH20" s="155">
        <v>16884.183000000001</v>
      </c>
      <c r="BI20" s="155">
        <v>13534.332</v>
      </c>
      <c r="BJ20" s="155">
        <v>8220.1939999999995</v>
      </c>
      <c r="BK20" s="155">
        <v>7292.415</v>
      </c>
      <c r="BL20" s="155">
        <v>16835.400000000001</v>
      </c>
      <c r="BM20" s="155">
        <v>3829.893</v>
      </c>
      <c r="BN20" s="155">
        <v>15330.246999999999</v>
      </c>
      <c r="BO20" s="155">
        <v>4448.4650000000001</v>
      </c>
      <c r="BP20" s="155">
        <v>3731.8180000000002</v>
      </c>
      <c r="BQ20" s="155">
        <v>4971.4639999999999</v>
      </c>
      <c r="BR20" s="552">
        <v>3762.8490000000002</v>
      </c>
      <c r="BS20" s="155">
        <v>9779.6790000000001</v>
      </c>
      <c r="BT20" s="155">
        <v>6402.4089999999997</v>
      </c>
      <c r="BU20" s="155">
        <v>4258.5219999999999</v>
      </c>
      <c r="BV20" s="155">
        <v>13612.88</v>
      </c>
      <c r="BW20" s="155">
        <v>5092.5600000000004</v>
      </c>
      <c r="BX20" s="155">
        <v>6898.473</v>
      </c>
      <c r="BY20" s="155">
        <v>5512.643</v>
      </c>
      <c r="BZ20" s="155">
        <v>8104.8729999999996</v>
      </c>
      <c r="CA20" s="155">
        <v>6663.1719999999996</v>
      </c>
      <c r="CB20" s="552">
        <v>4422.6459999999997</v>
      </c>
      <c r="CC20" s="155">
        <v>9760.2109999999993</v>
      </c>
      <c r="CD20" s="155">
        <v>6156.1959999999999</v>
      </c>
      <c r="CE20" s="155">
        <v>5454.393</v>
      </c>
      <c r="CF20" s="155">
        <v>8055.11</v>
      </c>
      <c r="CG20" s="281">
        <v>4884.3999999999996</v>
      </c>
      <c r="CH20" s="155">
        <v>8283.5869999999995</v>
      </c>
      <c r="CI20" s="155">
        <v>8496.2759999999998</v>
      </c>
      <c r="CJ20" s="155">
        <v>9827.59</v>
      </c>
      <c r="CK20" s="156">
        <v>3980.701</v>
      </c>
      <c r="CL20" s="320">
        <v>414240.64400000003</v>
      </c>
    </row>
    <row r="21" spans="1:90">
      <c r="A21" s="80">
        <f>ROWS($A$3:A19)</f>
        <v>17</v>
      </c>
      <c r="B21" s="53" t="s">
        <v>62</v>
      </c>
      <c r="C21" s="252"/>
      <c r="D21" s="259" t="s">
        <v>3</v>
      </c>
      <c r="E21" s="447">
        <v>43320</v>
      </c>
      <c r="F21" s="539">
        <f>F118/F20%</f>
        <v>0.30388679850399647</v>
      </c>
      <c r="G21" s="521">
        <f>G118/G20%</f>
        <v>0.28109899629230889</v>
      </c>
      <c r="H21" s="521">
        <f>H118/H20%</f>
        <v>0.65406080073916595</v>
      </c>
      <c r="I21" s="540">
        <f>I118/I20%</f>
        <v>0.5954193307256086</v>
      </c>
      <c r="J21" s="173"/>
      <c r="K21" s="539">
        <f t="shared" ref="K21:BV21" si="37">K118/K20%</f>
        <v>0.57108343738046607</v>
      </c>
      <c r="L21" s="521">
        <f t="shared" si="37"/>
        <v>0.33427757851621825</v>
      </c>
      <c r="M21" s="521">
        <f t="shared" si="37"/>
        <v>1.1283927364049069</v>
      </c>
      <c r="N21" s="521">
        <f t="shared" si="37"/>
        <v>0.32997773855005241</v>
      </c>
      <c r="O21" s="521">
        <f t="shared" si="37"/>
        <v>0.60212222900431311</v>
      </c>
      <c r="P21" s="521">
        <f t="shared" si="37"/>
        <v>0.36962583553489642</v>
      </c>
      <c r="Q21" s="521">
        <f t="shared" si="37"/>
        <v>9.2162499925708088E-2</v>
      </c>
      <c r="R21" s="521">
        <f t="shared" si="37"/>
        <v>0.10078169057905724</v>
      </c>
      <c r="S21" s="521">
        <f t="shared" si="37"/>
        <v>0.13951322426406951</v>
      </c>
      <c r="T21" s="521">
        <f t="shared" si="37"/>
        <v>1.3225486550698557</v>
      </c>
      <c r="U21" s="559">
        <f t="shared" si="37"/>
        <v>1.4306673547171866</v>
      </c>
      <c r="V21" s="521">
        <f t="shared" si="37"/>
        <v>0.36403658478415968</v>
      </c>
      <c r="W21" s="521">
        <f t="shared" si="37"/>
        <v>0.61187679867036926</v>
      </c>
      <c r="X21" s="521">
        <f t="shared" si="37"/>
        <v>0.17729004851157262</v>
      </c>
      <c r="Y21" s="521">
        <f t="shared" si="37"/>
        <v>0.16437451996502003</v>
      </c>
      <c r="Z21" s="521">
        <f t="shared" si="37"/>
        <v>1.262985676101134</v>
      </c>
      <c r="AA21" s="521">
        <f t="shared" si="37"/>
        <v>0.30807026252533326</v>
      </c>
      <c r="AB21" s="559">
        <f t="shared" si="37"/>
        <v>0.71311087518201566</v>
      </c>
      <c r="AC21" s="521">
        <f t="shared" si="37"/>
        <v>0.51827411660522549</v>
      </c>
      <c r="AD21" s="521">
        <f t="shared" si="37"/>
        <v>0.88093944330920448</v>
      </c>
      <c r="AE21" s="521">
        <f t="shared" si="37"/>
        <v>0.67918923688957822</v>
      </c>
      <c r="AF21" s="521">
        <f t="shared" si="37"/>
        <v>0.54718683533908474</v>
      </c>
      <c r="AG21" s="521">
        <f t="shared" si="37"/>
        <v>0.766465288755943</v>
      </c>
      <c r="AH21" s="521">
        <f t="shared" si="37"/>
        <v>0.69284244182481336</v>
      </c>
      <c r="AI21" s="521">
        <f t="shared" si="37"/>
        <v>0.56223196192091995</v>
      </c>
      <c r="AJ21" s="521">
        <f t="shared" si="37"/>
        <v>0.35393186172222652</v>
      </c>
      <c r="AK21" s="559">
        <f t="shared" si="37"/>
        <v>0.77926200740461715</v>
      </c>
      <c r="AL21" s="521">
        <f t="shared" si="37"/>
        <v>0.43953561835386629</v>
      </c>
      <c r="AM21" s="521">
        <f t="shared" si="37"/>
        <v>0.83975697967559215</v>
      </c>
      <c r="AN21" s="521">
        <f t="shared" si="37"/>
        <v>0.90071930147676083</v>
      </c>
      <c r="AO21" s="521">
        <f t="shared" si="37"/>
        <v>0.30303648148590234</v>
      </c>
      <c r="AP21" s="521">
        <f t="shared" si="37"/>
        <v>0.22034711045587241</v>
      </c>
      <c r="AQ21" s="521">
        <f t="shared" si="37"/>
        <v>1.1739892044139963</v>
      </c>
      <c r="AR21" s="521">
        <f t="shared" si="37"/>
        <v>0.58103103053620198</v>
      </c>
      <c r="AS21" s="540">
        <f t="shared" si="37"/>
        <v>0.5032802633175445</v>
      </c>
      <c r="AT21" s="521">
        <f t="shared" si="37"/>
        <v>4.2825889091787875E-2</v>
      </c>
      <c r="AU21" s="521">
        <f t="shared" si="37"/>
        <v>9.2162499925708088E-2</v>
      </c>
      <c r="AV21" s="521">
        <f t="shared" si="37"/>
        <v>0.13951322426406951</v>
      </c>
      <c r="AW21" s="521">
        <f t="shared" si="37"/>
        <v>0.32997773855005241</v>
      </c>
      <c r="AX21" s="521">
        <f t="shared" si="37"/>
        <v>0.23070543137401009</v>
      </c>
      <c r="AY21" s="521">
        <f t="shared" si="37"/>
        <v>0.33427757851621825</v>
      </c>
      <c r="AZ21" s="521">
        <f t="shared" si="37"/>
        <v>0.19744553858928673</v>
      </c>
      <c r="BA21" s="521">
        <f t="shared" si="37"/>
        <v>0.4372741701210815</v>
      </c>
      <c r="BB21" s="521">
        <f t="shared" si="37"/>
        <v>1.3225486550698557</v>
      </c>
      <c r="BC21" s="521">
        <f t="shared" si="37"/>
        <v>1.4306673547171866</v>
      </c>
      <c r="BD21" s="521">
        <f t="shared" si="37"/>
        <v>1.1283927364049069</v>
      </c>
      <c r="BE21" s="521">
        <f t="shared" si="37"/>
        <v>0.60212222900431311</v>
      </c>
      <c r="BF21" s="559">
        <f t="shared" si="37"/>
        <v>0.57108343738046607</v>
      </c>
      <c r="BG21" s="521">
        <f t="shared" si="37"/>
        <v>0.39936578047151439</v>
      </c>
      <c r="BH21" s="521">
        <f t="shared" si="37"/>
        <v>5.8907203268289611E-2</v>
      </c>
      <c r="BI21" s="521">
        <f t="shared" si="37"/>
        <v>0.32497355613856671</v>
      </c>
      <c r="BJ21" s="521">
        <f t="shared" si="37"/>
        <v>0.35314251707441457</v>
      </c>
      <c r="BK21" s="521">
        <f t="shared" si="37"/>
        <v>0.12429352964690024</v>
      </c>
      <c r="BL21" s="521">
        <f t="shared" si="37"/>
        <v>2.2446749111990207E-2</v>
      </c>
      <c r="BM21" s="521">
        <f t="shared" si="37"/>
        <v>1.262985676101134</v>
      </c>
      <c r="BN21" s="521">
        <f t="shared" si="37"/>
        <v>0.33930307841745799</v>
      </c>
      <c r="BO21" s="521">
        <f t="shared" si="37"/>
        <v>0.18916637536768299</v>
      </c>
      <c r="BP21" s="521">
        <f t="shared" si="37"/>
        <v>0.71311087518201566</v>
      </c>
      <c r="BQ21" s="521">
        <f t="shared" si="37"/>
        <v>0.41446543714286171</v>
      </c>
      <c r="BR21" s="559">
        <f t="shared" si="37"/>
        <v>0.61187679867036926</v>
      </c>
      <c r="BS21" s="521">
        <f t="shared" si="37"/>
        <v>0.18343137847366975</v>
      </c>
      <c r="BT21" s="521">
        <f t="shared" si="37"/>
        <v>1.4364593077386965</v>
      </c>
      <c r="BU21" s="521">
        <f t="shared" si="37"/>
        <v>0.88093944330920448</v>
      </c>
      <c r="BV21" s="521">
        <f t="shared" si="37"/>
        <v>0.766465288755943</v>
      </c>
      <c r="BW21" s="521">
        <f t="shared" ref="BW21:CL21" si="38">BW118/BW20%</f>
        <v>0.56223196192091995</v>
      </c>
      <c r="BX21" s="521">
        <f t="shared" si="38"/>
        <v>0.51827411660522549</v>
      </c>
      <c r="BY21" s="521">
        <f t="shared" si="38"/>
        <v>0.35393186172222652</v>
      </c>
      <c r="BZ21" s="521">
        <f t="shared" si="38"/>
        <v>0.69284244182481336</v>
      </c>
      <c r="CA21" s="521">
        <f t="shared" si="38"/>
        <v>0.54718683533908474</v>
      </c>
      <c r="CB21" s="559">
        <f t="shared" si="38"/>
        <v>0.77926200740461715</v>
      </c>
      <c r="CC21" s="521">
        <f t="shared" si="38"/>
        <v>0.30303648148590234</v>
      </c>
      <c r="CD21" s="521">
        <f t="shared" si="38"/>
        <v>0.22034711045587241</v>
      </c>
      <c r="CE21" s="521">
        <f t="shared" si="38"/>
        <v>0.43953561835386629</v>
      </c>
      <c r="CF21" s="521">
        <f t="shared" si="38"/>
        <v>9.5529421696289696E-2</v>
      </c>
      <c r="CG21" s="521">
        <f t="shared" si="38"/>
        <v>1.1757227090328395</v>
      </c>
      <c r="CH21" s="521">
        <f t="shared" si="38"/>
        <v>0.83975697967559215</v>
      </c>
      <c r="CI21" s="521">
        <f t="shared" si="38"/>
        <v>0.58103103053620198</v>
      </c>
      <c r="CJ21" s="521">
        <f t="shared" si="38"/>
        <v>0.90071930147676083</v>
      </c>
      <c r="CK21" s="540">
        <f t="shared" si="38"/>
        <v>1.1739892044139963</v>
      </c>
      <c r="CL21" s="560">
        <f t="shared" si="38"/>
        <v>0.40378992844555328</v>
      </c>
    </row>
    <row r="22" spans="1:90">
      <c r="A22" s="80">
        <f>ROWS($A$3:A20)</f>
        <v>18</v>
      </c>
      <c r="B22" s="59" t="s">
        <v>66</v>
      </c>
      <c r="C22" s="484">
        <v>2016</v>
      </c>
      <c r="D22" s="260"/>
      <c r="E22" s="451"/>
      <c r="F22" s="154"/>
      <c r="G22" s="155"/>
      <c r="H22" s="155"/>
      <c r="I22" s="156"/>
      <c r="J22" s="141"/>
      <c r="K22" s="154"/>
      <c r="L22" s="155"/>
      <c r="M22" s="155"/>
      <c r="N22" s="155"/>
      <c r="O22" s="155"/>
      <c r="P22" s="155"/>
      <c r="Q22" s="155">
        <f>'2017'!AU22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0">
      <c r="A23" s="80">
        <f>ROWS($A$3:A21)</f>
        <v>19</v>
      </c>
      <c r="B23" s="52" t="s">
        <v>253</v>
      </c>
      <c r="D23" s="260" t="s">
        <v>13</v>
      </c>
      <c r="E23" s="447">
        <v>42887</v>
      </c>
      <c r="F23" s="154">
        <f>SUM(F24:F29)</f>
        <v>12977</v>
      </c>
      <c r="G23" s="155">
        <f>SUM(G24:G29)</f>
        <v>4559</v>
      </c>
      <c r="H23" s="155">
        <f>SUM(H24:H29)</f>
        <v>12363</v>
      </c>
      <c r="I23" s="156">
        <f>SUM(I24:I29)</f>
        <v>10690</v>
      </c>
      <c r="J23" s="141"/>
      <c r="K23" s="154">
        <f t="shared" ref="K23:K33" si="39">BF23</f>
        <v>1677</v>
      </c>
      <c r="L23" s="155">
        <f t="shared" ref="L23:L33" si="40">AY23</f>
        <v>1128</v>
      </c>
      <c r="M23" s="155">
        <f t="shared" ref="M23:M33" si="41">BD23</f>
        <v>1355</v>
      </c>
      <c r="N23" s="155">
        <f t="shared" ref="N23:N33" si="42">AW23</f>
        <v>725</v>
      </c>
      <c r="O23" s="155">
        <f t="shared" ref="O23:O33" si="43">BE23</f>
        <v>542</v>
      </c>
      <c r="P23" s="155">
        <f>'2017'!AZ23+'2017'!BA23</f>
        <v>2011</v>
      </c>
      <c r="Q23" s="155">
        <f>'2017'!AU23</f>
        <v>560</v>
      </c>
      <c r="R23" s="155">
        <f t="shared" ref="R23:R29" si="44">AT23+AX23</f>
        <v>1374</v>
      </c>
      <c r="S23" s="155">
        <f t="shared" ref="S23:S33" si="45">AV23</f>
        <v>633</v>
      </c>
      <c r="T23" s="155">
        <f t="shared" ref="T23:U33" si="46">BB23</f>
        <v>1098</v>
      </c>
      <c r="U23" s="552">
        <f t="shared" si="46"/>
        <v>1874</v>
      </c>
      <c r="V23" s="155">
        <f t="shared" ref="V23:V29" si="47">BG23+BJ23</f>
        <v>576</v>
      </c>
      <c r="W23" s="155">
        <f t="shared" ref="W23:W33" si="48">BR23</f>
        <v>477</v>
      </c>
      <c r="X23" s="155">
        <f t="shared" ref="X23:X29" si="49">BH23+BI23</f>
        <v>777</v>
      </c>
      <c r="Y23" s="155">
        <f t="shared" ref="Y23:Y29" si="50">BK23+BL23+BN23</f>
        <v>1014</v>
      </c>
      <c r="Z23" s="155">
        <f t="shared" ref="Z23:Z33" si="51">BM23</f>
        <v>830</v>
      </c>
      <c r="AA23" s="155">
        <f t="shared" ref="AA23:AA29" si="52">BO23+BQ23</f>
        <v>439</v>
      </c>
      <c r="AB23" s="552">
        <f t="shared" ref="AB23:AB33" si="53">BP23</f>
        <v>446</v>
      </c>
      <c r="AC23" s="155">
        <f t="shared" ref="AC23:AC33" si="54">BX23</f>
        <v>968</v>
      </c>
      <c r="AD23" s="155">
        <f t="shared" ref="AD23:AD33" si="55">BU23</f>
        <v>1266</v>
      </c>
      <c r="AE23" s="155">
        <f t="shared" ref="AE23:AE29" si="56">BS23+BT23</f>
        <v>2772</v>
      </c>
      <c r="AF23" s="155">
        <f t="shared" ref="AF23:AF33" si="57">CA23</f>
        <v>966</v>
      </c>
      <c r="AG23" s="155">
        <f t="shared" ref="AG23:AG33" si="58">BV23</f>
        <v>3285</v>
      </c>
      <c r="AH23" s="155">
        <f t="shared" ref="AH23:AH33" si="59">BZ23</f>
        <v>811</v>
      </c>
      <c r="AI23" s="155">
        <f t="shared" ref="AI23:AI33" si="60">BW23</f>
        <v>758</v>
      </c>
      <c r="AJ23" s="155">
        <f t="shared" ref="AJ23:AJ33" si="61">BY23</f>
        <v>424</v>
      </c>
      <c r="AK23" s="552">
        <f t="shared" ref="AK23:AK33" si="62">CB23</f>
        <v>1113</v>
      </c>
      <c r="AL23" s="155">
        <f t="shared" ref="AL23:AL33" si="63">CE23</f>
        <v>701</v>
      </c>
      <c r="AM23" s="155">
        <f t="shared" ref="AM23:AM33" si="64">CH23</f>
        <v>1714</v>
      </c>
      <c r="AN23" s="155">
        <f t="shared" ref="AN23:AN33" si="65">CJ23</f>
        <v>2340</v>
      </c>
      <c r="AO23" s="155">
        <f t="shared" ref="AO23:AP33" si="66">CC23</f>
        <v>1011</v>
      </c>
      <c r="AP23" s="155">
        <f t="shared" si="66"/>
        <v>386</v>
      </c>
      <c r="AQ23" s="155">
        <f t="shared" ref="AQ23:AQ33" si="67">CK23</f>
        <v>1167</v>
      </c>
      <c r="AR23" s="155">
        <f t="shared" ref="AR23:AR33" si="68">CI23</f>
        <v>1510</v>
      </c>
      <c r="AS23" s="156">
        <f t="shared" ref="AS23:AS29" si="69">CF23+CG23</f>
        <v>1861</v>
      </c>
      <c r="AT23" s="155">
        <f t="shared" ref="AT23:CJ23" si="70">SUM(AT24:AT29)</f>
        <v>191</v>
      </c>
      <c r="AU23" s="155">
        <f t="shared" si="70"/>
        <v>560</v>
      </c>
      <c r="AV23" s="155">
        <f t="shared" si="70"/>
        <v>633</v>
      </c>
      <c r="AW23" s="155">
        <f t="shared" si="70"/>
        <v>725</v>
      </c>
      <c r="AX23" s="155">
        <f t="shared" si="70"/>
        <v>1183</v>
      </c>
      <c r="AY23" s="155">
        <f t="shared" si="70"/>
        <v>1128</v>
      </c>
      <c r="AZ23" s="155">
        <f t="shared" si="70"/>
        <v>172</v>
      </c>
      <c r="BA23" s="155">
        <f t="shared" si="70"/>
        <v>1839</v>
      </c>
      <c r="BB23" s="155">
        <f t="shared" si="70"/>
        <v>1098</v>
      </c>
      <c r="BC23" s="155">
        <f t="shared" si="70"/>
        <v>1874</v>
      </c>
      <c r="BD23" s="155">
        <f t="shared" si="70"/>
        <v>1355</v>
      </c>
      <c r="BE23" s="155">
        <f t="shared" si="70"/>
        <v>542</v>
      </c>
      <c r="BF23" s="552">
        <f t="shared" si="70"/>
        <v>1677</v>
      </c>
      <c r="BG23" s="155">
        <f t="shared" si="70"/>
        <v>105</v>
      </c>
      <c r="BH23" s="155">
        <f t="shared" si="70"/>
        <v>62</v>
      </c>
      <c r="BI23" s="155">
        <f t="shared" si="70"/>
        <v>715</v>
      </c>
      <c r="BJ23" s="155">
        <f t="shared" si="70"/>
        <v>471</v>
      </c>
      <c r="BK23" s="155">
        <f t="shared" si="70"/>
        <v>74</v>
      </c>
      <c r="BL23" s="155">
        <f t="shared" si="70"/>
        <v>59</v>
      </c>
      <c r="BM23" s="155">
        <f t="shared" si="70"/>
        <v>830</v>
      </c>
      <c r="BN23" s="155">
        <f t="shared" si="70"/>
        <v>881</v>
      </c>
      <c r="BO23" s="155">
        <f t="shared" si="70"/>
        <v>25</v>
      </c>
      <c r="BP23" s="155">
        <f t="shared" si="70"/>
        <v>446</v>
      </c>
      <c r="BQ23" s="155">
        <f t="shared" si="70"/>
        <v>414</v>
      </c>
      <c r="BR23" s="552">
        <f t="shared" si="70"/>
        <v>477</v>
      </c>
      <c r="BS23" s="155">
        <f t="shared" si="70"/>
        <v>181</v>
      </c>
      <c r="BT23" s="155">
        <f t="shared" si="70"/>
        <v>2591</v>
      </c>
      <c r="BU23" s="155">
        <f t="shared" si="70"/>
        <v>1266</v>
      </c>
      <c r="BV23" s="155">
        <f t="shared" si="70"/>
        <v>3285</v>
      </c>
      <c r="BW23" s="155">
        <f t="shared" si="70"/>
        <v>758</v>
      </c>
      <c r="BX23" s="155">
        <f t="shared" si="70"/>
        <v>968</v>
      </c>
      <c r="BY23" s="155">
        <f t="shared" si="70"/>
        <v>424</v>
      </c>
      <c r="BZ23" s="155">
        <f t="shared" si="70"/>
        <v>811</v>
      </c>
      <c r="CA23" s="155">
        <f t="shared" si="70"/>
        <v>966</v>
      </c>
      <c r="CB23" s="552">
        <f t="shared" si="70"/>
        <v>1113</v>
      </c>
      <c r="CC23" s="155">
        <f t="shared" si="70"/>
        <v>1011</v>
      </c>
      <c r="CD23" s="155">
        <f t="shared" si="70"/>
        <v>386</v>
      </c>
      <c r="CE23" s="155">
        <f t="shared" si="70"/>
        <v>701</v>
      </c>
      <c r="CF23" s="155">
        <f t="shared" si="70"/>
        <v>108</v>
      </c>
      <c r="CG23" s="155">
        <f t="shared" si="70"/>
        <v>1753</v>
      </c>
      <c r="CH23" s="155">
        <f t="shared" si="70"/>
        <v>1714</v>
      </c>
      <c r="CI23" s="155">
        <f t="shared" si="70"/>
        <v>1510</v>
      </c>
      <c r="CJ23" s="155">
        <f t="shared" si="70"/>
        <v>2340</v>
      </c>
      <c r="CK23" s="156">
        <f>SUM(CK24:CK29)</f>
        <v>1167</v>
      </c>
      <c r="CL23" s="320">
        <v>40589</v>
      </c>
    </row>
    <row r="24" spans="1:90">
      <c r="A24" s="80">
        <f>ROWS($A$3:A22)</f>
        <v>20</v>
      </c>
      <c r="B24" s="52" t="s">
        <v>249</v>
      </c>
      <c r="C24" s="201"/>
      <c r="D24" s="260" t="s">
        <v>13</v>
      </c>
      <c r="E24" s="447">
        <v>42887</v>
      </c>
      <c r="F24" s="154">
        <v>2283</v>
      </c>
      <c r="G24" s="155">
        <v>673</v>
      </c>
      <c r="H24" s="155">
        <v>2871</v>
      </c>
      <c r="I24" s="156">
        <v>795</v>
      </c>
      <c r="J24" s="141"/>
      <c r="K24" s="154">
        <f t="shared" si="39"/>
        <v>69</v>
      </c>
      <c r="L24" s="155">
        <f t="shared" si="40"/>
        <v>329</v>
      </c>
      <c r="M24" s="155">
        <f t="shared" si="41"/>
        <v>162</v>
      </c>
      <c r="N24" s="155">
        <f t="shared" si="42"/>
        <v>65</v>
      </c>
      <c r="O24" s="155">
        <f t="shared" si="43"/>
        <v>18</v>
      </c>
      <c r="P24" s="155">
        <f>'2017'!AZ24+'2017'!BA24</f>
        <v>679</v>
      </c>
      <c r="Q24" s="155">
        <f>'2017'!AU24</f>
        <v>40</v>
      </c>
      <c r="R24" s="155">
        <f t="shared" si="44"/>
        <v>507</v>
      </c>
      <c r="S24" s="155">
        <f t="shared" si="45"/>
        <v>100</v>
      </c>
      <c r="T24" s="155">
        <f t="shared" si="46"/>
        <v>222</v>
      </c>
      <c r="U24" s="552">
        <f t="shared" si="46"/>
        <v>92</v>
      </c>
      <c r="V24" s="155">
        <f t="shared" si="47"/>
        <v>219</v>
      </c>
      <c r="W24" s="155">
        <f t="shared" si="48"/>
        <v>20</v>
      </c>
      <c r="X24" s="155">
        <f t="shared" si="49"/>
        <v>126</v>
      </c>
      <c r="Y24" s="155">
        <f t="shared" si="50"/>
        <v>171</v>
      </c>
      <c r="Z24" s="155">
        <f t="shared" si="51"/>
        <v>47</v>
      </c>
      <c r="AA24" s="155">
        <f t="shared" si="52"/>
        <v>67</v>
      </c>
      <c r="AB24" s="552">
        <f t="shared" si="53"/>
        <v>23</v>
      </c>
      <c r="AC24" s="155">
        <f t="shared" si="54"/>
        <v>14</v>
      </c>
      <c r="AD24" s="155">
        <f t="shared" si="55"/>
        <v>419</v>
      </c>
      <c r="AE24" s="155">
        <f t="shared" si="56"/>
        <v>983</v>
      </c>
      <c r="AF24" s="155">
        <f t="shared" si="57"/>
        <v>149</v>
      </c>
      <c r="AG24" s="155">
        <f t="shared" si="58"/>
        <v>1120</v>
      </c>
      <c r="AH24" s="155">
        <f t="shared" si="59"/>
        <v>126</v>
      </c>
      <c r="AI24" s="155">
        <f t="shared" si="60"/>
        <v>19</v>
      </c>
      <c r="AJ24" s="155">
        <f t="shared" si="61"/>
        <v>8</v>
      </c>
      <c r="AK24" s="552">
        <f t="shared" si="62"/>
        <v>33</v>
      </c>
      <c r="AL24" s="155">
        <f t="shared" si="63"/>
        <v>16</v>
      </c>
      <c r="AM24" s="155">
        <f t="shared" si="64"/>
        <v>60</v>
      </c>
      <c r="AN24" s="155">
        <f t="shared" si="65"/>
        <v>140</v>
      </c>
      <c r="AO24" s="155">
        <f t="shared" si="66"/>
        <v>52</v>
      </c>
      <c r="AP24" s="155">
        <f t="shared" si="66"/>
        <v>32</v>
      </c>
      <c r="AQ24" s="155">
        <f t="shared" si="67"/>
        <v>38</v>
      </c>
      <c r="AR24" s="155">
        <f t="shared" si="68"/>
        <v>379</v>
      </c>
      <c r="AS24" s="156">
        <f t="shared" si="69"/>
        <v>78</v>
      </c>
      <c r="AT24" s="155">
        <v>97</v>
      </c>
      <c r="AU24" s="155">
        <v>40</v>
      </c>
      <c r="AV24" s="155">
        <v>100</v>
      </c>
      <c r="AW24" s="155">
        <v>65</v>
      </c>
      <c r="AX24" s="155">
        <v>410</v>
      </c>
      <c r="AY24" s="155">
        <v>329</v>
      </c>
      <c r="AZ24" s="155">
        <v>46</v>
      </c>
      <c r="BA24" s="155">
        <v>633</v>
      </c>
      <c r="BB24" s="155">
        <v>222</v>
      </c>
      <c r="BC24" s="155">
        <v>92</v>
      </c>
      <c r="BD24" s="155">
        <v>162</v>
      </c>
      <c r="BE24" s="155">
        <v>18</v>
      </c>
      <c r="BF24" s="552">
        <v>69</v>
      </c>
      <c r="BG24" s="155">
        <v>61</v>
      </c>
      <c r="BH24" s="155">
        <v>11</v>
      </c>
      <c r="BI24" s="155">
        <v>115</v>
      </c>
      <c r="BJ24" s="155">
        <v>158</v>
      </c>
      <c r="BK24" s="155">
        <v>17</v>
      </c>
      <c r="BL24" s="155">
        <v>11</v>
      </c>
      <c r="BM24" s="155">
        <v>47</v>
      </c>
      <c r="BN24" s="155">
        <v>143</v>
      </c>
      <c r="BO24" s="155">
        <v>9</v>
      </c>
      <c r="BP24" s="155">
        <v>23</v>
      </c>
      <c r="BQ24" s="155">
        <v>58</v>
      </c>
      <c r="BR24" s="552">
        <v>20</v>
      </c>
      <c r="BS24" s="155">
        <v>85</v>
      </c>
      <c r="BT24" s="155">
        <v>898</v>
      </c>
      <c r="BU24" s="155">
        <v>419</v>
      </c>
      <c r="BV24" s="155">
        <v>1120</v>
      </c>
      <c r="BW24" s="155">
        <v>19</v>
      </c>
      <c r="BX24" s="155">
        <v>14</v>
      </c>
      <c r="BY24" s="155">
        <v>8</v>
      </c>
      <c r="BZ24" s="155">
        <v>126</v>
      </c>
      <c r="CA24" s="155">
        <v>149</v>
      </c>
      <c r="CB24" s="552">
        <v>33</v>
      </c>
      <c r="CC24" s="155">
        <v>52</v>
      </c>
      <c r="CD24" s="155">
        <v>32</v>
      </c>
      <c r="CE24" s="155">
        <v>16</v>
      </c>
      <c r="CF24" s="155">
        <v>13</v>
      </c>
      <c r="CG24" s="155">
        <v>65</v>
      </c>
      <c r="CH24" s="155">
        <v>60</v>
      </c>
      <c r="CI24" s="155">
        <v>379</v>
      </c>
      <c r="CJ24" s="155">
        <v>140</v>
      </c>
      <c r="CK24" s="156">
        <v>38</v>
      </c>
      <c r="CL24" s="320">
        <v>6622</v>
      </c>
    </row>
    <row r="25" spans="1:90">
      <c r="A25" s="80">
        <f>ROWS($A$3:A23)</f>
        <v>21</v>
      </c>
      <c r="B25" s="52" t="s">
        <v>250</v>
      </c>
      <c r="C25" s="201"/>
      <c r="D25" s="260" t="s">
        <v>13</v>
      </c>
      <c r="E25" s="447">
        <v>42887</v>
      </c>
      <c r="F25" s="154">
        <v>1951</v>
      </c>
      <c r="G25" s="155">
        <v>772</v>
      </c>
      <c r="H25" s="155">
        <v>2646</v>
      </c>
      <c r="I25" s="156">
        <v>1671</v>
      </c>
      <c r="J25" s="141"/>
      <c r="K25" s="154">
        <f t="shared" si="39"/>
        <v>321</v>
      </c>
      <c r="L25" s="155">
        <f t="shared" si="40"/>
        <v>222</v>
      </c>
      <c r="M25" s="155">
        <f t="shared" si="41"/>
        <v>141</v>
      </c>
      <c r="N25" s="155">
        <f t="shared" si="42"/>
        <v>115</v>
      </c>
      <c r="O25" s="155">
        <f t="shared" si="43"/>
        <v>69</v>
      </c>
      <c r="P25" s="155">
        <f>'2017'!AZ25+'2017'!BA25</f>
        <v>290</v>
      </c>
      <c r="Q25" s="155">
        <f>'2017'!AU25</f>
        <v>89</v>
      </c>
      <c r="R25" s="155">
        <f t="shared" si="44"/>
        <v>145</v>
      </c>
      <c r="S25" s="155">
        <f t="shared" si="45"/>
        <v>114</v>
      </c>
      <c r="T25" s="155">
        <f t="shared" si="46"/>
        <v>155</v>
      </c>
      <c r="U25" s="552">
        <f t="shared" si="46"/>
        <v>290</v>
      </c>
      <c r="V25" s="155">
        <f t="shared" si="47"/>
        <v>102</v>
      </c>
      <c r="W25" s="155">
        <f t="shared" si="48"/>
        <v>113</v>
      </c>
      <c r="X25" s="155">
        <f t="shared" si="49"/>
        <v>108</v>
      </c>
      <c r="Y25" s="155">
        <f t="shared" si="50"/>
        <v>126</v>
      </c>
      <c r="Z25" s="155">
        <f t="shared" si="51"/>
        <v>133</v>
      </c>
      <c r="AA25" s="155">
        <f t="shared" si="52"/>
        <v>70</v>
      </c>
      <c r="AB25" s="552">
        <f t="shared" si="53"/>
        <v>120</v>
      </c>
      <c r="AC25" s="155">
        <f t="shared" si="54"/>
        <v>183</v>
      </c>
      <c r="AD25" s="155">
        <f t="shared" si="55"/>
        <v>266</v>
      </c>
      <c r="AE25" s="155">
        <f t="shared" si="56"/>
        <v>483</v>
      </c>
      <c r="AF25" s="155">
        <f t="shared" si="57"/>
        <v>210</v>
      </c>
      <c r="AG25" s="155">
        <f t="shared" si="58"/>
        <v>846</v>
      </c>
      <c r="AH25" s="155">
        <f t="shared" si="59"/>
        <v>107</v>
      </c>
      <c r="AI25" s="155">
        <f t="shared" si="60"/>
        <v>182</v>
      </c>
      <c r="AJ25" s="155">
        <f t="shared" si="61"/>
        <v>71</v>
      </c>
      <c r="AK25" s="552">
        <f t="shared" si="62"/>
        <v>298</v>
      </c>
      <c r="AL25" s="155">
        <f t="shared" si="63"/>
        <v>161</v>
      </c>
      <c r="AM25" s="155">
        <f t="shared" si="64"/>
        <v>212</v>
      </c>
      <c r="AN25" s="155">
        <f t="shared" si="65"/>
        <v>318</v>
      </c>
      <c r="AO25" s="155">
        <f t="shared" si="66"/>
        <v>183</v>
      </c>
      <c r="AP25" s="155">
        <f t="shared" si="66"/>
        <v>68</v>
      </c>
      <c r="AQ25" s="155">
        <f t="shared" si="67"/>
        <v>202</v>
      </c>
      <c r="AR25" s="155">
        <f t="shared" si="68"/>
        <v>298</v>
      </c>
      <c r="AS25" s="156">
        <f t="shared" si="69"/>
        <v>229</v>
      </c>
      <c r="AT25" s="155">
        <v>32</v>
      </c>
      <c r="AU25" s="155">
        <v>89</v>
      </c>
      <c r="AV25" s="155">
        <v>114</v>
      </c>
      <c r="AW25" s="155">
        <v>115</v>
      </c>
      <c r="AX25" s="155">
        <v>113</v>
      </c>
      <c r="AY25" s="155">
        <v>222</v>
      </c>
      <c r="AZ25" s="155">
        <v>35</v>
      </c>
      <c r="BA25" s="155">
        <v>255</v>
      </c>
      <c r="BB25" s="155">
        <v>155</v>
      </c>
      <c r="BC25" s="155">
        <v>290</v>
      </c>
      <c r="BD25" s="155">
        <v>141</v>
      </c>
      <c r="BE25" s="155">
        <v>69</v>
      </c>
      <c r="BF25" s="552">
        <v>321</v>
      </c>
      <c r="BG25" s="155">
        <v>21</v>
      </c>
      <c r="BH25" s="155">
        <v>9</v>
      </c>
      <c r="BI25" s="155">
        <v>99</v>
      </c>
      <c r="BJ25" s="155">
        <v>81</v>
      </c>
      <c r="BK25" s="155">
        <v>11</v>
      </c>
      <c r="BL25" s="155">
        <v>4</v>
      </c>
      <c r="BM25" s="155">
        <v>133</v>
      </c>
      <c r="BN25" s="155">
        <v>111</v>
      </c>
      <c r="BO25" s="155">
        <v>4</v>
      </c>
      <c r="BP25" s="155">
        <v>120</v>
      </c>
      <c r="BQ25" s="155">
        <v>66</v>
      </c>
      <c r="BR25" s="552">
        <v>113</v>
      </c>
      <c r="BS25" s="155">
        <v>26</v>
      </c>
      <c r="BT25" s="155">
        <v>457</v>
      </c>
      <c r="BU25" s="155">
        <v>266</v>
      </c>
      <c r="BV25" s="155">
        <v>846</v>
      </c>
      <c r="BW25" s="155">
        <v>182</v>
      </c>
      <c r="BX25" s="155">
        <v>183</v>
      </c>
      <c r="BY25" s="155">
        <v>71</v>
      </c>
      <c r="BZ25" s="155">
        <v>107</v>
      </c>
      <c r="CA25" s="155">
        <v>210</v>
      </c>
      <c r="CB25" s="552">
        <v>298</v>
      </c>
      <c r="CC25" s="155">
        <v>183</v>
      </c>
      <c r="CD25" s="155">
        <v>68</v>
      </c>
      <c r="CE25" s="155">
        <v>161</v>
      </c>
      <c r="CF25" s="155">
        <v>10</v>
      </c>
      <c r="CG25" s="155">
        <v>219</v>
      </c>
      <c r="CH25" s="155">
        <v>212</v>
      </c>
      <c r="CI25" s="155">
        <v>298</v>
      </c>
      <c r="CJ25" s="155">
        <v>318</v>
      </c>
      <c r="CK25" s="156">
        <v>202</v>
      </c>
      <c r="CL25" s="320">
        <v>7040</v>
      </c>
    </row>
    <row r="26" spans="1:90">
      <c r="A26" s="80">
        <f>ROWS($A$3:A24)</f>
        <v>22</v>
      </c>
      <c r="B26" s="52" t="s">
        <v>251</v>
      </c>
      <c r="C26" s="201"/>
      <c r="D26" s="260" t="s">
        <v>13</v>
      </c>
      <c r="E26" s="447">
        <v>42887</v>
      </c>
      <c r="F26" s="154">
        <v>2427</v>
      </c>
      <c r="G26" s="155">
        <v>837</v>
      </c>
      <c r="H26" s="155">
        <v>2678</v>
      </c>
      <c r="I26" s="156">
        <v>2425</v>
      </c>
      <c r="J26" s="141"/>
      <c r="K26" s="154">
        <f t="shared" si="39"/>
        <v>440</v>
      </c>
      <c r="L26" s="155">
        <f t="shared" si="40"/>
        <v>205</v>
      </c>
      <c r="M26" s="155">
        <f t="shared" si="41"/>
        <v>242</v>
      </c>
      <c r="N26" s="155">
        <f t="shared" si="42"/>
        <v>150</v>
      </c>
      <c r="O26" s="155">
        <f t="shared" si="43"/>
        <v>115</v>
      </c>
      <c r="P26" s="155">
        <f>'2017'!AZ26+'2017'!BA26</f>
        <v>287</v>
      </c>
      <c r="Q26" s="155">
        <f>'2017'!AU26</f>
        <v>126</v>
      </c>
      <c r="R26" s="155">
        <f t="shared" si="44"/>
        <v>162</v>
      </c>
      <c r="S26" s="155">
        <f t="shared" si="45"/>
        <v>134</v>
      </c>
      <c r="T26" s="155">
        <f t="shared" si="46"/>
        <v>186</v>
      </c>
      <c r="U26" s="552">
        <f t="shared" si="46"/>
        <v>380</v>
      </c>
      <c r="V26" s="155">
        <f t="shared" si="47"/>
        <v>102</v>
      </c>
      <c r="W26" s="155">
        <f t="shared" si="48"/>
        <v>114</v>
      </c>
      <c r="X26" s="155">
        <f t="shared" si="49"/>
        <v>127</v>
      </c>
      <c r="Y26" s="155">
        <f t="shared" si="50"/>
        <v>153</v>
      </c>
      <c r="Z26" s="155">
        <f t="shared" si="51"/>
        <v>162</v>
      </c>
      <c r="AA26" s="155">
        <f t="shared" si="52"/>
        <v>79</v>
      </c>
      <c r="AB26" s="552">
        <f t="shared" si="53"/>
        <v>100</v>
      </c>
      <c r="AC26" s="155">
        <f t="shared" si="54"/>
        <v>216</v>
      </c>
      <c r="AD26" s="155">
        <f t="shared" si="55"/>
        <v>292</v>
      </c>
      <c r="AE26" s="155">
        <f t="shared" si="56"/>
        <v>503</v>
      </c>
      <c r="AF26" s="155">
        <f t="shared" si="57"/>
        <v>244</v>
      </c>
      <c r="AG26" s="155">
        <f t="shared" si="58"/>
        <v>675</v>
      </c>
      <c r="AH26" s="155">
        <f t="shared" si="59"/>
        <v>170</v>
      </c>
      <c r="AI26" s="155">
        <f t="shared" si="60"/>
        <v>190</v>
      </c>
      <c r="AJ26" s="155">
        <f t="shared" si="61"/>
        <v>97</v>
      </c>
      <c r="AK26" s="552">
        <f t="shared" si="62"/>
        <v>291</v>
      </c>
      <c r="AL26" s="155">
        <f t="shared" si="63"/>
        <v>150</v>
      </c>
      <c r="AM26" s="155">
        <f t="shared" si="64"/>
        <v>377</v>
      </c>
      <c r="AN26" s="155">
        <f t="shared" si="65"/>
        <v>521</v>
      </c>
      <c r="AO26" s="155">
        <f t="shared" si="66"/>
        <v>253</v>
      </c>
      <c r="AP26" s="155">
        <f t="shared" si="66"/>
        <v>74</v>
      </c>
      <c r="AQ26" s="155">
        <f t="shared" si="67"/>
        <v>272</v>
      </c>
      <c r="AR26" s="155">
        <f t="shared" si="68"/>
        <v>353</v>
      </c>
      <c r="AS26" s="156">
        <f t="shared" si="69"/>
        <v>425</v>
      </c>
      <c r="AT26" s="155">
        <v>28</v>
      </c>
      <c r="AU26" s="155">
        <v>126</v>
      </c>
      <c r="AV26" s="155">
        <v>134</v>
      </c>
      <c r="AW26" s="155">
        <v>150</v>
      </c>
      <c r="AX26" s="155">
        <v>134</v>
      </c>
      <c r="AY26" s="155">
        <v>205</v>
      </c>
      <c r="AZ26" s="155">
        <v>30</v>
      </c>
      <c r="BA26" s="155">
        <v>257</v>
      </c>
      <c r="BB26" s="155">
        <v>186</v>
      </c>
      <c r="BC26" s="155">
        <v>380</v>
      </c>
      <c r="BD26" s="155">
        <v>242</v>
      </c>
      <c r="BE26" s="155">
        <v>115</v>
      </c>
      <c r="BF26" s="552">
        <v>440</v>
      </c>
      <c r="BG26" s="155">
        <v>10</v>
      </c>
      <c r="BH26" s="155">
        <v>13</v>
      </c>
      <c r="BI26" s="155">
        <v>114</v>
      </c>
      <c r="BJ26" s="155">
        <v>92</v>
      </c>
      <c r="BK26" s="155">
        <v>12</v>
      </c>
      <c r="BL26" s="155">
        <v>7</v>
      </c>
      <c r="BM26" s="155">
        <v>162</v>
      </c>
      <c r="BN26" s="155">
        <v>134</v>
      </c>
      <c r="BO26" s="155">
        <v>2</v>
      </c>
      <c r="BP26" s="155">
        <v>100</v>
      </c>
      <c r="BQ26" s="155">
        <v>77</v>
      </c>
      <c r="BR26" s="552">
        <v>114</v>
      </c>
      <c r="BS26" s="155">
        <v>22</v>
      </c>
      <c r="BT26" s="155">
        <v>481</v>
      </c>
      <c r="BU26" s="155">
        <v>292</v>
      </c>
      <c r="BV26" s="155">
        <v>675</v>
      </c>
      <c r="BW26" s="155">
        <v>190</v>
      </c>
      <c r="BX26" s="155">
        <v>216</v>
      </c>
      <c r="BY26" s="155">
        <v>97</v>
      </c>
      <c r="BZ26" s="155">
        <v>170</v>
      </c>
      <c r="CA26" s="155">
        <v>244</v>
      </c>
      <c r="CB26" s="552">
        <v>291</v>
      </c>
      <c r="CC26" s="155">
        <v>253</v>
      </c>
      <c r="CD26" s="155">
        <v>74</v>
      </c>
      <c r="CE26" s="155">
        <v>150</v>
      </c>
      <c r="CF26" s="155">
        <v>20</v>
      </c>
      <c r="CG26" s="155">
        <v>405</v>
      </c>
      <c r="CH26" s="155">
        <v>377</v>
      </c>
      <c r="CI26" s="155">
        <v>353</v>
      </c>
      <c r="CJ26" s="155">
        <v>521</v>
      </c>
      <c r="CK26" s="156">
        <v>272</v>
      </c>
      <c r="CL26" s="320">
        <v>8367</v>
      </c>
    </row>
    <row r="27" spans="1:90">
      <c r="A27" s="80">
        <f>ROWS($A$3:A25)</f>
        <v>23</v>
      </c>
      <c r="B27" s="52" t="s">
        <v>252</v>
      </c>
      <c r="C27" s="201"/>
      <c r="D27" s="260" t="s">
        <v>13</v>
      </c>
      <c r="E27" s="447">
        <v>42887</v>
      </c>
      <c r="F27" s="154">
        <v>3161</v>
      </c>
      <c r="G27" s="155">
        <v>911</v>
      </c>
      <c r="H27" s="155">
        <v>2297</v>
      </c>
      <c r="I27" s="156">
        <v>2942</v>
      </c>
      <c r="J27" s="141"/>
      <c r="K27" s="154">
        <f t="shared" si="39"/>
        <v>420</v>
      </c>
      <c r="L27" s="155">
        <f t="shared" si="40"/>
        <v>228</v>
      </c>
      <c r="M27" s="155">
        <f t="shared" si="41"/>
        <v>386</v>
      </c>
      <c r="N27" s="155">
        <f t="shared" si="42"/>
        <v>203</v>
      </c>
      <c r="O27" s="155">
        <f t="shared" si="43"/>
        <v>144</v>
      </c>
      <c r="P27" s="155">
        <f>'2017'!AZ27+'2017'!BA27</f>
        <v>377</v>
      </c>
      <c r="Q27" s="155">
        <f>'2017'!AU27</f>
        <v>139</v>
      </c>
      <c r="R27" s="155">
        <f t="shared" si="44"/>
        <v>324</v>
      </c>
      <c r="S27" s="155">
        <f t="shared" si="45"/>
        <v>144</v>
      </c>
      <c r="T27" s="155">
        <f t="shared" si="46"/>
        <v>258</v>
      </c>
      <c r="U27" s="552">
        <f t="shared" si="46"/>
        <v>538</v>
      </c>
      <c r="V27" s="155">
        <f t="shared" si="47"/>
        <v>62</v>
      </c>
      <c r="W27" s="155">
        <f t="shared" si="48"/>
        <v>116</v>
      </c>
      <c r="X27" s="155">
        <f t="shared" si="49"/>
        <v>142</v>
      </c>
      <c r="Y27" s="155">
        <f t="shared" si="50"/>
        <v>246</v>
      </c>
      <c r="Z27" s="155">
        <f t="shared" si="51"/>
        <v>183</v>
      </c>
      <c r="AA27" s="155">
        <f t="shared" si="52"/>
        <v>76</v>
      </c>
      <c r="AB27" s="552">
        <f t="shared" si="53"/>
        <v>86</v>
      </c>
      <c r="AC27" s="155">
        <f t="shared" si="54"/>
        <v>303</v>
      </c>
      <c r="AD27" s="155">
        <f t="shared" si="55"/>
        <v>192</v>
      </c>
      <c r="AE27" s="155">
        <f t="shared" si="56"/>
        <v>551</v>
      </c>
      <c r="AF27" s="155">
        <f t="shared" si="57"/>
        <v>236</v>
      </c>
      <c r="AG27" s="155">
        <f t="shared" si="58"/>
        <v>360</v>
      </c>
      <c r="AH27" s="155">
        <f t="shared" si="59"/>
        <v>171</v>
      </c>
      <c r="AI27" s="155">
        <f t="shared" si="60"/>
        <v>151</v>
      </c>
      <c r="AJ27" s="155">
        <f t="shared" si="61"/>
        <v>84</v>
      </c>
      <c r="AK27" s="552">
        <f t="shared" si="62"/>
        <v>249</v>
      </c>
      <c r="AL27" s="155">
        <f t="shared" si="63"/>
        <v>169</v>
      </c>
      <c r="AM27" s="155">
        <f t="shared" si="64"/>
        <v>513</v>
      </c>
      <c r="AN27" s="155">
        <f t="shared" si="65"/>
        <v>760</v>
      </c>
      <c r="AO27" s="155">
        <f t="shared" si="66"/>
        <v>247</v>
      </c>
      <c r="AP27" s="155">
        <f t="shared" si="66"/>
        <v>93</v>
      </c>
      <c r="AQ27" s="155">
        <f t="shared" si="67"/>
        <v>288</v>
      </c>
      <c r="AR27" s="155">
        <f t="shared" si="68"/>
        <v>318</v>
      </c>
      <c r="AS27" s="156">
        <f t="shared" si="69"/>
        <v>554</v>
      </c>
      <c r="AT27" s="155">
        <v>18</v>
      </c>
      <c r="AU27" s="155">
        <v>139</v>
      </c>
      <c r="AV27" s="155">
        <v>144</v>
      </c>
      <c r="AW27" s="155">
        <v>203</v>
      </c>
      <c r="AX27" s="155">
        <v>306</v>
      </c>
      <c r="AY27" s="155">
        <v>228</v>
      </c>
      <c r="AZ27" s="155">
        <v>40</v>
      </c>
      <c r="BA27" s="155">
        <v>337</v>
      </c>
      <c r="BB27" s="155">
        <v>258</v>
      </c>
      <c r="BC27" s="155">
        <v>538</v>
      </c>
      <c r="BD27" s="155">
        <v>386</v>
      </c>
      <c r="BE27" s="155">
        <v>144</v>
      </c>
      <c r="BF27" s="552">
        <v>420</v>
      </c>
      <c r="BG27" s="155">
        <v>5</v>
      </c>
      <c r="BH27" s="155">
        <v>17</v>
      </c>
      <c r="BI27" s="155">
        <v>125</v>
      </c>
      <c r="BJ27" s="155">
        <v>57</v>
      </c>
      <c r="BK27" s="155">
        <v>22</v>
      </c>
      <c r="BL27" s="155">
        <v>13</v>
      </c>
      <c r="BM27" s="155">
        <v>183</v>
      </c>
      <c r="BN27" s="155">
        <v>211</v>
      </c>
      <c r="BO27" s="155">
        <v>3</v>
      </c>
      <c r="BP27" s="155">
        <v>86</v>
      </c>
      <c r="BQ27" s="155">
        <v>73</v>
      </c>
      <c r="BR27" s="552">
        <v>116</v>
      </c>
      <c r="BS27" s="155">
        <v>32</v>
      </c>
      <c r="BT27" s="155">
        <v>519</v>
      </c>
      <c r="BU27" s="155">
        <v>192</v>
      </c>
      <c r="BV27" s="155">
        <v>360</v>
      </c>
      <c r="BW27" s="155">
        <v>151</v>
      </c>
      <c r="BX27" s="155">
        <v>303</v>
      </c>
      <c r="BY27" s="155">
        <v>84</v>
      </c>
      <c r="BZ27" s="155">
        <v>171</v>
      </c>
      <c r="CA27" s="155">
        <v>236</v>
      </c>
      <c r="CB27" s="552">
        <v>249</v>
      </c>
      <c r="CC27" s="155">
        <v>247</v>
      </c>
      <c r="CD27" s="155">
        <v>93</v>
      </c>
      <c r="CE27" s="155">
        <v>169</v>
      </c>
      <c r="CF27" s="155">
        <v>26</v>
      </c>
      <c r="CG27" s="155">
        <v>528</v>
      </c>
      <c r="CH27" s="155">
        <v>513</v>
      </c>
      <c r="CI27" s="155">
        <v>318</v>
      </c>
      <c r="CJ27" s="155">
        <v>760</v>
      </c>
      <c r="CK27" s="156">
        <v>288</v>
      </c>
      <c r="CL27" s="320">
        <v>9311</v>
      </c>
    </row>
    <row r="28" spans="1:90">
      <c r="A28" s="80">
        <f>ROWS($A$3:A26)</f>
        <v>24</v>
      </c>
      <c r="B28" s="52" t="s">
        <v>4</v>
      </c>
      <c r="C28" s="201"/>
      <c r="D28" s="260" t="s">
        <v>13</v>
      </c>
      <c r="E28" s="447">
        <v>42887</v>
      </c>
      <c r="F28" s="154">
        <v>2136</v>
      </c>
      <c r="G28" s="155">
        <v>779</v>
      </c>
      <c r="H28" s="155">
        <v>1229</v>
      </c>
      <c r="I28" s="156">
        <v>1926</v>
      </c>
      <c r="J28" s="141"/>
      <c r="K28" s="154">
        <f t="shared" si="39"/>
        <v>277</v>
      </c>
      <c r="L28" s="155">
        <f t="shared" si="40"/>
        <v>104</v>
      </c>
      <c r="M28" s="155">
        <f>BD28</f>
        <v>234</v>
      </c>
      <c r="N28" s="155">
        <f>AW28</f>
        <v>132</v>
      </c>
      <c r="O28" s="155">
        <f>BE28</f>
        <v>129</v>
      </c>
      <c r="P28" s="155">
        <f>'2017'!AZ28+'2017'!BA28</f>
        <v>249</v>
      </c>
      <c r="Q28" s="155">
        <f>'2017'!AU28</f>
        <v>107</v>
      </c>
      <c r="R28" s="155">
        <f>AT28+AX28</f>
        <v>195</v>
      </c>
      <c r="S28" s="155">
        <f>AV28</f>
        <v>102</v>
      </c>
      <c r="T28" s="155">
        <f>BB28</f>
        <v>185</v>
      </c>
      <c r="U28" s="552">
        <f>BC28</f>
        <v>422</v>
      </c>
      <c r="V28" s="155">
        <f>BG28+BJ28</f>
        <v>44</v>
      </c>
      <c r="W28" s="155">
        <f>BR28</f>
        <v>65</v>
      </c>
      <c r="X28" s="155">
        <f>BH28+BI28</f>
        <v>129</v>
      </c>
      <c r="Y28" s="155">
        <f>BK28+BL28+BN28</f>
        <v>219</v>
      </c>
      <c r="Z28" s="155">
        <f>BM28</f>
        <v>161</v>
      </c>
      <c r="AA28" s="155">
        <f>BO28+BQ28</f>
        <v>87</v>
      </c>
      <c r="AB28" s="552">
        <f>BP28</f>
        <v>74</v>
      </c>
      <c r="AC28" s="155">
        <f>BX28</f>
        <v>174</v>
      </c>
      <c r="AD28" s="155">
        <f>BU28</f>
        <v>60</v>
      </c>
      <c r="AE28" s="155">
        <f>BS28+BT28</f>
        <v>193</v>
      </c>
      <c r="AF28" s="155">
        <f>CA28</f>
        <v>100</v>
      </c>
      <c r="AG28" s="155">
        <f>BV28</f>
        <v>190</v>
      </c>
      <c r="AH28" s="155">
        <f>BZ28</f>
        <v>150</v>
      </c>
      <c r="AI28" s="155">
        <f>BW28</f>
        <v>133</v>
      </c>
      <c r="AJ28" s="155">
        <f>BY28</f>
        <v>78</v>
      </c>
      <c r="AK28" s="552">
        <f>CB28</f>
        <v>151</v>
      </c>
      <c r="AL28" s="155">
        <f>CE28</f>
        <v>90</v>
      </c>
      <c r="AM28" s="155">
        <f>CH28</f>
        <v>391</v>
      </c>
      <c r="AN28" s="155">
        <f>CJ28</f>
        <v>492</v>
      </c>
      <c r="AO28" s="155">
        <f>CC28</f>
        <v>171</v>
      </c>
      <c r="AP28" s="155">
        <f>CD28</f>
        <v>51</v>
      </c>
      <c r="AQ28" s="155">
        <f>CK28</f>
        <v>204</v>
      </c>
      <c r="AR28" s="155">
        <f>CI28</f>
        <v>125</v>
      </c>
      <c r="AS28" s="156">
        <f t="shared" si="69"/>
        <v>402</v>
      </c>
      <c r="AT28" s="155">
        <v>15</v>
      </c>
      <c r="AU28" s="155">
        <v>107</v>
      </c>
      <c r="AV28" s="155">
        <v>102</v>
      </c>
      <c r="AW28" s="155">
        <v>132</v>
      </c>
      <c r="AX28" s="155">
        <v>180</v>
      </c>
      <c r="AY28" s="155">
        <v>104</v>
      </c>
      <c r="AZ28" s="155">
        <v>15</v>
      </c>
      <c r="BA28" s="155">
        <v>234</v>
      </c>
      <c r="BB28" s="155">
        <v>185</v>
      </c>
      <c r="BC28" s="155">
        <v>422</v>
      </c>
      <c r="BD28" s="155">
        <v>234</v>
      </c>
      <c r="BE28" s="155">
        <v>129</v>
      </c>
      <c r="BF28" s="552">
        <v>277</v>
      </c>
      <c r="BG28" s="155">
        <v>3</v>
      </c>
      <c r="BH28" s="155">
        <v>5</v>
      </c>
      <c r="BI28" s="155">
        <v>124</v>
      </c>
      <c r="BJ28" s="155">
        <v>41</v>
      </c>
      <c r="BK28" s="155">
        <v>10</v>
      </c>
      <c r="BL28" s="155">
        <v>18</v>
      </c>
      <c r="BM28" s="155">
        <v>161</v>
      </c>
      <c r="BN28" s="155">
        <v>191</v>
      </c>
      <c r="BO28" s="155">
        <v>4</v>
      </c>
      <c r="BP28" s="155">
        <v>74</v>
      </c>
      <c r="BQ28" s="155">
        <v>83</v>
      </c>
      <c r="BR28" s="552">
        <v>65</v>
      </c>
      <c r="BS28" s="155">
        <v>12</v>
      </c>
      <c r="BT28" s="155">
        <v>181</v>
      </c>
      <c r="BU28" s="155">
        <v>60</v>
      </c>
      <c r="BV28" s="155">
        <v>190</v>
      </c>
      <c r="BW28" s="155">
        <v>133</v>
      </c>
      <c r="BX28" s="155">
        <v>174</v>
      </c>
      <c r="BY28" s="155">
        <v>78</v>
      </c>
      <c r="BZ28" s="155">
        <v>150</v>
      </c>
      <c r="CA28" s="155">
        <v>100</v>
      </c>
      <c r="CB28" s="552">
        <v>151</v>
      </c>
      <c r="CC28" s="155">
        <v>171</v>
      </c>
      <c r="CD28" s="155">
        <v>51</v>
      </c>
      <c r="CE28" s="155">
        <v>90</v>
      </c>
      <c r="CF28" s="155">
        <v>27</v>
      </c>
      <c r="CG28" s="155">
        <v>375</v>
      </c>
      <c r="CH28" s="155">
        <v>391</v>
      </c>
      <c r="CI28" s="155">
        <v>125</v>
      </c>
      <c r="CJ28" s="155">
        <v>492</v>
      </c>
      <c r="CK28" s="156">
        <v>204</v>
      </c>
      <c r="CL28" s="320">
        <v>6070</v>
      </c>
    </row>
    <row r="29" spans="1:90">
      <c r="A29" s="80">
        <f>ROWS($A$3:A27)</f>
        <v>25</v>
      </c>
      <c r="B29" s="52" t="s">
        <v>5</v>
      </c>
      <c r="C29" s="201"/>
      <c r="D29" s="260" t="s">
        <v>13</v>
      </c>
      <c r="E29" s="447">
        <v>42887</v>
      </c>
      <c r="F29" s="154">
        <v>1019</v>
      </c>
      <c r="G29" s="155">
        <v>587</v>
      </c>
      <c r="H29" s="155">
        <v>642</v>
      </c>
      <c r="I29" s="156">
        <v>931</v>
      </c>
      <c r="J29" s="141"/>
      <c r="K29" s="154">
        <f t="shared" si="39"/>
        <v>150</v>
      </c>
      <c r="L29" s="155">
        <f t="shared" si="40"/>
        <v>40</v>
      </c>
      <c r="M29" s="155">
        <f t="shared" si="41"/>
        <v>190</v>
      </c>
      <c r="N29" s="155">
        <f t="shared" si="42"/>
        <v>60</v>
      </c>
      <c r="O29" s="155">
        <f t="shared" si="43"/>
        <v>67</v>
      </c>
      <c r="P29" s="155">
        <f>'2017'!AZ29+'2017'!BA29</f>
        <v>129</v>
      </c>
      <c r="Q29" s="155">
        <f>'2017'!AU29</f>
        <v>59</v>
      </c>
      <c r="R29" s="155">
        <f t="shared" si="44"/>
        <v>41</v>
      </c>
      <c r="S29" s="155">
        <f t="shared" si="45"/>
        <v>39</v>
      </c>
      <c r="T29" s="155">
        <f t="shared" si="46"/>
        <v>92</v>
      </c>
      <c r="U29" s="552">
        <f t="shared" si="46"/>
        <v>152</v>
      </c>
      <c r="V29" s="155">
        <f t="shared" si="47"/>
        <v>47</v>
      </c>
      <c r="W29" s="155">
        <f t="shared" si="48"/>
        <v>49</v>
      </c>
      <c r="X29" s="155">
        <f t="shared" si="49"/>
        <v>145</v>
      </c>
      <c r="Y29" s="155">
        <f t="shared" si="50"/>
        <v>99</v>
      </c>
      <c r="Z29" s="155">
        <f t="shared" si="51"/>
        <v>144</v>
      </c>
      <c r="AA29" s="155">
        <f t="shared" si="52"/>
        <v>60</v>
      </c>
      <c r="AB29" s="552">
        <f t="shared" si="53"/>
        <v>43</v>
      </c>
      <c r="AC29" s="155">
        <f t="shared" si="54"/>
        <v>78</v>
      </c>
      <c r="AD29" s="155">
        <f t="shared" si="55"/>
        <v>37</v>
      </c>
      <c r="AE29" s="155">
        <f t="shared" si="56"/>
        <v>59</v>
      </c>
      <c r="AF29" s="155">
        <f t="shared" si="57"/>
        <v>27</v>
      </c>
      <c r="AG29" s="155">
        <f t="shared" si="58"/>
        <v>94</v>
      </c>
      <c r="AH29" s="155">
        <f t="shared" si="59"/>
        <v>87</v>
      </c>
      <c r="AI29" s="155">
        <f t="shared" si="60"/>
        <v>83</v>
      </c>
      <c r="AJ29" s="155">
        <f t="shared" si="61"/>
        <v>86</v>
      </c>
      <c r="AK29" s="552">
        <f t="shared" si="62"/>
        <v>91</v>
      </c>
      <c r="AL29" s="155">
        <f t="shared" si="63"/>
        <v>115</v>
      </c>
      <c r="AM29" s="155">
        <f t="shared" si="64"/>
        <v>161</v>
      </c>
      <c r="AN29" s="155">
        <f t="shared" si="65"/>
        <v>109</v>
      </c>
      <c r="AO29" s="155">
        <f t="shared" si="66"/>
        <v>105</v>
      </c>
      <c r="AP29" s="155">
        <f t="shared" si="66"/>
        <v>68</v>
      </c>
      <c r="AQ29" s="155">
        <f t="shared" si="67"/>
        <v>163</v>
      </c>
      <c r="AR29" s="155">
        <f t="shared" si="68"/>
        <v>37</v>
      </c>
      <c r="AS29" s="156">
        <f t="shared" si="69"/>
        <v>173</v>
      </c>
      <c r="AT29" s="155">
        <v>1</v>
      </c>
      <c r="AU29" s="155">
        <v>59</v>
      </c>
      <c r="AV29" s="155">
        <v>39</v>
      </c>
      <c r="AW29" s="155">
        <v>60</v>
      </c>
      <c r="AX29" s="155">
        <v>40</v>
      </c>
      <c r="AY29" s="155">
        <v>40</v>
      </c>
      <c r="AZ29" s="155">
        <v>6</v>
      </c>
      <c r="BA29" s="155">
        <v>123</v>
      </c>
      <c r="BB29" s="155">
        <v>92</v>
      </c>
      <c r="BC29" s="155">
        <v>152</v>
      </c>
      <c r="BD29" s="155">
        <v>190</v>
      </c>
      <c r="BE29" s="155">
        <v>67</v>
      </c>
      <c r="BF29" s="552">
        <v>150</v>
      </c>
      <c r="BG29" s="155">
        <v>5</v>
      </c>
      <c r="BH29" s="155">
        <v>7</v>
      </c>
      <c r="BI29" s="155">
        <v>138</v>
      </c>
      <c r="BJ29" s="155">
        <v>42</v>
      </c>
      <c r="BK29" s="155">
        <v>2</v>
      </c>
      <c r="BL29" s="155">
        <v>6</v>
      </c>
      <c r="BM29" s="155">
        <v>144</v>
      </c>
      <c r="BN29" s="155">
        <v>91</v>
      </c>
      <c r="BO29" s="155">
        <v>3</v>
      </c>
      <c r="BP29" s="155">
        <v>43</v>
      </c>
      <c r="BQ29" s="155">
        <v>57</v>
      </c>
      <c r="BR29" s="552">
        <v>49</v>
      </c>
      <c r="BS29" s="155">
        <v>4</v>
      </c>
      <c r="BT29" s="155">
        <v>55</v>
      </c>
      <c r="BU29" s="155">
        <v>37</v>
      </c>
      <c r="BV29" s="155">
        <v>94</v>
      </c>
      <c r="BW29" s="155">
        <v>83</v>
      </c>
      <c r="BX29" s="155">
        <v>78</v>
      </c>
      <c r="BY29" s="155">
        <v>86</v>
      </c>
      <c r="BZ29" s="155">
        <v>87</v>
      </c>
      <c r="CA29" s="155">
        <v>27</v>
      </c>
      <c r="CB29" s="552">
        <v>91</v>
      </c>
      <c r="CC29" s="155">
        <v>105</v>
      </c>
      <c r="CD29" s="155">
        <v>68</v>
      </c>
      <c r="CE29" s="155">
        <v>115</v>
      </c>
      <c r="CF29" s="155">
        <v>12</v>
      </c>
      <c r="CG29" s="155">
        <v>161</v>
      </c>
      <c r="CH29" s="155">
        <v>161</v>
      </c>
      <c r="CI29" s="155">
        <v>37</v>
      </c>
      <c r="CJ29" s="155">
        <v>109</v>
      </c>
      <c r="CK29" s="156">
        <v>163</v>
      </c>
      <c r="CL29" s="320">
        <v>3179</v>
      </c>
    </row>
    <row r="30" spans="1:90">
      <c r="A30" s="80">
        <f>ROWS($A$3:A28)</f>
        <v>26</v>
      </c>
      <c r="B30" s="53" t="s">
        <v>256</v>
      </c>
      <c r="C30" s="261"/>
      <c r="D30" s="260" t="s">
        <v>1</v>
      </c>
      <c r="E30" s="447">
        <v>42887</v>
      </c>
      <c r="F30" s="539">
        <f>F35/F23</f>
        <v>35.892733297372274</v>
      </c>
      <c r="G30" s="521">
        <f>G35/G23</f>
        <v>44.829787234042556</v>
      </c>
      <c r="H30" s="521">
        <f>H35/H23</f>
        <v>25.739140985197768</v>
      </c>
      <c r="I30" s="540">
        <f>I35/I23</f>
        <v>40.000748362956031</v>
      </c>
      <c r="J30" s="173"/>
      <c r="K30" s="536">
        <f>BF30</f>
        <v>38.098389982110909</v>
      </c>
      <c r="L30" s="537">
        <f t="shared" si="40"/>
        <v>22.733156028368793</v>
      </c>
      <c r="M30" s="537">
        <f t="shared" si="41"/>
        <v>50.523247232472322</v>
      </c>
      <c r="N30" s="537">
        <f t="shared" si="42"/>
        <v>38.791724137931034</v>
      </c>
      <c r="O30" s="537">
        <f t="shared" si="43"/>
        <v>48.732472324723247</v>
      </c>
      <c r="P30" s="521">
        <f>P35/P23</f>
        <v>28.867230233714569</v>
      </c>
      <c r="Q30" s="537">
        <f>'2017'!AU30</f>
        <v>40.085714285714289</v>
      </c>
      <c r="R30" s="521">
        <f>R35/R23</f>
        <v>25.400291120815137</v>
      </c>
      <c r="S30" s="537">
        <f t="shared" si="45"/>
        <v>31.450236966824644</v>
      </c>
      <c r="T30" s="537">
        <f t="shared" si="46"/>
        <v>38.103825136612024</v>
      </c>
      <c r="U30" s="561">
        <f t="shared" si="46"/>
        <v>40.610992529348984</v>
      </c>
      <c r="V30" s="521">
        <f>V35/V23</f>
        <v>28.3125</v>
      </c>
      <c r="W30" s="537">
        <f t="shared" si="48"/>
        <v>39.763102725366878</v>
      </c>
      <c r="X30" s="521">
        <f>X35/X23</f>
        <v>52.804375804375802</v>
      </c>
      <c r="Y30" s="521">
        <f>Y35/Y23</f>
        <v>42.912228796844182</v>
      </c>
      <c r="Z30" s="537">
        <f t="shared" si="51"/>
        <v>55.544578313253012</v>
      </c>
      <c r="AA30" s="521">
        <f>AA35/AA23</f>
        <v>46.886104783599087</v>
      </c>
      <c r="AB30" s="561">
        <f t="shared" si="53"/>
        <v>40.082959641255606</v>
      </c>
      <c r="AC30" s="537">
        <f t="shared" si="54"/>
        <v>39.647727272727273</v>
      </c>
      <c r="AD30" s="537">
        <f t="shared" si="55"/>
        <v>17.532385466034754</v>
      </c>
      <c r="AE30" s="521">
        <f>AE35/AE23</f>
        <v>19.037518037518037</v>
      </c>
      <c r="AF30" s="537">
        <f t="shared" si="57"/>
        <v>23.973084886128365</v>
      </c>
      <c r="AG30" s="537">
        <f t="shared" si="58"/>
        <v>17.050228310502284</v>
      </c>
      <c r="AH30" s="537">
        <f t="shared" si="59"/>
        <v>41.149198520345251</v>
      </c>
      <c r="AI30" s="537">
        <f t="shared" si="60"/>
        <v>39.662269129287601</v>
      </c>
      <c r="AJ30" s="537">
        <f t="shared" si="61"/>
        <v>57.160377358490564</v>
      </c>
      <c r="AK30" s="561">
        <f t="shared" si="62"/>
        <v>34.165318957771788</v>
      </c>
      <c r="AL30" s="537">
        <f t="shared" si="63"/>
        <v>49.48216833095578</v>
      </c>
      <c r="AM30" s="537">
        <f t="shared" si="64"/>
        <v>44.15227537922987</v>
      </c>
      <c r="AN30" s="537">
        <f t="shared" si="65"/>
        <v>36.770085470085469</v>
      </c>
      <c r="AO30" s="537">
        <f t="shared" si="66"/>
        <v>43.095944609297725</v>
      </c>
      <c r="AP30" s="537">
        <f t="shared" si="66"/>
        <v>52.225388601036272</v>
      </c>
      <c r="AQ30" s="537">
        <f t="shared" si="67"/>
        <v>46.934875749785775</v>
      </c>
      <c r="AR30" s="537">
        <f t="shared" si="68"/>
        <v>22.205298013245034</v>
      </c>
      <c r="AS30" s="540">
        <f>AS35/AS23</f>
        <v>42.542181622783453</v>
      </c>
      <c r="AT30" s="521">
        <f>AT35/AT23</f>
        <v>13.146596858638743</v>
      </c>
      <c r="AU30" s="521">
        <f>AU35/AU23</f>
        <v>40.085714285714289</v>
      </c>
      <c r="AV30" s="521">
        <f t="shared" ref="AV30:CL30" si="71">AV35/AV23</f>
        <v>31.450236966824644</v>
      </c>
      <c r="AW30" s="521">
        <f t="shared" si="71"/>
        <v>38.791724137931034</v>
      </c>
      <c r="AX30" s="521">
        <f>AX35/AX23</f>
        <v>27.378698224852069</v>
      </c>
      <c r="AY30" s="521">
        <f t="shared" si="71"/>
        <v>22.733156028368793</v>
      </c>
      <c r="AZ30" s="521">
        <f t="shared" si="71"/>
        <v>23.941860465116278</v>
      </c>
      <c r="BA30" s="521">
        <f t="shared" si="71"/>
        <v>29.327895595432299</v>
      </c>
      <c r="BB30" s="521">
        <f t="shared" si="71"/>
        <v>38.103825136612024</v>
      </c>
      <c r="BC30" s="521">
        <f t="shared" si="71"/>
        <v>40.610992529348984</v>
      </c>
      <c r="BD30" s="521">
        <f>BD35/BD23</f>
        <v>50.523247232472322</v>
      </c>
      <c r="BE30" s="521">
        <f t="shared" si="71"/>
        <v>48.732472324723247</v>
      </c>
      <c r="BF30" s="559">
        <f t="shared" si="71"/>
        <v>38.098389982110909</v>
      </c>
      <c r="BG30" s="521">
        <f t="shared" si="71"/>
        <v>15.085714285714285</v>
      </c>
      <c r="BH30" s="521">
        <f>BH35/BH23</f>
        <v>41.887096774193552</v>
      </c>
      <c r="BI30" s="521">
        <f>BI35/BI23</f>
        <v>53.751048951048951</v>
      </c>
      <c r="BJ30" s="521">
        <f>BJ35/BJ23</f>
        <v>31.261146496815286</v>
      </c>
      <c r="BK30" s="521">
        <f t="shared" si="71"/>
        <v>24.648648648648649</v>
      </c>
      <c r="BL30" s="521">
        <f t="shared" si="71"/>
        <v>49.406779661016948</v>
      </c>
      <c r="BM30" s="521">
        <f>BM35/BM23</f>
        <v>55.544578313253012</v>
      </c>
      <c r="BN30" s="521">
        <f t="shared" si="71"/>
        <v>44.011350737797954</v>
      </c>
      <c r="BO30" s="521">
        <f t="shared" si="71"/>
        <v>38.799999999999997</v>
      </c>
      <c r="BP30" s="521">
        <f t="shared" si="71"/>
        <v>40.082959641255606</v>
      </c>
      <c r="BQ30" s="521">
        <f>BQ35/BQ23</f>
        <v>47.374396135265698</v>
      </c>
      <c r="BR30" s="559">
        <f t="shared" si="71"/>
        <v>39.763102725366878</v>
      </c>
      <c r="BS30" s="521">
        <f t="shared" si="71"/>
        <v>19.055248618784532</v>
      </c>
      <c r="BT30" s="521">
        <f t="shared" si="71"/>
        <v>19.036279428791971</v>
      </c>
      <c r="BU30" s="521">
        <f t="shared" si="71"/>
        <v>17.532385466034754</v>
      </c>
      <c r="BV30" s="521">
        <f t="shared" si="71"/>
        <v>17.050228310502284</v>
      </c>
      <c r="BW30" s="521">
        <f t="shared" si="71"/>
        <v>39.662269129287601</v>
      </c>
      <c r="BX30" s="521">
        <f t="shared" si="71"/>
        <v>39.647727272727273</v>
      </c>
      <c r="BY30" s="521">
        <f t="shared" si="71"/>
        <v>57.160377358490564</v>
      </c>
      <c r="BZ30" s="521">
        <f t="shared" si="71"/>
        <v>41.149198520345251</v>
      </c>
      <c r="CA30" s="521">
        <f t="shared" si="71"/>
        <v>23.973084886128365</v>
      </c>
      <c r="CB30" s="559">
        <f t="shared" si="71"/>
        <v>34.165318957771788</v>
      </c>
      <c r="CC30" s="521">
        <f t="shared" si="71"/>
        <v>43.095944609297725</v>
      </c>
      <c r="CD30" s="521">
        <f t="shared" si="71"/>
        <v>52.225388601036272</v>
      </c>
      <c r="CE30" s="521">
        <f t="shared" si="71"/>
        <v>49.48216833095578</v>
      </c>
      <c r="CF30" s="521">
        <f t="shared" si="71"/>
        <v>43.018518518518519</v>
      </c>
      <c r="CG30" s="521">
        <f t="shared" si="71"/>
        <v>42.512835139760412</v>
      </c>
      <c r="CH30" s="521">
        <f t="shared" si="71"/>
        <v>44.15227537922987</v>
      </c>
      <c r="CI30" s="521">
        <f t="shared" si="71"/>
        <v>22.205298013245034</v>
      </c>
      <c r="CJ30" s="521">
        <f t="shared" si="71"/>
        <v>36.770085470085469</v>
      </c>
      <c r="CK30" s="540">
        <f t="shared" si="71"/>
        <v>46.934875749785775</v>
      </c>
      <c r="CL30" s="560">
        <f t="shared" si="71"/>
        <v>34.885806499297843</v>
      </c>
    </row>
    <row r="31" spans="1:90">
      <c r="A31" s="80">
        <f>ROWS($A$3:A29)</f>
        <v>27</v>
      </c>
      <c r="B31" s="53" t="str">
        <f>"Entwicklung Betriebe ab 5 ha LF von 2001 / "&amp;C22</f>
        <v>Entwicklung Betriebe ab 5 ha LF von 2001 / 2016</v>
      </c>
      <c r="C31" s="261"/>
      <c r="D31" s="260" t="s">
        <v>3</v>
      </c>
      <c r="E31" s="447">
        <v>42887</v>
      </c>
      <c r="F31" s="530">
        <f>(F23-F24)/('2001'!F23-'2001'!F24)%-100</f>
        <v>-27.429424538545064</v>
      </c>
      <c r="G31" s="531">
        <f>(G23-G24)/('2001'!G23-'2001'!G24)%-100</f>
        <v>-23.594180102241452</v>
      </c>
      <c r="H31" s="531">
        <f>(H23-H24)/('2001'!H23-'2001'!H24)%-100</f>
        <v>-23.334141022534524</v>
      </c>
      <c r="I31" s="532">
        <f>(I23-I24)/('2001'!I23-'2001'!I24)%-100</f>
        <v>-27.857976086322537</v>
      </c>
      <c r="J31" s="141"/>
      <c r="K31" s="154">
        <f t="shared" si="39"/>
        <v>-29.411764705882362</v>
      </c>
      <c r="L31" s="155">
        <f t="shared" si="40"/>
        <v>-22.950819672131146</v>
      </c>
      <c r="M31" s="155">
        <f t="shared" si="41"/>
        <v>-35.548352242031342</v>
      </c>
      <c r="N31" s="155">
        <f t="shared" si="42"/>
        <v>-22.716627634660412</v>
      </c>
      <c r="O31" s="155">
        <f t="shared" si="43"/>
        <v>-21.674140508221228</v>
      </c>
      <c r="P31" s="531">
        <f>100-(P23%/((AZ23%)/(100-AZ31)+(BA23%)/(100-BA31)))</f>
        <v>-24.027080751806011</v>
      </c>
      <c r="Q31" s="542">
        <f>'2017'!AU31</f>
        <v>-27.97783933518005</v>
      </c>
      <c r="R31" s="531">
        <f>100-(R23%/((AT23%)/(100-AT31)+(AX23%)/(100-AX31)))</f>
        <v>-20.037999911039407</v>
      </c>
      <c r="S31" s="542">
        <f t="shared" si="45"/>
        <v>-19.119878603945367</v>
      </c>
      <c r="T31" s="542">
        <f t="shared" si="46"/>
        <v>-32.302936630602773</v>
      </c>
      <c r="U31" s="554">
        <f t="shared" si="46"/>
        <v>-29.173290937996825</v>
      </c>
      <c r="V31" s="531">
        <f>100-(V23%/((BG23%)/(100-BG31)+(BJ23%)/(100-BJ31)))</f>
        <v>-9.7500780976451864</v>
      </c>
      <c r="W31" s="542">
        <f t="shared" si="48"/>
        <v>-27.689873417721529</v>
      </c>
      <c r="X31" s="531">
        <f>100-(X23%/((BH23%)/(100-BH31)+(BI23%)/(100-BI31)))</f>
        <v>-18.625349125684409</v>
      </c>
      <c r="Y31" s="531">
        <f>100-(Y23%/((BK23%)/(100-BK31)+(BL23%)/(100-BL31)+(BN23%)/(100-BN31)))</f>
        <v>-24.65397599579677</v>
      </c>
      <c r="Z31" s="542">
        <f t="shared" si="51"/>
        <v>-28.818181818181813</v>
      </c>
      <c r="AA31" s="531">
        <f>100-(AA23%/((BO23%)/(100-BO31)+(BQ23%)/(100-BQ31)))</f>
        <v>-18.823719034739625</v>
      </c>
      <c r="AB31" s="554">
        <f t="shared" si="53"/>
        <v>-26.306620209059233</v>
      </c>
      <c r="AC31" s="542">
        <f t="shared" si="54"/>
        <v>-25.23510971786834</v>
      </c>
      <c r="AD31" s="542">
        <f t="shared" si="55"/>
        <v>-19.791666666666671</v>
      </c>
      <c r="AE31" s="531">
        <f>100-(AE23%/((BS23%)/(100-BS31)+(BT23%)/(100-BT31)))</f>
        <v>-17.943853607546615</v>
      </c>
      <c r="AF31" s="542">
        <f t="shared" si="57"/>
        <v>-23.85834109972042</v>
      </c>
      <c r="AG31" s="542">
        <f t="shared" si="58"/>
        <v>-20.637829912023463</v>
      </c>
      <c r="AH31" s="542">
        <f t="shared" si="59"/>
        <v>-25.462459194776926</v>
      </c>
      <c r="AI31" s="542">
        <f t="shared" si="60"/>
        <v>-25.278058645096067</v>
      </c>
      <c r="AJ31" s="542">
        <f t="shared" si="61"/>
        <v>-30.666666666666671</v>
      </c>
      <c r="AK31" s="554">
        <f t="shared" si="62"/>
        <v>-30.769230769230774</v>
      </c>
      <c r="AL31" s="542">
        <f t="shared" si="63"/>
        <v>-26.025917926565867</v>
      </c>
      <c r="AM31" s="542">
        <f t="shared" si="64"/>
        <v>-28.336221837088388</v>
      </c>
      <c r="AN31" s="542">
        <f t="shared" si="65"/>
        <v>-27.631578947368411</v>
      </c>
      <c r="AO31" s="542">
        <f t="shared" si="66"/>
        <v>-26.003086419753089</v>
      </c>
      <c r="AP31" s="542">
        <f t="shared" si="66"/>
        <v>-28.772635814889327</v>
      </c>
      <c r="AQ31" s="542">
        <f t="shared" si="67"/>
        <v>-30.437461491065932</v>
      </c>
      <c r="AR31" s="542">
        <f t="shared" si="68"/>
        <v>-23.940820443846661</v>
      </c>
      <c r="AS31" s="532">
        <f>100-(AS23%/((CF23%)/(100-CF31)+(CG23%)/(100-CG31)))</f>
        <v>-29.77999625203941</v>
      </c>
      <c r="AT31" s="542">
        <f>(AT23-AT24)/('2001'!AT23-'2001'!AT24)%-100</f>
        <v>-4.0816326530612201</v>
      </c>
      <c r="AU31" s="155">
        <f>(AU23-AU24)/('2001'!AU23-'2001'!AU24)%-100</f>
        <v>-27.97783933518005</v>
      </c>
      <c r="AV31" s="155">
        <f>(AV23-AV24)/('2001'!AV23-'2001'!AV24)%-100</f>
        <v>-19.119878603945367</v>
      </c>
      <c r="AW31" s="155">
        <f>(AW23-AW24)/('2001'!AW23-'2001'!AW24)%-100</f>
        <v>-22.716627634660412</v>
      </c>
      <c r="AX31" s="155">
        <f>(AX23-AX24)/('2001'!AX23-'2001'!AX24)%-100</f>
        <v>-23.084577114427873</v>
      </c>
      <c r="AY31" s="155">
        <f>(AY23-AY24)/('2001'!AY23-'2001'!AY24)%-100</f>
        <v>-22.950819672131146</v>
      </c>
      <c r="AZ31" s="155">
        <f>(AZ23-AZ24)/('2001'!AZ23-'2001'!AZ24)%-100</f>
        <v>-22.222222222222229</v>
      </c>
      <c r="BA31" s="155">
        <f>(BA23-BA24)/('2001'!BA23-'2001'!BA24)%-100</f>
        <v>-24.198617221873036</v>
      </c>
      <c r="BB31" s="155">
        <f>(BB23-BB24)/('2001'!BB23-'2001'!BB24)%-100</f>
        <v>-32.302936630602773</v>
      </c>
      <c r="BC31" s="155">
        <f>(BC23-BC24)/('2001'!BC23-'2001'!BC24)%-100</f>
        <v>-29.173290937996825</v>
      </c>
      <c r="BD31" s="155">
        <f>(BD23-BD24)/('2001'!BD23-'2001'!BD24)%-100</f>
        <v>-35.548352242031342</v>
      </c>
      <c r="BE31" s="155">
        <f>(BE23-BE24)/('2001'!BE23-'2001'!BE24)%-100</f>
        <v>-21.674140508221228</v>
      </c>
      <c r="BF31" s="552">
        <f>(BF23-BF24)/('2001'!BF23-'2001'!BF24)%-100</f>
        <v>-29.411764705882362</v>
      </c>
      <c r="BG31" s="155">
        <f>(BG23-BG24)/('2001'!BG23-'2001'!BG24)%-100</f>
        <v>-2.2222222222222285</v>
      </c>
      <c r="BH31" s="155">
        <f>(BH23-BH24)/('2001'!BH23-'2001'!BH24)%-100</f>
        <v>-19.047619047619051</v>
      </c>
      <c r="BI31" s="155">
        <f>(BI23-BI24)/('2001'!BI23-'2001'!BI24)%-100</f>
        <v>-18.588873812754414</v>
      </c>
      <c r="BJ31" s="155">
        <f>(BJ23-BJ24)/('2001'!BJ23-'2001'!BJ24)%-100</f>
        <v>-11.58192090395481</v>
      </c>
      <c r="BK31" s="155">
        <f>(BK23-BK24)/('2001'!BK23-'2001'!BK24)%-100</f>
        <v>-16.176470588235304</v>
      </c>
      <c r="BL31" s="155">
        <f>(BL23-BL24)/('2001'!BL23-'2001'!BL24)%-100</f>
        <v>-35.13513513513513</v>
      </c>
      <c r="BM31" s="155">
        <f>(BM23-BM24)/('2001'!BM23-'2001'!BM24)%-100</f>
        <v>-28.818181818181813</v>
      </c>
      <c r="BN31" s="155">
        <f>(BN23-BN24)/('2001'!BN23-'2001'!BN24)%-100</f>
        <v>-24.77064220183486</v>
      </c>
      <c r="BO31" s="155">
        <f>(BO23-BO24)/('2001'!BO23-'2001'!BO24)%-100</f>
        <v>-23.80952380952381</v>
      </c>
      <c r="BP31" s="155">
        <f>(BP23-BP24)/('2001'!BP23-'2001'!BP24)%-100</f>
        <v>-26.306620209059233</v>
      </c>
      <c r="BQ31" s="155">
        <f>(BQ23-BQ24)/('2001'!BQ23-'2001'!BQ24)%-100</f>
        <v>-18.535469107551492</v>
      </c>
      <c r="BR31" s="552">
        <f>(BR23-BR24)/('2001'!BR23-'2001'!BR24)%-100</f>
        <v>-27.689873417721529</v>
      </c>
      <c r="BS31" s="155">
        <f>(BS23-BS24)/('2001'!BS23-'2001'!BS24)%-100</f>
        <v>-18.644067796610159</v>
      </c>
      <c r="BT31" s="155">
        <f>(BT23-BT24)/('2001'!BT23-'2001'!BT24)%-100</f>
        <v>-17.895247332686722</v>
      </c>
      <c r="BU31" s="155">
        <f>(BU23-BU24)/('2001'!BU23-'2001'!BU24)%-100</f>
        <v>-19.791666666666671</v>
      </c>
      <c r="BV31" s="155">
        <f>(BV23-BV24)/('2001'!BV23-'2001'!BV24)%-100</f>
        <v>-20.637829912023463</v>
      </c>
      <c r="BW31" s="155">
        <f>(BW23-BW24)/('2001'!BW23-'2001'!BW24)%-100</f>
        <v>-25.278058645096067</v>
      </c>
      <c r="BX31" s="155">
        <f>(BX23-BX24)/('2001'!BX23-'2001'!BX24)%-100</f>
        <v>-25.23510971786834</v>
      </c>
      <c r="BY31" s="155">
        <f>(BY23-BY24)/('2001'!BY23-'2001'!BY24)%-100</f>
        <v>-30.666666666666671</v>
      </c>
      <c r="BZ31" s="155">
        <f>(BZ23-BZ24)/('2001'!BZ23-'2001'!BZ24)%-100</f>
        <v>-25.462459194776926</v>
      </c>
      <c r="CA31" s="155">
        <f>(CA23-CA24)/('2001'!CA23-'2001'!CA24)%-100</f>
        <v>-23.85834109972042</v>
      </c>
      <c r="CB31" s="552">
        <f>(CB23-CB24)/('2001'!CB23-'2001'!CB24)%-100</f>
        <v>-30.769230769230774</v>
      </c>
      <c r="CC31" s="155">
        <f>(CC23-CC24)/('2001'!CC23-'2001'!CC24)%-100</f>
        <v>-26.003086419753089</v>
      </c>
      <c r="CD31" s="155">
        <f>(CD23-CD24)/('2001'!CD23-'2001'!CD24)%-100</f>
        <v>-28.772635814889327</v>
      </c>
      <c r="CE31" s="155">
        <f>(CE23-CE24)/('2001'!CE23-'2001'!CE24)%-100</f>
        <v>-26.025917926565867</v>
      </c>
      <c r="CF31" s="155">
        <f>(CF23-CF24)/('2001'!CF23-'2001'!CF24)%-100</f>
        <v>-31.159420289855063</v>
      </c>
      <c r="CG31" s="155">
        <f>(CG23-CG24)/('2001'!CG23-'2001'!CG24)%-100</f>
        <v>-29.695960016659726</v>
      </c>
      <c r="CH31" s="155">
        <f>(CH23-CH24)/('2001'!CH23-'2001'!CH24)%-100</f>
        <v>-28.336221837088388</v>
      </c>
      <c r="CI31" s="155">
        <f>(CI23-CI24)/('2001'!CI23-'2001'!CI24)%-100</f>
        <v>-23.940820443846661</v>
      </c>
      <c r="CJ31" s="155">
        <f>(CJ23-CJ24)/('2001'!CJ23-'2001'!CJ24)%-100</f>
        <v>-27.631578947368411</v>
      </c>
      <c r="CK31" s="156">
        <f>(CK23-CK24)/('2001'!CK23-'2001'!CK24)%-100</f>
        <v>-30.437461491065932</v>
      </c>
      <c r="CL31" s="320">
        <f>(CL23-CL24)/('2001'!CL23-'2001'!CL24)%-100</f>
        <v>-26.028441385918683</v>
      </c>
    </row>
    <row r="32" spans="1:90">
      <c r="A32" s="80">
        <f>ROWS($A$3:A30)</f>
        <v>28</v>
      </c>
      <c r="B32" s="53" t="s">
        <v>170</v>
      </c>
      <c r="C32" s="261"/>
      <c r="D32" s="260" t="s">
        <v>3</v>
      </c>
      <c r="E32" s="451"/>
      <c r="F32" s="154">
        <v>37</v>
      </c>
      <c r="G32" s="155">
        <v>31</v>
      </c>
      <c r="H32" s="155">
        <v>28</v>
      </c>
      <c r="I32" s="156">
        <v>42</v>
      </c>
      <c r="J32" s="141"/>
      <c r="K32" s="154">
        <f t="shared" si="39"/>
        <v>35</v>
      </c>
      <c r="L32" s="155">
        <f t="shared" si="40"/>
        <v>35</v>
      </c>
      <c r="M32" s="155">
        <f t="shared" si="41"/>
        <v>34</v>
      </c>
      <c r="N32" s="155">
        <f t="shared" si="42"/>
        <v>42</v>
      </c>
      <c r="O32" s="155">
        <f t="shared" si="43"/>
        <v>41</v>
      </c>
      <c r="P32" s="531">
        <f>(AZ23*AZ32+BA23*BA32)/P23</f>
        <v>40.79612133267031</v>
      </c>
      <c r="Q32" s="542">
        <f>'2017'!AU32</f>
        <v>30</v>
      </c>
      <c r="R32" s="531">
        <f>(AT23*AT32+AX23*AX32)/R23</f>
        <v>41.336244541484717</v>
      </c>
      <c r="S32" s="542">
        <f t="shared" si="45"/>
        <v>35</v>
      </c>
      <c r="T32" s="542">
        <f t="shared" si="46"/>
        <v>38</v>
      </c>
      <c r="U32" s="554">
        <f t="shared" si="46"/>
        <v>47</v>
      </c>
      <c r="V32" s="531">
        <f>(BG23*BG32+BJ23*BJ32)/V23</f>
        <v>16.817708333333332</v>
      </c>
      <c r="W32" s="542">
        <f t="shared" si="48"/>
        <v>25</v>
      </c>
      <c r="X32" s="531">
        <f>(BH23*BH32+BI23*BI32)/X23</f>
        <v>33.71814671814672</v>
      </c>
      <c r="Y32" s="531">
        <f>(BK23*BK32+BL23*BL32+BN23*BN32)/Y23</f>
        <v>43.520710059171599</v>
      </c>
      <c r="Z32" s="542">
        <f t="shared" si="51"/>
        <v>33</v>
      </c>
      <c r="AA32" s="531">
        <f>(BO23*BO32+BQ23*BQ32)/AA23</f>
        <v>32.082004555808659</v>
      </c>
      <c r="AB32" s="554">
        <f t="shared" si="53"/>
        <v>26</v>
      </c>
      <c r="AC32" s="542">
        <f t="shared" si="54"/>
        <v>36</v>
      </c>
      <c r="AD32" s="542">
        <f t="shared" si="55"/>
        <v>28</v>
      </c>
      <c r="AE32" s="531">
        <f>(BS23*BS32+BT23*BT32)/AE23</f>
        <v>32.130591630591631</v>
      </c>
      <c r="AF32" s="542">
        <f t="shared" si="57"/>
        <v>29</v>
      </c>
      <c r="AG32" s="542">
        <f t="shared" si="58"/>
        <v>30</v>
      </c>
      <c r="AH32" s="542">
        <f t="shared" si="59"/>
        <v>45</v>
      </c>
      <c r="AI32" s="542">
        <f t="shared" si="60"/>
        <v>26</v>
      </c>
      <c r="AJ32" s="542">
        <f t="shared" si="61"/>
        <v>26</v>
      </c>
      <c r="AK32" s="554">
        <f t="shared" si="62"/>
        <v>27</v>
      </c>
      <c r="AL32" s="542">
        <f t="shared" si="63"/>
        <v>23</v>
      </c>
      <c r="AM32" s="542">
        <f t="shared" si="64"/>
        <v>49</v>
      </c>
      <c r="AN32" s="542">
        <f t="shared" si="65"/>
        <v>59</v>
      </c>
      <c r="AO32" s="542">
        <f t="shared" si="66"/>
        <v>28</v>
      </c>
      <c r="AP32" s="542">
        <f t="shared" si="66"/>
        <v>24</v>
      </c>
      <c r="AQ32" s="542">
        <f t="shared" si="67"/>
        <v>34</v>
      </c>
      <c r="AR32" s="542">
        <f t="shared" si="68"/>
        <v>48</v>
      </c>
      <c r="AS32" s="532">
        <f>(CF23*CF32+CG23*CG32)/AS23</f>
        <v>41.406233207952717</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c r="A33" s="80">
        <f>ROWS($A$3:A31)</f>
        <v>29</v>
      </c>
      <c r="B33" s="53" t="s">
        <v>68</v>
      </c>
      <c r="C33" s="261"/>
      <c r="D33" s="260" t="s">
        <v>3</v>
      </c>
      <c r="E33" s="451"/>
      <c r="F33" s="530">
        <f>100-F32</f>
        <v>63</v>
      </c>
      <c r="G33" s="531">
        <f>100-G32</f>
        <v>69</v>
      </c>
      <c r="H33" s="531">
        <f>100-H32</f>
        <v>72</v>
      </c>
      <c r="I33" s="532">
        <f>100-I32</f>
        <v>58</v>
      </c>
      <c r="J33" s="141"/>
      <c r="K33" s="541">
        <f t="shared" si="39"/>
        <v>65</v>
      </c>
      <c r="L33" s="542">
        <f t="shared" si="40"/>
        <v>65</v>
      </c>
      <c r="M33" s="542">
        <f t="shared" si="41"/>
        <v>66</v>
      </c>
      <c r="N33" s="542">
        <f t="shared" si="42"/>
        <v>58</v>
      </c>
      <c r="O33" s="542">
        <f t="shared" si="43"/>
        <v>59</v>
      </c>
      <c r="P33" s="531">
        <f>100-P32</f>
        <v>59.20387866732969</v>
      </c>
      <c r="Q33" s="542">
        <f>'2017'!AU33</f>
        <v>70</v>
      </c>
      <c r="R33" s="531">
        <f>100-R32</f>
        <v>58.663755458515283</v>
      </c>
      <c r="S33" s="542">
        <f t="shared" si="45"/>
        <v>65</v>
      </c>
      <c r="T33" s="542">
        <f t="shared" si="46"/>
        <v>62</v>
      </c>
      <c r="U33" s="554">
        <f t="shared" si="46"/>
        <v>53</v>
      </c>
      <c r="V33" s="531">
        <f>100-V32</f>
        <v>83.182291666666671</v>
      </c>
      <c r="W33" s="542">
        <f t="shared" si="48"/>
        <v>75</v>
      </c>
      <c r="X33" s="531">
        <f>100-X32</f>
        <v>66.281853281853273</v>
      </c>
      <c r="Y33" s="531">
        <f>100-Y32</f>
        <v>56.479289940828401</v>
      </c>
      <c r="Z33" s="542">
        <f t="shared" si="51"/>
        <v>67</v>
      </c>
      <c r="AA33" s="531">
        <f>100-AA32</f>
        <v>67.917995444191348</v>
      </c>
      <c r="AB33" s="554">
        <f t="shared" si="53"/>
        <v>74</v>
      </c>
      <c r="AC33" s="542">
        <f t="shared" si="54"/>
        <v>64</v>
      </c>
      <c r="AD33" s="542">
        <f t="shared" si="55"/>
        <v>72</v>
      </c>
      <c r="AE33" s="531">
        <f>100-AE32</f>
        <v>67.869408369408376</v>
      </c>
      <c r="AF33" s="542">
        <f t="shared" si="57"/>
        <v>71</v>
      </c>
      <c r="AG33" s="542">
        <f t="shared" si="58"/>
        <v>70</v>
      </c>
      <c r="AH33" s="542">
        <f t="shared" si="59"/>
        <v>55</v>
      </c>
      <c r="AI33" s="542">
        <f t="shared" si="60"/>
        <v>74</v>
      </c>
      <c r="AJ33" s="542">
        <f t="shared" si="61"/>
        <v>74</v>
      </c>
      <c r="AK33" s="554">
        <f t="shared" si="62"/>
        <v>73</v>
      </c>
      <c r="AL33" s="542">
        <f t="shared" si="63"/>
        <v>77</v>
      </c>
      <c r="AM33" s="542">
        <f t="shared" si="64"/>
        <v>51</v>
      </c>
      <c r="AN33" s="542">
        <f t="shared" si="65"/>
        <v>41</v>
      </c>
      <c r="AO33" s="542">
        <f t="shared" si="66"/>
        <v>72</v>
      </c>
      <c r="AP33" s="542">
        <f t="shared" si="66"/>
        <v>76</v>
      </c>
      <c r="AQ33" s="542">
        <f t="shared" si="67"/>
        <v>66</v>
      </c>
      <c r="AR33" s="542">
        <f t="shared" si="68"/>
        <v>52</v>
      </c>
      <c r="AS33" s="532">
        <f>100-AS32</f>
        <v>58.593766792047283</v>
      </c>
      <c r="AT33" s="531">
        <f>100-AT32</f>
        <v>38</v>
      </c>
      <c r="AU33" s="531">
        <f>100-AU32</f>
        <v>70</v>
      </c>
      <c r="AV33" s="531">
        <f t="shared" ref="AV33:CL33" si="72">100-AV32</f>
        <v>65</v>
      </c>
      <c r="AW33" s="531">
        <f t="shared" si="72"/>
        <v>58</v>
      </c>
      <c r="AX33" s="531">
        <f>100-AX32</f>
        <v>62</v>
      </c>
      <c r="AY33" s="531">
        <f t="shared" si="72"/>
        <v>65</v>
      </c>
      <c r="AZ33" s="531">
        <f t="shared" si="72"/>
        <v>40</v>
      </c>
      <c r="BA33" s="531">
        <f t="shared" si="72"/>
        <v>61</v>
      </c>
      <c r="BB33" s="531">
        <f t="shared" si="72"/>
        <v>62</v>
      </c>
      <c r="BC33" s="531">
        <f t="shared" si="72"/>
        <v>53</v>
      </c>
      <c r="BD33" s="531">
        <f t="shared" si="72"/>
        <v>66</v>
      </c>
      <c r="BE33" s="531">
        <f t="shared" si="72"/>
        <v>59</v>
      </c>
      <c r="BF33" s="555">
        <f t="shared" si="72"/>
        <v>65</v>
      </c>
      <c r="BG33" s="531">
        <f t="shared" si="72"/>
        <v>84</v>
      </c>
      <c r="BH33" s="531">
        <f>100-BH32</f>
        <v>58</v>
      </c>
      <c r="BI33" s="531">
        <f>100-BI32</f>
        <v>67</v>
      </c>
      <c r="BJ33" s="531">
        <f>100-BJ32</f>
        <v>83</v>
      </c>
      <c r="BK33" s="531">
        <f t="shared" si="72"/>
        <v>42</v>
      </c>
      <c r="BL33" s="531">
        <f t="shared" si="72"/>
        <v>37</v>
      </c>
      <c r="BM33" s="531">
        <f>100-BM32</f>
        <v>67</v>
      </c>
      <c r="BN33" s="531">
        <f t="shared" si="72"/>
        <v>59</v>
      </c>
      <c r="BO33" s="531">
        <f t="shared" si="72"/>
        <v>50</v>
      </c>
      <c r="BP33" s="531">
        <f t="shared" si="72"/>
        <v>74</v>
      </c>
      <c r="BQ33" s="531">
        <f>100-BQ32</f>
        <v>69</v>
      </c>
      <c r="BR33" s="555">
        <f t="shared" si="72"/>
        <v>75</v>
      </c>
      <c r="BS33" s="531">
        <f t="shared" si="72"/>
        <v>66</v>
      </c>
      <c r="BT33" s="531">
        <f t="shared" si="72"/>
        <v>68</v>
      </c>
      <c r="BU33" s="531">
        <f t="shared" si="72"/>
        <v>72</v>
      </c>
      <c r="BV33" s="531">
        <f t="shared" si="72"/>
        <v>70</v>
      </c>
      <c r="BW33" s="531">
        <f t="shared" si="72"/>
        <v>74</v>
      </c>
      <c r="BX33" s="531">
        <f t="shared" si="72"/>
        <v>64</v>
      </c>
      <c r="BY33" s="531">
        <f t="shared" si="72"/>
        <v>74</v>
      </c>
      <c r="BZ33" s="531">
        <f t="shared" si="72"/>
        <v>55</v>
      </c>
      <c r="CA33" s="531">
        <f t="shared" si="72"/>
        <v>71</v>
      </c>
      <c r="CB33" s="555">
        <f t="shared" si="72"/>
        <v>73</v>
      </c>
      <c r="CC33" s="531">
        <f t="shared" si="72"/>
        <v>72</v>
      </c>
      <c r="CD33" s="531">
        <f t="shared" si="72"/>
        <v>76</v>
      </c>
      <c r="CE33" s="531">
        <f t="shared" si="72"/>
        <v>77</v>
      </c>
      <c r="CF33" s="531">
        <f t="shared" si="72"/>
        <v>52</v>
      </c>
      <c r="CG33" s="531">
        <f t="shared" si="72"/>
        <v>59</v>
      </c>
      <c r="CH33" s="531">
        <f t="shared" si="72"/>
        <v>51</v>
      </c>
      <c r="CI33" s="531">
        <f t="shared" si="72"/>
        <v>52</v>
      </c>
      <c r="CJ33" s="531">
        <f t="shared" si="72"/>
        <v>41</v>
      </c>
      <c r="CK33" s="532">
        <f t="shared" si="72"/>
        <v>66</v>
      </c>
      <c r="CL33" s="556">
        <f t="shared" si="72"/>
        <v>64</v>
      </c>
    </row>
    <row r="34" spans="1:90">
      <c r="A34" s="80">
        <f>ROWS($A$3:A32)</f>
        <v>30</v>
      </c>
      <c r="B34" s="59" t="s">
        <v>69</v>
      </c>
      <c r="C34" s="204">
        <v>2016</v>
      </c>
      <c r="D34" s="260"/>
      <c r="E34" s="451"/>
      <c r="F34" s="154"/>
      <c r="G34" s="155"/>
      <c r="H34" s="155"/>
      <c r="I34" s="156"/>
      <c r="J34" s="14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c r="A35" s="80">
        <f>ROWS($A$3:A33)</f>
        <v>31</v>
      </c>
      <c r="B35" s="92" t="s">
        <v>71</v>
      </c>
      <c r="C35" s="205"/>
      <c r="D35" s="259" t="s">
        <v>1</v>
      </c>
      <c r="E35" s="447">
        <v>42888</v>
      </c>
      <c r="F35" s="154">
        <v>465780</v>
      </c>
      <c r="G35" s="155">
        <v>204379</v>
      </c>
      <c r="H35" s="155">
        <v>318213</v>
      </c>
      <c r="I35" s="156">
        <v>427608</v>
      </c>
      <c r="J35" s="141"/>
      <c r="K35" s="154">
        <f>BF35</f>
        <v>63891</v>
      </c>
      <c r="L35" s="155">
        <f>AY35</f>
        <v>25643</v>
      </c>
      <c r="M35" s="155">
        <f>BD35</f>
        <v>68459</v>
      </c>
      <c r="N35" s="155">
        <f>AW35</f>
        <v>28124</v>
      </c>
      <c r="O35" s="155">
        <f>BE35</f>
        <v>26413</v>
      </c>
      <c r="P35" s="155">
        <f>'2017'!AZ35+'2017'!BA35</f>
        <v>58052</v>
      </c>
      <c r="Q35" s="155">
        <f>'2017'!AU35</f>
        <v>22448</v>
      </c>
      <c r="R35" s="155">
        <f t="shared" ref="R35:R41" si="73">AT35+AX35</f>
        <v>34900</v>
      </c>
      <c r="S35" s="155">
        <f>AV35</f>
        <v>19908</v>
      </c>
      <c r="T35" s="155">
        <f t="shared" ref="T35:U39" si="74">BB35</f>
        <v>41838</v>
      </c>
      <c r="U35" s="552">
        <f t="shared" si="74"/>
        <v>76105</v>
      </c>
      <c r="V35" s="155">
        <f>BG35+BJ35</f>
        <v>16308</v>
      </c>
      <c r="W35" s="155">
        <f>BR35</f>
        <v>18967</v>
      </c>
      <c r="X35" s="155">
        <f>BH35+BI35</f>
        <v>41029</v>
      </c>
      <c r="Y35" s="155">
        <f>BK35+BL35+BN35</f>
        <v>43513</v>
      </c>
      <c r="Z35" s="155">
        <f>BM35</f>
        <v>46102</v>
      </c>
      <c r="AA35" s="155">
        <f>BO35+BQ35</f>
        <v>20583</v>
      </c>
      <c r="AB35" s="552">
        <f>BP35</f>
        <v>17877</v>
      </c>
      <c r="AC35" s="155">
        <f>BX35</f>
        <v>38379</v>
      </c>
      <c r="AD35" s="155">
        <f>BU35</f>
        <v>22196</v>
      </c>
      <c r="AE35" s="155">
        <f>BS35+BT35</f>
        <v>52772</v>
      </c>
      <c r="AF35" s="155">
        <f>CA35</f>
        <v>23158</v>
      </c>
      <c r="AG35" s="155">
        <f>BV35</f>
        <v>56010</v>
      </c>
      <c r="AH35" s="155">
        <f>BZ35</f>
        <v>33372</v>
      </c>
      <c r="AI35" s="155">
        <f>BW35</f>
        <v>30064</v>
      </c>
      <c r="AJ35" s="155">
        <f>BY35</f>
        <v>24236</v>
      </c>
      <c r="AK35" s="552">
        <f>CB35</f>
        <v>38026</v>
      </c>
      <c r="AL35" s="155">
        <f>CE35</f>
        <v>34687</v>
      </c>
      <c r="AM35" s="155">
        <f>CH35</f>
        <v>75677</v>
      </c>
      <c r="AN35" s="155">
        <f>CJ35</f>
        <v>86042</v>
      </c>
      <c r="AO35" s="155">
        <f t="shared" ref="AO35:AP39" si="75">CC35</f>
        <v>43570</v>
      </c>
      <c r="AP35" s="155">
        <f t="shared" si="75"/>
        <v>20159</v>
      </c>
      <c r="AQ35" s="155">
        <f>CK35</f>
        <v>54773</v>
      </c>
      <c r="AR35" s="155">
        <f>CI35</f>
        <v>33530</v>
      </c>
      <c r="AS35" s="156">
        <f>CF35+CG35</f>
        <v>79171</v>
      </c>
      <c r="AT35" s="155">
        <v>2511</v>
      </c>
      <c r="AU35" s="155">
        <v>22448</v>
      </c>
      <c r="AV35" s="155">
        <v>19908</v>
      </c>
      <c r="AW35" s="155">
        <v>28124</v>
      </c>
      <c r="AX35" s="155">
        <v>32389</v>
      </c>
      <c r="AY35" s="155">
        <v>25643</v>
      </c>
      <c r="AZ35" s="155">
        <v>4118</v>
      </c>
      <c r="BA35" s="155">
        <v>53934</v>
      </c>
      <c r="BB35" s="155">
        <v>41838</v>
      </c>
      <c r="BC35" s="155">
        <v>76105</v>
      </c>
      <c r="BD35" s="155">
        <v>68459</v>
      </c>
      <c r="BE35" s="155">
        <v>26413</v>
      </c>
      <c r="BF35" s="552">
        <v>63891</v>
      </c>
      <c r="BG35" s="155">
        <v>1584</v>
      </c>
      <c r="BH35" s="155">
        <v>2597</v>
      </c>
      <c r="BI35" s="155">
        <v>38432</v>
      </c>
      <c r="BJ35" s="155">
        <v>14724</v>
      </c>
      <c r="BK35" s="155">
        <v>1824</v>
      </c>
      <c r="BL35" s="155">
        <v>2915</v>
      </c>
      <c r="BM35" s="155">
        <v>46102</v>
      </c>
      <c r="BN35" s="155">
        <v>38774</v>
      </c>
      <c r="BO35" s="155">
        <v>970</v>
      </c>
      <c r="BP35" s="155">
        <v>17877</v>
      </c>
      <c r="BQ35" s="155">
        <v>19613</v>
      </c>
      <c r="BR35" s="552">
        <v>18967</v>
      </c>
      <c r="BS35" s="155">
        <v>3449</v>
      </c>
      <c r="BT35" s="155">
        <v>49323</v>
      </c>
      <c r="BU35" s="155">
        <v>22196</v>
      </c>
      <c r="BV35" s="155">
        <v>56010</v>
      </c>
      <c r="BW35" s="155">
        <v>30064</v>
      </c>
      <c r="BX35" s="155">
        <v>38379</v>
      </c>
      <c r="BY35" s="155">
        <v>24236</v>
      </c>
      <c r="BZ35" s="155">
        <v>33372</v>
      </c>
      <c r="CA35" s="155">
        <v>23158</v>
      </c>
      <c r="CB35" s="552">
        <v>38026</v>
      </c>
      <c r="CC35" s="155">
        <v>43570</v>
      </c>
      <c r="CD35" s="155">
        <v>20159</v>
      </c>
      <c r="CE35" s="155">
        <v>34687</v>
      </c>
      <c r="CF35" s="155">
        <v>4646</v>
      </c>
      <c r="CG35" s="155">
        <v>74525</v>
      </c>
      <c r="CH35" s="155">
        <v>75677</v>
      </c>
      <c r="CI35" s="155">
        <v>33530</v>
      </c>
      <c r="CJ35" s="155">
        <v>86042</v>
      </c>
      <c r="CK35" s="156">
        <v>54773</v>
      </c>
      <c r="CL35" s="320">
        <v>1415980</v>
      </c>
    </row>
    <row r="36" spans="1:90">
      <c r="A36" s="80">
        <f>ROWS($A$3:A34)</f>
        <v>32</v>
      </c>
      <c r="B36" s="92" t="s">
        <v>72</v>
      </c>
      <c r="C36" s="203"/>
      <c r="D36" s="259" t="s">
        <v>1</v>
      </c>
      <c r="E36" s="447">
        <v>42888</v>
      </c>
      <c r="F36" s="154">
        <v>309229</v>
      </c>
      <c r="G36" s="155">
        <v>139570</v>
      </c>
      <c r="H36" s="155">
        <v>139065</v>
      </c>
      <c r="I36" s="156">
        <v>231770</v>
      </c>
      <c r="J36" s="141"/>
      <c r="K36" s="154">
        <f>BF36</f>
        <v>34041</v>
      </c>
      <c r="L36" s="155">
        <f>AY36</f>
        <v>11589</v>
      </c>
      <c r="M36" s="155">
        <f>BD36</f>
        <v>58887</v>
      </c>
      <c r="N36" s="155">
        <f>AW36</f>
        <v>12241</v>
      </c>
      <c r="O36" s="155">
        <f>BE36</f>
        <v>17131</v>
      </c>
      <c r="P36" s="155">
        <f>'2017'!AZ36+'2017'!BA36</f>
        <v>43341</v>
      </c>
      <c r="Q36" s="155">
        <f>'2017'!AU36</f>
        <v>15217</v>
      </c>
      <c r="R36" s="155">
        <f t="shared" si="73"/>
        <v>25780</v>
      </c>
      <c r="S36" s="155">
        <f>AV36</f>
        <v>9988</v>
      </c>
      <c r="T36" s="155">
        <f t="shared" si="74"/>
        <v>30879</v>
      </c>
      <c r="U36" s="552">
        <f t="shared" si="74"/>
        <v>50133</v>
      </c>
      <c r="V36" s="155">
        <f>BG36+BJ36</f>
        <v>10162</v>
      </c>
      <c r="W36" s="155">
        <f>BR36</f>
        <v>9267</v>
      </c>
      <c r="X36" s="155">
        <f>BH36+BI36</f>
        <v>31447</v>
      </c>
      <c r="Y36" s="155">
        <f>BK36+BL36+BN36</f>
        <v>34090</v>
      </c>
      <c r="Z36" s="155">
        <f>BM36</f>
        <v>34160</v>
      </c>
      <c r="AA36" s="155">
        <f>BO36+BQ36</f>
        <v>12158</v>
      </c>
      <c r="AB36" s="552">
        <f>BP36</f>
        <v>8287</v>
      </c>
      <c r="AC36" s="155">
        <f>BX36</f>
        <v>15047</v>
      </c>
      <c r="AD36" s="155">
        <f>BU36</f>
        <v>10110</v>
      </c>
      <c r="AE36" s="155">
        <f>BS36+BT36</f>
        <v>20648</v>
      </c>
      <c r="AF36" s="155">
        <f>CA36</f>
        <v>7043</v>
      </c>
      <c r="AG36" s="155">
        <f>BV36</f>
        <v>27600</v>
      </c>
      <c r="AH36" s="155">
        <f>BZ36</f>
        <v>18648</v>
      </c>
      <c r="AI36" s="155">
        <f>BW36</f>
        <v>16499</v>
      </c>
      <c r="AJ36" s="155">
        <f>BY36</f>
        <v>8639</v>
      </c>
      <c r="AK36" s="552">
        <f>CB36</f>
        <v>14830</v>
      </c>
      <c r="AL36" s="155">
        <f>CE36</f>
        <v>12559</v>
      </c>
      <c r="AM36" s="155">
        <f>CH36</f>
        <v>51224</v>
      </c>
      <c r="AN36" s="155">
        <f>CJ36</f>
        <v>27384</v>
      </c>
      <c r="AO36" s="155">
        <f t="shared" si="75"/>
        <v>20463</v>
      </c>
      <c r="AP36" s="155">
        <f t="shared" si="75"/>
        <v>12925</v>
      </c>
      <c r="AQ36" s="155">
        <f>CK36</f>
        <v>34631</v>
      </c>
      <c r="AR36" s="155">
        <f>CI36</f>
        <v>13720</v>
      </c>
      <c r="AS36" s="156">
        <f>CF36+CG36</f>
        <v>58865</v>
      </c>
      <c r="AT36" s="155">
        <v>1500</v>
      </c>
      <c r="AU36" s="155">
        <v>15217</v>
      </c>
      <c r="AV36" s="155">
        <v>9988</v>
      </c>
      <c r="AW36" s="155">
        <v>12241</v>
      </c>
      <c r="AX36" s="155">
        <v>24280</v>
      </c>
      <c r="AY36" s="155">
        <v>11589</v>
      </c>
      <c r="AZ36" s="155">
        <v>3143</v>
      </c>
      <c r="BA36" s="155">
        <v>40198</v>
      </c>
      <c r="BB36" s="155">
        <v>30879</v>
      </c>
      <c r="BC36" s="155">
        <v>50133</v>
      </c>
      <c r="BD36" s="155">
        <v>58887</v>
      </c>
      <c r="BE36" s="155">
        <v>17131</v>
      </c>
      <c r="BF36" s="552">
        <v>34041</v>
      </c>
      <c r="BG36" s="155">
        <v>518</v>
      </c>
      <c r="BH36" s="155">
        <v>1898</v>
      </c>
      <c r="BI36" s="155">
        <v>29549</v>
      </c>
      <c r="BJ36" s="155">
        <v>9644</v>
      </c>
      <c r="BK36" s="155">
        <v>1502</v>
      </c>
      <c r="BL36" s="155">
        <v>2393</v>
      </c>
      <c r="BM36" s="155">
        <v>34160</v>
      </c>
      <c r="BN36" s="155">
        <v>30195</v>
      </c>
      <c r="BO36" s="155">
        <v>470</v>
      </c>
      <c r="BP36" s="155">
        <v>8287</v>
      </c>
      <c r="BQ36" s="155">
        <v>11688</v>
      </c>
      <c r="BR36" s="552">
        <v>9267</v>
      </c>
      <c r="BS36" s="155">
        <v>1591</v>
      </c>
      <c r="BT36" s="155">
        <v>19057</v>
      </c>
      <c r="BU36" s="155">
        <v>10110</v>
      </c>
      <c r="BV36" s="155">
        <v>27600</v>
      </c>
      <c r="BW36" s="155">
        <v>16499</v>
      </c>
      <c r="BX36" s="155">
        <v>15047</v>
      </c>
      <c r="BY36" s="155">
        <v>8639</v>
      </c>
      <c r="BZ36" s="155">
        <v>18648</v>
      </c>
      <c r="CA36" s="155">
        <v>7043</v>
      </c>
      <c r="CB36" s="552">
        <v>14830</v>
      </c>
      <c r="CC36" s="155">
        <v>20463</v>
      </c>
      <c r="CD36" s="155">
        <v>12925</v>
      </c>
      <c r="CE36" s="155">
        <v>12559</v>
      </c>
      <c r="CF36" s="155">
        <v>3984</v>
      </c>
      <c r="CG36" s="155">
        <v>54881</v>
      </c>
      <c r="CH36" s="155">
        <v>51224</v>
      </c>
      <c r="CI36" s="155">
        <v>13720</v>
      </c>
      <c r="CJ36" s="155">
        <v>27384</v>
      </c>
      <c r="CK36" s="156">
        <v>34631</v>
      </c>
      <c r="CL36" s="320">
        <v>819633</v>
      </c>
    </row>
    <row r="37" spans="1:90">
      <c r="A37" s="80">
        <f>ROWS($A$3:A35)</f>
        <v>33</v>
      </c>
      <c r="B37" s="92" t="s">
        <v>6</v>
      </c>
      <c r="C37" s="203"/>
      <c r="D37" s="259" t="s">
        <v>1</v>
      </c>
      <c r="E37" s="447">
        <v>42888</v>
      </c>
      <c r="F37" s="154">
        <v>140743</v>
      </c>
      <c r="G37" s="155">
        <v>60148</v>
      </c>
      <c r="H37" s="155">
        <v>159105</v>
      </c>
      <c r="I37" s="156">
        <v>185272</v>
      </c>
      <c r="J37" s="141"/>
      <c r="K37" s="154">
        <f>BF37</f>
        <v>29378</v>
      </c>
      <c r="L37" s="155">
        <f>AY37</f>
        <v>12351</v>
      </c>
      <c r="M37" s="155">
        <f>BD37</f>
        <v>8565</v>
      </c>
      <c r="N37" s="155">
        <f>AW37</f>
        <v>15746</v>
      </c>
      <c r="O37" s="155">
        <f>BE37</f>
        <v>9252</v>
      </c>
      <c r="P37" s="155">
        <f>'2017'!AZ37+'2017'!BA37</f>
        <v>7525</v>
      </c>
      <c r="Q37" s="155">
        <f>'2017'!AU37</f>
        <v>7108</v>
      </c>
      <c r="R37" s="155">
        <f t="shared" si="73"/>
        <v>6344</v>
      </c>
      <c r="S37" s="155">
        <f>AV37</f>
        <v>9495</v>
      </c>
      <c r="T37" s="155">
        <f t="shared" si="74"/>
        <v>9267</v>
      </c>
      <c r="U37" s="552">
        <f t="shared" si="74"/>
        <v>25712</v>
      </c>
      <c r="V37" s="155">
        <f>BG37+BJ37</f>
        <v>5125</v>
      </c>
      <c r="W37" s="155">
        <f>BR37</f>
        <v>9685</v>
      </c>
      <c r="X37" s="155">
        <f>BH37+BI37</f>
        <v>8437</v>
      </c>
      <c r="Y37" s="155">
        <f>BK37+BN37</f>
        <v>7635</v>
      </c>
      <c r="Z37" s="155">
        <f>BM37</f>
        <v>11046</v>
      </c>
      <c r="AA37" s="155">
        <f>BQ37</f>
        <v>7675</v>
      </c>
      <c r="AB37" s="552">
        <f>BP37</f>
        <v>9535</v>
      </c>
      <c r="AC37" s="155">
        <f>BX37</f>
        <v>23302</v>
      </c>
      <c r="AD37" s="155">
        <f>BU37</f>
        <v>9542</v>
      </c>
      <c r="AE37" s="155">
        <f>BS37+BT37</f>
        <v>25004</v>
      </c>
      <c r="AF37" s="155">
        <f>CA37</f>
        <v>14624</v>
      </c>
      <c r="AG37" s="155">
        <f>BV37</f>
        <v>21005</v>
      </c>
      <c r="AH37" s="155">
        <f>BZ37</f>
        <v>13548</v>
      </c>
      <c r="AI37" s="155">
        <f>BW37</f>
        <v>13536</v>
      </c>
      <c r="AJ37" s="155">
        <f>BY37</f>
        <v>15588</v>
      </c>
      <c r="AK37" s="552">
        <f>CB37</f>
        <v>22955</v>
      </c>
      <c r="AL37" s="155">
        <f>CE37</f>
        <v>22010</v>
      </c>
      <c r="AM37" s="155">
        <f>CH37</f>
        <v>24287</v>
      </c>
      <c r="AN37" s="155">
        <f>CJ37</f>
        <v>56968</v>
      </c>
      <c r="AO37" s="155">
        <f t="shared" si="75"/>
        <v>22961</v>
      </c>
      <c r="AP37" s="155">
        <f t="shared" si="75"/>
        <v>7166</v>
      </c>
      <c r="AQ37" s="155">
        <f>CK37</f>
        <v>20046</v>
      </c>
      <c r="AR37" s="155">
        <f>CI37</f>
        <v>11673</v>
      </c>
      <c r="AS37" s="156">
        <f>CF37+CG37</f>
        <v>20161</v>
      </c>
      <c r="AT37" s="155">
        <v>551</v>
      </c>
      <c r="AU37" s="155">
        <v>7108</v>
      </c>
      <c r="AV37" s="155">
        <v>9495</v>
      </c>
      <c r="AW37" s="155">
        <v>15746</v>
      </c>
      <c r="AX37" s="155">
        <v>5793</v>
      </c>
      <c r="AY37" s="155">
        <v>12351</v>
      </c>
      <c r="AZ37" s="155">
        <v>246</v>
      </c>
      <c r="BA37" s="155">
        <v>7279</v>
      </c>
      <c r="BB37" s="155">
        <v>9267</v>
      </c>
      <c r="BC37" s="155">
        <v>25712</v>
      </c>
      <c r="BD37" s="155">
        <v>8565</v>
      </c>
      <c r="BE37" s="155">
        <v>9252</v>
      </c>
      <c r="BF37" s="552">
        <v>29378</v>
      </c>
      <c r="BG37" s="155">
        <v>791</v>
      </c>
      <c r="BH37" s="155">
        <v>590</v>
      </c>
      <c r="BI37" s="155">
        <v>7847</v>
      </c>
      <c r="BJ37" s="155">
        <v>4334</v>
      </c>
      <c r="BK37" s="155">
        <v>238</v>
      </c>
      <c r="BL37" s="155" t="s">
        <v>308</v>
      </c>
      <c r="BM37" s="155">
        <v>11046</v>
      </c>
      <c r="BN37" s="155">
        <v>7397</v>
      </c>
      <c r="BO37" s="155" t="s">
        <v>308</v>
      </c>
      <c r="BP37" s="155">
        <v>9535</v>
      </c>
      <c r="BQ37" s="155">
        <v>7675</v>
      </c>
      <c r="BR37" s="552">
        <v>9685</v>
      </c>
      <c r="BS37" s="155">
        <v>995</v>
      </c>
      <c r="BT37" s="155">
        <v>24009</v>
      </c>
      <c r="BU37" s="155">
        <v>9542</v>
      </c>
      <c r="BV37" s="155">
        <v>21005</v>
      </c>
      <c r="BW37" s="155">
        <v>13536</v>
      </c>
      <c r="BX37" s="155">
        <v>23302</v>
      </c>
      <c r="BY37" s="155">
        <v>15588</v>
      </c>
      <c r="BZ37" s="155">
        <v>13548</v>
      </c>
      <c r="CA37" s="155">
        <v>14624</v>
      </c>
      <c r="CB37" s="552">
        <v>22955</v>
      </c>
      <c r="CC37" s="155">
        <v>22961</v>
      </c>
      <c r="CD37" s="155">
        <v>7166</v>
      </c>
      <c r="CE37" s="155">
        <v>22010</v>
      </c>
      <c r="CF37" s="155">
        <v>644</v>
      </c>
      <c r="CG37" s="155">
        <v>19517</v>
      </c>
      <c r="CH37" s="155">
        <v>24287</v>
      </c>
      <c r="CI37" s="155">
        <v>11673</v>
      </c>
      <c r="CJ37" s="155">
        <v>56968</v>
      </c>
      <c r="CK37" s="156">
        <v>20046</v>
      </c>
      <c r="CL37" s="320">
        <v>545269</v>
      </c>
    </row>
    <row r="38" spans="1:90">
      <c r="A38" s="80">
        <f>ROWS($A$3:A36)</f>
        <v>34</v>
      </c>
      <c r="B38" s="92" t="s">
        <v>244</v>
      </c>
      <c r="C38" s="203"/>
      <c r="D38" s="259" t="s">
        <v>1</v>
      </c>
      <c r="E38" s="447">
        <v>42888</v>
      </c>
      <c r="F38" s="154">
        <v>3542</v>
      </c>
      <c r="G38" s="155">
        <v>1300</v>
      </c>
      <c r="H38" s="155">
        <v>7353</v>
      </c>
      <c r="I38" s="156">
        <v>9296</v>
      </c>
      <c r="J38" s="141"/>
      <c r="K38" s="154">
        <f>BF38</f>
        <v>15</v>
      </c>
      <c r="L38" s="155">
        <f>AY38</f>
        <v>484</v>
      </c>
      <c r="M38" s="155">
        <f>BD38</f>
        <v>82</v>
      </c>
      <c r="N38" s="155">
        <f>AW38</f>
        <v>93</v>
      </c>
      <c r="O38" s="155">
        <f>BE38</f>
        <v>5</v>
      </c>
      <c r="P38" s="155">
        <f>'2017'!AZ38+'2017'!BA38</f>
        <v>1093</v>
      </c>
      <c r="Q38" s="155">
        <f>'2017'!AU38</f>
        <v>70</v>
      </c>
      <c r="R38" s="155">
        <f t="shared" si="73"/>
        <v>529</v>
      </c>
      <c r="S38" s="155">
        <f>AV38</f>
        <v>191</v>
      </c>
      <c r="T38" s="155">
        <f t="shared" si="74"/>
        <v>796</v>
      </c>
      <c r="U38" s="552">
        <f t="shared" si="74"/>
        <v>183</v>
      </c>
      <c r="V38" s="155">
        <f>BG38+BJ38</f>
        <v>422</v>
      </c>
      <c r="W38" s="155">
        <f>BR38</f>
        <v>7</v>
      </c>
      <c r="X38" s="155">
        <f>BI38</f>
        <v>157</v>
      </c>
      <c r="Y38" s="155">
        <f>BN38</f>
        <v>381</v>
      </c>
      <c r="Z38" s="155" t="str">
        <f>BM38</f>
        <v xml:space="preserve"> .</v>
      </c>
      <c r="AA38" s="155">
        <f>BQ38</f>
        <v>17</v>
      </c>
      <c r="AB38" s="552">
        <f>BP38</f>
        <v>1</v>
      </c>
      <c r="AC38" s="155" t="str">
        <f>BX38</f>
        <v xml:space="preserve"> .</v>
      </c>
      <c r="AD38" s="155">
        <f>BU38</f>
        <v>586</v>
      </c>
      <c r="AE38" s="155">
        <f>BS38+BT38</f>
        <v>869</v>
      </c>
      <c r="AF38" s="155">
        <f>CA38</f>
        <v>646</v>
      </c>
      <c r="AG38" s="155">
        <f>BV38</f>
        <v>4078</v>
      </c>
      <c r="AH38" s="155">
        <f>BZ38</f>
        <v>1032</v>
      </c>
      <c r="AI38" s="155" t="str">
        <f>BW38</f>
        <v xml:space="preserve"> .</v>
      </c>
      <c r="AJ38" s="155" t="str">
        <f>BY38</f>
        <v>–</v>
      </c>
      <c r="AK38" s="552">
        <f>CB38</f>
        <v>123</v>
      </c>
      <c r="AL38" s="155">
        <f>CE38</f>
        <v>7</v>
      </c>
      <c r="AM38" s="155">
        <f>CH38</f>
        <v>35</v>
      </c>
      <c r="AN38" s="155">
        <f>CJ38</f>
        <v>1536</v>
      </c>
      <c r="AO38" s="155">
        <f t="shared" si="75"/>
        <v>69</v>
      </c>
      <c r="AP38" s="155">
        <f t="shared" si="75"/>
        <v>47</v>
      </c>
      <c r="AQ38" s="155">
        <f>CK38</f>
        <v>21</v>
      </c>
      <c r="AR38" s="155">
        <f>CI38</f>
        <v>7523</v>
      </c>
      <c r="AS38" s="156">
        <f>CF38+CG38</f>
        <v>58</v>
      </c>
      <c r="AT38" s="155">
        <v>67</v>
      </c>
      <c r="AU38" s="155">
        <v>70</v>
      </c>
      <c r="AV38" s="155">
        <v>191</v>
      </c>
      <c r="AW38" s="155">
        <v>93</v>
      </c>
      <c r="AX38" s="155">
        <v>462</v>
      </c>
      <c r="AY38" s="155">
        <v>484</v>
      </c>
      <c r="AZ38" s="155">
        <v>51</v>
      </c>
      <c r="BA38" s="155">
        <v>1042</v>
      </c>
      <c r="BB38" s="155">
        <v>796</v>
      </c>
      <c r="BC38" s="155">
        <v>183</v>
      </c>
      <c r="BD38" s="155">
        <v>82</v>
      </c>
      <c r="BE38" s="155">
        <v>5</v>
      </c>
      <c r="BF38" s="552">
        <v>15</v>
      </c>
      <c r="BG38" s="155">
        <v>28</v>
      </c>
      <c r="BH38" s="155" t="s">
        <v>308</v>
      </c>
      <c r="BI38" s="155">
        <v>157</v>
      </c>
      <c r="BJ38" s="155">
        <v>394</v>
      </c>
      <c r="BK38" s="155">
        <v>23</v>
      </c>
      <c r="BL38" s="155" t="s">
        <v>308</v>
      </c>
      <c r="BM38" s="155" t="s">
        <v>308</v>
      </c>
      <c r="BN38" s="155">
        <v>381</v>
      </c>
      <c r="BO38" s="155" t="s">
        <v>308</v>
      </c>
      <c r="BP38" s="155">
        <v>1</v>
      </c>
      <c r="BQ38" s="155">
        <v>17</v>
      </c>
      <c r="BR38" s="552">
        <v>7</v>
      </c>
      <c r="BS38" s="155">
        <v>73</v>
      </c>
      <c r="BT38" s="155">
        <v>796</v>
      </c>
      <c r="BU38" s="155">
        <v>586</v>
      </c>
      <c r="BV38" s="155">
        <v>4078</v>
      </c>
      <c r="BW38" s="155" t="s">
        <v>308</v>
      </c>
      <c r="BX38" s="155" t="s">
        <v>308</v>
      </c>
      <c r="BY38" s="155" t="s">
        <v>41</v>
      </c>
      <c r="BZ38" s="155">
        <v>1032</v>
      </c>
      <c r="CA38" s="155">
        <v>646</v>
      </c>
      <c r="CB38" s="552">
        <v>123</v>
      </c>
      <c r="CC38" s="155">
        <v>69</v>
      </c>
      <c r="CD38" s="155">
        <v>47</v>
      </c>
      <c r="CE38" s="155">
        <v>7</v>
      </c>
      <c r="CF38" s="155">
        <v>5</v>
      </c>
      <c r="CG38" s="155">
        <v>53</v>
      </c>
      <c r="CH38" s="155">
        <v>35</v>
      </c>
      <c r="CI38" s="155">
        <v>7523</v>
      </c>
      <c r="CJ38" s="155">
        <v>1536</v>
      </c>
      <c r="CK38" s="156">
        <v>21</v>
      </c>
      <c r="CL38" s="320">
        <v>21491</v>
      </c>
    </row>
    <row r="39" spans="1:90">
      <c r="A39" s="80">
        <f>ROWS($A$3:A37)</f>
        <v>35</v>
      </c>
      <c r="B39" s="92" t="s">
        <v>245</v>
      </c>
      <c r="C39" s="203"/>
      <c r="D39" s="259" t="s">
        <v>1</v>
      </c>
      <c r="E39" s="447">
        <v>42888</v>
      </c>
      <c r="F39" s="154">
        <v>10602</v>
      </c>
      <c r="G39" s="155">
        <v>2230</v>
      </c>
      <c r="H39" s="155">
        <v>11548</v>
      </c>
      <c r="I39" s="156">
        <v>572</v>
      </c>
      <c r="J39" s="141"/>
      <c r="K39" s="154" t="str">
        <f>BF39</f>
        <v>–</v>
      </c>
      <c r="L39" s="155">
        <f>AY39</f>
        <v>1116</v>
      </c>
      <c r="M39" s="155">
        <f>BD39</f>
        <v>745</v>
      </c>
      <c r="N39" s="155" t="str">
        <f>AW39</f>
        <v xml:space="preserve"> .</v>
      </c>
      <c r="O39" s="155" t="str">
        <f>BE39</f>
        <v>–</v>
      </c>
      <c r="P39" s="155">
        <f>'2017'!AZ39+'2017'!BA39</f>
        <v>5731</v>
      </c>
      <c r="Q39" s="155" t="str">
        <f>'2017'!AU39</f>
        <v xml:space="preserve"> .</v>
      </c>
      <c r="R39" s="155">
        <f t="shared" si="73"/>
        <v>2089</v>
      </c>
      <c r="S39" s="155">
        <f>AV39</f>
        <v>120</v>
      </c>
      <c r="T39" s="155">
        <f t="shared" si="74"/>
        <v>801</v>
      </c>
      <c r="U39" s="552" t="str">
        <f t="shared" si="74"/>
        <v xml:space="preserve"> .</v>
      </c>
      <c r="V39" s="155">
        <f>BG39+BJ39</f>
        <v>517</v>
      </c>
      <c r="W39" s="155" t="str">
        <f>BR39</f>
        <v xml:space="preserve"> .</v>
      </c>
      <c r="X39" s="155">
        <f>BI39</f>
        <v>795</v>
      </c>
      <c r="Y39" s="155">
        <f>BN39</f>
        <v>642</v>
      </c>
      <c r="Z39" s="155" t="str">
        <f>BM39</f>
        <v>–</v>
      </c>
      <c r="AA39" s="155">
        <f>BQ39</f>
        <v>210</v>
      </c>
      <c r="AB39" s="552" t="str">
        <f>BP39</f>
        <v>–</v>
      </c>
      <c r="AC39" s="155" t="str">
        <f>BX39</f>
        <v>–</v>
      </c>
      <c r="AD39" s="155">
        <f>BU39</f>
        <v>1810</v>
      </c>
      <c r="AE39" s="155">
        <f>BT39</f>
        <v>5368</v>
      </c>
      <c r="AF39" s="155">
        <f>CA39</f>
        <v>786</v>
      </c>
      <c r="AG39" s="155">
        <f>BV39</f>
        <v>2677</v>
      </c>
      <c r="AH39" s="155">
        <f>BZ39</f>
        <v>66</v>
      </c>
      <c r="AI39" s="155" t="str">
        <f>BW39</f>
        <v>–</v>
      </c>
      <c r="AJ39" s="155" t="str">
        <f>BY39</f>
        <v>–</v>
      </c>
      <c r="AK39" s="552">
        <f>CB39</f>
        <v>63</v>
      </c>
      <c r="AL39" s="155" t="str">
        <f>CE39</f>
        <v>–</v>
      </c>
      <c r="AM39" s="155" t="str">
        <f>CH39</f>
        <v xml:space="preserve"> .</v>
      </c>
      <c r="AN39" s="155" t="str">
        <f>CJ39</f>
        <v>–</v>
      </c>
      <c r="AO39" s="155">
        <f t="shared" si="75"/>
        <v>17</v>
      </c>
      <c r="AP39" s="155">
        <f t="shared" si="75"/>
        <v>14</v>
      </c>
      <c r="AQ39" s="155" t="str">
        <f>CK39</f>
        <v>–</v>
      </c>
      <c r="AR39" s="155">
        <f>CI39</f>
        <v>539</v>
      </c>
      <c r="AS39" s="156" t="str">
        <f>CG39</f>
        <v xml:space="preserve"> .</v>
      </c>
      <c r="AT39" s="155">
        <v>368</v>
      </c>
      <c r="AU39" s="155" t="s">
        <v>308</v>
      </c>
      <c r="AV39" s="155">
        <v>120</v>
      </c>
      <c r="AW39" s="155" t="s">
        <v>308</v>
      </c>
      <c r="AX39" s="155">
        <v>1721</v>
      </c>
      <c r="AY39" s="155">
        <v>1116</v>
      </c>
      <c r="AZ39" s="155">
        <v>626</v>
      </c>
      <c r="BA39" s="155">
        <v>5105</v>
      </c>
      <c r="BB39" s="155">
        <v>801</v>
      </c>
      <c r="BC39" s="155" t="s">
        <v>308</v>
      </c>
      <c r="BD39" s="155">
        <v>745</v>
      </c>
      <c r="BE39" s="155" t="s">
        <v>41</v>
      </c>
      <c r="BF39" s="552" t="s">
        <v>41</v>
      </c>
      <c r="BG39" s="155">
        <v>203</v>
      </c>
      <c r="BH39" s="155" t="s">
        <v>308</v>
      </c>
      <c r="BI39" s="155">
        <v>795</v>
      </c>
      <c r="BJ39" s="155">
        <v>314</v>
      </c>
      <c r="BK39" s="155">
        <v>56</v>
      </c>
      <c r="BL39" s="155" t="s">
        <v>41</v>
      </c>
      <c r="BM39" s="155" t="s">
        <v>41</v>
      </c>
      <c r="BN39" s="155">
        <v>642</v>
      </c>
      <c r="BO39" s="155" t="s">
        <v>41</v>
      </c>
      <c r="BP39" s="155" t="s">
        <v>41</v>
      </c>
      <c r="BQ39" s="155">
        <v>210</v>
      </c>
      <c r="BR39" s="552" t="s">
        <v>308</v>
      </c>
      <c r="BS39" s="155">
        <v>779</v>
      </c>
      <c r="BT39" s="155">
        <v>5368</v>
      </c>
      <c r="BU39" s="155">
        <v>1810</v>
      </c>
      <c r="BV39" s="155">
        <v>2677</v>
      </c>
      <c r="BW39" s="155" t="s">
        <v>41</v>
      </c>
      <c r="BX39" s="155" t="s">
        <v>41</v>
      </c>
      <c r="BY39" s="155" t="s">
        <v>41</v>
      </c>
      <c r="BZ39" s="155">
        <v>66</v>
      </c>
      <c r="CA39" s="155">
        <v>786</v>
      </c>
      <c r="CB39" s="552">
        <v>63</v>
      </c>
      <c r="CC39" s="155">
        <v>17</v>
      </c>
      <c r="CD39" s="155">
        <v>14</v>
      </c>
      <c r="CE39" s="155" t="s">
        <v>41</v>
      </c>
      <c r="CF39" s="155" t="s">
        <v>41</v>
      </c>
      <c r="CG39" s="155" t="s">
        <v>308</v>
      </c>
      <c r="CH39" s="155" t="s">
        <v>308</v>
      </c>
      <c r="CI39" s="155">
        <v>539</v>
      </c>
      <c r="CJ39" s="155" t="s">
        <v>41</v>
      </c>
      <c r="CK39" s="156" t="s">
        <v>41</v>
      </c>
      <c r="CL39" s="320">
        <v>24952</v>
      </c>
    </row>
    <row r="40" spans="1:90">
      <c r="A40" s="80">
        <f>ROWS($A$3:A38)</f>
        <v>36</v>
      </c>
      <c r="B40" s="59" t="s">
        <v>98</v>
      </c>
      <c r="C40" s="201"/>
      <c r="D40" s="260"/>
      <c r="E40" s="451"/>
      <c r="F40" s="154"/>
      <c r="G40" s="155"/>
      <c r="H40" s="155"/>
      <c r="I40" s="156"/>
      <c r="J40" s="14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c r="A41" s="80">
        <f>ROWS($A$3:A39)</f>
        <v>37</v>
      </c>
      <c r="B41" s="92" t="s">
        <v>73</v>
      </c>
      <c r="C41" s="202">
        <v>2017</v>
      </c>
      <c r="D41" s="259" t="s">
        <v>7</v>
      </c>
      <c r="E41" s="447">
        <v>43320</v>
      </c>
      <c r="F41" s="154">
        <v>295964</v>
      </c>
      <c r="G41" s="155">
        <v>80939</v>
      </c>
      <c r="H41" s="155">
        <v>210150</v>
      </c>
      <c r="I41" s="156">
        <v>389573</v>
      </c>
      <c r="J41" s="281"/>
      <c r="K41" s="154">
        <f t="shared" ref="K41:K54" si="76">BF41</f>
        <v>73023</v>
      </c>
      <c r="L41" s="155">
        <f t="shared" ref="L41:L54" si="77">AY41</f>
        <v>21050</v>
      </c>
      <c r="M41" s="155">
        <f t="shared" ref="M41:M54" si="78">BD41</f>
        <v>19042</v>
      </c>
      <c r="N41" s="155">
        <f t="shared" ref="N41:N54" si="79">AW41</f>
        <v>30665</v>
      </c>
      <c r="O41" s="155">
        <f t="shared" ref="O41:O54" si="80">BE41</f>
        <v>20725</v>
      </c>
      <c r="P41" s="155">
        <f>'2017'!AZ41+'2017'!BA41</f>
        <v>12521</v>
      </c>
      <c r="Q41" s="155">
        <f>'2017'!AU41</f>
        <v>9003</v>
      </c>
      <c r="R41" s="155">
        <f t="shared" si="73"/>
        <v>13662</v>
      </c>
      <c r="S41" s="155">
        <f t="shared" ref="S41:S54" si="81">AV41</f>
        <v>8775</v>
      </c>
      <c r="T41" s="155">
        <f t="shared" ref="T41:U54" si="82">BB41</f>
        <v>22457</v>
      </c>
      <c r="U41" s="552">
        <f t="shared" si="82"/>
        <v>65041</v>
      </c>
      <c r="V41" s="155">
        <f>BG41+BJ41</f>
        <v>2677</v>
      </c>
      <c r="W41" s="155">
        <f t="shared" ref="W41:W54" si="83">BR41</f>
        <v>12187</v>
      </c>
      <c r="X41" s="155">
        <f>BH41+BI41</f>
        <v>6056</v>
      </c>
      <c r="Y41" s="155">
        <f>BK41+BL41+BN41</f>
        <v>12408</v>
      </c>
      <c r="Z41" s="155">
        <f t="shared" ref="Z41:Z54" si="84">BM41</f>
        <v>23222</v>
      </c>
      <c r="AA41" s="155">
        <f>BO41+BQ41</f>
        <v>11177</v>
      </c>
      <c r="AB41" s="552">
        <f t="shared" ref="AB41:AB54" si="85">BP41</f>
        <v>13212</v>
      </c>
      <c r="AC41" s="155">
        <f t="shared" ref="AC41:AC54" si="86">BX41</f>
        <v>31373</v>
      </c>
      <c r="AD41" s="155">
        <f t="shared" ref="AD41:AD54" si="87">BU41</f>
        <v>14273</v>
      </c>
      <c r="AE41" s="155">
        <f>BS41+BT41</f>
        <v>28559</v>
      </c>
      <c r="AF41" s="155">
        <f t="shared" ref="AF41:AF54" si="88">CA41</f>
        <v>14783</v>
      </c>
      <c r="AG41" s="155">
        <f t="shared" ref="AG41:AG54" si="89">BV41</f>
        <v>27832</v>
      </c>
      <c r="AH41" s="155">
        <f t="shared" ref="AH41:AH54" si="90">BZ41</f>
        <v>24916</v>
      </c>
      <c r="AI41" s="155">
        <f t="shared" ref="AI41:AI54" si="91">BW41</f>
        <v>17186</v>
      </c>
      <c r="AJ41" s="155">
        <f t="shared" ref="AJ41:AJ54" si="92">BY41</f>
        <v>16525</v>
      </c>
      <c r="AK41" s="552">
        <f t="shared" ref="AK41:AK54" si="93">CB41</f>
        <v>34703</v>
      </c>
      <c r="AL41" s="155">
        <f t="shared" ref="AL41:AL54" si="94">CE41</f>
        <v>14693</v>
      </c>
      <c r="AM41" s="155">
        <f t="shared" ref="AM41:AM54" si="95">CH41</f>
        <v>88156</v>
      </c>
      <c r="AN41" s="155">
        <f t="shared" ref="AN41:AN54" si="96">CJ41</f>
        <v>139989</v>
      </c>
      <c r="AO41" s="155">
        <f t="shared" ref="AO41:AP54" si="97">CC41</f>
        <v>29627</v>
      </c>
      <c r="AP41" s="155">
        <f t="shared" si="97"/>
        <v>5921</v>
      </c>
      <c r="AQ41" s="155">
        <f t="shared" ref="AQ41:AQ54" si="98">CK41</f>
        <v>36034</v>
      </c>
      <c r="AR41" s="155">
        <f t="shared" ref="AR41:AR54" si="99">CI41</f>
        <v>21668</v>
      </c>
      <c r="AS41" s="156">
        <f>CF41+CG41</f>
        <v>53485</v>
      </c>
      <c r="AT41" s="155">
        <v>859</v>
      </c>
      <c r="AU41" s="155">
        <v>9003</v>
      </c>
      <c r="AV41" s="155">
        <v>8775</v>
      </c>
      <c r="AW41" s="155">
        <v>30665</v>
      </c>
      <c r="AX41" s="155">
        <v>12803</v>
      </c>
      <c r="AY41" s="155">
        <v>21050</v>
      </c>
      <c r="AZ41" s="155">
        <v>110</v>
      </c>
      <c r="BA41" s="155">
        <v>12411</v>
      </c>
      <c r="BB41" s="155">
        <v>22457</v>
      </c>
      <c r="BC41" s="155">
        <v>65041</v>
      </c>
      <c r="BD41" s="155">
        <v>19042</v>
      </c>
      <c r="BE41" s="155">
        <v>20725</v>
      </c>
      <c r="BF41" s="552">
        <v>73023</v>
      </c>
      <c r="BG41" s="155">
        <v>227</v>
      </c>
      <c r="BH41" s="155">
        <v>389</v>
      </c>
      <c r="BI41" s="155">
        <v>5667</v>
      </c>
      <c r="BJ41" s="155">
        <v>2450</v>
      </c>
      <c r="BK41" s="155">
        <v>399</v>
      </c>
      <c r="BL41" s="155">
        <v>58</v>
      </c>
      <c r="BM41" s="155">
        <v>23222</v>
      </c>
      <c r="BN41" s="155">
        <v>11951</v>
      </c>
      <c r="BO41" s="155">
        <v>137</v>
      </c>
      <c r="BP41" s="155">
        <v>13212</v>
      </c>
      <c r="BQ41" s="155">
        <v>11040</v>
      </c>
      <c r="BR41" s="552">
        <v>12187</v>
      </c>
      <c r="BS41" s="155">
        <v>554</v>
      </c>
      <c r="BT41" s="155">
        <v>28005</v>
      </c>
      <c r="BU41" s="155">
        <v>14273</v>
      </c>
      <c r="BV41" s="155">
        <v>27832</v>
      </c>
      <c r="BW41" s="155">
        <v>17186</v>
      </c>
      <c r="BX41" s="155">
        <v>31373</v>
      </c>
      <c r="BY41" s="155">
        <v>16525</v>
      </c>
      <c r="BZ41" s="155">
        <v>24916</v>
      </c>
      <c r="CA41" s="155">
        <v>14783</v>
      </c>
      <c r="CB41" s="552">
        <v>34703</v>
      </c>
      <c r="CC41" s="155">
        <v>29627</v>
      </c>
      <c r="CD41" s="155">
        <v>5921</v>
      </c>
      <c r="CE41" s="155">
        <v>14693</v>
      </c>
      <c r="CF41" s="155">
        <v>2393</v>
      </c>
      <c r="CG41" s="155">
        <v>51092</v>
      </c>
      <c r="CH41" s="155">
        <v>88156</v>
      </c>
      <c r="CI41" s="155">
        <v>21668</v>
      </c>
      <c r="CJ41" s="155">
        <v>139989</v>
      </c>
      <c r="CK41" s="156">
        <v>36034</v>
      </c>
      <c r="CL41" s="320">
        <v>976626</v>
      </c>
    </row>
    <row r="42" spans="1:90">
      <c r="A42" s="80">
        <f>ROWS($A$3:A40)</f>
        <v>38</v>
      </c>
      <c r="B42" s="92" t="s">
        <v>305</v>
      </c>
      <c r="C42" s="203"/>
      <c r="D42" s="259" t="s">
        <v>7</v>
      </c>
      <c r="E42" s="447">
        <v>43320</v>
      </c>
      <c r="F42" s="154">
        <f>97982+15898</f>
        <v>113880</v>
      </c>
      <c r="G42" s="155">
        <f>23323+7457</f>
        <v>30780</v>
      </c>
      <c r="H42" s="155">
        <f>65560+21766</f>
        <v>87326</v>
      </c>
      <c r="I42" s="156">
        <f>154629+13306</f>
        <v>167935</v>
      </c>
      <c r="J42" s="281"/>
      <c r="K42" s="154">
        <f t="shared" si="76"/>
        <v>29115</v>
      </c>
      <c r="L42" s="155">
        <f t="shared" si="77"/>
        <v>8627</v>
      </c>
      <c r="M42" s="155">
        <f t="shared" si="78"/>
        <v>7247</v>
      </c>
      <c r="N42" s="155">
        <f t="shared" si="79"/>
        <v>12509</v>
      </c>
      <c r="O42" s="155">
        <f t="shared" si="80"/>
        <v>7475</v>
      </c>
      <c r="P42" s="155">
        <f>'2017'!BA42</f>
        <v>4423</v>
      </c>
      <c r="Q42" s="155">
        <f>'2017'!AU42</f>
        <v>3607</v>
      </c>
      <c r="R42" s="155">
        <f>AX42</f>
        <v>4558</v>
      </c>
      <c r="S42" s="155">
        <f t="shared" si="81"/>
        <v>3294</v>
      </c>
      <c r="T42" s="155">
        <f t="shared" si="82"/>
        <v>8811</v>
      </c>
      <c r="U42" s="552">
        <f t="shared" si="82"/>
        <v>23760</v>
      </c>
      <c r="V42" s="155">
        <f>BJ42</f>
        <v>995</v>
      </c>
      <c r="W42" s="155">
        <f t="shared" si="83"/>
        <v>4980</v>
      </c>
      <c r="X42" s="155">
        <f>BI42</f>
        <v>2095</v>
      </c>
      <c r="Y42" s="155">
        <f>BN42</f>
        <v>4210</v>
      </c>
      <c r="Z42" s="155">
        <f t="shared" si="84"/>
        <v>8731</v>
      </c>
      <c r="AA42" s="155">
        <f>BQ42</f>
        <v>4066</v>
      </c>
      <c r="AB42" s="552">
        <f t="shared" si="85"/>
        <v>5278</v>
      </c>
      <c r="AC42" s="155">
        <f t="shared" si="86"/>
        <v>14354</v>
      </c>
      <c r="AD42" s="155">
        <f t="shared" si="87"/>
        <v>5010</v>
      </c>
      <c r="AE42" s="155">
        <f>BS42+BT42</f>
        <v>13319</v>
      </c>
      <c r="AF42" s="155">
        <f t="shared" si="88"/>
        <v>5954</v>
      </c>
      <c r="AG42" s="155">
        <f t="shared" si="89"/>
        <v>10694</v>
      </c>
      <c r="AH42" s="155">
        <f t="shared" si="90"/>
        <v>10183</v>
      </c>
      <c r="AI42" s="155">
        <f t="shared" si="91"/>
        <v>6235</v>
      </c>
      <c r="AJ42" s="155">
        <f t="shared" si="92"/>
        <v>7440</v>
      </c>
      <c r="AK42" s="552">
        <f t="shared" si="93"/>
        <v>14137</v>
      </c>
      <c r="AL42" s="155">
        <f t="shared" si="94"/>
        <v>5594</v>
      </c>
      <c r="AM42" s="155">
        <f t="shared" si="95"/>
        <v>35378</v>
      </c>
      <c r="AN42" s="155">
        <f t="shared" si="96"/>
        <v>70509</v>
      </c>
      <c r="AO42" s="155">
        <f t="shared" si="97"/>
        <v>9325</v>
      </c>
      <c r="AP42" s="155">
        <f t="shared" si="97"/>
        <v>2198</v>
      </c>
      <c r="AQ42" s="155">
        <f t="shared" si="98"/>
        <v>14636</v>
      </c>
      <c r="AR42" s="155">
        <f t="shared" si="99"/>
        <v>9677</v>
      </c>
      <c r="AS42" s="156">
        <f>CF42+CG42</f>
        <v>20618</v>
      </c>
      <c r="AT42" s="155" t="s">
        <v>233</v>
      </c>
      <c r="AU42" s="155">
        <f>2953+654</f>
        <v>3607</v>
      </c>
      <c r="AV42" s="155">
        <f>2256+1038</f>
        <v>3294</v>
      </c>
      <c r="AW42" s="155">
        <f>10867+1642</f>
        <v>12509</v>
      </c>
      <c r="AX42" s="155">
        <f>4232+326</f>
        <v>4558</v>
      </c>
      <c r="AY42" s="155">
        <f>6981+1646</f>
        <v>8627</v>
      </c>
      <c r="AZ42" s="155" t="s">
        <v>233</v>
      </c>
      <c r="BA42" s="155">
        <f>3528+895</f>
        <v>4423</v>
      </c>
      <c r="BB42" s="155">
        <f>7609+1202</f>
        <v>8811</v>
      </c>
      <c r="BC42" s="155">
        <f>20732+3028</f>
        <v>23760</v>
      </c>
      <c r="BD42" s="155">
        <f>6258+989</f>
        <v>7247</v>
      </c>
      <c r="BE42" s="155">
        <f>6971+504</f>
        <v>7475</v>
      </c>
      <c r="BF42" s="552">
        <f>25201+3914</f>
        <v>29115</v>
      </c>
      <c r="BG42" s="155" t="s">
        <v>233</v>
      </c>
      <c r="BH42" s="155" t="s">
        <v>233</v>
      </c>
      <c r="BI42" s="155">
        <f>1356+739</f>
        <v>2095</v>
      </c>
      <c r="BJ42" s="155">
        <f>267+728</f>
        <v>995</v>
      </c>
      <c r="BK42" s="155">
        <f>96+79</f>
        <v>175</v>
      </c>
      <c r="BL42" s="155" t="s">
        <v>233</v>
      </c>
      <c r="BM42" s="155">
        <f>7422+1309</f>
        <v>8731</v>
      </c>
      <c r="BN42" s="155">
        <f>3148+1062</f>
        <v>4210</v>
      </c>
      <c r="BO42" s="155" t="s">
        <v>233</v>
      </c>
      <c r="BP42" s="155">
        <f>3828+1450</f>
        <v>5278</v>
      </c>
      <c r="BQ42" s="155">
        <f>3020+1046</f>
        <v>4066</v>
      </c>
      <c r="BR42" s="552">
        <f>4130+850</f>
        <v>4980</v>
      </c>
      <c r="BS42" s="155">
        <v>216</v>
      </c>
      <c r="BT42" s="155">
        <f>9558+3545</f>
        <v>13103</v>
      </c>
      <c r="BU42" s="155">
        <f>2985+2025</f>
        <v>5010</v>
      </c>
      <c r="BV42" s="155">
        <f>6759+3935</f>
        <v>10694</v>
      </c>
      <c r="BW42" s="155">
        <f>4590+1645</f>
        <v>6235</v>
      </c>
      <c r="BX42" s="155">
        <f>12396+1958</f>
        <v>14354</v>
      </c>
      <c r="BY42" s="155">
        <f>6316+1124</f>
        <v>7440</v>
      </c>
      <c r="BZ42" s="155">
        <f>9046+1137</f>
        <v>10183</v>
      </c>
      <c r="CA42" s="155">
        <f>3079+2875</f>
        <v>5954</v>
      </c>
      <c r="CB42" s="552">
        <f>10731+3406</f>
        <v>14137</v>
      </c>
      <c r="CC42" s="155">
        <f>7949+1376</f>
        <v>9325</v>
      </c>
      <c r="CD42" s="155">
        <f>1547+651</f>
        <v>2198</v>
      </c>
      <c r="CE42" s="155">
        <f>3453+2141</f>
        <v>5594</v>
      </c>
      <c r="CF42" s="155">
        <f>1047+32</f>
        <v>1079</v>
      </c>
      <c r="CG42" s="155">
        <f>17986+1553</f>
        <v>19539</v>
      </c>
      <c r="CH42" s="155">
        <f>33220+2158</f>
        <v>35378</v>
      </c>
      <c r="CI42" s="155">
        <f>8607+1070</f>
        <v>9677</v>
      </c>
      <c r="CJ42" s="155">
        <f>67842+2667</f>
        <v>70509</v>
      </c>
      <c r="CK42" s="156">
        <f>12978+1658</f>
        <v>14636</v>
      </c>
      <c r="CL42" s="320">
        <f>341494+58427</f>
        <v>399921</v>
      </c>
    </row>
    <row r="43" spans="1:90">
      <c r="A43" s="80">
        <f>ROWS($A$3:A41)</f>
        <v>39</v>
      </c>
      <c r="B43" s="92" t="s">
        <v>14</v>
      </c>
      <c r="C43" s="203"/>
      <c r="D43" s="259" t="s">
        <v>7</v>
      </c>
      <c r="E43" s="447">
        <v>43320</v>
      </c>
      <c r="F43" s="154">
        <v>97982</v>
      </c>
      <c r="G43" s="155">
        <v>23323</v>
      </c>
      <c r="H43" s="155">
        <v>65560</v>
      </c>
      <c r="I43" s="156">
        <v>154629</v>
      </c>
      <c r="J43" s="281"/>
      <c r="K43" s="154">
        <f>BF43</f>
        <v>25201</v>
      </c>
      <c r="L43" s="155">
        <f>AY43</f>
        <v>6981</v>
      </c>
      <c r="M43" s="155">
        <f>BD43</f>
        <v>6258</v>
      </c>
      <c r="N43" s="155">
        <f>AW43</f>
        <v>10867</v>
      </c>
      <c r="O43" s="155">
        <f>BE43</f>
        <v>6971</v>
      </c>
      <c r="P43" s="155">
        <f>'2017'!BA43</f>
        <v>3528</v>
      </c>
      <c r="Q43" s="155">
        <f>'2017'!AU43</f>
        <v>2953</v>
      </c>
      <c r="R43" s="155">
        <f>AX43</f>
        <v>4232</v>
      </c>
      <c r="S43" s="155">
        <f>AV43</f>
        <v>2256</v>
      </c>
      <c r="T43" s="155">
        <f>BB43</f>
        <v>7609</v>
      </c>
      <c r="U43" s="552">
        <f>BC43</f>
        <v>20732</v>
      </c>
      <c r="V43" s="155">
        <f>BJ43</f>
        <v>267</v>
      </c>
      <c r="W43" s="155">
        <f>BR43</f>
        <v>4130</v>
      </c>
      <c r="X43" s="155">
        <f>BI43</f>
        <v>1356</v>
      </c>
      <c r="Y43" s="155">
        <f>BN43</f>
        <v>3148</v>
      </c>
      <c r="Z43" s="155">
        <f>BM43</f>
        <v>7422</v>
      </c>
      <c r="AA43" s="155">
        <f>BQ43</f>
        <v>3020</v>
      </c>
      <c r="AB43" s="552">
        <f>BP43</f>
        <v>3828</v>
      </c>
      <c r="AC43" s="155">
        <f>BX43</f>
        <v>12396</v>
      </c>
      <c r="AD43" s="155">
        <f>BU43</f>
        <v>2985</v>
      </c>
      <c r="AE43" s="155">
        <f>BS43+BT43</f>
        <v>9658</v>
      </c>
      <c r="AF43" s="155">
        <f>CA43</f>
        <v>3079</v>
      </c>
      <c r="AG43" s="155">
        <f>BV43</f>
        <v>6759</v>
      </c>
      <c r="AH43" s="155">
        <f>BZ43</f>
        <v>9046</v>
      </c>
      <c r="AI43" s="155">
        <f>BW43</f>
        <v>4590</v>
      </c>
      <c r="AJ43" s="155">
        <f>BY43</f>
        <v>6316</v>
      </c>
      <c r="AK43" s="552">
        <f>CB43</f>
        <v>10731</v>
      </c>
      <c r="AL43" s="155">
        <f>CE43</f>
        <v>3453</v>
      </c>
      <c r="AM43" s="155">
        <f>CH43</f>
        <v>33220</v>
      </c>
      <c r="AN43" s="155">
        <f>CJ43</f>
        <v>67842</v>
      </c>
      <c r="AO43" s="155">
        <f>CC43</f>
        <v>7949</v>
      </c>
      <c r="AP43" s="155">
        <f>CD43</f>
        <v>1547</v>
      </c>
      <c r="AQ43" s="155">
        <f>CK43</f>
        <v>12978</v>
      </c>
      <c r="AR43" s="155">
        <f>CI43</f>
        <v>8607</v>
      </c>
      <c r="AS43" s="156">
        <f>CF43+CG43</f>
        <v>19033</v>
      </c>
      <c r="AT43" s="155" t="s">
        <v>233</v>
      </c>
      <c r="AU43" s="155">
        <v>2953</v>
      </c>
      <c r="AV43" s="155">
        <v>2256</v>
      </c>
      <c r="AW43" s="155">
        <v>10867</v>
      </c>
      <c r="AX43" s="155">
        <v>4232</v>
      </c>
      <c r="AY43" s="155">
        <v>6981</v>
      </c>
      <c r="AZ43" s="155" t="s">
        <v>233</v>
      </c>
      <c r="BA43" s="155">
        <v>3528</v>
      </c>
      <c r="BB43" s="155">
        <v>7609</v>
      </c>
      <c r="BC43" s="155">
        <v>20732</v>
      </c>
      <c r="BD43" s="155">
        <v>6258</v>
      </c>
      <c r="BE43" s="155">
        <v>6971</v>
      </c>
      <c r="BF43" s="552">
        <v>25201</v>
      </c>
      <c r="BG43" s="155" t="s">
        <v>233</v>
      </c>
      <c r="BH43" s="155" t="s">
        <v>233</v>
      </c>
      <c r="BI43" s="155">
        <v>1356</v>
      </c>
      <c r="BJ43" s="155">
        <v>267</v>
      </c>
      <c r="BK43" s="155">
        <v>96</v>
      </c>
      <c r="BL43" s="155" t="s">
        <v>233</v>
      </c>
      <c r="BM43" s="155">
        <v>7422</v>
      </c>
      <c r="BN43" s="155">
        <v>3148</v>
      </c>
      <c r="BO43" s="155" t="s">
        <v>233</v>
      </c>
      <c r="BP43" s="155">
        <v>3828</v>
      </c>
      <c r="BQ43" s="155">
        <v>3020</v>
      </c>
      <c r="BR43" s="552">
        <v>4130</v>
      </c>
      <c r="BS43" s="155">
        <v>100</v>
      </c>
      <c r="BT43" s="155">
        <v>9558</v>
      </c>
      <c r="BU43" s="155">
        <v>2985</v>
      </c>
      <c r="BV43" s="155">
        <v>6759</v>
      </c>
      <c r="BW43" s="155">
        <v>4590</v>
      </c>
      <c r="BX43" s="155">
        <v>12396</v>
      </c>
      <c r="BY43" s="155">
        <v>6316</v>
      </c>
      <c r="BZ43" s="155">
        <v>9046</v>
      </c>
      <c r="CA43" s="155">
        <v>3079</v>
      </c>
      <c r="CB43" s="552">
        <v>10731</v>
      </c>
      <c r="CC43" s="155">
        <v>7949</v>
      </c>
      <c r="CD43" s="155">
        <v>1547</v>
      </c>
      <c r="CE43" s="155">
        <v>3453</v>
      </c>
      <c r="CF43" s="155">
        <v>1047</v>
      </c>
      <c r="CG43" s="155">
        <v>17986</v>
      </c>
      <c r="CH43" s="155">
        <v>33220</v>
      </c>
      <c r="CI43" s="155">
        <v>8607</v>
      </c>
      <c r="CJ43" s="155">
        <v>67842</v>
      </c>
      <c r="CK43" s="156">
        <v>12978</v>
      </c>
      <c r="CL43" s="320">
        <v>341494</v>
      </c>
    </row>
    <row r="44" spans="1:90">
      <c r="A44" s="80">
        <f>ROWS($A$3:A42)</f>
        <v>40</v>
      </c>
      <c r="B44" s="388" t="s">
        <v>20</v>
      </c>
      <c r="C44" s="252"/>
      <c r="D44" s="259" t="s">
        <v>241</v>
      </c>
      <c r="E44" s="447">
        <v>43320</v>
      </c>
      <c r="F44" s="541">
        <f>IF(ISERROR(F43/F123)=TRUE,"*",F43/F123)</f>
        <v>49.113784461152882</v>
      </c>
      <c r="G44" s="542">
        <f t="shared" ref="G44:BQ44" si="100">IF(ISERROR(G43/G123)=TRUE,"*",G43/G123)</f>
        <v>55.007075471698116</v>
      </c>
      <c r="H44" s="542">
        <f t="shared" si="100"/>
        <v>36.381798002219753</v>
      </c>
      <c r="I44" s="543">
        <f t="shared" si="100"/>
        <v>54.581362513236854</v>
      </c>
      <c r="J44" s="281"/>
      <c r="K44" s="154">
        <f t="shared" si="100"/>
        <v>51.325865580448067</v>
      </c>
      <c r="L44" s="155">
        <f t="shared" si="100"/>
        <v>40.352601156069362</v>
      </c>
      <c r="M44" s="155">
        <f t="shared" si="100"/>
        <v>46.014705882352942</v>
      </c>
      <c r="N44" s="155">
        <f t="shared" si="100"/>
        <v>53.797029702970299</v>
      </c>
      <c r="O44" s="155">
        <f t="shared" si="100"/>
        <v>52.022388059701491</v>
      </c>
      <c r="P44" s="531">
        <f t="shared" si="100"/>
        <v>47.675675675675677</v>
      </c>
      <c r="Q44" s="155">
        <f t="shared" si="100"/>
        <v>57.901960784313722</v>
      </c>
      <c r="R44" s="531">
        <f t="shared" si="100"/>
        <v>50.38095238095238</v>
      </c>
      <c r="S44" s="155">
        <f t="shared" si="100"/>
        <v>35.80952380952381</v>
      </c>
      <c r="T44" s="155">
        <f t="shared" si="100"/>
        <v>51.067114093959731</v>
      </c>
      <c r="U44" s="552">
        <f t="shared" si="100"/>
        <v>48.781176470588235</v>
      </c>
      <c r="V44" s="531">
        <f t="shared" si="100"/>
        <v>26.7</v>
      </c>
      <c r="W44" s="155">
        <f t="shared" si="100"/>
        <v>54.342105263157897</v>
      </c>
      <c r="X44" s="531">
        <f t="shared" si="100"/>
        <v>67.8</v>
      </c>
      <c r="Y44" s="531">
        <f t="shared" si="100"/>
        <v>62.96</v>
      </c>
      <c r="Z44" s="155">
        <f t="shared" si="100"/>
        <v>56.227272727272727</v>
      </c>
      <c r="AA44" s="531">
        <f t="shared" si="100"/>
        <v>52.982456140350877</v>
      </c>
      <c r="AB44" s="552">
        <f t="shared" si="100"/>
        <v>53.91549295774648</v>
      </c>
      <c r="AC44" s="155">
        <f t="shared" si="100"/>
        <v>36.458823529411767</v>
      </c>
      <c r="AD44" s="155">
        <f t="shared" si="100"/>
        <v>23.88</v>
      </c>
      <c r="AE44" s="531">
        <f t="shared" si="100"/>
        <v>28.91616766467066</v>
      </c>
      <c r="AF44" s="155">
        <f t="shared" si="100"/>
        <v>31.1010101010101</v>
      </c>
      <c r="AG44" s="155">
        <f t="shared" si="100"/>
        <v>24.489130434782609</v>
      </c>
      <c r="AH44" s="155">
        <f t="shared" si="100"/>
        <v>56.186335403726709</v>
      </c>
      <c r="AI44" s="155">
        <f t="shared" si="100"/>
        <v>31.875</v>
      </c>
      <c r="AJ44" s="155">
        <f t="shared" si="100"/>
        <v>69.406593406593402</v>
      </c>
      <c r="AK44" s="552">
        <f t="shared" si="100"/>
        <v>47.273127753303967</v>
      </c>
      <c r="AL44" s="155">
        <f t="shared" si="100"/>
        <v>65.15094339622641</v>
      </c>
      <c r="AM44" s="155">
        <f t="shared" si="100"/>
        <v>56.209813874788495</v>
      </c>
      <c r="AN44" s="155">
        <f t="shared" si="100"/>
        <v>55.562653562653566</v>
      </c>
      <c r="AO44" s="155">
        <f t="shared" si="100"/>
        <v>54.820689655172416</v>
      </c>
      <c r="AP44" s="155">
        <f t="shared" si="100"/>
        <v>67.260869565217391</v>
      </c>
      <c r="AQ44" s="155">
        <f t="shared" si="100"/>
        <v>55.46153846153846</v>
      </c>
      <c r="AR44" s="155">
        <f t="shared" si="100"/>
        <v>43.913265306122447</v>
      </c>
      <c r="AS44" s="532">
        <f t="shared" si="100"/>
        <v>53.463483146067418</v>
      </c>
      <c r="AT44" s="155" t="str">
        <f t="shared" si="100"/>
        <v>*</v>
      </c>
      <c r="AU44" s="155">
        <f t="shared" si="100"/>
        <v>57.901960784313722</v>
      </c>
      <c r="AV44" s="155">
        <f t="shared" si="100"/>
        <v>35.80952380952381</v>
      </c>
      <c r="AW44" s="155">
        <f t="shared" si="100"/>
        <v>53.797029702970299</v>
      </c>
      <c r="AX44" s="155">
        <f t="shared" si="100"/>
        <v>50.38095238095238</v>
      </c>
      <c r="AY44" s="155">
        <f t="shared" si="100"/>
        <v>40.352601156069362</v>
      </c>
      <c r="AZ44" s="155" t="str">
        <f t="shared" si="100"/>
        <v>*</v>
      </c>
      <c r="BA44" s="155">
        <f t="shared" si="100"/>
        <v>47.675675675675677</v>
      </c>
      <c r="BB44" s="155">
        <f t="shared" si="100"/>
        <v>51.067114093959731</v>
      </c>
      <c r="BC44" s="155">
        <f t="shared" si="100"/>
        <v>48.781176470588235</v>
      </c>
      <c r="BD44" s="155">
        <f t="shared" si="100"/>
        <v>46.014705882352942</v>
      </c>
      <c r="BE44" s="155">
        <f t="shared" si="100"/>
        <v>52.022388059701491</v>
      </c>
      <c r="BF44" s="552">
        <f t="shared" si="100"/>
        <v>51.325865580448067</v>
      </c>
      <c r="BG44" s="155" t="str">
        <f t="shared" si="100"/>
        <v>*</v>
      </c>
      <c r="BH44" s="155" t="str">
        <f t="shared" si="100"/>
        <v>*</v>
      </c>
      <c r="BI44" s="155">
        <f t="shared" si="100"/>
        <v>67.8</v>
      </c>
      <c r="BJ44" s="155">
        <f t="shared" si="100"/>
        <v>26.7</v>
      </c>
      <c r="BK44" s="155">
        <f t="shared" si="100"/>
        <v>24</v>
      </c>
      <c r="BL44" s="155" t="str">
        <f t="shared" si="100"/>
        <v>*</v>
      </c>
      <c r="BM44" s="155">
        <f t="shared" si="100"/>
        <v>56.227272727272727</v>
      </c>
      <c r="BN44" s="155">
        <f t="shared" si="100"/>
        <v>62.96</v>
      </c>
      <c r="BO44" s="155" t="str">
        <f t="shared" si="100"/>
        <v>*</v>
      </c>
      <c r="BP44" s="155">
        <f t="shared" si="100"/>
        <v>53.91549295774648</v>
      </c>
      <c r="BQ44" s="155">
        <f t="shared" si="100"/>
        <v>52.982456140350877</v>
      </c>
      <c r="BR44" s="552">
        <f>IF(ISERROR(BR43/BR123)=TRUE,"*",BR43/BR123)</f>
        <v>54.342105263157897</v>
      </c>
      <c r="BS44" s="155">
        <f t="shared" ref="BS44:CL44" si="101">IF(ISERROR(BS43/BS123)=TRUE,"*",BS43/BS123)</f>
        <v>20</v>
      </c>
      <c r="BT44" s="155">
        <f t="shared" si="101"/>
        <v>28.616766467065869</v>
      </c>
      <c r="BU44" s="155">
        <f t="shared" si="101"/>
        <v>23.88</v>
      </c>
      <c r="BV44" s="155">
        <f t="shared" si="101"/>
        <v>24.489130434782609</v>
      </c>
      <c r="BW44" s="155">
        <f t="shared" si="101"/>
        <v>31.875</v>
      </c>
      <c r="BX44" s="155">
        <f t="shared" si="101"/>
        <v>36.458823529411767</v>
      </c>
      <c r="BY44" s="155">
        <f t="shared" si="101"/>
        <v>69.406593406593402</v>
      </c>
      <c r="BZ44" s="155">
        <f t="shared" si="101"/>
        <v>56.186335403726709</v>
      </c>
      <c r="CA44" s="155">
        <f t="shared" si="101"/>
        <v>31.1010101010101</v>
      </c>
      <c r="CB44" s="552">
        <f t="shared" si="101"/>
        <v>47.273127753303967</v>
      </c>
      <c r="CC44" s="155">
        <f t="shared" si="101"/>
        <v>54.820689655172416</v>
      </c>
      <c r="CD44" s="155">
        <f t="shared" si="101"/>
        <v>67.260869565217391</v>
      </c>
      <c r="CE44" s="155">
        <f>IF(ISERROR(CE43/CE123)=TRUE,"*",CE43/CE123)</f>
        <v>65.15094339622641</v>
      </c>
      <c r="CF44" s="155">
        <f t="shared" si="101"/>
        <v>74.785714285714292</v>
      </c>
      <c r="CG44" s="155">
        <f t="shared" si="101"/>
        <v>50.522471910112358</v>
      </c>
      <c r="CH44" s="155">
        <f t="shared" si="101"/>
        <v>56.209813874788495</v>
      </c>
      <c r="CI44" s="155">
        <f t="shared" si="101"/>
        <v>43.913265306122447</v>
      </c>
      <c r="CJ44" s="155">
        <f t="shared" si="101"/>
        <v>55.562653562653566</v>
      </c>
      <c r="CK44" s="156">
        <f t="shared" si="101"/>
        <v>55.46153846153846</v>
      </c>
      <c r="CL44" s="320">
        <f t="shared" si="101"/>
        <v>48.411397788488799</v>
      </c>
    </row>
    <row r="45" spans="1:90">
      <c r="A45" s="80">
        <f>ROWS($A$3:A43)</f>
        <v>41</v>
      </c>
      <c r="B45" s="92" t="s">
        <v>74</v>
      </c>
      <c r="C45" s="204">
        <v>2016</v>
      </c>
      <c r="D45" s="259" t="s">
        <v>7</v>
      </c>
      <c r="E45" s="447">
        <v>42887</v>
      </c>
      <c r="F45" s="154">
        <v>1024111</v>
      </c>
      <c r="G45" s="155">
        <v>77555</v>
      </c>
      <c r="H45" s="155">
        <v>122684</v>
      </c>
      <c r="I45" s="156">
        <v>651276</v>
      </c>
      <c r="J45" s="141"/>
      <c r="K45" s="154">
        <f t="shared" si="76"/>
        <v>144405</v>
      </c>
      <c r="L45" s="155">
        <f t="shared" si="77"/>
        <v>11410</v>
      </c>
      <c r="M45" s="155">
        <f t="shared" si="78"/>
        <v>126479</v>
      </c>
      <c r="N45" s="155">
        <f t="shared" si="79"/>
        <v>28645</v>
      </c>
      <c r="O45" s="155">
        <f t="shared" si="80"/>
        <v>43964</v>
      </c>
      <c r="P45" s="806">
        <f>IF(ISERROR(AZ45+BA45),BA45,AZ45+BA45)</f>
        <v>26152</v>
      </c>
      <c r="Q45" s="155">
        <f>'2017'!AU45</f>
        <v>20551</v>
      </c>
      <c r="R45" s="806">
        <f>IF(ISERROR(AT45+AX45),AX45,AT45+AX45)</f>
        <v>33909</v>
      </c>
      <c r="S45" s="155" t="str">
        <f t="shared" si="81"/>
        <v>.</v>
      </c>
      <c r="T45" s="155">
        <f t="shared" si="82"/>
        <v>158050</v>
      </c>
      <c r="U45" s="552">
        <f t="shared" si="82"/>
        <v>424418</v>
      </c>
      <c r="V45" s="806">
        <f>IF(ISERROR(BG45+BJ45),BJ45,(BG45+BJ45))</f>
        <v>3896</v>
      </c>
      <c r="W45" s="155">
        <f t="shared" si="83"/>
        <v>7626</v>
      </c>
      <c r="X45" s="806">
        <f>IF(ISERROR(BH45+BI45),BI45,(BH45+BI45))</f>
        <v>2360</v>
      </c>
      <c r="Y45" s="806">
        <f>IF(ISERROR(BK45+BL45+BN45),BK45+BN45,(BK45+BL45+BN45))</f>
        <v>18693</v>
      </c>
      <c r="Z45" s="155">
        <f t="shared" si="84"/>
        <v>32847</v>
      </c>
      <c r="AA45" s="806">
        <f>IF(ISERROR(BO45+BQ45),BQ45,(BO45+BQ45))</f>
        <v>5913</v>
      </c>
      <c r="AB45" s="552">
        <f t="shared" si="85"/>
        <v>4864</v>
      </c>
      <c r="AC45" s="155">
        <f t="shared" si="86"/>
        <v>19287</v>
      </c>
      <c r="AD45" s="155">
        <f t="shared" si="87"/>
        <v>2679</v>
      </c>
      <c r="AE45" s="806">
        <f>IF(ISERROR(BS45+BT45),BT45,(BS45+BT45))</f>
        <v>7079</v>
      </c>
      <c r="AF45" s="155">
        <f t="shared" si="88"/>
        <v>2283</v>
      </c>
      <c r="AG45" s="155">
        <f t="shared" si="89"/>
        <v>24213</v>
      </c>
      <c r="AH45" s="155">
        <f t="shared" si="90"/>
        <v>15012</v>
      </c>
      <c r="AI45" s="155">
        <f t="shared" si="91"/>
        <v>33230</v>
      </c>
      <c r="AJ45" s="155">
        <f t="shared" si="92"/>
        <v>7129</v>
      </c>
      <c r="AK45" s="552">
        <f t="shared" si="93"/>
        <v>11772</v>
      </c>
      <c r="AL45" s="155">
        <f t="shared" si="94"/>
        <v>7335</v>
      </c>
      <c r="AM45" s="155">
        <f t="shared" si="95"/>
        <v>176291</v>
      </c>
      <c r="AN45" s="155">
        <f t="shared" si="96"/>
        <v>50978</v>
      </c>
      <c r="AO45" s="155">
        <f t="shared" si="97"/>
        <v>21489</v>
      </c>
      <c r="AP45" s="155">
        <f t="shared" si="97"/>
        <v>12282</v>
      </c>
      <c r="AQ45" s="155">
        <f t="shared" si="98"/>
        <v>100727</v>
      </c>
      <c r="AR45" s="155">
        <f t="shared" si="99"/>
        <v>14273</v>
      </c>
      <c r="AS45" s="156">
        <f>CF45+CG45</f>
        <v>267901</v>
      </c>
      <c r="AT45" s="155" t="s">
        <v>41</v>
      </c>
      <c r="AU45" s="155">
        <v>20551</v>
      </c>
      <c r="AV45" s="155" t="s">
        <v>304</v>
      </c>
      <c r="AW45" s="155">
        <v>28645</v>
      </c>
      <c r="AX45" s="155">
        <v>33909</v>
      </c>
      <c r="AY45" s="155">
        <v>11410</v>
      </c>
      <c r="AZ45" s="155" t="s">
        <v>304</v>
      </c>
      <c r="BA45" s="155">
        <v>26152</v>
      </c>
      <c r="BB45" s="155">
        <v>158050</v>
      </c>
      <c r="BC45" s="155">
        <v>424418</v>
      </c>
      <c r="BD45" s="155">
        <v>126479</v>
      </c>
      <c r="BE45" s="155">
        <v>43964</v>
      </c>
      <c r="BF45" s="552">
        <v>144405</v>
      </c>
      <c r="BG45" s="155" t="s">
        <v>41</v>
      </c>
      <c r="BH45" s="155" t="s">
        <v>304</v>
      </c>
      <c r="BI45" s="155">
        <v>2360</v>
      </c>
      <c r="BJ45" s="155">
        <v>3896</v>
      </c>
      <c r="BK45" s="155">
        <v>481</v>
      </c>
      <c r="BL45" s="155" t="s">
        <v>304</v>
      </c>
      <c r="BM45" s="155">
        <v>32847</v>
      </c>
      <c r="BN45" s="155">
        <v>18212</v>
      </c>
      <c r="BO45" s="155" t="s">
        <v>304</v>
      </c>
      <c r="BP45" s="155">
        <v>4864</v>
      </c>
      <c r="BQ45" s="155">
        <v>5913</v>
      </c>
      <c r="BR45" s="552">
        <v>7626</v>
      </c>
      <c r="BS45" s="155">
        <v>403</v>
      </c>
      <c r="BT45" s="155">
        <v>6676</v>
      </c>
      <c r="BU45" s="155">
        <v>2679</v>
      </c>
      <c r="BV45" s="155">
        <v>24213</v>
      </c>
      <c r="BW45" s="155">
        <v>33230</v>
      </c>
      <c r="BX45" s="155">
        <v>19287</v>
      </c>
      <c r="BY45" s="155">
        <v>7129</v>
      </c>
      <c r="BZ45" s="155">
        <v>15012</v>
      </c>
      <c r="CA45" s="155">
        <v>2283</v>
      </c>
      <c r="CB45" s="552">
        <v>11772</v>
      </c>
      <c r="CC45" s="155">
        <v>21489</v>
      </c>
      <c r="CD45" s="155">
        <v>12282</v>
      </c>
      <c r="CE45" s="155">
        <v>7335</v>
      </c>
      <c r="CF45" s="155">
        <v>17661</v>
      </c>
      <c r="CG45" s="155">
        <v>250240</v>
      </c>
      <c r="CH45" s="155">
        <v>176291</v>
      </c>
      <c r="CI45" s="155">
        <v>14273</v>
      </c>
      <c r="CJ45" s="155">
        <v>50978</v>
      </c>
      <c r="CK45" s="156">
        <v>100727</v>
      </c>
      <c r="CL45" s="320">
        <v>1875626</v>
      </c>
    </row>
    <row r="46" spans="1:90">
      <c r="A46" s="80">
        <f>ROWS($A$3:A44)</f>
        <v>42</v>
      </c>
      <c r="B46" s="92" t="s">
        <v>8</v>
      </c>
      <c r="C46" s="203"/>
      <c r="D46" s="259" t="s">
        <v>7</v>
      </c>
      <c r="E46" s="447">
        <v>42887</v>
      </c>
      <c r="F46" s="154">
        <v>98587</v>
      </c>
      <c r="G46" s="155">
        <v>4322</v>
      </c>
      <c r="H46" s="155">
        <v>10836</v>
      </c>
      <c r="I46" s="156">
        <v>58503</v>
      </c>
      <c r="J46" s="141"/>
      <c r="K46" s="154">
        <f t="shared" si="76"/>
        <v>17844</v>
      </c>
      <c r="L46" s="155" t="str">
        <f t="shared" si="77"/>
        <v>.</v>
      </c>
      <c r="M46" s="155">
        <f t="shared" si="78"/>
        <v>13073</v>
      </c>
      <c r="N46" s="155">
        <f t="shared" si="79"/>
        <v>2601</v>
      </c>
      <c r="O46" s="155">
        <f t="shared" si="80"/>
        <v>2383</v>
      </c>
      <c r="P46" s="806">
        <f>IF(ISERROR(AZ46+BA46),BA46,AZ46+BA46)</f>
        <v>2320</v>
      </c>
      <c r="Q46" s="155">
        <f>'2017'!AU46</f>
        <v>2054</v>
      </c>
      <c r="R46" s="806">
        <f>IF(ISERROR(AT46+AX46),AX46,AT46+AX46)</f>
        <v>2412</v>
      </c>
      <c r="S46" s="155" t="str">
        <f t="shared" si="81"/>
        <v>.</v>
      </c>
      <c r="T46" s="155">
        <f t="shared" si="82"/>
        <v>15131</v>
      </c>
      <c r="U46" s="552">
        <f t="shared" si="82"/>
        <v>39834</v>
      </c>
      <c r="V46" s="806">
        <f>IF(ISERROR(BG46+BJ46),BJ46,(BG46+BJ46))</f>
        <v>293</v>
      </c>
      <c r="W46" s="155">
        <f t="shared" si="83"/>
        <v>807</v>
      </c>
      <c r="X46" s="806" t="str">
        <f>IF(ISERROR(BH46+BI46),BI46,(BH46+BI46))</f>
        <v>.</v>
      </c>
      <c r="Y46" s="806">
        <f>IF(ISERROR(BK46+BL46+BN46),BN46,(BK46+BL46+BN46))</f>
        <v>1152</v>
      </c>
      <c r="Z46" s="155">
        <f t="shared" si="84"/>
        <v>1551</v>
      </c>
      <c r="AA46" s="806">
        <f>IF(ISERROR(BO46+BQ46),BQ46,(BO46+BQ46))</f>
        <v>194</v>
      </c>
      <c r="AB46" s="552">
        <f t="shared" si="85"/>
        <v>296</v>
      </c>
      <c r="AC46" s="155">
        <f t="shared" si="86"/>
        <v>1600</v>
      </c>
      <c r="AD46" s="155">
        <f t="shared" si="87"/>
        <v>276</v>
      </c>
      <c r="AE46" s="806">
        <f>IF(ISERROR(BS46+BT46),BT46,(BS46+BT46))</f>
        <v>459</v>
      </c>
      <c r="AF46" s="155">
        <f t="shared" si="88"/>
        <v>47</v>
      </c>
      <c r="AG46" s="155">
        <f t="shared" si="89"/>
        <v>2273</v>
      </c>
      <c r="AH46" s="155">
        <f t="shared" si="90"/>
        <v>1157</v>
      </c>
      <c r="AI46" s="155">
        <f t="shared" si="91"/>
        <v>3114</v>
      </c>
      <c r="AJ46" s="155">
        <f t="shared" si="92"/>
        <v>1018</v>
      </c>
      <c r="AK46" s="552">
        <f t="shared" si="93"/>
        <v>892</v>
      </c>
      <c r="AL46" s="155">
        <f t="shared" si="94"/>
        <v>561</v>
      </c>
      <c r="AM46" s="155">
        <f t="shared" si="95"/>
        <v>16690</v>
      </c>
      <c r="AN46" s="155">
        <f t="shared" si="96"/>
        <v>6612</v>
      </c>
      <c r="AO46" s="155">
        <f t="shared" si="97"/>
        <v>1884</v>
      </c>
      <c r="AP46" s="155">
        <f t="shared" si="97"/>
        <v>673</v>
      </c>
      <c r="AQ46" s="155">
        <f t="shared" si="98"/>
        <v>10928</v>
      </c>
      <c r="AR46" s="155">
        <f t="shared" si="99"/>
        <v>1002</v>
      </c>
      <c r="AS46" s="156">
        <f>CF46+CG46</f>
        <v>20153</v>
      </c>
      <c r="AT46" s="155" t="s">
        <v>41</v>
      </c>
      <c r="AU46" s="155">
        <v>2054</v>
      </c>
      <c r="AV46" s="155" t="s">
        <v>304</v>
      </c>
      <c r="AW46" s="155">
        <v>2601</v>
      </c>
      <c r="AX46" s="155">
        <v>2412</v>
      </c>
      <c r="AY46" s="155" t="s">
        <v>304</v>
      </c>
      <c r="AZ46" s="155" t="s">
        <v>41</v>
      </c>
      <c r="BA46" s="155">
        <v>2320</v>
      </c>
      <c r="BB46" s="155">
        <v>15131</v>
      </c>
      <c r="BC46" s="155">
        <v>39834</v>
      </c>
      <c r="BD46" s="155">
        <v>13073</v>
      </c>
      <c r="BE46" s="155">
        <v>2383</v>
      </c>
      <c r="BF46" s="552">
        <v>17844</v>
      </c>
      <c r="BG46" s="155" t="s">
        <v>41</v>
      </c>
      <c r="BH46" s="155" t="s">
        <v>304</v>
      </c>
      <c r="BI46" s="155" t="s">
        <v>304</v>
      </c>
      <c r="BJ46" s="155">
        <v>293</v>
      </c>
      <c r="BK46" s="155" t="s">
        <v>304</v>
      </c>
      <c r="BL46" s="155" t="s">
        <v>41</v>
      </c>
      <c r="BM46" s="155">
        <v>1551</v>
      </c>
      <c r="BN46" s="155">
        <v>1152</v>
      </c>
      <c r="BO46" s="155" t="s">
        <v>304</v>
      </c>
      <c r="BP46" s="155">
        <v>296</v>
      </c>
      <c r="BQ46" s="155">
        <v>194</v>
      </c>
      <c r="BR46" s="552">
        <v>807</v>
      </c>
      <c r="BS46" s="155">
        <v>65</v>
      </c>
      <c r="BT46" s="155">
        <v>394</v>
      </c>
      <c r="BU46" s="155">
        <v>276</v>
      </c>
      <c r="BV46" s="155">
        <v>2273</v>
      </c>
      <c r="BW46" s="155">
        <v>3114</v>
      </c>
      <c r="BX46" s="155">
        <v>1600</v>
      </c>
      <c r="BY46" s="155">
        <v>1018</v>
      </c>
      <c r="BZ46" s="155">
        <v>1157</v>
      </c>
      <c r="CA46" s="155">
        <v>47</v>
      </c>
      <c r="CB46" s="552">
        <v>892</v>
      </c>
      <c r="CC46" s="155">
        <v>1884</v>
      </c>
      <c r="CD46" s="155">
        <v>673</v>
      </c>
      <c r="CE46" s="155">
        <v>561</v>
      </c>
      <c r="CF46" s="155">
        <v>886</v>
      </c>
      <c r="CG46" s="155">
        <v>19267</v>
      </c>
      <c r="CH46" s="155">
        <v>16690</v>
      </c>
      <c r="CI46" s="155">
        <v>1002</v>
      </c>
      <c r="CJ46" s="155">
        <v>6612</v>
      </c>
      <c r="CK46" s="156">
        <v>10928</v>
      </c>
      <c r="CL46" s="320">
        <v>172248</v>
      </c>
    </row>
    <row r="47" spans="1:90">
      <c r="A47" s="80">
        <f>ROWS($A$3:A45)</f>
        <v>43</v>
      </c>
      <c r="B47" s="388" t="s">
        <v>19</v>
      </c>
      <c r="C47" s="252"/>
      <c r="D47" s="259" t="s">
        <v>241</v>
      </c>
      <c r="E47" s="447">
        <v>42887</v>
      </c>
      <c r="F47" s="154">
        <f>F125/F124</f>
        <v>254.17103882476391</v>
      </c>
      <c r="G47" s="155">
        <f>G125/G124</f>
        <v>124.05225653206651</v>
      </c>
      <c r="H47" s="155">
        <f>H125/H124</f>
        <v>59.275173611111114</v>
      </c>
      <c r="I47" s="156">
        <f>I125/I124</f>
        <v>249.14727011494253</v>
      </c>
      <c r="J47" s="141"/>
      <c r="K47" s="154">
        <f t="shared" si="76"/>
        <v>159.94630872483222</v>
      </c>
      <c r="L47" s="155">
        <f t="shared" si="77"/>
        <v>69.833333333333329</v>
      </c>
      <c r="M47" s="155">
        <f t="shared" si="78"/>
        <v>227.88163265306122</v>
      </c>
      <c r="N47" s="155">
        <f t="shared" si="79"/>
        <v>187.58571428571429</v>
      </c>
      <c r="O47" s="155">
        <f t="shared" si="80"/>
        <v>283.27433628318585</v>
      </c>
      <c r="P47" s="806">
        <f>IF(ISERROR((BA45*BA47+AZ45*AZ47)/P45),BA47,(BA45*BA47+AZ45*AZ47)/P45)</f>
        <v>209.41791044776119</v>
      </c>
      <c r="Q47" s="155">
        <f>'2017'!AU47</f>
        <v>173.28070175438597</v>
      </c>
      <c r="R47" s="806">
        <f>IF(ISERROR((AT47*AT45+AX45*AX47)/R45),AX47,(AT47*AT45+AX45*AX47)/R45)</f>
        <v>285.56578947368422</v>
      </c>
      <c r="S47" s="155" t="str">
        <f>AV47</f>
        <v>*</v>
      </c>
      <c r="T47" s="155">
        <f t="shared" si="82"/>
        <v>310.25</v>
      </c>
      <c r="U47" s="552">
        <f t="shared" si="82"/>
        <v>339.61764705882354</v>
      </c>
      <c r="V47" s="806">
        <f>IF(ISERROR((BG47*BG45+BJ45*BJ47)/V45),BJ47,(BG47*BG45+BJ45*BJ47)/V45)</f>
        <v>94.037037037037038</v>
      </c>
      <c r="W47" s="155">
        <f t="shared" si="83"/>
        <v>55.912280701754383</v>
      </c>
      <c r="X47" s="806">
        <f>IF(ISERROR((BH45*BH47+BI45*BI47)/X45),BI47,(BH45*BH47+BI45*BI47)/X45)</f>
        <v>54.292682926829265</v>
      </c>
      <c r="Y47" s="806">
        <f>(BK47*BK45+BN47*BN45)/Y45</f>
        <v>168.00769213294259</v>
      </c>
      <c r="Z47" s="155">
        <f t="shared" si="84"/>
        <v>199.71929824561403</v>
      </c>
      <c r="AA47" s="806">
        <f>IF(ISERROR((BO47*BO45+BQ47*BQ45)/AA45),BQ47,(BO47*BO45+BQ47*BQ45)/AA45)</f>
        <v>122.35897435897436</v>
      </c>
      <c r="AB47" s="552">
        <f t="shared" si="85"/>
        <v>48.763636363636365</v>
      </c>
      <c r="AC47" s="155">
        <f t="shared" si="86"/>
        <v>69.83552631578948</v>
      </c>
      <c r="AD47" s="155" t="str">
        <f t="shared" si="87"/>
        <v>*</v>
      </c>
      <c r="AE47" s="806">
        <f>IF(ISERROR((BS45*BS47+BT45*BT47)/AE45),BT47,(BS45*BS47+BT45*BT47)/AE45)</f>
        <v>28.674285714285713</v>
      </c>
      <c r="AF47" s="155">
        <f t="shared" si="88"/>
        <v>30.953846153846154</v>
      </c>
      <c r="AG47" s="155">
        <f t="shared" si="89"/>
        <v>36.712871287128714</v>
      </c>
      <c r="AH47" s="155">
        <f t="shared" si="90"/>
        <v>127.88333333333334</v>
      </c>
      <c r="AI47" s="155">
        <f t="shared" si="91"/>
        <v>152.45588235294119</v>
      </c>
      <c r="AJ47" s="155">
        <f t="shared" si="92"/>
        <v>67.833333333333329</v>
      </c>
      <c r="AK47" s="552">
        <f t="shared" si="93"/>
        <v>46.847999999999999</v>
      </c>
      <c r="AL47" s="155">
        <f t="shared" si="94"/>
        <v>81.962962962962962</v>
      </c>
      <c r="AM47" s="155">
        <f t="shared" si="95"/>
        <v>298.89</v>
      </c>
      <c r="AN47" s="155">
        <f t="shared" si="96"/>
        <v>128.63448275862069</v>
      </c>
      <c r="AO47" s="155">
        <f t="shared" si="97"/>
        <v>100.92727272727272</v>
      </c>
      <c r="AP47" s="155">
        <f t="shared" si="97"/>
        <v>232.02702702702703</v>
      </c>
      <c r="AQ47" s="155">
        <f t="shared" si="98"/>
        <v>241.35680751173709</v>
      </c>
      <c r="AR47" s="155">
        <f t="shared" si="99"/>
        <v>148.87142857142857</v>
      </c>
      <c r="AS47" s="532">
        <f>(CF45*CF47+CG45*CG47)/AS45</f>
        <v>333.01720199538875</v>
      </c>
      <c r="AT47" s="155" t="s">
        <v>58</v>
      </c>
      <c r="AU47" s="155">
        <f t="shared" ref="AU47:CJ47" si="102">AU125/AU124</f>
        <v>173.28070175438597</v>
      </c>
      <c r="AV47" s="155" t="s">
        <v>233</v>
      </c>
      <c r="AW47" s="155">
        <f t="shared" si="102"/>
        <v>187.58571428571429</v>
      </c>
      <c r="AX47" s="155">
        <f t="shared" si="102"/>
        <v>285.56578947368422</v>
      </c>
      <c r="AY47" s="155">
        <f t="shared" si="102"/>
        <v>69.833333333333329</v>
      </c>
      <c r="AZ47" s="155" t="s">
        <v>58</v>
      </c>
      <c r="BA47" s="155">
        <f t="shared" si="102"/>
        <v>209.41791044776119</v>
      </c>
      <c r="BB47" s="155">
        <f t="shared" si="102"/>
        <v>310.25</v>
      </c>
      <c r="BC47" s="155">
        <f t="shared" si="102"/>
        <v>339.61764705882354</v>
      </c>
      <c r="BD47" s="155">
        <f t="shared" si="102"/>
        <v>227.88163265306122</v>
      </c>
      <c r="BE47" s="155">
        <f t="shared" si="102"/>
        <v>283.27433628318585</v>
      </c>
      <c r="BF47" s="552">
        <f t="shared" si="102"/>
        <v>159.94630872483222</v>
      </c>
      <c r="BG47" s="155" t="s">
        <v>58</v>
      </c>
      <c r="BH47" s="155" t="s">
        <v>233</v>
      </c>
      <c r="BI47" s="155">
        <f t="shared" si="102"/>
        <v>54.292682926829265</v>
      </c>
      <c r="BJ47" s="155">
        <f t="shared" si="102"/>
        <v>94.037037037037038</v>
      </c>
      <c r="BK47" s="155">
        <f t="shared" si="102"/>
        <v>82.2</v>
      </c>
      <c r="BL47" s="155" t="s">
        <v>58</v>
      </c>
      <c r="BM47" s="155">
        <f t="shared" si="102"/>
        <v>199.71929824561403</v>
      </c>
      <c r="BN47" s="155">
        <f t="shared" si="102"/>
        <v>170.27397260273972</v>
      </c>
      <c r="BO47" s="155" t="s">
        <v>58</v>
      </c>
      <c r="BP47" s="155">
        <f t="shared" si="102"/>
        <v>48.763636363636365</v>
      </c>
      <c r="BQ47" s="155">
        <f t="shared" si="102"/>
        <v>122.35897435897436</v>
      </c>
      <c r="BR47" s="552">
        <f t="shared" si="102"/>
        <v>55.912280701754383</v>
      </c>
      <c r="BS47" s="155" t="s">
        <v>233</v>
      </c>
      <c r="BT47" s="155">
        <f t="shared" si="102"/>
        <v>28.674285714285713</v>
      </c>
      <c r="BU47" s="155" t="s">
        <v>233</v>
      </c>
      <c r="BV47" s="155">
        <f t="shared" si="102"/>
        <v>36.712871287128714</v>
      </c>
      <c r="BW47" s="155">
        <f t="shared" si="102"/>
        <v>152.45588235294119</v>
      </c>
      <c r="BX47" s="155">
        <f t="shared" si="102"/>
        <v>69.83552631578948</v>
      </c>
      <c r="BY47" s="155">
        <f t="shared" si="102"/>
        <v>67.833333333333329</v>
      </c>
      <c r="BZ47" s="155">
        <f t="shared" si="102"/>
        <v>127.88333333333334</v>
      </c>
      <c r="CA47" s="155">
        <f t="shared" si="102"/>
        <v>30.953846153846154</v>
      </c>
      <c r="CB47" s="552">
        <f t="shared" si="102"/>
        <v>46.847999999999999</v>
      </c>
      <c r="CC47" s="155">
        <f t="shared" si="102"/>
        <v>100.92727272727272</v>
      </c>
      <c r="CD47" s="155">
        <f t="shared" si="102"/>
        <v>232.02702702702703</v>
      </c>
      <c r="CE47" s="155">
        <f t="shared" si="102"/>
        <v>81.962962962962962</v>
      </c>
      <c r="CF47" s="155">
        <f t="shared" si="102"/>
        <v>512.31818181818187</v>
      </c>
      <c r="CG47" s="155">
        <f t="shared" si="102"/>
        <v>320.36281179138319</v>
      </c>
      <c r="CH47" s="155">
        <f t="shared" si="102"/>
        <v>298.89</v>
      </c>
      <c r="CI47" s="155">
        <f t="shared" si="102"/>
        <v>148.87142857142857</v>
      </c>
      <c r="CJ47" s="155">
        <f t="shared" si="102"/>
        <v>128.63448275862069</v>
      </c>
      <c r="CK47" s="156">
        <f>CK125/CK124</f>
        <v>241.35680751173709</v>
      </c>
      <c r="CL47" s="320">
        <f>CL125/CL124</f>
        <v>195.39601724491891</v>
      </c>
    </row>
    <row r="48" spans="1:90">
      <c r="A48" s="80">
        <f>ROWS($A$3:A46)</f>
        <v>44</v>
      </c>
      <c r="B48" s="196" t="s">
        <v>239</v>
      </c>
      <c r="C48" s="204">
        <v>2016</v>
      </c>
      <c r="D48" s="259" t="s">
        <v>7</v>
      </c>
      <c r="E48" s="447">
        <v>42887</v>
      </c>
      <c r="F48" s="154">
        <v>19387</v>
      </c>
      <c r="G48" s="155">
        <v>11644</v>
      </c>
      <c r="H48" s="155">
        <v>14061</v>
      </c>
      <c r="I48" s="156">
        <v>17164</v>
      </c>
      <c r="J48" s="141"/>
      <c r="K48" s="154">
        <f t="shared" si="76"/>
        <v>3185</v>
      </c>
      <c r="L48" s="155">
        <f t="shared" si="77"/>
        <v>2171</v>
      </c>
      <c r="M48" s="155">
        <f t="shared" si="78"/>
        <v>905</v>
      </c>
      <c r="N48" s="155">
        <f t="shared" si="79"/>
        <v>1846</v>
      </c>
      <c r="O48" s="155">
        <f t="shared" si="80"/>
        <v>665</v>
      </c>
      <c r="P48" s="155">
        <f>'2017'!BA48</f>
        <v>1508</v>
      </c>
      <c r="Q48" s="155">
        <f>'2017'!AU48</f>
        <v>2195</v>
      </c>
      <c r="R48" s="155">
        <f>AX48</f>
        <v>1998</v>
      </c>
      <c r="S48" s="155">
        <f t="shared" si="81"/>
        <v>2667</v>
      </c>
      <c r="T48" s="155">
        <f t="shared" si="82"/>
        <v>687</v>
      </c>
      <c r="U48" s="552">
        <f t="shared" si="82"/>
        <v>1360</v>
      </c>
      <c r="V48" s="155">
        <f>BG48+BJ48</f>
        <v>909</v>
      </c>
      <c r="W48" s="155">
        <f t="shared" si="83"/>
        <v>850</v>
      </c>
      <c r="X48" s="155">
        <f>BH48+BI48</f>
        <v>2783</v>
      </c>
      <c r="Y48" s="155">
        <f>BK48+BL48+BN48</f>
        <v>2728</v>
      </c>
      <c r="Z48" s="155">
        <f t="shared" si="84"/>
        <v>1662</v>
      </c>
      <c r="AA48" s="155">
        <f>BO48+BQ48</f>
        <v>1410</v>
      </c>
      <c r="AB48" s="552">
        <f t="shared" si="85"/>
        <v>1302</v>
      </c>
      <c r="AC48" s="155">
        <f t="shared" si="86"/>
        <v>1095</v>
      </c>
      <c r="AD48" s="155">
        <f t="shared" si="87"/>
        <v>891</v>
      </c>
      <c r="AE48" s="155">
        <f>BS48+BT48</f>
        <v>2480</v>
      </c>
      <c r="AF48" s="155">
        <f t="shared" si="88"/>
        <v>1866</v>
      </c>
      <c r="AG48" s="155">
        <f t="shared" si="89"/>
        <v>1647</v>
      </c>
      <c r="AH48" s="155">
        <f t="shared" si="90"/>
        <v>1984</v>
      </c>
      <c r="AI48" s="155">
        <f t="shared" si="91"/>
        <v>968</v>
      </c>
      <c r="AJ48" s="155">
        <f t="shared" si="92"/>
        <v>729</v>
      </c>
      <c r="AK48" s="552">
        <f t="shared" si="93"/>
        <v>2401</v>
      </c>
      <c r="AL48" s="155">
        <f t="shared" si="94"/>
        <v>1654</v>
      </c>
      <c r="AM48" s="155">
        <f t="shared" si="95"/>
        <v>2123</v>
      </c>
      <c r="AN48" s="155">
        <f t="shared" si="96"/>
        <v>3599</v>
      </c>
      <c r="AO48" s="155">
        <f t="shared" si="97"/>
        <v>2927</v>
      </c>
      <c r="AP48" s="155">
        <f t="shared" si="97"/>
        <v>1187</v>
      </c>
      <c r="AQ48" s="155">
        <f t="shared" si="98"/>
        <v>1617</v>
      </c>
      <c r="AR48" s="155">
        <f t="shared" si="99"/>
        <v>1656</v>
      </c>
      <c r="AS48" s="156">
        <f>CF48+CG48</f>
        <v>2401</v>
      </c>
      <c r="AT48" s="155" t="s">
        <v>304</v>
      </c>
      <c r="AU48" s="155">
        <v>2195</v>
      </c>
      <c r="AV48" s="155">
        <v>2667</v>
      </c>
      <c r="AW48" s="155">
        <v>1846</v>
      </c>
      <c r="AX48" s="155">
        <v>1998</v>
      </c>
      <c r="AY48" s="155">
        <v>2171</v>
      </c>
      <c r="AZ48" s="155" t="s">
        <v>304</v>
      </c>
      <c r="BA48" s="155">
        <v>1508</v>
      </c>
      <c r="BB48" s="155">
        <v>687</v>
      </c>
      <c r="BC48" s="155">
        <v>1360</v>
      </c>
      <c r="BD48" s="155">
        <v>905</v>
      </c>
      <c r="BE48" s="155">
        <v>665</v>
      </c>
      <c r="BF48" s="552">
        <v>3185</v>
      </c>
      <c r="BG48" s="155">
        <v>64</v>
      </c>
      <c r="BH48" s="155">
        <v>132</v>
      </c>
      <c r="BI48" s="155">
        <v>2651</v>
      </c>
      <c r="BJ48" s="155">
        <v>845</v>
      </c>
      <c r="BK48" s="155">
        <v>52</v>
      </c>
      <c r="BL48" s="155">
        <v>452</v>
      </c>
      <c r="BM48" s="155">
        <v>1662</v>
      </c>
      <c r="BN48" s="155">
        <v>2224</v>
      </c>
      <c r="BO48" s="155">
        <v>96</v>
      </c>
      <c r="BP48" s="155">
        <v>1302</v>
      </c>
      <c r="BQ48" s="155">
        <v>1314</v>
      </c>
      <c r="BR48" s="552">
        <v>850</v>
      </c>
      <c r="BS48" s="155">
        <v>263</v>
      </c>
      <c r="BT48" s="155">
        <v>2217</v>
      </c>
      <c r="BU48" s="155">
        <v>891</v>
      </c>
      <c r="BV48" s="155">
        <v>1647</v>
      </c>
      <c r="BW48" s="155">
        <v>968</v>
      </c>
      <c r="BX48" s="155">
        <v>1095</v>
      </c>
      <c r="BY48" s="155">
        <v>729</v>
      </c>
      <c r="BZ48" s="155">
        <v>1984</v>
      </c>
      <c r="CA48" s="155">
        <v>1866</v>
      </c>
      <c r="CB48" s="552">
        <v>2401</v>
      </c>
      <c r="CC48" s="155">
        <v>2927</v>
      </c>
      <c r="CD48" s="155">
        <v>1187</v>
      </c>
      <c r="CE48" s="155">
        <v>1654</v>
      </c>
      <c r="CF48" s="155">
        <v>258</v>
      </c>
      <c r="CG48" s="155">
        <v>2143</v>
      </c>
      <c r="CH48" s="155">
        <v>2123</v>
      </c>
      <c r="CI48" s="155">
        <v>1656</v>
      </c>
      <c r="CJ48" s="155">
        <v>3599</v>
      </c>
      <c r="CK48" s="156">
        <v>1617</v>
      </c>
      <c r="CL48" s="320">
        <v>62256</v>
      </c>
    </row>
    <row r="49" spans="1:90">
      <c r="A49" s="80">
        <f>ROWS($A$3:A47)</f>
        <v>45</v>
      </c>
      <c r="B49" s="92" t="s">
        <v>75</v>
      </c>
      <c r="C49" s="204">
        <v>2016</v>
      </c>
      <c r="D49" s="259" t="s">
        <v>7</v>
      </c>
      <c r="E49" s="447">
        <v>42887</v>
      </c>
      <c r="F49" s="154">
        <v>88966</v>
      </c>
      <c r="G49" s="155">
        <v>37847</v>
      </c>
      <c r="H49" s="155">
        <v>46150</v>
      </c>
      <c r="I49" s="156">
        <v>70595</v>
      </c>
      <c r="J49" s="141"/>
      <c r="K49" s="154">
        <f t="shared" si="76"/>
        <v>10007</v>
      </c>
      <c r="L49" s="155">
        <f t="shared" si="77"/>
        <v>7356</v>
      </c>
      <c r="M49" s="155">
        <f t="shared" si="78"/>
        <v>3794</v>
      </c>
      <c r="N49" s="155">
        <f t="shared" si="79"/>
        <v>10735</v>
      </c>
      <c r="O49" s="155">
        <f t="shared" si="80"/>
        <v>9940</v>
      </c>
      <c r="P49" s="155">
        <f>'2017'!BA49</f>
        <v>9714</v>
      </c>
      <c r="Q49" s="155">
        <f>'2017'!AU49</f>
        <v>4992</v>
      </c>
      <c r="R49" s="155">
        <f>AX49</f>
        <v>2478</v>
      </c>
      <c r="S49" s="155">
        <f t="shared" si="81"/>
        <v>13335</v>
      </c>
      <c r="T49" s="155">
        <f t="shared" si="82"/>
        <v>4598</v>
      </c>
      <c r="U49" s="552">
        <f t="shared" si="82"/>
        <v>11970</v>
      </c>
      <c r="V49" s="155">
        <f>BG49+BJ49</f>
        <v>4376</v>
      </c>
      <c r="W49" s="155">
        <f t="shared" si="83"/>
        <v>8282</v>
      </c>
      <c r="X49" s="155">
        <f>BH49+BI49</f>
        <v>4500</v>
      </c>
      <c r="Y49" s="155">
        <f>BN49</f>
        <v>4293</v>
      </c>
      <c r="Z49" s="155">
        <f t="shared" si="84"/>
        <v>2407</v>
      </c>
      <c r="AA49" s="155">
        <f>BQ49</f>
        <v>1704</v>
      </c>
      <c r="AB49" s="552">
        <f t="shared" si="85"/>
        <v>11540</v>
      </c>
      <c r="AC49" s="155">
        <f t="shared" si="86"/>
        <v>3319</v>
      </c>
      <c r="AD49" s="155">
        <f t="shared" si="87"/>
        <v>2192</v>
      </c>
      <c r="AE49" s="155">
        <f>BS49+BT49</f>
        <v>8937</v>
      </c>
      <c r="AF49" s="155">
        <f t="shared" si="88"/>
        <v>4375</v>
      </c>
      <c r="AG49" s="155">
        <f t="shared" si="89"/>
        <v>6491</v>
      </c>
      <c r="AH49" s="155">
        <f t="shared" si="90"/>
        <v>4388</v>
      </c>
      <c r="AI49" s="155">
        <f t="shared" si="91"/>
        <v>7360</v>
      </c>
      <c r="AJ49" s="155">
        <f t="shared" si="92"/>
        <v>5083</v>
      </c>
      <c r="AK49" s="552">
        <f t="shared" si="93"/>
        <v>4005</v>
      </c>
      <c r="AL49" s="155">
        <f t="shared" si="94"/>
        <v>15072</v>
      </c>
      <c r="AM49" s="155">
        <f t="shared" si="95"/>
        <v>3505</v>
      </c>
      <c r="AN49" s="155">
        <f t="shared" si="96"/>
        <v>5279</v>
      </c>
      <c r="AO49" s="155">
        <f t="shared" si="97"/>
        <v>19763</v>
      </c>
      <c r="AP49" s="155">
        <f t="shared" si="97"/>
        <v>6568</v>
      </c>
      <c r="AQ49" s="155">
        <f t="shared" si="98"/>
        <v>3887</v>
      </c>
      <c r="AR49" s="155">
        <f t="shared" si="99"/>
        <v>4296</v>
      </c>
      <c r="AS49" s="156">
        <f>CG49</f>
        <v>12104</v>
      </c>
      <c r="AT49" s="155" t="s">
        <v>304</v>
      </c>
      <c r="AU49" s="155">
        <v>4992</v>
      </c>
      <c r="AV49" s="155">
        <v>13335</v>
      </c>
      <c r="AW49" s="155">
        <v>10735</v>
      </c>
      <c r="AX49" s="155">
        <v>2478</v>
      </c>
      <c r="AY49" s="155">
        <v>7356</v>
      </c>
      <c r="AZ49" s="155" t="s">
        <v>304</v>
      </c>
      <c r="BA49" s="155">
        <v>9714</v>
      </c>
      <c r="BB49" s="155">
        <v>4598</v>
      </c>
      <c r="BC49" s="155">
        <v>11970</v>
      </c>
      <c r="BD49" s="155">
        <v>3794</v>
      </c>
      <c r="BE49" s="155">
        <v>9940</v>
      </c>
      <c r="BF49" s="552">
        <v>10007</v>
      </c>
      <c r="BG49" s="155">
        <v>1726</v>
      </c>
      <c r="BH49" s="155">
        <v>153</v>
      </c>
      <c r="BI49" s="155">
        <v>4347</v>
      </c>
      <c r="BJ49" s="155">
        <v>2650</v>
      </c>
      <c r="BK49" s="155" t="s">
        <v>304</v>
      </c>
      <c r="BL49" s="155" t="s">
        <v>304</v>
      </c>
      <c r="BM49" s="155">
        <v>2407</v>
      </c>
      <c r="BN49" s="155">
        <v>4293</v>
      </c>
      <c r="BO49" s="155">
        <v>554</v>
      </c>
      <c r="BP49" s="155">
        <v>11540</v>
      </c>
      <c r="BQ49" s="155">
        <v>1704</v>
      </c>
      <c r="BR49" s="552">
        <v>8282</v>
      </c>
      <c r="BS49" s="155">
        <v>3087</v>
      </c>
      <c r="BT49" s="155">
        <v>5850</v>
      </c>
      <c r="BU49" s="155">
        <v>2192</v>
      </c>
      <c r="BV49" s="155">
        <v>6491</v>
      </c>
      <c r="BW49" s="155">
        <v>7360</v>
      </c>
      <c r="BX49" s="155">
        <v>3319</v>
      </c>
      <c r="BY49" s="155">
        <v>5083</v>
      </c>
      <c r="BZ49" s="155">
        <v>4388</v>
      </c>
      <c r="CA49" s="155">
        <v>4375</v>
      </c>
      <c r="CB49" s="552">
        <v>4005</v>
      </c>
      <c r="CC49" s="155">
        <v>19763</v>
      </c>
      <c r="CD49" s="155">
        <v>6568</v>
      </c>
      <c r="CE49" s="155">
        <v>15072</v>
      </c>
      <c r="CF49" s="155">
        <v>121</v>
      </c>
      <c r="CG49" s="155">
        <v>12104</v>
      </c>
      <c r="CH49" s="155">
        <v>3505</v>
      </c>
      <c r="CI49" s="155">
        <v>4296</v>
      </c>
      <c r="CJ49" s="155">
        <v>5279</v>
      </c>
      <c r="CK49" s="156">
        <v>3887</v>
      </c>
      <c r="CL49" s="320">
        <v>243558</v>
      </c>
    </row>
    <row r="50" spans="1:90">
      <c r="A50" s="80">
        <f>ROWS($A$3:A48)</f>
        <v>46</v>
      </c>
      <c r="B50" s="52" t="s">
        <v>76</v>
      </c>
      <c r="C50" s="204">
        <v>2016</v>
      </c>
      <c r="D50" s="260" t="s">
        <v>21</v>
      </c>
      <c r="E50" s="447">
        <v>42888</v>
      </c>
      <c r="F50" s="154">
        <v>61.56</v>
      </c>
      <c r="G50" s="155">
        <v>33.86</v>
      </c>
      <c r="H50" s="155">
        <v>56.13</v>
      </c>
      <c r="I50" s="156">
        <v>78.58</v>
      </c>
      <c r="J50" s="141"/>
      <c r="K50" s="154">
        <f t="shared" si="76"/>
        <v>107.60000000000001</v>
      </c>
      <c r="L50" s="155">
        <f t="shared" si="77"/>
        <v>78.5</v>
      </c>
      <c r="M50" s="155">
        <f t="shared" si="78"/>
        <v>37.6</v>
      </c>
      <c r="N50" s="155">
        <f t="shared" si="79"/>
        <v>96</v>
      </c>
      <c r="O50" s="155">
        <f t="shared" si="80"/>
        <v>76.8</v>
      </c>
      <c r="P50" s="531">
        <f>(AZ50*AZ35+BA50*BA35)/P35</f>
        <v>24.154275477158411</v>
      </c>
      <c r="Q50" s="155">
        <f>'2017'!AU50</f>
        <v>48.699999999999996</v>
      </c>
      <c r="R50" s="531">
        <f>(AT50*AT35+AX50*AX35)/R35</f>
        <v>47.415034383954151</v>
      </c>
      <c r="S50" s="155">
        <f t="shared" si="81"/>
        <v>51.7</v>
      </c>
      <c r="T50" s="155">
        <f t="shared" si="82"/>
        <v>74.599999999999994</v>
      </c>
      <c r="U50" s="552">
        <f t="shared" si="82"/>
        <v>116.10000000000001</v>
      </c>
      <c r="V50" s="531">
        <f>(BG50*BG35+BJ50*BJ35)/V35</f>
        <v>21.771964679911701</v>
      </c>
      <c r="W50" s="155">
        <f t="shared" si="83"/>
        <v>57.699999999999996</v>
      </c>
      <c r="X50" s="531">
        <f>(BH50*BH35+BI50*BI35)/X35</f>
        <v>18.946813229666823</v>
      </c>
      <c r="Y50" s="531">
        <f>(BK50*BK35+BL50*BL35+BN50*BN35)/Y35</f>
        <v>32.920552478569618</v>
      </c>
      <c r="Z50" s="155">
        <f t="shared" si="84"/>
        <v>47.8</v>
      </c>
      <c r="AA50" s="531">
        <f>(BO50*BO35+BQ50*BQ35)/AA35</f>
        <v>47.88103774959918</v>
      </c>
      <c r="AB50" s="552">
        <f t="shared" si="85"/>
        <v>67.400000000000006</v>
      </c>
      <c r="AC50" s="155">
        <f t="shared" si="86"/>
        <v>71.099999999999994</v>
      </c>
      <c r="AD50" s="155">
        <f t="shared" si="87"/>
        <v>51.6</v>
      </c>
      <c r="AE50" s="531">
        <f>(BS50*BS35+BT50*BT35)/AE35</f>
        <v>49.55497801864626</v>
      </c>
      <c r="AF50" s="155">
        <f t="shared" si="88"/>
        <v>57.099999999999994</v>
      </c>
      <c r="AG50" s="155">
        <f t="shared" si="89"/>
        <v>44.2</v>
      </c>
      <c r="AH50" s="155">
        <f t="shared" si="90"/>
        <v>67.2</v>
      </c>
      <c r="AI50" s="155">
        <f t="shared" si="91"/>
        <v>57.999999999999993</v>
      </c>
      <c r="AJ50" s="155">
        <f t="shared" si="92"/>
        <v>60</v>
      </c>
      <c r="AK50" s="552">
        <f t="shared" si="93"/>
        <v>76.2</v>
      </c>
      <c r="AL50" s="155">
        <f t="shared" si="94"/>
        <v>41.3</v>
      </c>
      <c r="AM50" s="155">
        <f t="shared" si="95"/>
        <v>112.3</v>
      </c>
      <c r="AN50" s="155">
        <f t="shared" si="96"/>
        <v>141.30000000000001</v>
      </c>
      <c r="AO50" s="155">
        <f t="shared" si="97"/>
        <v>62</v>
      </c>
      <c r="AP50" s="155">
        <f t="shared" si="97"/>
        <v>38.299999999999997</v>
      </c>
      <c r="AQ50" s="155">
        <f t="shared" si="98"/>
        <v>72.599999999999994</v>
      </c>
      <c r="AR50" s="155">
        <f t="shared" si="99"/>
        <v>61.7</v>
      </c>
      <c r="AS50" s="532">
        <f>(CF50*CF35+CG50*CG35)/AS35</f>
        <v>89.070658448169155</v>
      </c>
      <c r="AT50" s="466">
        <v>36</v>
      </c>
      <c r="AU50" s="466">
        <v>48.699999999999996</v>
      </c>
      <c r="AV50" s="466">
        <v>51.7</v>
      </c>
      <c r="AW50" s="466">
        <v>96</v>
      </c>
      <c r="AX50" s="466">
        <v>48.3</v>
      </c>
      <c r="AY50" s="466">
        <v>78.5</v>
      </c>
      <c r="AZ50" s="466">
        <v>2.6</v>
      </c>
      <c r="BA50" s="466">
        <v>25.8</v>
      </c>
      <c r="BB50" s="466">
        <v>74.599999999999994</v>
      </c>
      <c r="BC50" s="466">
        <v>116.10000000000001</v>
      </c>
      <c r="BD50" s="466">
        <v>37.6</v>
      </c>
      <c r="BE50" s="466">
        <v>76.8</v>
      </c>
      <c r="BF50" s="558">
        <v>107.60000000000001</v>
      </c>
      <c r="BG50" s="466">
        <v>24.3</v>
      </c>
      <c r="BH50" s="466">
        <v>15.2</v>
      </c>
      <c r="BI50" s="466">
        <v>19.2</v>
      </c>
      <c r="BJ50" s="466">
        <v>21.5</v>
      </c>
      <c r="BK50" s="466">
        <v>24.9</v>
      </c>
      <c r="BL50" s="466">
        <v>15.6</v>
      </c>
      <c r="BM50" s="466">
        <v>47.8</v>
      </c>
      <c r="BN50" s="466">
        <v>34.599999999999994</v>
      </c>
      <c r="BO50" s="466">
        <v>29.299999999999997</v>
      </c>
      <c r="BP50" s="466">
        <v>67.400000000000006</v>
      </c>
      <c r="BQ50" s="466">
        <v>48.8</v>
      </c>
      <c r="BR50" s="558">
        <v>57.699999999999996</v>
      </c>
      <c r="BS50" s="466">
        <v>24.6</v>
      </c>
      <c r="BT50" s="466">
        <v>51.300000000000004</v>
      </c>
      <c r="BU50" s="466">
        <v>51.6</v>
      </c>
      <c r="BV50" s="466">
        <v>44.2</v>
      </c>
      <c r="BW50" s="466">
        <v>57.999999999999993</v>
      </c>
      <c r="BX50" s="466">
        <v>71.099999999999994</v>
      </c>
      <c r="BY50" s="466">
        <v>60</v>
      </c>
      <c r="BZ50" s="466">
        <v>67.2</v>
      </c>
      <c r="CA50" s="466">
        <v>57.099999999999994</v>
      </c>
      <c r="CB50" s="558">
        <v>76.2</v>
      </c>
      <c r="CC50" s="466">
        <v>62</v>
      </c>
      <c r="CD50" s="466">
        <v>38.299999999999997</v>
      </c>
      <c r="CE50" s="466">
        <v>41.3</v>
      </c>
      <c r="CF50" s="466">
        <v>88.6</v>
      </c>
      <c r="CG50" s="466">
        <v>89.1</v>
      </c>
      <c r="CH50" s="466">
        <v>112.3</v>
      </c>
      <c r="CI50" s="466">
        <v>61.7</v>
      </c>
      <c r="CJ50" s="466">
        <v>141.30000000000001</v>
      </c>
      <c r="CK50" s="466">
        <v>72.599999999999994</v>
      </c>
      <c r="CL50" s="319">
        <v>76</v>
      </c>
    </row>
    <row r="51" spans="1:90">
      <c r="A51" s="80">
        <f>ROWS($A$3:A49)</f>
        <v>47</v>
      </c>
      <c r="B51" s="388" t="s">
        <v>92</v>
      </c>
      <c r="C51" s="202">
        <v>2017</v>
      </c>
      <c r="D51" s="259" t="s">
        <v>9</v>
      </c>
      <c r="E51" s="447">
        <v>43556</v>
      </c>
      <c r="F51" s="541">
        <v>7301</v>
      </c>
      <c r="G51" s="542">
        <v>7309</v>
      </c>
      <c r="H51" s="542">
        <v>6623</v>
      </c>
      <c r="I51" s="543">
        <v>7489</v>
      </c>
      <c r="J51" s="281"/>
      <c r="K51" s="541">
        <f t="shared" si="76"/>
        <v>7786</v>
      </c>
      <c r="L51" s="542">
        <f t="shared" si="77"/>
        <v>7148</v>
      </c>
      <c r="M51" s="542">
        <f t="shared" si="78"/>
        <v>7520</v>
      </c>
      <c r="N51" s="542">
        <f t="shared" si="79"/>
        <v>6679</v>
      </c>
      <c r="O51" s="542">
        <f t="shared" si="80"/>
        <v>6529</v>
      </c>
      <c r="P51" s="531">
        <f>IF(ISERROR(P95/P42)=TRUE,0,ROUND(P95/P42*1000,0))</f>
        <v>6195</v>
      </c>
      <c r="Q51" s="542">
        <f>'2010'!AU51</f>
        <v>4651</v>
      </c>
      <c r="R51" s="531">
        <f>IF(ISERROR(R95/R42)=TRUE,0,ROUND(R95/R42*1000,0))</f>
        <v>6319</v>
      </c>
      <c r="S51" s="542">
        <f t="shared" si="81"/>
        <v>6415</v>
      </c>
      <c r="T51" s="542">
        <f t="shared" si="82"/>
        <v>7332</v>
      </c>
      <c r="U51" s="554">
        <f t="shared" si="82"/>
        <v>7270</v>
      </c>
      <c r="V51" s="531">
        <f>IF(ISERROR(V95/V42)=TRUE,0,ROUND(V95/V42*1000,0))</f>
        <v>1910</v>
      </c>
      <c r="W51" s="542">
        <f t="shared" si="83"/>
        <v>6932</v>
      </c>
      <c r="X51" s="531">
        <f>IF(ISERROR(X95/X42)=TRUE,0,ROUND(X95/X42*1000,0))</f>
        <v>3055</v>
      </c>
      <c r="Y51" s="531">
        <f>IF(ISERROR(Y95/Y42)=TRUE,0,ROUND(Y95/Y42*1000,0))</f>
        <v>5392</v>
      </c>
      <c r="Z51" s="542">
        <f t="shared" si="84"/>
        <v>7664</v>
      </c>
      <c r="AA51" s="531">
        <f>IF(ISERROR(AA95/AA42)=TRUE,0,ROUND(AA95/AA42*1000,0))</f>
        <v>4575</v>
      </c>
      <c r="AB51" s="554">
        <f t="shared" si="85"/>
        <v>7331</v>
      </c>
      <c r="AC51" s="542">
        <f t="shared" si="86"/>
        <v>6510</v>
      </c>
      <c r="AD51" s="542">
        <f t="shared" si="87"/>
        <v>5980</v>
      </c>
      <c r="AE51" s="531">
        <f>IF(ISERROR(AE95/AE42)=TRUE,0,ROUND(AE95/AE42*1000,0))</f>
        <v>4227</v>
      </c>
      <c r="AF51" s="542">
        <f t="shared" si="88"/>
        <v>6181</v>
      </c>
      <c r="AG51" s="542">
        <f t="shared" si="89"/>
        <v>5641</v>
      </c>
      <c r="AH51" s="542">
        <f t="shared" si="90"/>
        <v>7354</v>
      </c>
      <c r="AI51" s="542">
        <f t="shared" si="91"/>
        <v>6302</v>
      </c>
      <c r="AJ51" s="542">
        <f t="shared" si="92"/>
        <v>7394</v>
      </c>
      <c r="AK51" s="554">
        <f t="shared" si="93"/>
        <v>7114</v>
      </c>
      <c r="AL51" s="542">
        <f t="shared" si="94"/>
        <v>7506</v>
      </c>
      <c r="AM51" s="542">
        <f t="shared" si="95"/>
        <v>7468</v>
      </c>
      <c r="AN51" s="542">
        <f t="shared" si="96"/>
        <v>7590</v>
      </c>
      <c r="AO51" s="542">
        <f t="shared" si="97"/>
        <v>7096</v>
      </c>
      <c r="AP51" s="542">
        <f t="shared" si="97"/>
        <v>7302</v>
      </c>
      <c r="AQ51" s="542">
        <f t="shared" si="98"/>
        <v>7698</v>
      </c>
      <c r="AR51" s="542">
        <f t="shared" si="99"/>
        <v>7069</v>
      </c>
      <c r="AS51" s="532">
        <f>IF(ISERROR(AS95/AS42)=TRUE,0,ROUND(AS95/AS42*1000,0))</f>
        <v>5995</v>
      </c>
      <c r="AT51" s="542" t="s">
        <v>233</v>
      </c>
      <c r="AU51" s="542">
        <v>7283</v>
      </c>
      <c r="AV51" s="542">
        <v>6415</v>
      </c>
      <c r="AW51" s="542">
        <v>6679</v>
      </c>
      <c r="AX51" s="542">
        <v>7597</v>
      </c>
      <c r="AY51" s="542">
        <v>7148</v>
      </c>
      <c r="AZ51" s="542" t="s">
        <v>233</v>
      </c>
      <c r="BA51" s="542">
        <v>7763</v>
      </c>
      <c r="BB51" s="542">
        <v>7332</v>
      </c>
      <c r="BC51" s="542">
        <v>7270</v>
      </c>
      <c r="BD51" s="542">
        <v>7520</v>
      </c>
      <c r="BE51" s="542">
        <v>6529</v>
      </c>
      <c r="BF51" s="562">
        <v>7786</v>
      </c>
      <c r="BG51" s="542" t="s">
        <v>233</v>
      </c>
      <c r="BH51" s="542" t="s">
        <v>233</v>
      </c>
      <c r="BI51" s="542">
        <v>6215</v>
      </c>
      <c r="BJ51" s="542">
        <v>4027</v>
      </c>
      <c r="BK51" s="542" t="s">
        <v>233</v>
      </c>
      <c r="BL51" s="542" t="s">
        <v>233</v>
      </c>
      <c r="BM51" s="542">
        <v>7664</v>
      </c>
      <c r="BN51" s="542">
        <v>8088</v>
      </c>
      <c r="BO51" s="542" t="s">
        <v>233</v>
      </c>
      <c r="BP51" s="542">
        <v>7331</v>
      </c>
      <c r="BQ51" s="542">
        <v>6879</v>
      </c>
      <c r="BR51" s="562">
        <v>6932</v>
      </c>
      <c r="BS51" s="542" t="s">
        <v>233</v>
      </c>
      <c r="BT51" s="542">
        <v>6212</v>
      </c>
      <c r="BU51" s="542">
        <v>5980</v>
      </c>
      <c r="BV51" s="542">
        <v>5641</v>
      </c>
      <c r="BW51" s="542">
        <v>6302</v>
      </c>
      <c r="BX51" s="542">
        <v>6510</v>
      </c>
      <c r="BY51" s="542">
        <v>7394</v>
      </c>
      <c r="BZ51" s="542">
        <v>7354</v>
      </c>
      <c r="CA51" s="542">
        <v>6181</v>
      </c>
      <c r="CB51" s="562">
        <v>7114</v>
      </c>
      <c r="CC51" s="542">
        <v>7096</v>
      </c>
      <c r="CD51" s="542">
        <v>7302</v>
      </c>
      <c r="CE51" s="542">
        <v>7506</v>
      </c>
      <c r="CF51" s="542" t="s">
        <v>233</v>
      </c>
      <c r="CG51" s="542">
        <v>7390</v>
      </c>
      <c r="CH51" s="542">
        <v>7468</v>
      </c>
      <c r="CI51" s="542">
        <v>7069</v>
      </c>
      <c r="CJ51" s="542">
        <v>7590</v>
      </c>
      <c r="CK51" s="543">
        <v>7698</v>
      </c>
      <c r="CL51" s="553">
        <v>7256</v>
      </c>
    </row>
    <row r="52" spans="1:90">
      <c r="A52" s="80">
        <f>ROWS($A$3:A50)</f>
        <v>48</v>
      </c>
      <c r="B52" s="388" t="s">
        <v>357</v>
      </c>
      <c r="C52" s="387">
        <v>2017</v>
      </c>
      <c r="D52" s="259" t="s">
        <v>358</v>
      </c>
      <c r="E52" s="447">
        <v>43556</v>
      </c>
      <c r="F52" s="536">
        <v>715.4</v>
      </c>
      <c r="G52" s="537">
        <v>170.5</v>
      </c>
      <c r="H52" s="537">
        <v>434.2</v>
      </c>
      <c r="I52" s="538">
        <v>1158</v>
      </c>
      <c r="J52" s="281"/>
      <c r="K52" s="536">
        <f t="shared" si="76"/>
        <v>196.2</v>
      </c>
      <c r="L52" s="537">
        <f t="shared" si="77"/>
        <v>49.9</v>
      </c>
      <c r="M52" s="537">
        <f t="shared" si="78"/>
        <v>47.1</v>
      </c>
      <c r="N52" s="537">
        <f t="shared" si="79"/>
        <v>72.599999999999994</v>
      </c>
      <c r="O52" s="537">
        <f t="shared" si="80"/>
        <v>45.5</v>
      </c>
      <c r="P52" s="537">
        <f>BA52</f>
        <v>27.4</v>
      </c>
      <c r="Q52" s="537">
        <f>'2009'!AU52</f>
        <v>18.2</v>
      </c>
      <c r="R52" s="537">
        <f>AX52</f>
        <v>32.200000000000003</v>
      </c>
      <c r="S52" s="537">
        <f t="shared" si="81"/>
        <v>14.5</v>
      </c>
      <c r="T52" s="537">
        <f t="shared" si="82"/>
        <v>55.8</v>
      </c>
      <c r="U52" s="561">
        <f t="shared" si="82"/>
        <v>150.69999999999999</v>
      </c>
      <c r="V52" s="537">
        <f>BJ52</f>
        <v>1.1000000000000001</v>
      </c>
      <c r="W52" s="537">
        <f t="shared" si="83"/>
        <v>28.6</v>
      </c>
      <c r="X52" s="537">
        <f>BI52</f>
        <v>8.6</v>
      </c>
      <c r="Y52" s="537">
        <f>BN52</f>
        <v>26.2</v>
      </c>
      <c r="Z52" s="537">
        <f t="shared" si="84"/>
        <v>56.9</v>
      </c>
      <c r="AA52" s="537">
        <f>BQ52</f>
        <v>21</v>
      </c>
      <c r="AB52" s="561">
        <f t="shared" si="85"/>
        <v>28.1</v>
      </c>
      <c r="AC52" s="537">
        <f t="shared" si="86"/>
        <v>80.7</v>
      </c>
      <c r="AD52" s="537">
        <f t="shared" si="87"/>
        <v>17.8</v>
      </c>
      <c r="AE52" s="537">
        <f>BT52</f>
        <v>60</v>
      </c>
      <c r="AF52" s="537">
        <f t="shared" si="88"/>
        <v>19</v>
      </c>
      <c r="AG52" s="537">
        <f t="shared" si="89"/>
        <v>38.1</v>
      </c>
      <c r="AH52" s="537">
        <f t="shared" si="90"/>
        <v>66.5</v>
      </c>
      <c r="AI52" s="537">
        <f t="shared" si="91"/>
        <v>28.9</v>
      </c>
      <c r="AJ52" s="537">
        <f t="shared" si="92"/>
        <v>46.7</v>
      </c>
      <c r="AK52" s="561">
        <f t="shared" si="93"/>
        <v>76.3</v>
      </c>
      <c r="AL52" s="537">
        <f t="shared" si="94"/>
        <v>25.9</v>
      </c>
      <c r="AM52" s="537">
        <f t="shared" si="95"/>
        <v>248.1</v>
      </c>
      <c r="AN52" s="537">
        <f t="shared" si="96"/>
        <v>514.9</v>
      </c>
      <c r="AO52" s="537">
        <f t="shared" si="97"/>
        <v>56.4</v>
      </c>
      <c r="AP52" s="537">
        <f t="shared" si="97"/>
        <v>11.3</v>
      </c>
      <c r="AQ52" s="537">
        <f t="shared" si="98"/>
        <v>99.9</v>
      </c>
      <c r="AR52" s="537">
        <f t="shared" si="99"/>
        <v>60.8</v>
      </c>
      <c r="AS52" s="538">
        <f>CG52</f>
        <v>140.6</v>
      </c>
      <c r="AT52" s="537" t="s">
        <v>233</v>
      </c>
      <c r="AU52" s="537">
        <v>21.5</v>
      </c>
      <c r="AV52" s="537">
        <v>14.5</v>
      </c>
      <c r="AW52" s="537">
        <v>72.599999999999994</v>
      </c>
      <c r="AX52" s="537">
        <v>32.200000000000003</v>
      </c>
      <c r="AY52" s="537">
        <v>49.9</v>
      </c>
      <c r="AZ52" s="537" t="s">
        <v>233</v>
      </c>
      <c r="BA52" s="537">
        <v>27.4</v>
      </c>
      <c r="BB52" s="537">
        <v>55.8</v>
      </c>
      <c r="BC52" s="537">
        <v>150.69999999999999</v>
      </c>
      <c r="BD52" s="537">
        <v>47.1</v>
      </c>
      <c r="BE52" s="537">
        <v>45.5</v>
      </c>
      <c r="BF52" s="563">
        <v>196.2</v>
      </c>
      <c r="BG52" s="537" t="s">
        <v>233</v>
      </c>
      <c r="BH52" s="537" t="s">
        <v>233</v>
      </c>
      <c r="BI52" s="537">
        <v>8.6</v>
      </c>
      <c r="BJ52" s="537">
        <v>1.1000000000000001</v>
      </c>
      <c r="BK52" s="537" t="s">
        <v>233</v>
      </c>
      <c r="BL52" s="537" t="s">
        <v>233</v>
      </c>
      <c r="BM52" s="537">
        <v>56.9</v>
      </c>
      <c r="BN52" s="537">
        <v>26.2</v>
      </c>
      <c r="BO52" s="537" t="s">
        <v>233</v>
      </c>
      <c r="BP52" s="537">
        <v>28.1</v>
      </c>
      <c r="BQ52" s="537">
        <v>21</v>
      </c>
      <c r="BR52" s="563">
        <v>28.6</v>
      </c>
      <c r="BS52" s="537" t="s">
        <v>233</v>
      </c>
      <c r="BT52" s="537">
        <v>60</v>
      </c>
      <c r="BU52" s="537">
        <v>17.8</v>
      </c>
      <c r="BV52" s="537">
        <v>38.1</v>
      </c>
      <c r="BW52" s="537">
        <v>28.9</v>
      </c>
      <c r="BX52" s="537">
        <v>80.7</v>
      </c>
      <c r="BY52" s="537">
        <v>46.7</v>
      </c>
      <c r="BZ52" s="537">
        <v>66.5</v>
      </c>
      <c r="CA52" s="537">
        <v>19</v>
      </c>
      <c r="CB52" s="563">
        <v>76.3</v>
      </c>
      <c r="CC52" s="537">
        <v>56.4</v>
      </c>
      <c r="CD52" s="537">
        <v>11.3</v>
      </c>
      <c r="CE52" s="537">
        <v>25.9</v>
      </c>
      <c r="CF52" s="537" t="s">
        <v>233</v>
      </c>
      <c r="CG52" s="537">
        <v>140.6</v>
      </c>
      <c r="CH52" s="537">
        <v>248.1</v>
      </c>
      <c r="CI52" s="537">
        <v>60.8</v>
      </c>
      <c r="CJ52" s="537">
        <v>514.9</v>
      </c>
      <c r="CK52" s="538">
        <v>99.9</v>
      </c>
      <c r="CL52" s="564">
        <v>2478</v>
      </c>
    </row>
    <row r="53" spans="1:90">
      <c r="A53" s="80">
        <f>ROWS($A$3:A51)</f>
        <v>49</v>
      </c>
      <c r="B53" s="498" t="str">
        <f>"Änderung der Milcherzeugung "&amp;C51&amp;"/"&amp;"2010"</f>
        <v>Änderung der Milcherzeugung 2017/2010</v>
      </c>
      <c r="C53" s="252">
        <v>2017</v>
      </c>
      <c r="D53" s="259" t="s">
        <v>3</v>
      </c>
      <c r="E53" s="447">
        <v>43556</v>
      </c>
      <c r="F53" s="539">
        <f>F52/'2010'!F52%-100</f>
        <v>10.537700865265748</v>
      </c>
      <c r="G53" s="521">
        <f>G52/'2010'!G52%-100</f>
        <v>13.894455577822313</v>
      </c>
      <c r="H53" s="521">
        <f>H52/'2010'!H52%-100</f>
        <v>11.820757146536181</v>
      </c>
      <c r="I53" s="540">
        <f>I52/'2010'!I52%-100</f>
        <v>9.961067325040375</v>
      </c>
      <c r="J53" s="382"/>
      <c r="K53" s="536">
        <f>K52/'2010'!K52%-100</f>
        <v>12.888377445339444</v>
      </c>
      <c r="L53" s="537">
        <f>L52/'2010'!L52%-100</f>
        <v>13.409090909090907</v>
      </c>
      <c r="M53" s="537">
        <f>M52/'2010'!M52%-100</f>
        <v>7.2892938496583213</v>
      </c>
      <c r="N53" s="537">
        <f>N52/'2010'!N52%-100</f>
        <v>20.398009950248749</v>
      </c>
      <c r="O53" s="537">
        <f>O52/'2010'!O52%-100</f>
        <v>-1.3015184381778795</v>
      </c>
      <c r="P53" s="521">
        <f>P52/'2010'!P52%-100</f>
        <v>-4.5296167247386734</v>
      </c>
      <c r="Q53" s="537">
        <f>Q52/'2010'!Q52%-100</f>
        <v>0</v>
      </c>
      <c r="R53" s="521">
        <f>R52/'2010'!R52%-100</f>
        <v>-0.61728395061727781</v>
      </c>
      <c r="S53" s="537">
        <f>S52/'2010'!S52%-100</f>
        <v>12.403100775193792</v>
      </c>
      <c r="T53" s="537">
        <f>T52/'2010'!T52%-100</f>
        <v>23.178807947019877</v>
      </c>
      <c r="U53" s="561">
        <f>U52/'2010'!U52%-100</f>
        <v>6.3514467184191972</v>
      </c>
      <c r="V53" s="521">
        <f>V52/'2010'!V52%-100</f>
        <v>-45</v>
      </c>
      <c r="W53" s="537">
        <f>W52/'2010'!W52%-100</f>
        <v>18.672199170124472</v>
      </c>
      <c r="X53" s="521">
        <f>X52/'2010'!X52%-100</f>
        <v>28.358208955223859</v>
      </c>
      <c r="Y53" s="521">
        <f>Y52/'2010'!Y52%-100</f>
        <v>4.7999999999999972</v>
      </c>
      <c r="Z53" s="537">
        <f>Z52/'2010'!Z52%-100</f>
        <v>13.121272365805169</v>
      </c>
      <c r="AA53" s="521">
        <f>AA52/'2010'!AA52%-100</f>
        <v>-46.153846153846153</v>
      </c>
      <c r="AB53" s="561">
        <f>AB52/'2010'!AB52%-100</f>
        <v>27.149321266968329</v>
      </c>
      <c r="AC53" s="537">
        <f>AC52/'2010'!AC52%-100</f>
        <v>18.502202643171827</v>
      </c>
      <c r="AD53" s="537">
        <f>AD52/'2010'!AD52%-100</f>
        <v>-7.2916666666666714</v>
      </c>
      <c r="AE53" s="521">
        <f>AE52/'2010'!AE52%-100</f>
        <v>1.6949152542372872</v>
      </c>
      <c r="AF53" s="537">
        <f>AF52/'2010'!AF52%-100</f>
        <v>1.0638297872340416</v>
      </c>
      <c r="AG53" s="537">
        <f>AG52/'2010'!AG52%-100</f>
        <v>-6.3882063882063846</v>
      </c>
      <c r="AH53" s="537">
        <f>AH52/'2010'!AH52%-100</f>
        <v>12.331081081081066</v>
      </c>
      <c r="AI53" s="537">
        <f>AI52/'2010'!AI52%-100</f>
        <v>2.4822695035461066</v>
      </c>
      <c r="AJ53" s="537">
        <f>AJ52/'2010'!AJ52%-100</f>
        <v>35.362318840579718</v>
      </c>
      <c r="AK53" s="561">
        <f>AK52/'2010'!AK52%-100</f>
        <v>25.493421052631575</v>
      </c>
      <c r="AL53" s="537">
        <f>AL52/'2010'!AL52%-100</f>
        <v>16.666666666666657</v>
      </c>
      <c r="AM53" s="537">
        <f>AM52/'2010'!AM52%-100</f>
        <v>9.0070298769771568</v>
      </c>
      <c r="AN53" s="537">
        <f>AN52/'2010'!AN52%-100</f>
        <v>10.659789383193626</v>
      </c>
      <c r="AO53" s="537">
        <f>AO52/'2010'!AO52%-100</f>
        <v>8.0459770114942444</v>
      </c>
      <c r="AP53" s="537">
        <f>AP52/'2010'!AP52%-100</f>
        <v>17.708333333333343</v>
      </c>
      <c r="AQ53" s="537">
        <f>AQ52/'2010'!AQ52%-100</f>
        <v>22.12713936430319</v>
      </c>
      <c r="AR53" s="537">
        <f>AR52/'2010'!AR52%-100</f>
        <v>-6.3174114021571768</v>
      </c>
      <c r="AS53" s="540">
        <f>AS52/'2010'!AS52%-100</f>
        <v>8.5714285714285694</v>
      </c>
      <c r="AT53" s="521" t="s">
        <v>233</v>
      </c>
      <c r="AU53" s="521">
        <f>AU52/'2010'!AU52%-100</f>
        <v>19.444444444444443</v>
      </c>
      <c r="AV53" s="521">
        <f>AV52/'2010'!AV52%-100</f>
        <v>12.403100775193792</v>
      </c>
      <c r="AW53" s="521">
        <f>AW52/'2010'!AW52%-100</f>
        <v>20.398009950248749</v>
      </c>
      <c r="AX53" s="521">
        <f>AX52/'2010'!AX52%-100</f>
        <v>6.6225165562914015</v>
      </c>
      <c r="AY53" s="521">
        <f>AY52/'2010'!AY52%-100</f>
        <v>13.409090909090907</v>
      </c>
      <c r="AZ53" s="521" t="s">
        <v>233</v>
      </c>
      <c r="BA53" s="521">
        <f>BA52/'2010'!BA52%-100</f>
        <v>-4.5296167247386734</v>
      </c>
      <c r="BB53" s="521">
        <f>BB52/'2010'!BB52%-100</f>
        <v>23.178807947019877</v>
      </c>
      <c r="BC53" s="521">
        <f>BC52/'2010'!BC52%-100</f>
        <v>6.3514467184191972</v>
      </c>
      <c r="BD53" s="521">
        <f>BD52/'2010'!BD52%-100</f>
        <v>7.2892938496583213</v>
      </c>
      <c r="BE53" s="521">
        <f>BE52/'2010'!BE52%-100</f>
        <v>-1.3015184381778795</v>
      </c>
      <c r="BF53" s="559">
        <f>BF52/'2010'!BF52%-100</f>
        <v>12.888377445339444</v>
      </c>
      <c r="BG53" s="521" t="s">
        <v>233</v>
      </c>
      <c r="BH53" s="521" t="s">
        <v>233</v>
      </c>
      <c r="BI53" s="521">
        <f>BI52/'2010'!BI52%-100</f>
        <v>28.358208955223859</v>
      </c>
      <c r="BJ53" s="521">
        <f>BJ52/'2010'!BJ52%-100</f>
        <v>-45</v>
      </c>
      <c r="BK53" s="521" t="s">
        <v>233</v>
      </c>
      <c r="BL53" s="521" t="s">
        <v>233</v>
      </c>
      <c r="BM53" s="521">
        <f>BM52/'2010'!BM52%-100</f>
        <v>13.121272365805169</v>
      </c>
      <c r="BN53" s="521">
        <f>BN52/'2010'!BN52%-100</f>
        <v>4.7999999999999972</v>
      </c>
      <c r="BO53" s="521" t="s">
        <v>233</v>
      </c>
      <c r="BP53" s="521">
        <f>BP52/'2010'!BP52%-100</f>
        <v>27.149321266968329</v>
      </c>
      <c r="BQ53" s="521">
        <f>BQ52/'2010'!BQ52%-100</f>
        <v>7.6923076923076934</v>
      </c>
      <c r="BR53" s="559">
        <f>BR52/'2010'!BR52%-100</f>
        <v>18.672199170124472</v>
      </c>
      <c r="BS53" s="521" t="s">
        <v>233</v>
      </c>
      <c r="BT53" s="521">
        <f>BT52/'2010'!BT52%-100</f>
        <v>1.6949152542372872</v>
      </c>
      <c r="BU53" s="521">
        <f>BU52/'2010'!BU52%-100</f>
        <v>-7.2916666666666714</v>
      </c>
      <c r="BV53" s="521">
        <f>BV52/'2010'!BV52%-100</f>
        <v>-6.3882063882063846</v>
      </c>
      <c r="BW53" s="521">
        <f>BW52/'2010'!BW52%-100</f>
        <v>2.4822695035461066</v>
      </c>
      <c r="BX53" s="521">
        <f>BX52/'2010'!BX52%-100</f>
        <v>18.502202643171827</v>
      </c>
      <c r="BY53" s="521">
        <f>BY52/'2010'!BY52%-100</f>
        <v>35.362318840579718</v>
      </c>
      <c r="BZ53" s="521">
        <f>BZ52/'2010'!BZ52%-100</f>
        <v>12.331081081081066</v>
      </c>
      <c r="CA53" s="521">
        <f>CA52/'2010'!CA52%-100</f>
        <v>1.0638297872340416</v>
      </c>
      <c r="CB53" s="559">
        <f>CB52/'2010'!CB52%-100</f>
        <v>25.493421052631575</v>
      </c>
      <c r="CC53" s="521">
        <f>CC52/'2010'!CC52%-100</f>
        <v>8.0459770114942444</v>
      </c>
      <c r="CD53" s="521">
        <f>CD52/'2010'!CD52%-100</f>
        <v>17.708333333333343</v>
      </c>
      <c r="CE53" s="521">
        <f>CE52/'2010'!CE52%-100</f>
        <v>16.666666666666657</v>
      </c>
      <c r="CF53" s="521" t="s">
        <v>233</v>
      </c>
      <c r="CG53" s="521">
        <f>CG52/'2010'!CG52%-100</f>
        <v>8.5714285714285694</v>
      </c>
      <c r="CH53" s="521">
        <f>CH52/'2010'!CH52%-100</f>
        <v>9.0070298769771568</v>
      </c>
      <c r="CI53" s="521">
        <f>CI52/'2010'!CI52%-100</f>
        <v>-6.3174114021571768</v>
      </c>
      <c r="CJ53" s="521">
        <f>CJ52/'2010'!CJ52%-100</f>
        <v>10.659789383193626</v>
      </c>
      <c r="CK53" s="540">
        <f>CK52/'2010'!CK52%-100</f>
        <v>22.12713936430319</v>
      </c>
      <c r="CL53" s="560">
        <f>CL52/'2010'!CL52%-100</f>
        <v>11.046381357831052</v>
      </c>
    </row>
    <row r="54" spans="1:90">
      <c r="A54" s="80">
        <f>ROWS($A$3:A52)</f>
        <v>50</v>
      </c>
      <c r="B54" s="499" t="str">
        <f>"Änderung der Milchkühe "&amp;C51&amp;"/"&amp;C97</f>
        <v>Änderung der Milchkühe 2017/2001</v>
      </c>
      <c r="C54" s="253">
        <v>2017</v>
      </c>
      <c r="D54" s="262" t="s">
        <v>3</v>
      </c>
      <c r="E54" s="452">
        <v>43556</v>
      </c>
      <c r="F54" s="544">
        <f>IF(ISERROR(F42/F97)=FALSE,ROUND((F42-F97)/F97%,3)," -")</f>
        <v>-7.2160000000000002</v>
      </c>
      <c r="G54" s="545">
        <f>IF(ISERROR(G42/G97)=FALSE,ROUND((G42-G97)/G97%,3)," -")</f>
        <v>1.7889999999999999</v>
      </c>
      <c r="H54" s="545">
        <f>IF(ISERROR(H42/H97)=FALSE,ROUND((H42-H97)/H97%,3)," -")</f>
        <v>6.38</v>
      </c>
      <c r="I54" s="546">
        <f>IF(ISERROR(I42/I97)=FALSE,ROUND((I42-I97)/I97%,3)," -")</f>
        <v>-10.114000000000001</v>
      </c>
      <c r="J54" s="597"/>
      <c r="K54" s="565">
        <f t="shared" si="76"/>
        <v>0.251</v>
      </c>
      <c r="L54" s="566">
        <f t="shared" si="77"/>
        <v>-0.50700000000000001</v>
      </c>
      <c r="M54" s="566">
        <f t="shared" si="78"/>
        <v>-24.878</v>
      </c>
      <c r="N54" s="566">
        <f t="shared" si="79"/>
        <v>2.9119999999999999</v>
      </c>
      <c r="O54" s="566">
        <f t="shared" si="80"/>
        <v>-15.840999999999999</v>
      </c>
      <c r="P54" s="545">
        <f>IF(ISERROR(P42/P97)=FALSE,ROUND((P42-P97)/P97%,3)," -")</f>
        <v>-34.473999999999997</v>
      </c>
      <c r="Q54" s="566">
        <f>'2010'!AU54</f>
        <v>2.2530000000000001</v>
      </c>
      <c r="R54" s="545">
        <f>IF(ISERROR(R42/R97)=FALSE,ROUND((R42-R97)/R97%,3)," -")</f>
        <v>-28.321999999999999</v>
      </c>
      <c r="S54" s="566">
        <f t="shared" si="81"/>
        <v>-8.4239999999999995</v>
      </c>
      <c r="T54" s="566">
        <f t="shared" si="82"/>
        <v>-2.6190000000000002</v>
      </c>
      <c r="U54" s="567">
        <f t="shared" si="82"/>
        <v>-4.9980000000000002</v>
      </c>
      <c r="V54" s="545">
        <f>IF(ISERROR(V42/V97)=FALSE,ROUND((V42-V97)/V97%,3)," -")</f>
        <v>35.744</v>
      </c>
      <c r="W54" s="566">
        <f t="shared" si="83"/>
        <v>4.9749999999999996</v>
      </c>
      <c r="X54" s="545">
        <f>IF(ISERROR(X42/X97)=FALSE,ROUND((X42-X97)/X97%,3)," -")</f>
        <v>-0.33300000000000002</v>
      </c>
      <c r="Y54" s="545">
        <f>IF(ISERROR(Y42/Y97)=FALSE,ROUND((Y42-Y97)/Y97%,3)," -")</f>
        <v>-18.646999999999998</v>
      </c>
      <c r="Z54" s="566">
        <f t="shared" si="84"/>
        <v>-10.11</v>
      </c>
      <c r="AA54" s="545">
        <f>IF(ISERROR(AA42/AA97)=FALSE,ROUND((AA42-AA97)/AA97%,3)," -")</f>
        <v>23.137</v>
      </c>
      <c r="AB54" s="567">
        <f t="shared" si="85"/>
        <v>18.076000000000001</v>
      </c>
      <c r="AC54" s="566">
        <f t="shared" si="86"/>
        <v>4.6669999999999998</v>
      </c>
      <c r="AD54" s="566">
        <f t="shared" si="87"/>
        <v>9.4600000000000009</v>
      </c>
      <c r="AE54" s="545">
        <f>IF(ISERROR(AE42/AE97)=FALSE,ROUND((AE42-AE97)/AE97%,3)," -")</f>
        <v>5.9169999999999998</v>
      </c>
      <c r="AF54" s="566">
        <f t="shared" si="88"/>
        <v>17.228000000000002</v>
      </c>
      <c r="AG54" s="566">
        <f t="shared" si="89"/>
        <v>-5.9950000000000001</v>
      </c>
      <c r="AH54" s="566">
        <f t="shared" si="90"/>
        <v>-1.0209999999999999</v>
      </c>
      <c r="AI54" s="566">
        <f t="shared" si="91"/>
        <v>-10.494</v>
      </c>
      <c r="AJ54" s="566">
        <f t="shared" si="92"/>
        <v>31.24</v>
      </c>
      <c r="AK54" s="567">
        <f t="shared" si="93"/>
        <v>19.34</v>
      </c>
      <c r="AL54" s="566">
        <f t="shared" si="94"/>
        <v>51.927999999999997</v>
      </c>
      <c r="AM54" s="566">
        <f t="shared" si="95"/>
        <v>-11.659000000000001</v>
      </c>
      <c r="AN54" s="566">
        <f t="shared" si="96"/>
        <v>-9.4489999999999998</v>
      </c>
      <c r="AO54" s="566">
        <f t="shared" si="97"/>
        <v>-10.875999999999999</v>
      </c>
      <c r="AP54" s="566">
        <f t="shared" si="97"/>
        <v>0.45700000000000002</v>
      </c>
      <c r="AQ54" s="566">
        <f t="shared" si="98"/>
        <v>-8.81</v>
      </c>
      <c r="AR54" s="566">
        <f t="shared" si="99"/>
        <v>-26.9</v>
      </c>
      <c r="AS54" s="546">
        <f>IF(ISERROR(AS42/AS97)=FALSE,ROUND((AS42-AS97)/AS97%,3)," -")</f>
        <v>-11.499000000000001</v>
      </c>
      <c r="AT54" s="545" t="str">
        <f>IF(ISERROR(AT42/AT97)=FALSE,ROUND((AT42-AT97)/AT97%,3)," -")</f>
        <v xml:space="preserve"> -</v>
      </c>
      <c r="AU54" s="545">
        <f t="shared" ref="AU54:CL54" si="103">IF(ISERROR(AU42/AU97)=FALSE,ROUND((AU42-AU97)/AU97%,3)," -")</f>
        <v>0.30599999999999999</v>
      </c>
      <c r="AV54" s="545">
        <f t="shared" si="103"/>
        <v>-8.4239999999999995</v>
      </c>
      <c r="AW54" s="545">
        <f t="shared" si="103"/>
        <v>2.9119999999999999</v>
      </c>
      <c r="AX54" s="545">
        <f t="shared" si="103"/>
        <v>-22.364000000000001</v>
      </c>
      <c r="AY54" s="545">
        <f t="shared" si="103"/>
        <v>-0.50700000000000001</v>
      </c>
      <c r="AZ54" s="545" t="str">
        <f t="shared" si="103"/>
        <v xml:space="preserve"> -</v>
      </c>
      <c r="BA54" s="545">
        <f t="shared" si="103"/>
        <v>-31.786000000000001</v>
      </c>
      <c r="BB54" s="545">
        <f t="shared" si="103"/>
        <v>-2.6190000000000002</v>
      </c>
      <c r="BC54" s="545">
        <f t="shared" si="103"/>
        <v>-4.9980000000000002</v>
      </c>
      <c r="BD54" s="545">
        <f t="shared" si="103"/>
        <v>-24.878</v>
      </c>
      <c r="BE54" s="545">
        <f t="shared" si="103"/>
        <v>-15.840999999999999</v>
      </c>
      <c r="BF54" s="568">
        <f t="shared" si="103"/>
        <v>0.251</v>
      </c>
      <c r="BG54" s="545" t="str">
        <f t="shared" si="103"/>
        <v xml:space="preserve"> -</v>
      </c>
      <c r="BH54" s="545" t="str">
        <f t="shared" si="103"/>
        <v xml:space="preserve"> -</v>
      </c>
      <c r="BI54" s="545">
        <f t="shared" si="103"/>
        <v>5.3289999999999997</v>
      </c>
      <c r="BJ54" s="545">
        <f t="shared" si="103"/>
        <v>35.744</v>
      </c>
      <c r="BK54" s="545">
        <f t="shared" si="103"/>
        <v>-31.640999999999998</v>
      </c>
      <c r="BL54" s="545" t="str">
        <f t="shared" si="103"/>
        <v xml:space="preserve"> -</v>
      </c>
      <c r="BM54" s="545">
        <f t="shared" si="103"/>
        <v>-10.11</v>
      </c>
      <c r="BN54" s="545">
        <f t="shared" si="103"/>
        <v>-13.73</v>
      </c>
      <c r="BO54" s="545" t="str">
        <f t="shared" si="103"/>
        <v xml:space="preserve"> -</v>
      </c>
      <c r="BP54" s="545">
        <f t="shared" si="103"/>
        <v>18.076000000000001</v>
      </c>
      <c r="BQ54" s="545">
        <f t="shared" si="103"/>
        <v>27.501000000000001</v>
      </c>
      <c r="BR54" s="568">
        <f t="shared" si="103"/>
        <v>4.9749999999999996</v>
      </c>
      <c r="BS54" s="545" t="str">
        <f t="shared" si="103"/>
        <v xml:space="preserve"> -</v>
      </c>
      <c r="BT54" s="545">
        <f t="shared" si="103"/>
        <v>4.1989999999999998</v>
      </c>
      <c r="BU54" s="545">
        <f t="shared" si="103"/>
        <v>9.4600000000000009</v>
      </c>
      <c r="BV54" s="545">
        <f t="shared" si="103"/>
        <v>-5.9950000000000001</v>
      </c>
      <c r="BW54" s="545">
        <f t="shared" si="103"/>
        <v>-10.494</v>
      </c>
      <c r="BX54" s="545">
        <f t="shared" si="103"/>
        <v>4.6669999999999998</v>
      </c>
      <c r="BY54" s="545">
        <f t="shared" si="103"/>
        <v>31.24</v>
      </c>
      <c r="BZ54" s="545">
        <f t="shared" si="103"/>
        <v>-1.0209999999999999</v>
      </c>
      <c r="CA54" s="545">
        <f t="shared" si="103"/>
        <v>17.228000000000002</v>
      </c>
      <c r="CB54" s="568">
        <f t="shared" si="103"/>
        <v>19.34</v>
      </c>
      <c r="CC54" s="545">
        <f t="shared" si="103"/>
        <v>-10.875999999999999</v>
      </c>
      <c r="CD54" s="545">
        <f t="shared" si="103"/>
        <v>0.45700000000000002</v>
      </c>
      <c r="CE54" s="545">
        <f t="shared" si="103"/>
        <v>51.927999999999997</v>
      </c>
      <c r="CF54" s="545">
        <f t="shared" si="103"/>
        <v>7.6849999999999996</v>
      </c>
      <c r="CG54" s="545">
        <f t="shared" si="103"/>
        <v>-12.362</v>
      </c>
      <c r="CH54" s="545">
        <f t="shared" si="103"/>
        <v>-11.659000000000001</v>
      </c>
      <c r="CI54" s="545">
        <f t="shared" si="103"/>
        <v>-26.9</v>
      </c>
      <c r="CJ54" s="545">
        <f t="shared" si="103"/>
        <v>-9.4489999999999998</v>
      </c>
      <c r="CK54" s="546">
        <f t="shared" si="103"/>
        <v>-8.81</v>
      </c>
      <c r="CL54" s="569">
        <f t="shared" si="103"/>
        <v>-5.2089999999999996</v>
      </c>
    </row>
    <row r="55" spans="1:90" ht="14.25">
      <c r="A55" s="80">
        <f>ROWS($A$3:A53)</f>
        <v>51</v>
      </c>
      <c r="B55" s="59" t="s">
        <v>208</v>
      </c>
      <c r="C55" s="201"/>
      <c r="D55" s="260"/>
      <c r="E55" s="451"/>
      <c r="F55" s="154"/>
      <c r="G55" s="155"/>
      <c r="H55" s="155"/>
      <c r="I55" s="156"/>
      <c r="J55" s="14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c r="A56" s="80">
        <f>ROWS($A$3:A54)</f>
        <v>52</v>
      </c>
      <c r="B56" s="92" t="s">
        <v>54</v>
      </c>
      <c r="C56" s="202">
        <v>2017</v>
      </c>
      <c r="D56" s="259" t="s">
        <v>13</v>
      </c>
      <c r="E56" s="447">
        <v>43320</v>
      </c>
      <c r="F56" s="154">
        <v>257</v>
      </c>
      <c r="G56" s="155">
        <v>229</v>
      </c>
      <c r="H56" s="155">
        <v>267</v>
      </c>
      <c r="I56" s="156">
        <v>300</v>
      </c>
      <c r="J56" s="281"/>
      <c r="K56" s="154">
        <f t="shared" ref="K56:K63" si="104">BF56</f>
        <v>42</v>
      </c>
      <c r="L56" s="155">
        <f t="shared" ref="L56:L63" si="105">AY56</f>
        <v>26</v>
      </c>
      <c r="M56" s="155">
        <f t="shared" ref="M56:M63" si="106">BD56</f>
        <v>36</v>
      </c>
      <c r="N56" s="155">
        <f t="shared" ref="N56:N63" si="107">AW56</f>
        <v>19</v>
      </c>
      <c r="O56" s="155">
        <f t="shared" ref="O56:O63" si="108">BE56</f>
        <v>13</v>
      </c>
      <c r="P56" s="155">
        <f>'2017'!AZ56+'2017'!BA56</f>
        <v>25</v>
      </c>
      <c r="Q56" s="155">
        <f>'2017'!AU56</f>
        <v>20</v>
      </c>
      <c r="R56" s="155">
        <f t="shared" ref="R56:R63" si="109">AT56+AX56</f>
        <v>27</v>
      </c>
      <c r="S56" s="155">
        <f t="shared" ref="S56:S63" si="110">AV56</f>
        <v>29</v>
      </c>
      <c r="T56" s="155">
        <f t="shared" ref="T56:U63" si="111">BB56</f>
        <v>21</v>
      </c>
      <c r="U56" s="552">
        <f t="shared" si="111"/>
        <v>18</v>
      </c>
      <c r="V56" s="155">
        <f t="shared" ref="V56:V63" si="112">BG56+BJ56</f>
        <v>36</v>
      </c>
      <c r="W56" s="155">
        <f t="shared" ref="W56:W63" si="113">BR56</f>
        <v>18</v>
      </c>
      <c r="X56" s="155">
        <f t="shared" ref="X56:X63" si="114">BH56+BI56</f>
        <v>51</v>
      </c>
      <c r="Y56" s="155">
        <f t="shared" ref="Y56:Y63" si="115">BK56+BL56+BN56</f>
        <v>64</v>
      </c>
      <c r="Z56" s="155">
        <f t="shared" ref="Z56:Z63" si="116">BM56</f>
        <v>27</v>
      </c>
      <c r="AA56" s="155">
        <f t="shared" ref="AA56:AA63" si="117">BO56+BQ56</f>
        <v>34</v>
      </c>
      <c r="AB56" s="552">
        <f t="shared" ref="AB56:AB63" si="118">BP56</f>
        <v>26</v>
      </c>
      <c r="AC56" s="155">
        <f t="shared" ref="AC56:AC63" si="119">BX56</f>
        <v>26</v>
      </c>
      <c r="AD56" s="155">
        <f t="shared" ref="AD56:AD63" si="120">BU56</f>
        <v>19</v>
      </c>
      <c r="AE56" s="155">
        <f t="shared" ref="AE56:AE63" si="121">BS56+BT56</f>
        <v>55</v>
      </c>
      <c r="AF56" s="155">
        <f t="shared" ref="AF56:AF63" si="122">CA56</f>
        <v>26</v>
      </c>
      <c r="AG56" s="155">
        <f t="shared" ref="AG56:AG63" si="123">BV56</f>
        <v>23</v>
      </c>
      <c r="AH56" s="155">
        <f t="shared" ref="AH56:AH63" si="124">BZ56</f>
        <v>65</v>
      </c>
      <c r="AI56" s="155">
        <f t="shared" ref="AI56:AI63" si="125">BW56</f>
        <v>10</v>
      </c>
      <c r="AJ56" s="155">
        <f t="shared" ref="AJ56:AJ63" si="126">BY56</f>
        <v>25</v>
      </c>
      <c r="AK56" s="552">
        <f t="shared" ref="AK56:AK63" si="127">CB56</f>
        <v>37</v>
      </c>
      <c r="AL56" s="155">
        <f t="shared" ref="AL56:AL63" si="128">CE56</f>
        <v>53</v>
      </c>
      <c r="AM56" s="155">
        <f t="shared" ref="AM56:AM63" si="129">CH56</f>
        <v>31</v>
      </c>
      <c r="AN56" s="155">
        <f t="shared" ref="AN56:AN63" si="130">CJ56</f>
        <v>75</v>
      </c>
      <c r="AO56" s="155">
        <f t="shared" ref="AO56:AP63" si="131">CC56</f>
        <v>42</v>
      </c>
      <c r="AP56" s="155">
        <f t="shared" si="131"/>
        <v>22</v>
      </c>
      <c r="AQ56" s="155">
        <f t="shared" ref="AQ56:AQ63" si="132">CK56</f>
        <v>24</v>
      </c>
      <c r="AR56" s="155">
        <f t="shared" ref="AR56:AR63" si="133">CI56</f>
        <v>33</v>
      </c>
      <c r="AS56" s="156">
        <f t="shared" ref="AS56:AS63" si="134">CF56+CG56</f>
        <v>35</v>
      </c>
      <c r="AT56" s="155">
        <v>7</v>
      </c>
      <c r="AU56" s="155">
        <v>20</v>
      </c>
      <c r="AV56" s="155">
        <v>29</v>
      </c>
      <c r="AW56" s="155">
        <v>19</v>
      </c>
      <c r="AX56" s="155">
        <v>20</v>
      </c>
      <c r="AY56" s="155">
        <v>26</v>
      </c>
      <c r="AZ56" s="155">
        <v>5</v>
      </c>
      <c r="BA56" s="155">
        <v>20</v>
      </c>
      <c r="BB56" s="155">
        <v>21</v>
      </c>
      <c r="BC56" s="155">
        <v>18</v>
      </c>
      <c r="BD56" s="155">
        <v>36</v>
      </c>
      <c r="BE56" s="155">
        <v>13</v>
      </c>
      <c r="BF56" s="552">
        <v>42</v>
      </c>
      <c r="BG56" s="155">
        <v>7</v>
      </c>
      <c r="BH56" s="155">
        <v>9</v>
      </c>
      <c r="BI56" s="155">
        <v>42</v>
      </c>
      <c r="BJ56" s="155">
        <v>29</v>
      </c>
      <c r="BK56" s="155">
        <v>5</v>
      </c>
      <c r="BL56" s="155">
        <v>9</v>
      </c>
      <c r="BM56" s="155">
        <v>27</v>
      </c>
      <c r="BN56" s="155">
        <v>50</v>
      </c>
      <c r="BO56" s="155">
        <v>3</v>
      </c>
      <c r="BP56" s="155">
        <v>26</v>
      </c>
      <c r="BQ56" s="155">
        <v>31</v>
      </c>
      <c r="BR56" s="552">
        <v>18</v>
      </c>
      <c r="BS56" s="155">
        <v>7</v>
      </c>
      <c r="BT56" s="155">
        <v>48</v>
      </c>
      <c r="BU56" s="155">
        <v>19</v>
      </c>
      <c r="BV56" s="155">
        <v>23</v>
      </c>
      <c r="BW56" s="155">
        <v>10</v>
      </c>
      <c r="BX56" s="155">
        <v>26</v>
      </c>
      <c r="BY56" s="155">
        <v>25</v>
      </c>
      <c r="BZ56" s="155">
        <v>65</v>
      </c>
      <c r="CA56" s="155">
        <v>26</v>
      </c>
      <c r="CB56" s="552">
        <v>37</v>
      </c>
      <c r="CC56" s="155">
        <v>42</v>
      </c>
      <c r="CD56" s="155">
        <v>22</v>
      </c>
      <c r="CE56" s="155">
        <v>53</v>
      </c>
      <c r="CF56" s="155">
        <v>2</v>
      </c>
      <c r="CG56" s="155">
        <v>33</v>
      </c>
      <c r="CH56" s="155">
        <v>31</v>
      </c>
      <c r="CI56" s="155">
        <v>33</v>
      </c>
      <c r="CJ56" s="155">
        <v>75</v>
      </c>
      <c r="CK56" s="156">
        <v>24</v>
      </c>
      <c r="CL56" s="320">
        <v>1053</v>
      </c>
    </row>
    <row r="57" spans="1:90">
      <c r="A57" s="80">
        <f>ROWS($A$3:A55)</f>
        <v>53</v>
      </c>
      <c r="B57" s="92"/>
      <c r="C57" s="203"/>
      <c r="D57" s="259" t="s">
        <v>1</v>
      </c>
      <c r="E57" s="451"/>
      <c r="F57" s="154">
        <v>15463.820000000002</v>
      </c>
      <c r="G57" s="155">
        <v>18919.559999999998</v>
      </c>
      <c r="H57" s="155">
        <v>31775.83</v>
      </c>
      <c r="I57" s="156">
        <v>19250.93</v>
      </c>
      <c r="J57" s="281"/>
      <c r="K57" s="154">
        <f t="shared" si="104"/>
        <v>2049.35</v>
      </c>
      <c r="L57" s="155">
        <f t="shared" si="105"/>
        <v>833.36</v>
      </c>
      <c r="M57" s="155">
        <f t="shared" si="106"/>
        <v>1093.8499999999999</v>
      </c>
      <c r="N57" s="155">
        <f t="shared" si="107"/>
        <v>2876.77</v>
      </c>
      <c r="O57" s="155">
        <f t="shared" si="108"/>
        <v>1198.06</v>
      </c>
      <c r="P57" s="155">
        <f>'2017'!AZ57+'2017'!BA57</f>
        <v>489.16999999999996</v>
      </c>
      <c r="Q57" s="155">
        <f>'2017'!AU57</f>
        <v>733.65</v>
      </c>
      <c r="R57" s="155">
        <f t="shared" si="109"/>
        <v>1999.5900000000001</v>
      </c>
      <c r="S57" s="155">
        <f t="shared" si="110"/>
        <v>2320.5700000000002</v>
      </c>
      <c r="T57" s="155">
        <f t="shared" si="111"/>
        <v>486.16</v>
      </c>
      <c r="U57" s="552">
        <f t="shared" si="111"/>
        <v>1383.29</v>
      </c>
      <c r="V57" s="155">
        <f t="shared" si="112"/>
        <v>4719.47</v>
      </c>
      <c r="W57" s="155">
        <f t="shared" si="113"/>
        <v>1205.5999999999999</v>
      </c>
      <c r="X57" s="155">
        <f t="shared" si="114"/>
        <v>3946.0600000000004</v>
      </c>
      <c r="Y57" s="155">
        <f t="shared" si="115"/>
        <v>3814.47</v>
      </c>
      <c r="Z57" s="155">
        <f t="shared" si="116"/>
        <v>1069.8900000000001</v>
      </c>
      <c r="AA57" s="155">
        <f t="shared" si="117"/>
        <v>1932.98</v>
      </c>
      <c r="AB57" s="552">
        <f t="shared" si="118"/>
        <v>2231.09</v>
      </c>
      <c r="AC57" s="155">
        <f t="shared" si="119"/>
        <v>2085.39</v>
      </c>
      <c r="AD57" s="155">
        <f t="shared" si="120"/>
        <v>3872.7</v>
      </c>
      <c r="AE57" s="155">
        <f t="shared" si="121"/>
        <v>6340.75</v>
      </c>
      <c r="AF57" s="155">
        <f t="shared" si="122"/>
        <v>6162.82</v>
      </c>
      <c r="AG57" s="155">
        <f t="shared" si="123"/>
        <v>3109.84</v>
      </c>
      <c r="AH57" s="155">
        <f t="shared" si="124"/>
        <v>3673.25</v>
      </c>
      <c r="AI57" s="155">
        <f t="shared" si="125"/>
        <v>437.31</v>
      </c>
      <c r="AJ57" s="155">
        <f t="shared" si="126"/>
        <v>2443.5100000000002</v>
      </c>
      <c r="AK57" s="552">
        <f t="shared" si="127"/>
        <v>3650.26</v>
      </c>
      <c r="AL57" s="155">
        <f t="shared" si="128"/>
        <v>1561.57</v>
      </c>
      <c r="AM57" s="155">
        <f t="shared" si="129"/>
        <v>3592.83</v>
      </c>
      <c r="AN57" s="155">
        <f t="shared" si="130"/>
        <v>5858.03</v>
      </c>
      <c r="AO57" s="155">
        <f t="shared" si="131"/>
        <v>1973.33</v>
      </c>
      <c r="AP57" s="155">
        <f t="shared" si="131"/>
        <v>1193.76</v>
      </c>
      <c r="AQ57" s="155">
        <f t="shared" si="132"/>
        <v>1966.14</v>
      </c>
      <c r="AR57" s="155">
        <f t="shared" si="133"/>
        <v>1204.5</v>
      </c>
      <c r="AS57" s="156">
        <f t="shared" si="134"/>
        <v>1900.77</v>
      </c>
      <c r="AT57" s="155">
        <v>1353.19</v>
      </c>
      <c r="AU57" s="155">
        <v>733.65</v>
      </c>
      <c r="AV57" s="155">
        <v>2320.5700000000002</v>
      </c>
      <c r="AW57" s="155">
        <v>2876.77</v>
      </c>
      <c r="AX57" s="155">
        <v>646.4</v>
      </c>
      <c r="AY57" s="155">
        <v>833.36</v>
      </c>
      <c r="AZ57" s="155">
        <v>97.85</v>
      </c>
      <c r="BA57" s="155">
        <v>391.32</v>
      </c>
      <c r="BB57" s="155">
        <v>486.16</v>
      </c>
      <c r="BC57" s="155">
        <v>1383.29</v>
      </c>
      <c r="BD57" s="155">
        <v>1093.8499999999999</v>
      </c>
      <c r="BE57" s="155">
        <v>1198.06</v>
      </c>
      <c r="BF57" s="552">
        <v>2049.35</v>
      </c>
      <c r="BG57" s="155">
        <v>692.82</v>
      </c>
      <c r="BH57" s="155">
        <v>728.74</v>
      </c>
      <c r="BI57" s="155">
        <v>3217.32</v>
      </c>
      <c r="BJ57" s="155">
        <v>4026.65</v>
      </c>
      <c r="BK57" s="155">
        <v>85.43</v>
      </c>
      <c r="BL57" s="155">
        <v>699.57</v>
      </c>
      <c r="BM57" s="155">
        <v>1069.8900000000001</v>
      </c>
      <c r="BN57" s="155">
        <v>3029.47</v>
      </c>
      <c r="BO57" s="155">
        <v>196.8</v>
      </c>
      <c r="BP57" s="155">
        <v>2231.09</v>
      </c>
      <c r="BQ57" s="155">
        <v>1736.18</v>
      </c>
      <c r="BR57" s="552">
        <v>1205.5999999999999</v>
      </c>
      <c r="BS57" s="155">
        <v>683.11</v>
      </c>
      <c r="BT57" s="155">
        <v>5657.64</v>
      </c>
      <c r="BU57" s="155">
        <v>3872.7</v>
      </c>
      <c r="BV57" s="155">
        <v>3109.84</v>
      </c>
      <c r="BW57" s="155">
        <v>437.31</v>
      </c>
      <c r="BX57" s="155">
        <v>2085.39</v>
      </c>
      <c r="BY57" s="155">
        <v>2443.5100000000002</v>
      </c>
      <c r="BZ57" s="155">
        <v>3673.25</v>
      </c>
      <c r="CA57" s="155">
        <v>6162.82</v>
      </c>
      <c r="CB57" s="552">
        <v>3650.26</v>
      </c>
      <c r="CC57" s="155">
        <v>1973.33</v>
      </c>
      <c r="CD57" s="155">
        <v>1193.76</v>
      </c>
      <c r="CE57" s="155">
        <v>1561.57</v>
      </c>
      <c r="CF57" s="155">
        <v>137.05000000000001</v>
      </c>
      <c r="CG57" s="155">
        <v>1763.72</v>
      </c>
      <c r="CH57" s="155">
        <v>3592.83</v>
      </c>
      <c r="CI57" s="155">
        <v>1204.5</v>
      </c>
      <c r="CJ57" s="155">
        <v>5858.03</v>
      </c>
      <c r="CK57" s="156">
        <v>1966.14</v>
      </c>
      <c r="CL57" s="320">
        <v>85410</v>
      </c>
    </row>
    <row r="58" spans="1:90">
      <c r="A58" s="80">
        <f>ROWS($A$3:A56)</f>
        <v>54</v>
      </c>
      <c r="B58" s="92" t="s">
        <v>231</v>
      </c>
      <c r="C58" s="202">
        <v>2017</v>
      </c>
      <c r="D58" s="259" t="s">
        <v>13</v>
      </c>
      <c r="E58" s="447">
        <v>43320</v>
      </c>
      <c r="F58" s="154">
        <v>56</v>
      </c>
      <c r="G58" s="155">
        <v>53</v>
      </c>
      <c r="H58" s="155">
        <v>67</v>
      </c>
      <c r="I58" s="156">
        <v>62</v>
      </c>
      <c r="J58" s="281"/>
      <c r="K58" s="154">
        <f t="shared" si="104"/>
        <v>14</v>
      </c>
      <c r="L58" s="155">
        <f t="shared" si="105"/>
        <v>5</v>
      </c>
      <c r="M58" s="155">
        <f t="shared" si="106"/>
        <v>11</v>
      </c>
      <c r="N58" s="155">
        <f t="shared" si="107"/>
        <v>10</v>
      </c>
      <c r="O58" s="155">
        <f t="shared" si="108"/>
        <v>7</v>
      </c>
      <c r="P58" s="155">
        <f>'2017'!AZ58+'2017'!BA58</f>
        <v>12</v>
      </c>
      <c r="Q58" s="155">
        <f>'2017'!AU58</f>
        <v>5</v>
      </c>
      <c r="R58" s="155">
        <f t="shared" si="109"/>
        <v>10</v>
      </c>
      <c r="S58" s="155">
        <f t="shared" si="110"/>
        <v>7</v>
      </c>
      <c r="T58" s="155">
        <f t="shared" si="111"/>
        <v>7</v>
      </c>
      <c r="U58" s="552">
        <f t="shared" si="111"/>
        <v>13</v>
      </c>
      <c r="V58" s="155">
        <f t="shared" si="112"/>
        <v>18</v>
      </c>
      <c r="W58" s="155">
        <f t="shared" si="113"/>
        <v>8</v>
      </c>
      <c r="X58" s="155">
        <f t="shared" si="114"/>
        <v>26</v>
      </c>
      <c r="Y58" s="155">
        <f t="shared" si="115"/>
        <v>19</v>
      </c>
      <c r="Z58" s="155">
        <f t="shared" si="116"/>
        <v>8</v>
      </c>
      <c r="AA58" s="155">
        <f t="shared" si="117"/>
        <v>12</v>
      </c>
      <c r="AB58" s="552">
        <f t="shared" si="118"/>
        <v>9</v>
      </c>
      <c r="AC58" s="155">
        <f t="shared" si="119"/>
        <v>8</v>
      </c>
      <c r="AD58" s="155">
        <f t="shared" si="120"/>
        <v>10</v>
      </c>
      <c r="AE58" s="155">
        <f t="shared" si="121"/>
        <v>21</v>
      </c>
      <c r="AF58" s="155">
        <f t="shared" si="122"/>
        <v>9</v>
      </c>
      <c r="AG58" s="155">
        <f t="shared" si="123"/>
        <v>15</v>
      </c>
      <c r="AH58" s="155">
        <f t="shared" si="124"/>
        <v>10</v>
      </c>
      <c r="AI58" s="155">
        <f t="shared" si="125"/>
        <v>8</v>
      </c>
      <c r="AJ58" s="155">
        <f t="shared" si="126"/>
        <v>8</v>
      </c>
      <c r="AK58" s="552">
        <f t="shared" si="127"/>
        <v>14</v>
      </c>
      <c r="AL58" s="155">
        <f t="shared" si="128"/>
        <v>17</v>
      </c>
      <c r="AM58" s="155">
        <f t="shared" si="129"/>
        <v>10</v>
      </c>
      <c r="AN58" s="155">
        <f t="shared" si="130"/>
        <v>17</v>
      </c>
      <c r="AO58" s="155">
        <f t="shared" si="131"/>
        <v>14</v>
      </c>
      <c r="AP58" s="155">
        <f t="shared" si="131"/>
        <v>6</v>
      </c>
      <c r="AQ58" s="155">
        <f t="shared" si="132"/>
        <v>12</v>
      </c>
      <c r="AR58" s="155">
        <f t="shared" si="133"/>
        <v>10</v>
      </c>
      <c r="AS58" s="156">
        <f t="shared" si="134"/>
        <v>12</v>
      </c>
      <c r="AT58" s="155">
        <v>3</v>
      </c>
      <c r="AU58" s="155">
        <v>5</v>
      </c>
      <c r="AV58" s="281">
        <v>7</v>
      </c>
      <c r="AW58" s="281">
        <v>10</v>
      </c>
      <c r="AX58" s="281">
        <v>7</v>
      </c>
      <c r="AY58" s="281">
        <v>5</v>
      </c>
      <c r="AZ58" s="281">
        <v>3</v>
      </c>
      <c r="BA58" s="281">
        <v>9</v>
      </c>
      <c r="BB58" s="281">
        <v>7</v>
      </c>
      <c r="BC58" s="281">
        <v>13</v>
      </c>
      <c r="BD58" s="281">
        <v>11</v>
      </c>
      <c r="BE58" s="281">
        <v>7</v>
      </c>
      <c r="BF58" s="552">
        <v>14</v>
      </c>
      <c r="BG58" s="281">
        <v>6</v>
      </c>
      <c r="BH58" s="281">
        <v>9</v>
      </c>
      <c r="BI58" s="281">
        <v>17</v>
      </c>
      <c r="BJ58" s="281">
        <v>12</v>
      </c>
      <c r="BK58" s="281">
        <v>3</v>
      </c>
      <c r="BL58" s="281">
        <v>3</v>
      </c>
      <c r="BM58" s="281">
        <v>8</v>
      </c>
      <c r="BN58" s="281">
        <v>13</v>
      </c>
      <c r="BO58" s="281">
        <v>3</v>
      </c>
      <c r="BP58" s="281">
        <v>9</v>
      </c>
      <c r="BQ58" s="281">
        <v>9</v>
      </c>
      <c r="BR58" s="552">
        <v>8</v>
      </c>
      <c r="BS58" s="281">
        <v>4</v>
      </c>
      <c r="BT58" s="281">
        <v>17</v>
      </c>
      <c r="BU58" s="281">
        <v>10</v>
      </c>
      <c r="BV58" s="281">
        <v>15</v>
      </c>
      <c r="BW58" s="281">
        <v>8</v>
      </c>
      <c r="BX58" s="281">
        <v>8</v>
      </c>
      <c r="BY58" s="281">
        <v>8</v>
      </c>
      <c r="BZ58" s="281">
        <v>10</v>
      </c>
      <c r="CA58" s="281">
        <v>9</v>
      </c>
      <c r="CB58" s="552">
        <v>14</v>
      </c>
      <c r="CC58" s="281">
        <v>14</v>
      </c>
      <c r="CD58" s="281">
        <v>6</v>
      </c>
      <c r="CE58" s="281">
        <v>17</v>
      </c>
      <c r="CF58" s="281">
        <v>2</v>
      </c>
      <c r="CG58" s="281">
        <v>10</v>
      </c>
      <c r="CH58" s="281">
        <v>10</v>
      </c>
      <c r="CI58" s="281">
        <v>10</v>
      </c>
      <c r="CJ58" s="281">
        <v>17</v>
      </c>
      <c r="CK58" s="156">
        <v>12</v>
      </c>
      <c r="CL58" s="320">
        <v>402</v>
      </c>
    </row>
    <row r="59" spans="1:90">
      <c r="A59" s="80">
        <f>ROWS($A$3:A57)</f>
        <v>55</v>
      </c>
      <c r="B59" s="92"/>
      <c r="C59" s="203"/>
      <c r="D59" s="259" t="s">
        <v>1</v>
      </c>
      <c r="E59" s="451"/>
      <c r="F59" s="154">
        <v>92886.09</v>
      </c>
      <c r="G59" s="155">
        <v>97087.23</v>
      </c>
      <c r="H59" s="155">
        <v>131824.76</v>
      </c>
      <c r="I59" s="156">
        <v>94398.21</v>
      </c>
      <c r="J59" s="281"/>
      <c r="K59" s="154">
        <f t="shared" si="104"/>
        <v>10643.2</v>
      </c>
      <c r="L59" s="155">
        <f t="shared" si="105"/>
        <v>3098.68</v>
      </c>
      <c r="M59" s="155">
        <f t="shared" si="106"/>
        <v>8245.14</v>
      </c>
      <c r="N59" s="155">
        <f t="shared" si="107"/>
        <v>9496.2800000000007</v>
      </c>
      <c r="O59" s="155">
        <f t="shared" si="108"/>
        <v>7393.99</v>
      </c>
      <c r="P59" s="155">
        <f>'2017'!AZ59+'2017'!BA59</f>
        <v>11698.43</v>
      </c>
      <c r="Q59" s="155">
        <f>'2017'!AU59</f>
        <v>6896.52</v>
      </c>
      <c r="R59" s="155">
        <f t="shared" si="109"/>
        <v>10392.049999999999</v>
      </c>
      <c r="S59" s="155">
        <f t="shared" si="110"/>
        <v>9003.27</v>
      </c>
      <c r="T59" s="155">
        <f t="shared" si="111"/>
        <v>8639.6</v>
      </c>
      <c r="U59" s="552">
        <f t="shared" si="111"/>
        <v>7378.93</v>
      </c>
      <c r="V59" s="155">
        <f t="shared" si="112"/>
        <v>14717.449999999999</v>
      </c>
      <c r="W59" s="155">
        <f t="shared" si="113"/>
        <v>5689.58</v>
      </c>
      <c r="X59" s="155">
        <f t="shared" si="114"/>
        <v>30262.28</v>
      </c>
      <c r="Y59" s="155">
        <f t="shared" si="115"/>
        <v>19464.09</v>
      </c>
      <c r="Z59" s="155">
        <f t="shared" si="116"/>
        <v>9682.59</v>
      </c>
      <c r="AA59" s="155">
        <f t="shared" si="117"/>
        <v>11875.439999999999</v>
      </c>
      <c r="AB59" s="552">
        <f t="shared" si="118"/>
        <v>5395.8</v>
      </c>
      <c r="AC59" s="155">
        <f t="shared" si="119"/>
        <v>8405.73</v>
      </c>
      <c r="AD59" s="155">
        <f t="shared" si="120"/>
        <v>10416.6</v>
      </c>
      <c r="AE59" s="155">
        <f t="shared" si="121"/>
        <v>22673.43</v>
      </c>
      <c r="AF59" s="155">
        <f t="shared" si="122"/>
        <v>15996.52</v>
      </c>
      <c r="AG59" s="155">
        <f t="shared" si="123"/>
        <v>18434.68</v>
      </c>
      <c r="AH59" s="155">
        <f t="shared" si="124"/>
        <v>14801.79</v>
      </c>
      <c r="AI59" s="155">
        <f t="shared" si="125"/>
        <v>6042.95</v>
      </c>
      <c r="AJ59" s="155">
        <f t="shared" si="126"/>
        <v>12424.69</v>
      </c>
      <c r="AK59" s="552">
        <f t="shared" si="127"/>
        <v>22628.37</v>
      </c>
      <c r="AL59" s="155">
        <f t="shared" si="128"/>
        <v>12331.86</v>
      </c>
      <c r="AM59" s="155">
        <f t="shared" si="129"/>
        <v>8167.26</v>
      </c>
      <c r="AN59" s="155">
        <f t="shared" si="130"/>
        <v>12906.61</v>
      </c>
      <c r="AO59" s="155">
        <f t="shared" si="131"/>
        <v>22493.63</v>
      </c>
      <c r="AP59" s="155">
        <f t="shared" si="131"/>
        <v>13110.55</v>
      </c>
      <c r="AQ59" s="155">
        <f t="shared" si="132"/>
        <v>9806.56</v>
      </c>
      <c r="AR59" s="155">
        <f t="shared" si="133"/>
        <v>3969.88</v>
      </c>
      <c r="AS59" s="156">
        <f t="shared" si="134"/>
        <v>11611.86</v>
      </c>
      <c r="AT59" s="155">
        <v>2316.5100000000002</v>
      </c>
      <c r="AU59" s="155">
        <v>6896.52</v>
      </c>
      <c r="AV59" s="155">
        <v>9003.27</v>
      </c>
      <c r="AW59" s="155">
        <v>9496.2800000000007</v>
      </c>
      <c r="AX59" s="155">
        <v>8075.54</v>
      </c>
      <c r="AY59" s="155">
        <v>3098.68</v>
      </c>
      <c r="AZ59" s="155">
        <v>1051.77</v>
      </c>
      <c r="BA59" s="155">
        <v>10646.66</v>
      </c>
      <c r="BB59" s="155">
        <v>8639.6</v>
      </c>
      <c r="BC59" s="155">
        <v>7378.93</v>
      </c>
      <c r="BD59" s="155">
        <v>8245.14</v>
      </c>
      <c r="BE59" s="155">
        <v>7393.99</v>
      </c>
      <c r="BF59" s="552">
        <v>10643.2</v>
      </c>
      <c r="BG59" s="155">
        <v>1534.48</v>
      </c>
      <c r="BH59" s="155">
        <v>4372.6400000000003</v>
      </c>
      <c r="BI59" s="155">
        <v>25889.64</v>
      </c>
      <c r="BJ59" s="155">
        <v>13182.97</v>
      </c>
      <c r="BK59" s="155">
        <v>2350.92</v>
      </c>
      <c r="BL59" s="155">
        <v>1630.33</v>
      </c>
      <c r="BM59" s="155">
        <v>9682.59</v>
      </c>
      <c r="BN59" s="155">
        <v>15482.84</v>
      </c>
      <c r="BO59" s="155">
        <v>1427.79</v>
      </c>
      <c r="BP59" s="155">
        <v>5395.8</v>
      </c>
      <c r="BQ59" s="155">
        <v>10447.65</v>
      </c>
      <c r="BR59" s="552">
        <v>5689.58</v>
      </c>
      <c r="BS59" s="155">
        <v>3178.13</v>
      </c>
      <c r="BT59" s="155">
        <v>19495.3</v>
      </c>
      <c r="BU59" s="155">
        <v>10416.6</v>
      </c>
      <c r="BV59" s="155">
        <v>18434.68</v>
      </c>
      <c r="BW59" s="155">
        <v>6042.95</v>
      </c>
      <c r="BX59" s="155">
        <v>8405.73</v>
      </c>
      <c r="BY59" s="155">
        <v>12424.69</v>
      </c>
      <c r="BZ59" s="155">
        <v>14801.79</v>
      </c>
      <c r="CA59" s="155">
        <v>15996.52</v>
      </c>
      <c r="CB59" s="552">
        <v>22628.37</v>
      </c>
      <c r="CC59" s="155">
        <v>22493.63</v>
      </c>
      <c r="CD59" s="155">
        <v>13110.55</v>
      </c>
      <c r="CE59" s="155">
        <v>12331.86</v>
      </c>
      <c r="CF59" s="155">
        <v>567.24</v>
      </c>
      <c r="CG59" s="155">
        <v>11044.62</v>
      </c>
      <c r="CH59" s="155">
        <v>8167.26</v>
      </c>
      <c r="CI59" s="155">
        <v>3969.88</v>
      </c>
      <c r="CJ59" s="155">
        <v>12906.61</v>
      </c>
      <c r="CK59" s="156">
        <v>9806.56</v>
      </c>
      <c r="CL59" s="320">
        <v>416196.28999999992</v>
      </c>
    </row>
    <row r="60" spans="1:90">
      <c r="A60" s="80">
        <f>ROWS($A$3:A58)</f>
        <v>56</v>
      </c>
      <c r="B60" s="92" t="s">
        <v>232</v>
      </c>
      <c r="C60" s="202">
        <v>2017</v>
      </c>
      <c r="D60" s="259" t="s">
        <v>13</v>
      </c>
      <c r="E60" s="447">
        <v>43320</v>
      </c>
      <c r="F60" s="154">
        <v>21</v>
      </c>
      <c r="G60" s="281">
        <v>23</v>
      </c>
      <c r="H60" s="281">
        <v>34</v>
      </c>
      <c r="I60" s="156">
        <v>23</v>
      </c>
      <c r="J60" s="281"/>
      <c r="K60" s="154">
        <f t="shared" si="104"/>
        <v>6</v>
      </c>
      <c r="L60" s="155">
        <f t="shared" si="105"/>
        <v>2</v>
      </c>
      <c r="M60" s="155">
        <f t="shared" si="106"/>
        <v>2</v>
      </c>
      <c r="N60" s="155">
        <f t="shared" si="107"/>
        <v>3</v>
      </c>
      <c r="O60" s="155">
        <f t="shared" si="108"/>
        <v>3</v>
      </c>
      <c r="P60" s="155">
        <f>'2017'!AZ60+'2017'!BA60</f>
        <v>3</v>
      </c>
      <c r="Q60" s="155">
        <f>'2017'!AU60</f>
        <v>1</v>
      </c>
      <c r="R60" s="155">
        <f t="shared" si="109"/>
        <v>5</v>
      </c>
      <c r="S60" s="155">
        <f t="shared" si="110"/>
        <v>4</v>
      </c>
      <c r="T60" s="155">
        <f t="shared" si="111"/>
        <v>2</v>
      </c>
      <c r="U60" s="552">
        <f t="shared" si="111"/>
        <v>3</v>
      </c>
      <c r="V60" s="155">
        <f t="shared" si="112"/>
        <v>6</v>
      </c>
      <c r="W60" s="155">
        <f t="shared" si="113"/>
        <v>1</v>
      </c>
      <c r="X60" s="155">
        <f t="shared" si="114"/>
        <v>10</v>
      </c>
      <c r="Y60" s="155">
        <f t="shared" si="115"/>
        <v>9</v>
      </c>
      <c r="Z60" s="155">
        <f t="shared" si="116"/>
        <v>3</v>
      </c>
      <c r="AA60" s="155">
        <f t="shared" si="117"/>
        <v>3</v>
      </c>
      <c r="AB60" s="552">
        <f t="shared" si="118"/>
        <v>2</v>
      </c>
      <c r="AC60" s="155">
        <f t="shared" si="119"/>
        <v>3</v>
      </c>
      <c r="AD60" s="155">
        <f t="shared" si="120"/>
        <v>7</v>
      </c>
      <c r="AE60" s="155">
        <f t="shared" si="121"/>
        <v>14</v>
      </c>
      <c r="AF60" s="155">
        <f t="shared" si="122"/>
        <v>3</v>
      </c>
      <c r="AG60" s="155">
        <f t="shared" si="123"/>
        <v>12</v>
      </c>
      <c r="AH60" s="155">
        <f t="shared" si="124"/>
        <v>6</v>
      </c>
      <c r="AI60" s="155">
        <f t="shared" si="125"/>
        <v>6</v>
      </c>
      <c r="AJ60" s="155">
        <f t="shared" si="126"/>
        <v>3</v>
      </c>
      <c r="AK60" s="552">
        <f t="shared" si="127"/>
        <v>2</v>
      </c>
      <c r="AL60" s="155">
        <f t="shared" si="128"/>
        <v>3</v>
      </c>
      <c r="AM60" s="155">
        <f t="shared" si="129"/>
        <v>3</v>
      </c>
      <c r="AN60" s="155">
        <f t="shared" si="130"/>
        <v>7</v>
      </c>
      <c r="AO60" s="155">
        <f t="shared" si="131"/>
        <v>3</v>
      </c>
      <c r="AP60" s="155">
        <f t="shared" si="131"/>
        <v>5</v>
      </c>
      <c r="AQ60" s="155">
        <f t="shared" si="132"/>
        <v>3</v>
      </c>
      <c r="AR60" s="155">
        <f t="shared" si="133"/>
        <v>3</v>
      </c>
      <c r="AS60" s="156">
        <f t="shared" si="134"/>
        <v>6</v>
      </c>
      <c r="AT60" s="155">
        <v>1</v>
      </c>
      <c r="AU60" s="281">
        <v>1</v>
      </c>
      <c r="AV60" s="281">
        <v>4</v>
      </c>
      <c r="AW60" s="281">
        <v>3</v>
      </c>
      <c r="AX60" s="281">
        <v>4</v>
      </c>
      <c r="AY60" s="281">
        <v>2</v>
      </c>
      <c r="AZ60" s="281"/>
      <c r="BA60" s="281">
        <v>3</v>
      </c>
      <c r="BB60" s="281">
        <v>2</v>
      </c>
      <c r="BC60" s="281">
        <v>3</v>
      </c>
      <c r="BD60" s="281">
        <v>2</v>
      </c>
      <c r="BE60" s="281">
        <v>3</v>
      </c>
      <c r="BF60" s="552">
        <v>6</v>
      </c>
      <c r="BG60" s="281">
        <v>1</v>
      </c>
      <c r="BH60" s="281">
        <v>4</v>
      </c>
      <c r="BI60" s="281">
        <v>6</v>
      </c>
      <c r="BJ60" s="281">
        <v>5</v>
      </c>
      <c r="BK60" s="281">
        <v>1</v>
      </c>
      <c r="BL60" s="281">
        <v>1</v>
      </c>
      <c r="BM60" s="281">
        <v>3</v>
      </c>
      <c r="BN60" s="281">
        <v>7</v>
      </c>
      <c r="BO60" s="281"/>
      <c r="BP60" s="281">
        <v>2</v>
      </c>
      <c r="BQ60" s="281">
        <v>3</v>
      </c>
      <c r="BR60" s="552">
        <v>1</v>
      </c>
      <c r="BS60" s="281">
        <v>3</v>
      </c>
      <c r="BT60" s="281">
        <v>11</v>
      </c>
      <c r="BU60" s="281">
        <v>7</v>
      </c>
      <c r="BV60" s="281">
        <v>12</v>
      </c>
      <c r="BW60" s="281">
        <v>6</v>
      </c>
      <c r="BX60" s="281">
        <v>3</v>
      </c>
      <c r="BY60" s="281">
        <v>3</v>
      </c>
      <c r="BZ60" s="281">
        <v>6</v>
      </c>
      <c r="CA60" s="281">
        <v>3</v>
      </c>
      <c r="CB60" s="552">
        <v>2</v>
      </c>
      <c r="CC60" s="281">
        <v>3</v>
      </c>
      <c r="CD60" s="281">
        <v>5</v>
      </c>
      <c r="CE60" s="281">
        <v>3</v>
      </c>
      <c r="CF60" s="281">
        <v>1</v>
      </c>
      <c r="CG60" s="281">
        <v>5</v>
      </c>
      <c r="CH60" s="281">
        <v>3</v>
      </c>
      <c r="CI60" s="281">
        <v>3</v>
      </c>
      <c r="CJ60" s="281">
        <v>7</v>
      </c>
      <c r="CK60" s="156">
        <v>3</v>
      </c>
      <c r="CL60" s="320">
        <v>157</v>
      </c>
    </row>
    <row r="61" spans="1:90">
      <c r="A61" s="80">
        <f>ROWS($A$3:A59)</f>
        <v>57</v>
      </c>
      <c r="B61" s="52"/>
      <c r="C61" s="203"/>
      <c r="D61" s="259" t="s">
        <v>1</v>
      </c>
      <c r="E61" s="451"/>
      <c r="F61" s="154">
        <v>69128.23</v>
      </c>
      <c r="G61" s="155">
        <v>56214.11</v>
      </c>
      <c r="H61" s="155">
        <v>183150.05</v>
      </c>
      <c r="I61" s="156">
        <v>83744.039999999994</v>
      </c>
      <c r="J61" s="281"/>
      <c r="K61" s="154">
        <f t="shared" si="104"/>
        <v>3640.6</v>
      </c>
      <c r="L61" s="155">
        <f t="shared" si="105"/>
        <v>2438.31</v>
      </c>
      <c r="M61" s="155">
        <f t="shared" si="106"/>
        <v>2646.18</v>
      </c>
      <c r="N61" s="155">
        <f t="shared" si="107"/>
        <v>18786.78</v>
      </c>
      <c r="O61" s="155">
        <f t="shared" si="108"/>
        <v>7507.33</v>
      </c>
      <c r="P61" s="155">
        <f>'2017'!AZ61+'2017'!BA61</f>
        <v>2511.94</v>
      </c>
      <c r="Q61" s="155">
        <f>'2017'!AU61</f>
        <v>5384.64</v>
      </c>
      <c r="R61" s="155">
        <f t="shared" si="109"/>
        <v>6609.3</v>
      </c>
      <c r="S61" s="155">
        <f t="shared" si="110"/>
        <v>17681.96</v>
      </c>
      <c r="T61" s="155">
        <f t="shared" si="111"/>
        <v>713.74</v>
      </c>
      <c r="U61" s="552">
        <f t="shared" si="111"/>
        <v>1207.45</v>
      </c>
      <c r="V61" s="155">
        <f t="shared" si="112"/>
        <v>14511.39</v>
      </c>
      <c r="W61" s="155">
        <f t="shared" si="113"/>
        <v>17414.150000000001</v>
      </c>
      <c r="X61" s="155">
        <f t="shared" si="114"/>
        <v>12530.210000000001</v>
      </c>
      <c r="Y61" s="155">
        <f t="shared" si="115"/>
        <v>6488.93</v>
      </c>
      <c r="Z61" s="155">
        <f t="shared" si="116"/>
        <v>218.49</v>
      </c>
      <c r="AA61" s="155">
        <f t="shared" si="117"/>
        <v>2407.1</v>
      </c>
      <c r="AB61" s="552">
        <f t="shared" si="118"/>
        <v>2643.84</v>
      </c>
      <c r="AC61" s="155">
        <f t="shared" si="119"/>
        <v>50305.78</v>
      </c>
      <c r="AD61" s="155">
        <f t="shared" si="120"/>
        <v>12559.86</v>
      </c>
      <c r="AE61" s="155">
        <f t="shared" si="121"/>
        <v>30291.61</v>
      </c>
      <c r="AF61" s="155">
        <f t="shared" si="122"/>
        <v>11381.72</v>
      </c>
      <c r="AG61" s="155">
        <f t="shared" si="123"/>
        <v>27567.38</v>
      </c>
      <c r="AH61" s="155">
        <f t="shared" si="124"/>
        <v>9555.84</v>
      </c>
      <c r="AI61" s="155">
        <f t="shared" si="125"/>
        <v>3426.68</v>
      </c>
      <c r="AJ61" s="155">
        <f t="shared" si="126"/>
        <v>20646.07</v>
      </c>
      <c r="AK61" s="552">
        <f t="shared" si="127"/>
        <v>17415.11</v>
      </c>
      <c r="AL61" s="155">
        <f t="shared" si="128"/>
        <v>19750.669999999998</v>
      </c>
      <c r="AM61" s="155">
        <f t="shared" si="129"/>
        <v>2982.45</v>
      </c>
      <c r="AN61" s="155">
        <f t="shared" si="130"/>
        <v>8762.36</v>
      </c>
      <c r="AO61" s="155">
        <f t="shared" si="131"/>
        <v>21889.26</v>
      </c>
      <c r="AP61" s="155">
        <f t="shared" si="131"/>
        <v>13710.3</v>
      </c>
      <c r="AQ61" s="155">
        <f t="shared" si="132"/>
        <v>8600.44</v>
      </c>
      <c r="AR61" s="155">
        <f t="shared" si="133"/>
        <v>882.97</v>
      </c>
      <c r="AS61" s="156">
        <f t="shared" si="134"/>
        <v>7165.59</v>
      </c>
      <c r="AT61" s="155">
        <v>3.01</v>
      </c>
      <c r="AU61" s="155">
        <v>5384.64</v>
      </c>
      <c r="AV61" s="155">
        <v>17681.96</v>
      </c>
      <c r="AW61" s="155">
        <v>18786.78</v>
      </c>
      <c r="AX61" s="155">
        <v>6606.29</v>
      </c>
      <c r="AY61" s="155">
        <v>2438.31</v>
      </c>
      <c r="AZ61" s="155"/>
      <c r="BA61" s="155">
        <v>2511.94</v>
      </c>
      <c r="BB61" s="155">
        <v>713.74</v>
      </c>
      <c r="BC61" s="155">
        <v>1207.45</v>
      </c>
      <c r="BD61" s="155">
        <v>2646.18</v>
      </c>
      <c r="BE61" s="155">
        <v>7507.33</v>
      </c>
      <c r="BF61" s="552">
        <v>3640.6</v>
      </c>
      <c r="BG61" s="155">
        <v>365.57</v>
      </c>
      <c r="BH61" s="155">
        <v>2893.59</v>
      </c>
      <c r="BI61" s="155">
        <v>9636.6200000000008</v>
      </c>
      <c r="BJ61" s="155">
        <v>14145.82</v>
      </c>
      <c r="BK61" s="155">
        <v>3.96</v>
      </c>
      <c r="BL61" s="155">
        <v>418.25</v>
      </c>
      <c r="BM61" s="155">
        <v>218.49</v>
      </c>
      <c r="BN61" s="155">
        <v>6066.72</v>
      </c>
      <c r="BO61" s="155"/>
      <c r="BP61" s="155">
        <v>2643.84</v>
      </c>
      <c r="BQ61" s="155">
        <v>2407.1</v>
      </c>
      <c r="BR61" s="552">
        <v>17414.150000000001</v>
      </c>
      <c r="BS61" s="155">
        <v>2995.61</v>
      </c>
      <c r="BT61" s="155">
        <v>27296</v>
      </c>
      <c r="BU61" s="155">
        <v>12559.86</v>
      </c>
      <c r="BV61" s="155">
        <v>27567.38</v>
      </c>
      <c r="BW61" s="155">
        <v>3426.68</v>
      </c>
      <c r="BX61" s="155">
        <v>50305.78</v>
      </c>
      <c r="BY61" s="155">
        <v>20646.07</v>
      </c>
      <c r="BZ61" s="155">
        <v>9555.84</v>
      </c>
      <c r="CA61" s="155">
        <v>11381.72</v>
      </c>
      <c r="CB61" s="552">
        <v>17415.11</v>
      </c>
      <c r="CC61" s="155">
        <v>21889.26</v>
      </c>
      <c r="CD61" s="155">
        <v>13710.3</v>
      </c>
      <c r="CE61" s="155">
        <v>19750.669999999998</v>
      </c>
      <c r="CF61" s="155">
        <v>132.03</v>
      </c>
      <c r="CG61" s="155">
        <v>7033.56</v>
      </c>
      <c r="CH61" s="155">
        <v>2982.45</v>
      </c>
      <c r="CI61" s="155">
        <v>882.97</v>
      </c>
      <c r="CJ61" s="155">
        <v>8762.36</v>
      </c>
      <c r="CK61" s="156">
        <v>8600.44</v>
      </c>
      <c r="CL61" s="320">
        <v>392236.42999999993</v>
      </c>
    </row>
    <row r="62" spans="1:90">
      <c r="A62" s="80">
        <f>ROWS($A$3:A60)</f>
        <v>58</v>
      </c>
      <c r="B62" s="92" t="s">
        <v>56</v>
      </c>
      <c r="C62" s="202">
        <v>2017</v>
      </c>
      <c r="D62" s="259" t="s">
        <v>13</v>
      </c>
      <c r="E62" s="447">
        <v>43320</v>
      </c>
      <c r="F62" s="154">
        <v>691</v>
      </c>
      <c r="G62" s="155">
        <v>324</v>
      </c>
      <c r="H62" s="155">
        <v>934</v>
      </c>
      <c r="I62" s="156">
        <v>320</v>
      </c>
      <c r="J62" s="281"/>
      <c r="K62" s="154">
        <f t="shared" si="104"/>
        <v>71</v>
      </c>
      <c r="L62" s="155">
        <f t="shared" si="105"/>
        <v>171</v>
      </c>
      <c r="M62" s="155">
        <f t="shared" si="106"/>
        <v>48</v>
      </c>
      <c r="N62" s="155">
        <f t="shared" si="107"/>
        <v>35</v>
      </c>
      <c r="O62" s="155">
        <f t="shared" si="108"/>
        <v>15</v>
      </c>
      <c r="P62" s="155">
        <f>'2017'!AZ62+'2017'!BA62</f>
        <v>101</v>
      </c>
      <c r="Q62" s="155">
        <f>'2017'!AU62</f>
        <v>26</v>
      </c>
      <c r="R62" s="155">
        <f t="shared" si="109"/>
        <v>43</v>
      </c>
      <c r="S62" s="155">
        <f t="shared" si="110"/>
        <v>36</v>
      </c>
      <c r="T62" s="155">
        <f t="shared" si="111"/>
        <v>65</v>
      </c>
      <c r="U62" s="552">
        <f t="shared" si="111"/>
        <v>80</v>
      </c>
      <c r="V62" s="155">
        <f t="shared" si="112"/>
        <v>66</v>
      </c>
      <c r="W62" s="155">
        <f t="shared" si="113"/>
        <v>40</v>
      </c>
      <c r="X62" s="155">
        <f t="shared" si="114"/>
        <v>43</v>
      </c>
      <c r="Y62" s="155">
        <f t="shared" si="115"/>
        <v>54</v>
      </c>
      <c r="Z62" s="155">
        <f t="shared" si="116"/>
        <v>35</v>
      </c>
      <c r="AA62" s="155">
        <f t="shared" si="117"/>
        <v>35</v>
      </c>
      <c r="AB62" s="552">
        <f t="shared" si="118"/>
        <v>51</v>
      </c>
      <c r="AC62" s="155">
        <f t="shared" si="119"/>
        <v>120</v>
      </c>
      <c r="AD62" s="155">
        <f t="shared" si="120"/>
        <v>70</v>
      </c>
      <c r="AE62" s="155">
        <f t="shared" si="121"/>
        <v>118</v>
      </c>
      <c r="AF62" s="155">
        <f t="shared" si="122"/>
        <v>132</v>
      </c>
      <c r="AG62" s="155">
        <f t="shared" si="123"/>
        <v>137</v>
      </c>
      <c r="AH62" s="155">
        <f t="shared" si="124"/>
        <v>100</v>
      </c>
      <c r="AI62" s="155">
        <f t="shared" si="125"/>
        <v>38</v>
      </c>
      <c r="AJ62" s="155">
        <f t="shared" si="126"/>
        <v>42</v>
      </c>
      <c r="AK62" s="552">
        <f t="shared" si="127"/>
        <v>177</v>
      </c>
      <c r="AL62" s="155">
        <f t="shared" si="128"/>
        <v>34</v>
      </c>
      <c r="AM62" s="155">
        <f t="shared" si="129"/>
        <v>44</v>
      </c>
      <c r="AN62" s="155">
        <f t="shared" si="130"/>
        <v>70</v>
      </c>
      <c r="AO62" s="155">
        <f t="shared" si="131"/>
        <v>33</v>
      </c>
      <c r="AP62" s="155">
        <f t="shared" si="131"/>
        <v>12</v>
      </c>
      <c r="AQ62" s="155">
        <f t="shared" si="132"/>
        <v>56</v>
      </c>
      <c r="AR62" s="155">
        <f t="shared" si="133"/>
        <v>38</v>
      </c>
      <c r="AS62" s="156">
        <f t="shared" si="134"/>
        <v>33</v>
      </c>
      <c r="AT62" s="155">
        <v>2</v>
      </c>
      <c r="AU62" s="281">
        <v>26</v>
      </c>
      <c r="AV62" s="281">
        <v>36</v>
      </c>
      <c r="AW62" s="281">
        <v>35</v>
      </c>
      <c r="AX62" s="281">
        <v>41</v>
      </c>
      <c r="AY62" s="281">
        <v>171</v>
      </c>
      <c r="AZ62" s="281">
        <v>5</v>
      </c>
      <c r="BA62" s="281">
        <v>96</v>
      </c>
      <c r="BB62" s="281">
        <v>65</v>
      </c>
      <c r="BC62" s="281">
        <v>80</v>
      </c>
      <c r="BD62" s="281">
        <v>48</v>
      </c>
      <c r="BE62" s="281">
        <v>15</v>
      </c>
      <c r="BF62" s="552">
        <v>71</v>
      </c>
      <c r="BG62" s="281">
        <v>7</v>
      </c>
      <c r="BH62" s="281">
        <v>3</v>
      </c>
      <c r="BI62" s="281">
        <v>40</v>
      </c>
      <c r="BJ62" s="281">
        <v>59</v>
      </c>
      <c r="BK62" s="281">
        <v>5</v>
      </c>
      <c r="BL62" s="281">
        <v>2</v>
      </c>
      <c r="BM62" s="281">
        <v>35</v>
      </c>
      <c r="BN62" s="281">
        <v>47</v>
      </c>
      <c r="BO62" s="281">
        <v>2</v>
      </c>
      <c r="BP62" s="281">
        <v>51</v>
      </c>
      <c r="BQ62" s="281">
        <v>33</v>
      </c>
      <c r="BR62" s="552">
        <v>40</v>
      </c>
      <c r="BS62" s="281">
        <v>5</v>
      </c>
      <c r="BT62" s="281">
        <v>113</v>
      </c>
      <c r="BU62" s="281">
        <v>70</v>
      </c>
      <c r="BV62" s="281">
        <v>137</v>
      </c>
      <c r="BW62" s="281">
        <v>38</v>
      </c>
      <c r="BX62" s="281">
        <v>120</v>
      </c>
      <c r="BY62" s="281">
        <v>42</v>
      </c>
      <c r="BZ62" s="281">
        <v>100</v>
      </c>
      <c r="CA62" s="281">
        <v>132</v>
      </c>
      <c r="CB62" s="552">
        <v>177</v>
      </c>
      <c r="CC62" s="281">
        <v>33</v>
      </c>
      <c r="CD62" s="281">
        <v>12</v>
      </c>
      <c r="CE62" s="281">
        <v>34</v>
      </c>
      <c r="CF62" s="281">
        <v>2</v>
      </c>
      <c r="CG62" s="281">
        <v>31</v>
      </c>
      <c r="CH62" s="281">
        <v>44</v>
      </c>
      <c r="CI62" s="281">
        <v>38</v>
      </c>
      <c r="CJ62" s="281">
        <v>70</v>
      </c>
      <c r="CK62" s="156">
        <v>56</v>
      </c>
      <c r="CL62" s="320">
        <v>2269</v>
      </c>
    </row>
    <row r="63" spans="1:90">
      <c r="A63" s="80">
        <f>ROWS($A$3:A61)</f>
        <v>59</v>
      </c>
      <c r="B63" s="92"/>
      <c r="C63" s="203"/>
      <c r="D63" s="259" t="s">
        <v>1</v>
      </c>
      <c r="E63" s="451"/>
      <c r="F63" s="154">
        <v>270943.43999999994</v>
      </c>
      <c r="G63" s="155">
        <v>199947.11</v>
      </c>
      <c r="H63" s="155">
        <v>154294.07</v>
      </c>
      <c r="I63" s="156">
        <v>321987.18</v>
      </c>
      <c r="J63" s="281"/>
      <c r="K63" s="154">
        <f t="shared" si="104"/>
        <v>17234.57</v>
      </c>
      <c r="L63" s="155">
        <f t="shared" si="105"/>
        <v>7354.86</v>
      </c>
      <c r="M63" s="155">
        <f t="shared" si="106"/>
        <v>52430.19</v>
      </c>
      <c r="N63" s="155">
        <f t="shared" si="107"/>
        <v>21235.45</v>
      </c>
      <c r="O63" s="155">
        <f t="shared" si="108"/>
        <v>68472.179999999993</v>
      </c>
      <c r="P63" s="155">
        <f>'2017'!AZ63+'2017'!BA63</f>
        <v>28600.82</v>
      </c>
      <c r="Q63" s="155">
        <f>'2017'!AU63</f>
        <v>23580.45</v>
      </c>
      <c r="R63" s="155">
        <f t="shared" si="109"/>
        <v>20784.61</v>
      </c>
      <c r="S63" s="155">
        <f t="shared" si="110"/>
        <v>12955.95</v>
      </c>
      <c r="T63" s="155">
        <f t="shared" si="111"/>
        <v>13125.73</v>
      </c>
      <c r="U63" s="552">
        <f t="shared" si="111"/>
        <v>5168.63</v>
      </c>
      <c r="V63" s="155">
        <f t="shared" si="112"/>
        <v>19957.830000000002</v>
      </c>
      <c r="W63" s="155">
        <f t="shared" si="113"/>
        <v>15564.76</v>
      </c>
      <c r="X63" s="155">
        <f t="shared" si="114"/>
        <v>43463.61</v>
      </c>
      <c r="Y63" s="155">
        <f t="shared" si="115"/>
        <v>40753.18</v>
      </c>
      <c r="Z63" s="155">
        <f t="shared" si="116"/>
        <v>27663.01</v>
      </c>
      <c r="AA63" s="155">
        <f t="shared" si="117"/>
        <v>24277.170000000002</v>
      </c>
      <c r="AB63" s="552">
        <f t="shared" si="118"/>
        <v>28267.55</v>
      </c>
      <c r="AC63" s="155">
        <f t="shared" si="119"/>
        <v>16776.75</v>
      </c>
      <c r="AD63" s="155">
        <f t="shared" si="120"/>
        <v>8676.61</v>
      </c>
      <c r="AE63" s="155">
        <f t="shared" si="121"/>
        <v>22357.96</v>
      </c>
      <c r="AF63" s="155">
        <f t="shared" si="122"/>
        <v>9822.01</v>
      </c>
      <c r="AG63" s="155">
        <f t="shared" si="123"/>
        <v>19719.57</v>
      </c>
      <c r="AH63" s="155">
        <f t="shared" si="124"/>
        <v>22827.11</v>
      </c>
      <c r="AI63" s="155">
        <f t="shared" si="125"/>
        <v>21300.82</v>
      </c>
      <c r="AJ63" s="155">
        <f t="shared" si="126"/>
        <v>11340.08</v>
      </c>
      <c r="AK63" s="552">
        <f t="shared" si="127"/>
        <v>21473.16</v>
      </c>
      <c r="AL63" s="155">
        <f t="shared" si="128"/>
        <v>32297.29</v>
      </c>
      <c r="AM63" s="155">
        <f t="shared" si="129"/>
        <v>28899.35</v>
      </c>
      <c r="AN63" s="155">
        <f t="shared" si="130"/>
        <v>21332.28</v>
      </c>
      <c r="AO63" s="155">
        <f t="shared" si="131"/>
        <v>55452.6</v>
      </c>
      <c r="AP63" s="155">
        <f t="shared" si="131"/>
        <v>15659.61</v>
      </c>
      <c r="AQ63" s="155">
        <f t="shared" si="132"/>
        <v>43823.67</v>
      </c>
      <c r="AR63" s="155">
        <f t="shared" si="133"/>
        <v>9631.3799999999992</v>
      </c>
      <c r="AS63" s="156">
        <f t="shared" si="134"/>
        <v>114891</v>
      </c>
      <c r="AT63" s="155">
        <v>1642.13</v>
      </c>
      <c r="AU63" s="155">
        <v>23580.45</v>
      </c>
      <c r="AV63" s="155">
        <v>12955.95</v>
      </c>
      <c r="AW63" s="155">
        <v>21235.45</v>
      </c>
      <c r="AX63" s="155">
        <v>19142.48</v>
      </c>
      <c r="AY63" s="155">
        <v>7354.86</v>
      </c>
      <c r="AZ63" s="155">
        <v>802.22</v>
      </c>
      <c r="BA63" s="155">
        <v>27798.6</v>
      </c>
      <c r="BB63" s="155">
        <v>13125.73</v>
      </c>
      <c r="BC63" s="155">
        <v>5168.63</v>
      </c>
      <c r="BD63" s="155">
        <v>52430.19</v>
      </c>
      <c r="BE63" s="155">
        <v>68472.179999999993</v>
      </c>
      <c r="BF63" s="552">
        <v>17234.57</v>
      </c>
      <c r="BG63" s="155">
        <v>3990.39</v>
      </c>
      <c r="BH63" s="155">
        <v>8534.01</v>
      </c>
      <c r="BI63" s="155">
        <v>34929.599999999999</v>
      </c>
      <c r="BJ63" s="155">
        <v>15967.44</v>
      </c>
      <c r="BK63" s="155">
        <v>2044.94</v>
      </c>
      <c r="BL63" s="155">
        <v>6646.39</v>
      </c>
      <c r="BM63" s="155">
        <v>27663.01</v>
      </c>
      <c r="BN63" s="155">
        <v>32061.85</v>
      </c>
      <c r="BO63" s="155">
        <v>4016.86</v>
      </c>
      <c r="BP63" s="155">
        <v>28267.55</v>
      </c>
      <c r="BQ63" s="155">
        <v>20260.310000000001</v>
      </c>
      <c r="BR63" s="552">
        <v>15564.76</v>
      </c>
      <c r="BS63" s="155">
        <v>1160.26</v>
      </c>
      <c r="BT63" s="155">
        <v>21197.7</v>
      </c>
      <c r="BU63" s="155">
        <v>8676.61</v>
      </c>
      <c r="BV63" s="155">
        <v>19719.57</v>
      </c>
      <c r="BW63" s="155">
        <v>21300.82</v>
      </c>
      <c r="BX63" s="155">
        <v>16776.75</v>
      </c>
      <c r="BY63" s="155">
        <v>11340.08</v>
      </c>
      <c r="BZ63" s="155">
        <v>22827.11</v>
      </c>
      <c r="CA63" s="155">
        <v>9822.01</v>
      </c>
      <c r="CB63" s="552">
        <v>21473.16</v>
      </c>
      <c r="CC63" s="155">
        <v>55452.6</v>
      </c>
      <c r="CD63" s="155">
        <v>15659.61</v>
      </c>
      <c r="CE63" s="155">
        <v>32297.29</v>
      </c>
      <c r="CF63" s="155">
        <v>599.70000000000005</v>
      </c>
      <c r="CG63" s="155">
        <v>114291.3</v>
      </c>
      <c r="CH63" s="155">
        <v>28899.35</v>
      </c>
      <c r="CI63" s="155">
        <v>9631.3799999999992</v>
      </c>
      <c r="CJ63" s="155">
        <v>21332.28</v>
      </c>
      <c r="CK63" s="156">
        <v>43823.67</v>
      </c>
      <c r="CL63" s="320">
        <v>947171.79999999993</v>
      </c>
    </row>
    <row r="64" spans="1:90">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c r="A65" s="80">
        <f>ROWS($A$3:A63)</f>
        <v>61</v>
      </c>
      <c r="B65" s="53" t="str">
        <f>'Stand der Daten'!B66</f>
        <v>Gebietskulisse</v>
      </c>
      <c r="C65" s="202">
        <v>2017</v>
      </c>
      <c r="D65" s="259" t="s">
        <v>59</v>
      </c>
      <c r="E65" s="447">
        <v>43320</v>
      </c>
      <c r="F65" s="530">
        <f>SUM(AT65:BF65)</f>
        <v>319110.72614033933</v>
      </c>
      <c r="G65" s="531">
        <f>SUM(BG65:BR65)</f>
        <v>93922.025250220016</v>
      </c>
      <c r="H65" s="531">
        <f>SUM(BS65:CB65)</f>
        <v>249452.55413586658</v>
      </c>
      <c r="I65" s="532">
        <f>SUM(CC65:CK65)</f>
        <v>271892.55991583923</v>
      </c>
      <c r="J65" s="281"/>
      <c r="K65" s="541">
        <f>BF65</f>
        <v>67220.244313494404</v>
      </c>
      <c r="L65" s="542">
        <f>AY65</f>
        <v>22358.405996189002</v>
      </c>
      <c r="M65" s="542">
        <f>BD65</f>
        <v>52324.492640982113</v>
      </c>
      <c r="N65" s="542">
        <f>AW65</f>
        <v>24274.6480670286</v>
      </c>
      <c r="O65" s="542">
        <f>BE65</f>
        <v>14935.5317599189</v>
      </c>
      <c r="P65" s="542">
        <f>'2017'!AZ65+'2017'!BA65</f>
        <v>6099.9069910468006</v>
      </c>
      <c r="Q65" s="542">
        <f>'2017'!AU65</f>
        <v>13281.840086714901</v>
      </c>
      <c r="R65" s="542">
        <f>AT65+AX65</f>
        <v>298.92548990300003</v>
      </c>
      <c r="S65" s="542">
        <f>AV65</f>
        <v>16630.973747333595</v>
      </c>
      <c r="T65" s="542">
        <f>BB65</f>
        <v>25687.198580037701</v>
      </c>
      <c r="U65" s="554">
        <f>BC65</f>
        <v>75998.558467690338</v>
      </c>
      <c r="V65" s="542">
        <f>BG65+BJ65</f>
        <v>5894.7314502117997</v>
      </c>
      <c r="W65" s="542">
        <f>BR65</f>
        <v>19088.468223481603</v>
      </c>
      <c r="X65" s="542">
        <f>BH65+BI65</f>
        <v>3088.1783394348004</v>
      </c>
      <c r="Y65" s="542">
        <f>BK65+BL65+BN65</f>
        <v>4915.1088979199994</v>
      </c>
      <c r="Z65" s="542">
        <f>BM65</f>
        <v>34062.852481314017</v>
      </c>
      <c r="AA65" s="542">
        <f>BO65+BQ65</f>
        <v>11274.634537060299</v>
      </c>
      <c r="AB65" s="554">
        <f>BP65</f>
        <v>15598.0513207975</v>
      </c>
      <c r="AC65" s="542">
        <f>BX65</f>
        <v>41771.511534796999</v>
      </c>
      <c r="AD65" s="542">
        <f>BU65</f>
        <v>11144.482504522701</v>
      </c>
      <c r="AE65" s="542">
        <f>BS65+BT65</f>
        <v>26644.8586141737</v>
      </c>
      <c r="AF65" s="542">
        <f>CA65</f>
        <v>15442.687012066195</v>
      </c>
      <c r="AG65" s="542">
        <f>BV65</f>
        <v>27077.584236528299</v>
      </c>
      <c r="AH65" s="542">
        <f>BZ65</f>
        <v>24267.378989089899</v>
      </c>
      <c r="AI65" s="542">
        <f>BW65</f>
        <v>32481.177064181302</v>
      </c>
      <c r="AJ65" s="542">
        <f>BY65</f>
        <v>27337.876733838995</v>
      </c>
      <c r="AK65" s="554">
        <f>CB65</f>
        <v>43284.997446668509</v>
      </c>
      <c r="AL65" s="542">
        <f>CE65</f>
        <v>37735.962331494906</v>
      </c>
      <c r="AM65" s="542">
        <f>CH65</f>
        <v>18277.772915752998</v>
      </c>
      <c r="AN65" s="542">
        <f>CJ65</f>
        <v>60155.176931705995</v>
      </c>
      <c r="AO65" s="542">
        <f>CC65</f>
        <v>48821.475238207873</v>
      </c>
      <c r="AP65" s="542">
        <f>CD65</f>
        <v>13549.593613786003</v>
      </c>
      <c r="AQ65" s="542">
        <f>CK65</f>
        <v>45377.726264026976</v>
      </c>
      <c r="AR65" s="542">
        <f>CI65</f>
        <v>10574.161881907999</v>
      </c>
      <c r="AS65" s="543">
        <f>CF65+CG65</f>
        <v>37400.690738956495</v>
      </c>
      <c r="AT65" s="155">
        <v>0</v>
      </c>
      <c r="AU65" s="155">
        <v>13281.840086714901</v>
      </c>
      <c r="AV65" s="155">
        <v>16630.973747333595</v>
      </c>
      <c r="AW65" s="155">
        <v>24274.6480670286</v>
      </c>
      <c r="AX65" s="155">
        <v>298.92548990300003</v>
      </c>
      <c r="AY65" s="155">
        <v>22358.405996189002</v>
      </c>
      <c r="AZ65" s="155">
        <v>0</v>
      </c>
      <c r="BA65" s="155">
        <v>6099.9069910468006</v>
      </c>
      <c r="BB65" s="155">
        <v>25687.198580037701</v>
      </c>
      <c r="BC65" s="155">
        <v>75998.558467690338</v>
      </c>
      <c r="BD65" s="155">
        <v>52324.492640982113</v>
      </c>
      <c r="BE65" s="155">
        <v>14935.5317599189</v>
      </c>
      <c r="BF65" s="552">
        <v>67220.244313494404</v>
      </c>
      <c r="BG65" s="155">
        <v>1470.6139210222</v>
      </c>
      <c r="BH65" s="155">
        <v>8.8210999999999995</v>
      </c>
      <c r="BI65" s="155">
        <v>3079.3572394348002</v>
      </c>
      <c r="BJ65" s="155">
        <v>4424.1175291895997</v>
      </c>
      <c r="BK65" s="155">
        <v>130.15389999999999</v>
      </c>
      <c r="BL65" s="155">
        <v>146.24250000000001</v>
      </c>
      <c r="BM65" s="155">
        <v>34062.852481314017</v>
      </c>
      <c r="BN65" s="155">
        <v>4638.7124979199998</v>
      </c>
      <c r="BO65" s="155">
        <v>420.39825075379997</v>
      </c>
      <c r="BP65" s="155">
        <v>15598.0513207975</v>
      </c>
      <c r="BQ65" s="155">
        <v>10854.236286306499</v>
      </c>
      <c r="BR65" s="552">
        <v>19088.468223481603</v>
      </c>
      <c r="BS65" s="155">
        <v>249.29722893799999</v>
      </c>
      <c r="BT65" s="155">
        <v>26395.561385235698</v>
      </c>
      <c r="BU65" s="155">
        <v>11144.482504522701</v>
      </c>
      <c r="BV65" s="155">
        <v>27077.584236528299</v>
      </c>
      <c r="BW65" s="155">
        <v>32481.177064181302</v>
      </c>
      <c r="BX65" s="155">
        <v>41771.511534796999</v>
      </c>
      <c r="BY65" s="155">
        <v>27337.876733838995</v>
      </c>
      <c r="BZ65" s="155">
        <v>24267.378989089899</v>
      </c>
      <c r="CA65" s="155">
        <v>15442.687012066195</v>
      </c>
      <c r="CB65" s="552">
        <v>43284.997446668509</v>
      </c>
      <c r="CC65" s="155">
        <v>48821.475238207873</v>
      </c>
      <c r="CD65" s="155">
        <v>13549.593613786003</v>
      </c>
      <c r="CE65" s="155">
        <v>37735.962331494906</v>
      </c>
      <c r="CF65" s="155">
        <v>455.264227871</v>
      </c>
      <c r="CG65" s="155">
        <v>36945.426511085498</v>
      </c>
      <c r="CH65" s="155">
        <v>18277.772915752998</v>
      </c>
      <c r="CI65" s="155">
        <v>10574.161881907999</v>
      </c>
      <c r="CJ65" s="155">
        <v>60155.176931705995</v>
      </c>
      <c r="CK65" s="156">
        <v>45377.726264026976</v>
      </c>
      <c r="CL65" s="301">
        <v>934377.86544226541</v>
      </c>
    </row>
    <row r="66" spans="1:90">
      <c r="A66" s="80">
        <f>ROWS($A$3:A64)</f>
        <v>62</v>
      </c>
      <c r="B66" s="92" t="s">
        <v>364</v>
      </c>
      <c r="C66" s="203">
        <v>2017</v>
      </c>
      <c r="D66" s="259" t="s">
        <v>59</v>
      </c>
      <c r="E66" s="447">
        <v>43320</v>
      </c>
      <c r="F66" s="530">
        <f>SUM(AT66:BF66)</f>
        <v>7436.7885428110003</v>
      </c>
      <c r="G66" s="531">
        <f>SUM(BG66:BR66)</f>
        <v>3765.9288346204003</v>
      </c>
      <c r="H66" s="531">
        <f>SUM(BS66:CB66)</f>
        <v>77864.359661972689</v>
      </c>
      <c r="I66" s="532">
        <f>SUM(CC66:CK66)</f>
        <v>22791.065702010997</v>
      </c>
      <c r="J66" s="281"/>
      <c r="K66" s="154">
        <f>BF66</f>
        <v>416.33703661499999</v>
      </c>
      <c r="L66" s="155">
        <f>AY66</f>
        <v>0</v>
      </c>
      <c r="M66" s="155">
        <f>BD66</f>
        <v>0</v>
      </c>
      <c r="N66" s="155">
        <f>AW66</f>
        <v>5857.7006042200001</v>
      </c>
      <c r="O66" s="155">
        <f>BE66</f>
        <v>0</v>
      </c>
      <c r="P66" s="155">
        <f>'2017'!AZ66+'2017'!BA66</f>
        <v>0</v>
      </c>
      <c r="Q66" s="155">
        <f>'2017'!AU66</f>
        <v>0</v>
      </c>
      <c r="R66" s="155">
        <f>AT66+AX66</f>
        <v>0</v>
      </c>
      <c r="S66" s="155">
        <f>AV66</f>
        <v>1162.750901976</v>
      </c>
      <c r="T66" s="155">
        <f>BB66</f>
        <v>0</v>
      </c>
      <c r="U66" s="552">
        <f>BC66</f>
        <v>0</v>
      </c>
      <c r="V66" s="155">
        <f>BG66+BJ66</f>
        <v>668.76421030620008</v>
      </c>
      <c r="W66" s="155">
        <f>BR66</f>
        <v>2289.1442515935</v>
      </c>
      <c r="X66" s="155">
        <f>BH66+BI66</f>
        <v>0</v>
      </c>
      <c r="Y66" s="155">
        <f>BK66+BL66+BN66</f>
        <v>0</v>
      </c>
      <c r="Z66" s="155">
        <f>BM66</f>
        <v>0</v>
      </c>
      <c r="AA66" s="155">
        <f>BO66+BQ66</f>
        <v>0</v>
      </c>
      <c r="AB66" s="552">
        <f>BP66</f>
        <v>808.02037272069992</v>
      </c>
      <c r="AC66" s="155">
        <f>BX66</f>
        <v>14517.162164764197</v>
      </c>
      <c r="AD66" s="155">
        <f>BU66</f>
        <v>2623.1023695867007</v>
      </c>
      <c r="AE66" s="155">
        <f>BS66+BT66</f>
        <v>20377.447228192701</v>
      </c>
      <c r="AF66" s="155">
        <f>CA66</f>
        <v>9390.6681998048971</v>
      </c>
      <c r="AG66" s="155">
        <f>BV66</f>
        <v>2963.5457446890005</v>
      </c>
      <c r="AH66" s="155">
        <f>BZ66</f>
        <v>0</v>
      </c>
      <c r="AI66" s="155">
        <f>BW66</f>
        <v>2425.9749961440002</v>
      </c>
      <c r="AJ66" s="155">
        <f>BY66</f>
        <v>10801.685651058999</v>
      </c>
      <c r="AK66" s="552">
        <f>CB66</f>
        <v>14764.773307732199</v>
      </c>
      <c r="AL66" s="155">
        <f>CE66</f>
        <v>15108.235963312998</v>
      </c>
      <c r="AM66" s="155">
        <f>CH66</f>
        <v>0</v>
      </c>
      <c r="AN66" s="155">
        <f>CJ66</f>
        <v>1466.1909424380001</v>
      </c>
      <c r="AO66" s="155">
        <f>CC66</f>
        <v>1458.0989126950001</v>
      </c>
      <c r="AP66" s="155">
        <f>CD66</f>
        <v>0</v>
      </c>
      <c r="AQ66" s="155">
        <f>CK66</f>
        <v>2934.8942296199998</v>
      </c>
      <c r="AR66" s="155">
        <f>CI66</f>
        <v>401.156976015</v>
      </c>
      <c r="AS66" s="156">
        <f>CF66+CG66</f>
        <v>1422.48867793</v>
      </c>
      <c r="AT66" s="155"/>
      <c r="AU66" s="155"/>
      <c r="AV66" s="155">
        <v>1162.750901976</v>
      </c>
      <c r="AW66" s="155">
        <v>5857.7006042200001</v>
      </c>
      <c r="AX66" s="155"/>
      <c r="AY66" s="155"/>
      <c r="AZ66" s="155"/>
      <c r="BA66" s="155"/>
      <c r="BB66" s="155"/>
      <c r="BC66" s="155"/>
      <c r="BD66" s="155"/>
      <c r="BE66" s="155"/>
      <c r="BF66" s="552">
        <v>416.33703661499999</v>
      </c>
      <c r="BG66" s="155"/>
      <c r="BH66" s="155"/>
      <c r="BI66" s="155"/>
      <c r="BJ66" s="155">
        <v>668.76421030620008</v>
      </c>
      <c r="BK66" s="155"/>
      <c r="BL66" s="155"/>
      <c r="BM66" s="155"/>
      <c r="BN66" s="155"/>
      <c r="BO66" s="155"/>
      <c r="BP66" s="155">
        <v>808.02037272069992</v>
      </c>
      <c r="BQ66" s="155"/>
      <c r="BR66" s="552">
        <v>2289.1442515935</v>
      </c>
      <c r="BS66" s="155"/>
      <c r="BT66" s="155">
        <v>20377.447228192701</v>
      </c>
      <c r="BU66" s="155">
        <v>2623.1023695867007</v>
      </c>
      <c r="BV66" s="155">
        <v>2963.5457446890005</v>
      </c>
      <c r="BW66" s="155">
        <v>2425.9749961440002</v>
      </c>
      <c r="BX66" s="155">
        <v>14517.162164764197</v>
      </c>
      <c r="BY66" s="155">
        <v>10801.685651058999</v>
      </c>
      <c r="BZ66" s="155"/>
      <c r="CA66" s="155">
        <v>9390.6681998048971</v>
      </c>
      <c r="CB66" s="552">
        <v>14764.773307732199</v>
      </c>
      <c r="CC66" s="155">
        <v>1458.0989126950001</v>
      </c>
      <c r="CD66" s="155"/>
      <c r="CE66" s="155">
        <v>15108.235963312998</v>
      </c>
      <c r="CF66" s="155"/>
      <c r="CG66" s="155">
        <v>1422.48867793</v>
      </c>
      <c r="CH66" s="155"/>
      <c r="CI66" s="155">
        <v>401.156976015</v>
      </c>
      <c r="CJ66" s="155">
        <v>1466.1909424380001</v>
      </c>
      <c r="CK66" s="156">
        <v>2934.8942296199998</v>
      </c>
      <c r="CL66" s="320">
        <v>111858.1427414151</v>
      </c>
    </row>
    <row r="67" spans="1:90">
      <c r="A67" s="80">
        <f>ROWS($A$3:A65)</f>
        <v>63</v>
      </c>
      <c r="B67" s="92" t="s">
        <v>363</v>
      </c>
      <c r="C67" s="203">
        <v>2017</v>
      </c>
      <c r="D67" s="259" t="s">
        <v>3</v>
      </c>
      <c r="E67" s="447">
        <v>43320</v>
      </c>
      <c r="F67" s="381">
        <f>IF(F65/F35%&gt;100,100,F65/F35%)</f>
        <v>68.511040864858799</v>
      </c>
      <c r="G67" s="384">
        <f t="shared" ref="G67:BR67" si="135">IF(G65/G35%&gt;100,100,G65/G35%)</f>
        <v>45.954831587501658</v>
      </c>
      <c r="H67" s="384">
        <f t="shared" si="135"/>
        <v>78.391691771193067</v>
      </c>
      <c r="I67" s="383">
        <f t="shared" si="135"/>
        <v>63.584535349160731</v>
      </c>
      <c r="J67" s="382"/>
      <c r="K67" s="381">
        <f t="shared" si="135"/>
        <v>100</v>
      </c>
      <c r="L67" s="384">
        <f t="shared" si="135"/>
        <v>87.191069672772301</v>
      </c>
      <c r="M67" s="384">
        <f t="shared" si="135"/>
        <v>76.431868185311075</v>
      </c>
      <c r="N67" s="384">
        <f t="shared" si="135"/>
        <v>86.31292869801095</v>
      </c>
      <c r="O67" s="384">
        <f t="shared" si="135"/>
        <v>56.546139249304886</v>
      </c>
      <c r="P67" s="384">
        <f t="shared" si="135"/>
        <v>10.507660358035556</v>
      </c>
      <c r="Q67" s="384">
        <f t="shared" si="135"/>
        <v>59.167142225208934</v>
      </c>
      <c r="R67" s="384">
        <f t="shared" si="135"/>
        <v>0.85652002837535823</v>
      </c>
      <c r="S67" s="384">
        <f t="shared" si="135"/>
        <v>83.539148821245703</v>
      </c>
      <c r="T67" s="384">
        <f t="shared" si="135"/>
        <v>61.396812897456144</v>
      </c>
      <c r="U67" s="385">
        <f t="shared" si="135"/>
        <v>99.86013858181505</v>
      </c>
      <c r="V67" s="384">
        <f t="shared" si="135"/>
        <v>36.146256133258518</v>
      </c>
      <c r="W67" s="384">
        <f t="shared" si="135"/>
        <v>100</v>
      </c>
      <c r="X67" s="384">
        <f t="shared" si="135"/>
        <v>7.5268184441122141</v>
      </c>
      <c r="Y67" s="384">
        <f t="shared" si="135"/>
        <v>11.295725180796543</v>
      </c>
      <c r="Z67" s="384">
        <f t="shared" si="135"/>
        <v>73.885845475931674</v>
      </c>
      <c r="AA67" s="384">
        <f t="shared" si="135"/>
        <v>54.776439474616424</v>
      </c>
      <c r="AB67" s="385">
        <f t="shared" si="135"/>
        <v>87.252063102296248</v>
      </c>
      <c r="AC67" s="384">
        <f t="shared" si="135"/>
        <v>100</v>
      </c>
      <c r="AD67" s="384">
        <f t="shared" si="135"/>
        <v>50.209418384045328</v>
      </c>
      <c r="AE67" s="384">
        <f t="shared" si="135"/>
        <v>50.490522652493176</v>
      </c>
      <c r="AF67" s="384">
        <f t="shared" si="135"/>
        <v>66.684027170162338</v>
      </c>
      <c r="AG67" s="384">
        <f t="shared" si="135"/>
        <v>48.344196101639525</v>
      </c>
      <c r="AH67" s="384">
        <f t="shared" si="135"/>
        <v>72.71778433743826</v>
      </c>
      <c r="AI67" s="384">
        <f t="shared" si="135"/>
        <v>100</v>
      </c>
      <c r="AJ67" s="384">
        <f t="shared" si="135"/>
        <v>100</v>
      </c>
      <c r="AK67" s="385">
        <f t="shared" si="135"/>
        <v>100</v>
      </c>
      <c r="AL67" s="384">
        <f t="shared" si="135"/>
        <v>100</v>
      </c>
      <c r="AM67" s="384">
        <f t="shared" si="135"/>
        <v>24.152348686857298</v>
      </c>
      <c r="AN67" s="384">
        <f t="shared" si="135"/>
        <v>69.913736235450131</v>
      </c>
      <c r="AO67" s="384">
        <f t="shared" si="135"/>
        <v>100</v>
      </c>
      <c r="AP67" s="384">
        <f t="shared" si="135"/>
        <v>67.213619791586893</v>
      </c>
      <c r="AQ67" s="384">
        <f t="shared" si="135"/>
        <v>82.846888547326188</v>
      </c>
      <c r="AR67" s="384">
        <f t="shared" si="135"/>
        <v>31.536420763220992</v>
      </c>
      <c r="AS67" s="383">
        <f t="shared" si="135"/>
        <v>47.24039198564688</v>
      </c>
      <c r="AT67" s="384">
        <f t="shared" si="135"/>
        <v>0</v>
      </c>
      <c r="AU67" s="384">
        <f t="shared" si="135"/>
        <v>59.167142225208934</v>
      </c>
      <c r="AV67" s="384">
        <f t="shared" si="135"/>
        <v>83.539148821245703</v>
      </c>
      <c r="AW67" s="384">
        <f t="shared" si="135"/>
        <v>86.31292869801095</v>
      </c>
      <c r="AX67" s="384">
        <f t="shared" si="135"/>
        <v>0.92292287475068713</v>
      </c>
      <c r="AY67" s="384">
        <f t="shared" si="135"/>
        <v>87.191069672772301</v>
      </c>
      <c r="AZ67" s="384">
        <f t="shared" si="135"/>
        <v>0</v>
      </c>
      <c r="BA67" s="384">
        <f t="shared" si="135"/>
        <v>11.309947326448622</v>
      </c>
      <c r="BB67" s="384">
        <f t="shared" si="135"/>
        <v>61.396812897456144</v>
      </c>
      <c r="BC67" s="384">
        <f t="shared" si="135"/>
        <v>99.86013858181505</v>
      </c>
      <c r="BD67" s="384">
        <f t="shared" si="135"/>
        <v>76.431868185311075</v>
      </c>
      <c r="BE67" s="384">
        <f t="shared" si="135"/>
        <v>56.546139249304886</v>
      </c>
      <c r="BF67" s="385">
        <f t="shared" si="135"/>
        <v>100</v>
      </c>
      <c r="BG67" s="384">
        <f t="shared" si="135"/>
        <v>92.84178794332071</v>
      </c>
      <c r="BH67" s="384">
        <f t="shared" si="135"/>
        <v>0.33966499807470157</v>
      </c>
      <c r="BI67" s="384">
        <f t="shared" si="135"/>
        <v>8.0124824090206079</v>
      </c>
      <c r="BJ67" s="384">
        <f t="shared" si="135"/>
        <v>30.046981317506109</v>
      </c>
      <c r="BK67" s="384">
        <f t="shared" si="135"/>
        <v>7.1356304824561407</v>
      </c>
      <c r="BL67" s="384">
        <f t="shared" si="135"/>
        <v>5.016895368782162</v>
      </c>
      <c r="BM67" s="384">
        <f t="shared" si="135"/>
        <v>73.885845475931674</v>
      </c>
      <c r="BN67" s="384">
        <f t="shared" si="135"/>
        <v>11.963461334708825</v>
      </c>
      <c r="BO67" s="384">
        <f t="shared" si="135"/>
        <v>43.340025850907217</v>
      </c>
      <c r="BP67" s="384">
        <f t="shared" si="135"/>
        <v>87.252063102296248</v>
      </c>
      <c r="BQ67" s="384">
        <f t="shared" si="135"/>
        <v>55.34205010098659</v>
      </c>
      <c r="BR67" s="385">
        <f t="shared" si="135"/>
        <v>100</v>
      </c>
      <c r="BS67" s="384">
        <f t="shared" ref="BS67:CL67" si="136">IF(BS65/BS35%&gt;100,100,BS65/BS35%)</f>
        <v>7.2281017378370533</v>
      </c>
      <c r="BT67" s="384">
        <f t="shared" si="136"/>
        <v>53.515725696400658</v>
      </c>
      <c r="BU67" s="384">
        <f t="shared" si="136"/>
        <v>50.209418384045328</v>
      </c>
      <c r="BV67" s="384">
        <f t="shared" si="136"/>
        <v>48.344196101639525</v>
      </c>
      <c r="BW67" s="384">
        <f t="shared" si="136"/>
        <v>100</v>
      </c>
      <c r="BX67" s="384">
        <f t="shared" si="136"/>
        <v>100</v>
      </c>
      <c r="BY67" s="384">
        <f t="shared" si="136"/>
        <v>100</v>
      </c>
      <c r="BZ67" s="384">
        <f t="shared" si="136"/>
        <v>72.71778433743826</v>
      </c>
      <c r="CA67" s="384">
        <f t="shared" si="136"/>
        <v>66.684027170162338</v>
      </c>
      <c r="CB67" s="385">
        <f t="shared" si="136"/>
        <v>100</v>
      </c>
      <c r="CC67" s="384">
        <f t="shared" si="136"/>
        <v>100</v>
      </c>
      <c r="CD67" s="384">
        <f t="shared" si="136"/>
        <v>67.213619791586893</v>
      </c>
      <c r="CE67" s="384">
        <f t="shared" si="136"/>
        <v>100</v>
      </c>
      <c r="CF67" s="384">
        <f t="shared" si="136"/>
        <v>9.7990578534438217</v>
      </c>
      <c r="CG67" s="384">
        <f t="shared" si="136"/>
        <v>49.574540773009723</v>
      </c>
      <c r="CH67" s="384">
        <f t="shared" si="136"/>
        <v>24.152348686857298</v>
      </c>
      <c r="CI67" s="384">
        <f t="shared" si="136"/>
        <v>31.536420763220992</v>
      </c>
      <c r="CJ67" s="384">
        <f t="shared" si="136"/>
        <v>69.913736235450131</v>
      </c>
      <c r="CK67" s="383">
        <f t="shared" si="136"/>
        <v>82.846888547326188</v>
      </c>
      <c r="CL67" s="319">
        <f t="shared" si="136"/>
        <v>65.98806942486938</v>
      </c>
    </row>
    <row r="68" spans="1:90">
      <c r="A68" s="80">
        <f>ROWS($A$3:A66)</f>
        <v>64</v>
      </c>
      <c r="B68" s="59" t="s">
        <v>81</v>
      </c>
      <c r="C68" s="201"/>
      <c r="D68" s="260"/>
      <c r="E68" s="451"/>
      <c r="F68" s="154"/>
      <c r="G68" s="155"/>
      <c r="H68" s="155"/>
      <c r="I68" s="156"/>
      <c r="J68" s="14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c r="A69" s="80">
        <f>ROWS($A$3:A67)</f>
        <v>65</v>
      </c>
      <c r="B69" s="92" t="s">
        <v>265</v>
      </c>
      <c r="C69" s="202">
        <v>2016</v>
      </c>
      <c r="D69" s="259" t="s">
        <v>13</v>
      </c>
      <c r="E69" s="447">
        <v>42920</v>
      </c>
      <c r="F69" s="154">
        <f>SUM(AT69:BF69)</f>
        <v>917</v>
      </c>
      <c r="G69" s="155">
        <f>SUM(BG69:BR69)</f>
        <v>298</v>
      </c>
      <c r="H69" s="155">
        <f>SUM(BS69:CB69)</f>
        <v>1148</v>
      </c>
      <c r="I69" s="156">
        <f>SUM(CC69:CK69)</f>
        <v>1083</v>
      </c>
      <c r="J69" s="141"/>
      <c r="K69" s="154">
        <f>BF69</f>
        <v>109</v>
      </c>
      <c r="L69" s="155">
        <f>AY69</f>
        <v>147</v>
      </c>
      <c r="M69" s="155">
        <f>BD69</f>
        <v>103</v>
      </c>
      <c r="N69" s="155">
        <f>AW69</f>
        <v>60</v>
      </c>
      <c r="O69" s="155">
        <f>BE69</f>
        <v>53</v>
      </c>
      <c r="P69" s="155">
        <f>SUM(AZ69,BA69)</f>
        <v>85</v>
      </c>
      <c r="Q69" s="155">
        <f>'2010'!AU69</f>
        <v>29</v>
      </c>
      <c r="R69" s="155">
        <f>SUM(AT69+AX69)</f>
        <v>64</v>
      </c>
      <c r="S69" s="155">
        <f>AV69</f>
        <v>49</v>
      </c>
      <c r="T69" s="155">
        <f>BB69</f>
        <v>65</v>
      </c>
      <c r="U69" s="552">
        <f>BC69</f>
        <v>149</v>
      </c>
      <c r="V69" s="155">
        <f>SUM(BG69,BJ69)</f>
        <v>21</v>
      </c>
      <c r="W69" s="155">
        <f>BR69</f>
        <v>42</v>
      </c>
      <c r="X69" s="155">
        <f>SUM(BH69,BI69)</f>
        <v>51</v>
      </c>
      <c r="Y69" s="155">
        <f>SUM(BK69,BL69,BN69)</f>
        <v>49</v>
      </c>
      <c r="Z69" s="155">
        <f>BM69</f>
        <v>51</v>
      </c>
      <c r="AA69" s="155">
        <f>SUM(BO69,BQ69)</f>
        <v>47</v>
      </c>
      <c r="AB69" s="552">
        <f>BP69</f>
        <v>37</v>
      </c>
      <c r="AC69" s="155">
        <f>BX69</f>
        <v>133</v>
      </c>
      <c r="AD69" s="155">
        <f>BU69</f>
        <v>69</v>
      </c>
      <c r="AE69" s="155">
        <f>SUM(BS69+BT69)</f>
        <v>308</v>
      </c>
      <c r="AF69" s="155">
        <f>CA69</f>
        <v>99</v>
      </c>
      <c r="AG69" s="155">
        <f>BV69</f>
        <v>139</v>
      </c>
      <c r="AH69" s="155">
        <f>BZ69</f>
        <v>101</v>
      </c>
      <c r="AI69" s="155">
        <f>BW69</f>
        <v>66</v>
      </c>
      <c r="AJ69" s="155">
        <f>BY69</f>
        <v>52</v>
      </c>
      <c r="AK69" s="552">
        <f>CB69</f>
        <v>181</v>
      </c>
      <c r="AL69" s="155">
        <f>CE69</f>
        <v>88</v>
      </c>
      <c r="AM69" s="155">
        <f>CH69</f>
        <v>97</v>
      </c>
      <c r="AN69" s="155">
        <f>CJ69</f>
        <v>357</v>
      </c>
      <c r="AO69" s="155">
        <f>CC69</f>
        <v>115</v>
      </c>
      <c r="AP69" s="155">
        <f>CD69</f>
        <v>48</v>
      </c>
      <c r="AQ69" s="155">
        <f>CK69</f>
        <v>98</v>
      </c>
      <c r="AR69" s="155">
        <f>CI69</f>
        <v>170</v>
      </c>
      <c r="AS69" s="156">
        <f>SUM(CF69:CG69)</f>
        <v>110</v>
      </c>
      <c r="AT69" s="155">
        <v>8</v>
      </c>
      <c r="AU69" s="155">
        <v>33</v>
      </c>
      <c r="AV69" s="155">
        <v>49</v>
      </c>
      <c r="AW69" s="155">
        <v>60</v>
      </c>
      <c r="AX69" s="155">
        <v>56</v>
      </c>
      <c r="AY69" s="155">
        <v>147</v>
      </c>
      <c r="AZ69" s="155">
        <v>9</v>
      </c>
      <c r="BA69" s="155">
        <v>76</v>
      </c>
      <c r="BB69" s="155">
        <v>65</v>
      </c>
      <c r="BC69" s="155">
        <v>149</v>
      </c>
      <c r="BD69" s="155">
        <v>103</v>
      </c>
      <c r="BE69" s="155">
        <v>53</v>
      </c>
      <c r="BF69" s="552">
        <v>109</v>
      </c>
      <c r="BG69" s="155">
        <v>5</v>
      </c>
      <c r="BH69" s="155">
        <v>8</v>
      </c>
      <c r="BI69" s="155">
        <v>43</v>
      </c>
      <c r="BJ69" s="155">
        <v>16</v>
      </c>
      <c r="BK69" s="155">
        <v>6</v>
      </c>
      <c r="BL69" s="155" t="s">
        <v>41</v>
      </c>
      <c r="BM69" s="155">
        <v>51</v>
      </c>
      <c r="BN69" s="155">
        <v>43</v>
      </c>
      <c r="BO69" s="155">
        <v>2</v>
      </c>
      <c r="BP69" s="155">
        <v>37</v>
      </c>
      <c r="BQ69" s="155">
        <v>45</v>
      </c>
      <c r="BR69" s="552">
        <v>42</v>
      </c>
      <c r="BS69" s="155">
        <v>16</v>
      </c>
      <c r="BT69" s="155">
        <v>292</v>
      </c>
      <c r="BU69" s="155">
        <v>69</v>
      </c>
      <c r="BV69" s="155">
        <v>139</v>
      </c>
      <c r="BW69" s="155">
        <v>66</v>
      </c>
      <c r="BX69" s="155">
        <v>133</v>
      </c>
      <c r="BY69" s="155">
        <v>52</v>
      </c>
      <c r="BZ69" s="155">
        <v>101</v>
      </c>
      <c r="CA69" s="155">
        <v>99</v>
      </c>
      <c r="CB69" s="552">
        <v>181</v>
      </c>
      <c r="CC69" s="155">
        <v>115</v>
      </c>
      <c r="CD69" s="155">
        <v>48</v>
      </c>
      <c r="CE69" s="155">
        <v>88</v>
      </c>
      <c r="CF69" s="155">
        <v>2</v>
      </c>
      <c r="CG69" s="155">
        <v>108</v>
      </c>
      <c r="CH69" s="155">
        <v>97</v>
      </c>
      <c r="CI69" s="155">
        <v>170</v>
      </c>
      <c r="CJ69" s="155">
        <v>357</v>
      </c>
      <c r="CK69" s="156">
        <v>98</v>
      </c>
      <c r="CL69" s="320">
        <f>SUM(AT69:CK69)</f>
        <v>3446</v>
      </c>
    </row>
    <row r="70" spans="1:90">
      <c r="A70" s="80">
        <f>ROWS($A$3:A68)</f>
        <v>66</v>
      </c>
      <c r="B70" s="92" t="s">
        <v>70</v>
      </c>
      <c r="C70" s="252"/>
      <c r="D70" s="259" t="s">
        <v>1</v>
      </c>
      <c r="E70" s="451"/>
      <c r="F70" s="154">
        <v>34156</v>
      </c>
      <c r="G70" s="155">
        <v>14204</v>
      </c>
      <c r="H70" s="155">
        <f>SUM(BS70:CB70)</f>
        <v>39635</v>
      </c>
      <c r="I70" s="156">
        <v>43866</v>
      </c>
      <c r="J70" s="141"/>
      <c r="K70" s="154">
        <f>BF70</f>
        <v>3936</v>
      </c>
      <c r="L70" s="155">
        <f>AY70</f>
        <v>3380</v>
      </c>
      <c r="M70" s="155">
        <f>BD70</f>
        <v>5380</v>
      </c>
      <c r="N70" s="155">
        <f>AW70</f>
        <v>2214</v>
      </c>
      <c r="O70" s="155">
        <f>BE70</f>
        <v>2828</v>
      </c>
      <c r="P70" s="155">
        <f>SUM(AZ70,BA70)</f>
        <v>2741</v>
      </c>
      <c r="Q70" s="155">
        <f>'2010'!AU70</f>
        <v>1115</v>
      </c>
      <c r="R70" s="155">
        <f>SUM(AT70+AX70)</f>
        <v>1776</v>
      </c>
      <c r="S70" s="155">
        <f>AV70</f>
        <v>1650</v>
      </c>
      <c r="T70" s="155">
        <f>BB70</f>
        <v>2982</v>
      </c>
      <c r="U70" s="552">
        <f>BC70</f>
        <v>5868</v>
      </c>
      <c r="V70" s="155">
        <f>SUM(BG70,BJ70)</f>
        <v>669</v>
      </c>
      <c r="W70" s="155">
        <f>BR70</f>
        <v>1907</v>
      </c>
      <c r="X70" s="155">
        <f>SUM(BH70,BI70)</f>
        <v>2743</v>
      </c>
      <c r="Y70" s="155">
        <f>SUM(BK70,BL70,BN70)</f>
        <v>1899</v>
      </c>
      <c r="Z70" s="155">
        <f>BM70</f>
        <v>2532</v>
      </c>
      <c r="AA70" s="155">
        <f>SUM(BO70,BQ70)</f>
        <v>2645</v>
      </c>
      <c r="AB70" s="552">
        <f>BP70</f>
        <v>1420</v>
      </c>
      <c r="AC70" s="155">
        <f>BX70</f>
        <v>5085</v>
      </c>
      <c r="AD70" s="155">
        <f>BU70</f>
        <v>1598</v>
      </c>
      <c r="AE70" s="155">
        <f>SUM(BS70+BT70)</f>
        <v>8384</v>
      </c>
      <c r="AF70" s="155">
        <f>CA70</f>
        <v>3274</v>
      </c>
      <c r="AG70" s="155">
        <f>BV70</f>
        <v>4429</v>
      </c>
      <c r="AH70" s="155">
        <f>BZ70</f>
        <v>3700</v>
      </c>
      <c r="AI70" s="155">
        <f>BW70</f>
        <v>2710</v>
      </c>
      <c r="AJ70" s="155">
        <f>BY70</f>
        <v>3276</v>
      </c>
      <c r="AK70" s="552">
        <f>CB70</f>
        <v>7179</v>
      </c>
      <c r="AL70" s="155">
        <f>CE70</f>
        <v>5524</v>
      </c>
      <c r="AM70" s="155">
        <f>CH70</f>
        <v>4837</v>
      </c>
      <c r="AN70" s="155">
        <f>CJ70</f>
        <v>12352</v>
      </c>
      <c r="AO70" s="155">
        <f>CC70</f>
        <v>5232</v>
      </c>
      <c r="AP70" s="155" t="str">
        <f>CD70</f>
        <v>.</v>
      </c>
      <c r="AQ70" s="155">
        <f>CK70</f>
        <v>4448</v>
      </c>
      <c r="AR70" s="155">
        <f>CI70</f>
        <v>3603</v>
      </c>
      <c r="AS70" s="156">
        <f>SUM(CF70:CG70)</f>
        <v>4425</v>
      </c>
      <c r="AT70" s="155">
        <v>200</v>
      </c>
      <c r="AU70" s="155">
        <v>1402</v>
      </c>
      <c r="AV70" s="155">
        <v>1650</v>
      </c>
      <c r="AW70" s="155">
        <v>2214</v>
      </c>
      <c r="AX70" s="155">
        <v>1576</v>
      </c>
      <c r="AY70" s="155">
        <v>3380</v>
      </c>
      <c r="AZ70" s="155">
        <v>137</v>
      </c>
      <c r="BA70" s="155">
        <v>2604</v>
      </c>
      <c r="BB70" s="155">
        <v>2982</v>
      </c>
      <c r="BC70" s="155">
        <v>5868</v>
      </c>
      <c r="BD70" s="155">
        <v>5380</v>
      </c>
      <c r="BE70" s="155">
        <v>2828</v>
      </c>
      <c r="BF70" s="552">
        <v>3936</v>
      </c>
      <c r="BG70" s="155">
        <v>264</v>
      </c>
      <c r="BH70" s="155">
        <v>231</v>
      </c>
      <c r="BI70" s="155">
        <v>2512</v>
      </c>
      <c r="BJ70" s="155">
        <v>405</v>
      </c>
      <c r="BK70" s="155" t="s">
        <v>304</v>
      </c>
      <c r="BL70" s="155" t="s">
        <v>41</v>
      </c>
      <c r="BM70" s="155">
        <v>2532</v>
      </c>
      <c r="BN70" s="155">
        <v>1899</v>
      </c>
      <c r="BO70" s="155" t="s">
        <v>304</v>
      </c>
      <c r="BP70" s="155">
        <v>1420</v>
      </c>
      <c r="BQ70" s="155">
        <v>2645</v>
      </c>
      <c r="BR70" s="552">
        <v>1907</v>
      </c>
      <c r="BS70" s="155">
        <v>315</v>
      </c>
      <c r="BT70" s="155">
        <v>8069</v>
      </c>
      <c r="BU70" s="155">
        <v>1598</v>
      </c>
      <c r="BV70" s="155">
        <v>4429</v>
      </c>
      <c r="BW70" s="155">
        <v>2710</v>
      </c>
      <c r="BX70" s="155">
        <v>5085</v>
      </c>
      <c r="BY70" s="155">
        <v>3276</v>
      </c>
      <c r="BZ70" s="155">
        <v>3700</v>
      </c>
      <c r="CA70" s="155">
        <v>3274</v>
      </c>
      <c r="CB70" s="552">
        <v>7179</v>
      </c>
      <c r="CC70" s="155">
        <v>5232</v>
      </c>
      <c r="CD70" s="155" t="s">
        <v>304</v>
      </c>
      <c r="CE70" s="155">
        <v>5524</v>
      </c>
      <c r="CF70" s="155" t="s">
        <v>304</v>
      </c>
      <c r="CG70" s="155">
        <v>4425</v>
      </c>
      <c r="CH70" s="155">
        <v>4837</v>
      </c>
      <c r="CI70" s="155">
        <v>3603</v>
      </c>
      <c r="CJ70" s="155">
        <v>12352</v>
      </c>
      <c r="CK70" s="156">
        <v>4448</v>
      </c>
      <c r="CL70" s="320">
        <v>131861</v>
      </c>
    </row>
    <row r="71" spans="1:90">
      <c r="A71" s="80">
        <f>ROWS($A$3:A69)</f>
        <v>67</v>
      </c>
      <c r="B71" s="54" t="s">
        <v>266</v>
      </c>
      <c r="C71" s="252"/>
      <c r="D71" s="259" t="s">
        <v>1</v>
      </c>
      <c r="E71" s="451"/>
      <c r="F71" s="539">
        <f>IF(ISERROR(F70/F69)=FALSE,F70/F69," -")</f>
        <v>37.24754634678299</v>
      </c>
      <c r="G71" s="521">
        <f>IF(ISERROR(G70/G69)=FALSE,G70/G69," -")</f>
        <v>47.664429530201339</v>
      </c>
      <c r="H71" s="521">
        <f>IF(ISERROR(H70/H69)=FALSE,H70/H69," -")</f>
        <v>34.525261324041814</v>
      </c>
      <c r="I71" s="540">
        <f>IF(ISERROR(I70/I69)=FALSE,I70/I69," -")</f>
        <v>40.504155124653742</v>
      </c>
      <c r="J71" s="173"/>
      <c r="K71" s="539">
        <f t="shared" ref="K71:BV71" si="137">IF(ISERROR(K70/K69)=FALSE,K70/K69," -")</f>
        <v>36.110091743119263</v>
      </c>
      <c r="L71" s="521">
        <f t="shared" si="137"/>
        <v>22.993197278911566</v>
      </c>
      <c r="M71" s="521">
        <f t="shared" si="137"/>
        <v>52.233009708737868</v>
      </c>
      <c r="N71" s="521">
        <f t="shared" si="137"/>
        <v>36.9</v>
      </c>
      <c r="O71" s="521">
        <f t="shared" si="137"/>
        <v>53.358490566037737</v>
      </c>
      <c r="P71" s="521">
        <f t="shared" si="137"/>
        <v>32.247058823529414</v>
      </c>
      <c r="Q71" s="521">
        <f t="shared" si="137"/>
        <v>38.448275862068968</v>
      </c>
      <c r="R71" s="521">
        <f t="shared" si="137"/>
        <v>27.75</v>
      </c>
      <c r="S71" s="521">
        <f t="shared" si="137"/>
        <v>33.673469387755105</v>
      </c>
      <c r="T71" s="521">
        <f t="shared" si="137"/>
        <v>45.876923076923077</v>
      </c>
      <c r="U71" s="559">
        <f t="shared" si="137"/>
        <v>39.382550335570471</v>
      </c>
      <c r="V71" s="521">
        <f t="shared" si="137"/>
        <v>31.857142857142858</v>
      </c>
      <c r="W71" s="521">
        <f t="shared" si="137"/>
        <v>45.404761904761905</v>
      </c>
      <c r="X71" s="521">
        <f t="shared" si="137"/>
        <v>53.784313725490193</v>
      </c>
      <c r="Y71" s="521">
        <f t="shared" si="137"/>
        <v>38.755102040816325</v>
      </c>
      <c r="Z71" s="521">
        <f t="shared" si="137"/>
        <v>49.647058823529413</v>
      </c>
      <c r="AA71" s="521">
        <f t="shared" si="137"/>
        <v>56.276595744680854</v>
      </c>
      <c r="AB71" s="559">
        <f t="shared" si="137"/>
        <v>38.378378378378379</v>
      </c>
      <c r="AC71" s="521">
        <f t="shared" si="137"/>
        <v>38.233082706766915</v>
      </c>
      <c r="AD71" s="521">
        <f t="shared" si="137"/>
        <v>23.159420289855074</v>
      </c>
      <c r="AE71" s="521">
        <f t="shared" si="137"/>
        <v>27.220779220779221</v>
      </c>
      <c r="AF71" s="521">
        <f t="shared" si="137"/>
        <v>33.070707070707073</v>
      </c>
      <c r="AG71" s="521">
        <f t="shared" si="137"/>
        <v>31.863309352517987</v>
      </c>
      <c r="AH71" s="521">
        <f t="shared" si="137"/>
        <v>36.633663366336634</v>
      </c>
      <c r="AI71" s="521">
        <f t="shared" si="137"/>
        <v>41.060606060606062</v>
      </c>
      <c r="AJ71" s="521">
        <f t="shared" si="137"/>
        <v>63</v>
      </c>
      <c r="AK71" s="559">
        <f t="shared" si="137"/>
        <v>39.662983425414367</v>
      </c>
      <c r="AL71" s="521">
        <f t="shared" si="137"/>
        <v>62.772727272727273</v>
      </c>
      <c r="AM71" s="521">
        <f t="shared" si="137"/>
        <v>49.865979381443296</v>
      </c>
      <c r="AN71" s="521">
        <f t="shared" si="137"/>
        <v>34.599439775910362</v>
      </c>
      <c r="AO71" s="521">
        <f t="shared" si="137"/>
        <v>45.495652173913044</v>
      </c>
      <c r="AP71" s="521" t="str">
        <f t="shared" si="137"/>
        <v xml:space="preserve"> -</v>
      </c>
      <c r="AQ71" s="521">
        <f t="shared" si="137"/>
        <v>45.387755102040813</v>
      </c>
      <c r="AR71" s="521">
        <f t="shared" si="137"/>
        <v>21.194117647058825</v>
      </c>
      <c r="AS71" s="540">
        <f t="shared" si="137"/>
        <v>40.227272727272727</v>
      </c>
      <c r="AT71" s="521">
        <f t="shared" si="137"/>
        <v>25</v>
      </c>
      <c r="AU71" s="521">
        <f t="shared" si="137"/>
        <v>42.484848484848484</v>
      </c>
      <c r="AV71" s="521">
        <f t="shared" si="137"/>
        <v>33.673469387755105</v>
      </c>
      <c r="AW71" s="521">
        <f t="shared" si="137"/>
        <v>36.9</v>
      </c>
      <c r="AX71" s="521">
        <f t="shared" si="137"/>
        <v>28.142857142857142</v>
      </c>
      <c r="AY71" s="521">
        <f t="shared" si="137"/>
        <v>22.993197278911566</v>
      </c>
      <c r="AZ71" s="521">
        <f t="shared" si="137"/>
        <v>15.222222222222221</v>
      </c>
      <c r="BA71" s="521">
        <f t="shared" si="137"/>
        <v>34.263157894736842</v>
      </c>
      <c r="BB71" s="521">
        <f t="shared" si="137"/>
        <v>45.876923076923077</v>
      </c>
      <c r="BC71" s="521">
        <f t="shared" si="137"/>
        <v>39.382550335570471</v>
      </c>
      <c r="BD71" s="521">
        <f t="shared" si="137"/>
        <v>52.233009708737868</v>
      </c>
      <c r="BE71" s="521">
        <f t="shared" si="137"/>
        <v>53.358490566037737</v>
      </c>
      <c r="BF71" s="559">
        <f t="shared" si="137"/>
        <v>36.110091743119263</v>
      </c>
      <c r="BG71" s="521">
        <f t="shared" si="137"/>
        <v>52.8</v>
      </c>
      <c r="BH71" s="521">
        <f t="shared" si="137"/>
        <v>28.875</v>
      </c>
      <c r="BI71" s="521">
        <f t="shared" si="137"/>
        <v>58.418604651162788</v>
      </c>
      <c r="BJ71" s="521">
        <f t="shared" si="137"/>
        <v>25.3125</v>
      </c>
      <c r="BK71" s="521" t="str">
        <f t="shared" si="137"/>
        <v xml:space="preserve"> -</v>
      </c>
      <c r="BL71" s="521" t="str">
        <f t="shared" si="137"/>
        <v xml:space="preserve"> -</v>
      </c>
      <c r="BM71" s="521">
        <f t="shared" si="137"/>
        <v>49.647058823529413</v>
      </c>
      <c r="BN71" s="521">
        <f t="shared" si="137"/>
        <v>44.162790697674417</v>
      </c>
      <c r="BO71" s="521" t="str">
        <f t="shared" si="137"/>
        <v xml:space="preserve"> -</v>
      </c>
      <c r="BP71" s="521">
        <f t="shared" si="137"/>
        <v>38.378378378378379</v>
      </c>
      <c r="BQ71" s="521">
        <f t="shared" si="137"/>
        <v>58.777777777777779</v>
      </c>
      <c r="BR71" s="559">
        <f t="shared" si="137"/>
        <v>45.404761904761905</v>
      </c>
      <c r="BS71" s="521">
        <f t="shared" si="137"/>
        <v>19.6875</v>
      </c>
      <c r="BT71" s="521">
        <f t="shared" si="137"/>
        <v>27.633561643835616</v>
      </c>
      <c r="BU71" s="521">
        <f t="shared" si="137"/>
        <v>23.159420289855074</v>
      </c>
      <c r="BV71" s="521">
        <f t="shared" si="137"/>
        <v>31.863309352517987</v>
      </c>
      <c r="BW71" s="521">
        <f t="shared" ref="BW71:CK71" si="138">IF(ISERROR(BW70/BW69)=FALSE,BW70/BW69," -")</f>
        <v>41.060606060606062</v>
      </c>
      <c r="BX71" s="521">
        <f t="shared" si="138"/>
        <v>38.233082706766915</v>
      </c>
      <c r="BY71" s="521">
        <f t="shared" si="138"/>
        <v>63</v>
      </c>
      <c r="BZ71" s="521">
        <f t="shared" si="138"/>
        <v>36.633663366336634</v>
      </c>
      <c r="CA71" s="521">
        <f t="shared" si="138"/>
        <v>33.070707070707073</v>
      </c>
      <c r="CB71" s="559">
        <f t="shared" si="138"/>
        <v>39.662983425414367</v>
      </c>
      <c r="CC71" s="521">
        <f t="shared" si="138"/>
        <v>45.495652173913044</v>
      </c>
      <c r="CD71" s="521" t="str">
        <f t="shared" si="138"/>
        <v xml:space="preserve"> -</v>
      </c>
      <c r="CE71" s="521">
        <f t="shared" si="138"/>
        <v>62.772727272727273</v>
      </c>
      <c r="CF71" s="521" t="str">
        <f t="shared" si="138"/>
        <v xml:space="preserve"> -</v>
      </c>
      <c r="CG71" s="521">
        <f t="shared" si="138"/>
        <v>40.972222222222221</v>
      </c>
      <c r="CH71" s="521">
        <f t="shared" si="138"/>
        <v>49.865979381443296</v>
      </c>
      <c r="CI71" s="521">
        <f t="shared" si="138"/>
        <v>21.194117647058825</v>
      </c>
      <c r="CJ71" s="521">
        <f t="shared" si="138"/>
        <v>34.599439775910362</v>
      </c>
      <c r="CK71" s="540">
        <f t="shared" si="138"/>
        <v>45.387755102040813</v>
      </c>
      <c r="CL71" s="560">
        <f>IF(OR(CL69&lt;0.1,CL70&lt;0.1),0,CL70/CL69)</f>
        <v>38.264944863609983</v>
      </c>
    </row>
    <row r="72" spans="1:90">
      <c r="A72" s="80">
        <f>ROWS($A$3:A70)</f>
        <v>68</v>
      </c>
      <c r="B72" s="59" t="s">
        <v>83</v>
      </c>
      <c r="C72" s="201"/>
      <c r="D72" s="260"/>
      <c r="E72" s="451"/>
      <c r="F72" s="154"/>
      <c r="G72" s="155"/>
      <c r="H72" s="155"/>
      <c r="I72" s="156"/>
      <c r="J72" s="14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c r="A73" s="80">
        <f>ROWS($A$3:A71)</f>
        <v>69</v>
      </c>
      <c r="B73" s="92" t="s">
        <v>84</v>
      </c>
      <c r="C73" s="202">
        <v>2016</v>
      </c>
      <c r="D73" s="259" t="s">
        <v>13</v>
      </c>
      <c r="E73" s="447">
        <v>42920</v>
      </c>
      <c r="F73" s="154">
        <v>3331</v>
      </c>
      <c r="G73" s="155">
        <v>1688</v>
      </c>
      <c r="H73" s="155">
        <v>2270</v>
      </c>
      <c r="I73" s="156">
        <v>2972</v>
      </c>
      <c r="J73" s="141"/>
      <c r="K73" s="154">
        <f t="shared" ref="K73:K78" si="139">BF73</f>
        <v>341</v>
      </c>
      <c r="L73" s="155">
        <f t="shared" ref="L73:L78" si="140">AY73</f>
        <v>149</v>
      </c>
      <c r="M73" s="155">
        <f t="shared" ref="M73:M78" si="141">BD73</f>
        <v>668</v>
      </c>
      <c r="N73" s="155">
        <f t="shared" ref="N73:N78" si="142">AW73</f>
        <v>127</v>
      </c>
      <c r="O73" s="155">
        <f t="shared" ref="O73:O78" si="143">BE73</f>
        <v>179</v>
      </c>
      <c r="P73" s="155">
        <f t="shared" ref="P73:P78" si="144">SUM(AZ73,BA73)</f>
        <v>489</v>
      </c>
      <c r="Q73" s="155">
        <f>'2010'!AU73</f>
        <v>256</v>
      </c>
      <c r="R73" s="155">
        <f t="shared" ref="R73:R78" si="145">SUM(AT73,AX73)</f>
        <v>320</v>
      </c>
      <c r="S73" s="155">
        <f t="shared" ref="S73:S78" si="146">AV73</f>
        <v>164</v>
      </c>
      <c r="T73" s="155">
        <f t="shared" ref="T73:U78" si="147">BB73</f>
        <v>244</v>
      </c>
      <c r="U73" s="552">
        <f t="shared" si="147"/>
        <v>387</v>
      </c>
      <c r="V73" s="155">
        <f t="shared" ref="V73:V78" si="148">SUM(BG73,BJ73)</f>
        <v>120</v>
      </c>
      <c r="W73" s="155">
        <f t="shared" ref="W73:W78" si="149">BR73</f>
        <v>165</v>
      </c>
      <c r="X73" s="155">
        <f t="shared" ref="X73:X78" si="150">SUM(BH73,BI73)</f>
        <v>361</v>
      </c>
      <c r="Y73" s="155">
        <f t="shared" ref="Y73:Y78" si="151">SUM(BK73,BL73,BN73)</f>
        <v>451</v>
      </c>
      <c r="Z73" s="155">
        <f t="shared" ref="Z73:Z78" si="152">BM73</f>
        <v>359</v>
      </c>
      <c r="AA73" s="155">
        <f t="shared" ref="AA73:AA78" si="153">SUM(BO73,BQ73)</f>
        <v>122</v>
      </c>
      <c r="AB73" s="552">
        <f t="shared" ref="AB73:AB78" si="154">BP73</f>
        <v>110</v>
      </c>
      <c r="AC73" s="155">
        <f t="shared" ref="AC73:AC78" si="155">BX73</f>
        <v>230</v>
      </c>
      <c r="AD73" s="155">
        <f t="shared" ref="AD73:AD78" si="156">BU73</f>
        <v>159</v>
      </c>
      <c r="AE73" s="155">
        <f t="shared" ref="AE73:AE78" si="157">SUM(BS73,BT73)</f>
        <v>365</v>
      </c>
      <c r="AF73" s="155">
        <f t="shared" ref="AF73:AF78" si="158">CA73</f>
        <v>137</v>
      </c>
      <c r="AG73" s="155">
        <f t="shared" ref="AG73:AG78" si="159">BV73</f>
        <v>486</v>
      </c>
      <c r="AH73" s="155">
        <f t="shared" ref="AH73:AH78" si="160">BZ73</f>
        <v>215</v>
      </c>
      <c r="AI73" s="155">
        <f t="shared" ref="AI73:AI78" si="161">BW73</f>
        <v>244</v>
      </c>
      <c r="AJ73" s="155">
        <f t="shared" ref="AJ73:AJ78" si="162">BY73</f>
        <v>169</v>
      </c>
      <c r="AK73" s="552">
        <f t="shared" ref="AK73:AK78" si="163">CB73</f>
        <v>265</v>
      </c>
      <c r="AL73" s="155">
        <f t="shared" ref="AL73:AL78" si="164">CE73</f>
        <v>314</v>
      </c>
      <c r="AM73" s="155">
        <f t="shared" ref="AM73:AM78" si="165">CH73</f>
        <v>481</v>
      </c>
      <c r="AN73" s="155">
        <f t="shared" ref="AN73:AN78" si="166">CJ73</f>
        <v>286</v>
      </c>
      <c r="AO73" s="155">
        <f t="shared" ref="AO73:AP78" si="167">CC73</f>
        <v>389</v>
      </c>
      <c r="AP73" s="155">
        <f t="shared" si="167"/>
        <v>190</v>
      </c>
      <c r="AQ73" s="155">
        <f t="shared" ref="AQ73:AQ78" si="168">CK73</f>
        <v>435</v>
      </c>
      <c r="AR73" s="155">
        <f t="shared" ref="AR73:AR78" si="169">CI73</f>
        <v>195</v>
      </c>
      <c r="AS73" s="156">
        <f t="shared" ref="AS73:AS78" si="170">SUM(CF73,CG73)</f>
        <v>682</v>
      </c>
      <c r="AT73" s="155">
        <v>32</v>
      </c>
      <c r="AU73" s="155">
        <v>263</v>
      </c>
      <c r="AV73" s="155">
        <v>164</v>
      </c>
      <c r="AW73" s="155">
        <v>127</v>
      </c>
      <c r="AX73" s="155">
        <v>288</v>
      </c>
      <c r="AY73" s="155">
        <v>149</v>
      </c>
      <c r="AZ73" s="155">
        <v>58</v>
      </c>
      <c r="BA73" s="155">
        <v>431</v>
      </c>
      <c r="BB73" s="155">
        <v>244</v>
      </c>
      <c r="BC73" s="155">
        <v>387</v>
      </c>
      <c r="BD73" s="155">
        <v>668</v>
      </c>
      <c r="BE73" s="155">
        <v>179</v>
      </c>
      <c r="BF73" s="552">
        <v>341</v>
      </c>
      <c r="BG73" s="155">
        <v>7</v>
      </c>
      <c r="BH73" s="155">
        <v>26</v>
      </c>
      <c r="BI73" s="155">
        <v>335</v>
      </c>
      <c r="BJ73" s="155">
        <v>113</v>
      </c>
      <c r="BK73" s="155">
        <v>28</v>
      </c>
      <c r="BL73" s="155">
        <v>34</v>
      </c>
      <c r="BM73" s="155">
        <v>359</v>
      </c>
      <c r="BN73" s="155">
        <v>389</v>
      </c>
      <c r="BO73" s="155">
        <v>4</v>
      </c>
      <c r="BP73" s="155">
        <v>110</v>
      </c>
      <c r="BQ73" s="155">
        <v>118</v>
      </c>
      <c r="BR73" s="552">
        <v>165</v>
      </c>
      <c r="BS73" s="155">
        <v>21</v>
      </c>
      <c r="BT73" s="155">
        <v>344</v>
      </c>
      <c r="BU73" s="155">
        <v>159</v>
      </c>
      <c r="BV73" s="155">
        <v>486</v>
      </c>
      <c r="BW73" s="155">
        <v>244</v>
      </c>
      <c r="BX73" s="155">
        <v>230</v>
      </c>
      <c r="BY73" s="155">
        <v>169</v>
      </c>
      <c r="BZ73" s="155">
        <v>215</v>
      </c>
      <c r="CA73" s="155">
        <v>137</v>
      </c>
      <c r="CB73" s="552">
        <v>265</v>
      </c>
      <c r="CC73" s="155">
        <v>389</v>
      </c>
      <c r="CD73" s="155">
        <v>190</v>
      </c>
      <c r="CE73" s="155">
        <v>314</v>
      </c>
      <c r="CF73" s="155">
        <v>44</v>
      </c>
      <c r="CG73" s="155">
        <v>638</v>
      </c>
      <c r="CH73" s="155">
        <v>481</v>
      </c>
      <c r="CI73" s="155">
        <v>195</v>
      </c>
      <c r="CJ73" s="155">
        <v>286</v>
      </c>
      <c r="CK73" s="156">
        <v>435</v>
      </c>
      <c r="CL73" s="320">
        <v>10261</v>
      </c>
    </row>
    <row r="74" spans="1:90">
      <c r="A74" s="80">
        <f>ROWS($A$3:A72)</f>
        <v>70</v>
      </c>
      <c r="B74" s="92" t="s">
        <v>85</v>
      </c>
      <c r="C74" s="203"/>
      <c r="D74" s="259" t="s">
        <v>13</v>
      </c>
      <c r="E74" s="451"/>
      <c r="F74" s="154">
        <v>389</v>
      </c>
      <c r="G74" s="155">
        <v>188</v>
      </c>
      <c r="H74" s="155">
        <v>261</v>
      </c>
      <c r="I74" s="156">
        <v>158</v>
      </c>
      <c r="J74" s="141"/>
      <c r="K74" s="154">
        <f t="shared" si="139"/>
        <v>35</v>
      </c>
      <c r="L74" s="155">
        <f t="shared" si="140"/>
        <v>61</v>
      </c>
      <c r="M74" s="155">
        <f t="shared" si="141"/>
        <v>8</v>
      </c>
      <c r="N74" s="155">
        <f t="shared" si="142"/>
        <v>22</v>
      </c>
      <c r="O74" s="155">
        <f t="shared" si="143"/>
        <v>9</v>
      </c>
      <c r="P74" s="155">
        <f t="shared" si="144"/>
        <v>50</v>
      </c>
      <c r="Q74" s="155">
        <f>'2010'!AU74</f>
        <v>20</v>
      </c>
      <c r="R74" s="155">
        <f t="shared" si="145"/>
        <v>115</v>
      </c>
      <c r="S74" s="155">
        <f t="shared" si="146"/>
        <v>46</v>
      </c>
      <c r="T74" s="155">
        <f t="shared" si="147"/>
        <v>12</v>
      </c>
      <c r="U74" s="552">
        <f t="shared" si="147"/>
        <v>16</v>
      </c>
      <c r="V74" s="155">
        <f t="shared" si="148"/>
        <v>24</v>
      </c>
      <c r="W74" s="155">
        <f t="shared" si="149"/>
        <v>8</v>
      </c>
      <c r="X74" s="155">
        <f t="shared" si="150"/>
        <v>44</v>
      </c>
      <c r="Y74" s="155">
        <f t="shared" si="151"/>
        <v>65</v>
      </c>
      <c r="Z74" s="155">
        <f t="shared" si="152"/>
        <v>9</v>
      </c>
      <c r="AA74" s="155">
        <f t="shared" si="153"/>
        <v>23</v>
      </c>
      <c r="AB74" s="552">
        <f t="shared" si="154"/>
        <v>15</v>
      </c>
      <c r="AC74" s="155">
        <f t="shared" si="155"/>
        <v>7</v>
      </c>
      <c r="AD74" s="155">
        <f t="shared" si="156"/>
        <v>22</v>
      </c>
      <c r="AE74" s="155">
        <f t="shared" si="157"/>
        <v>45</v>
      </c>
      <c r="AF74" s="155">
        <f t="shared" si="158"/>
        <v>19</v>
      </c>
      <c r="AG74" s="155">
        <f t="shared" si="159"/>
        <v>62</v>
      </c>
      <c r="AH74" s="155">
        <f t="shared" si="160"/>
        <v>81</v>
      </c>
      <c r="AI74" s="155">
        <f t="shared" si="161"/>
        <v>10</v>
      </c>
      <c r="AJ74" s="155">
        <f t="shared" si="162"/>
        <v>4</v>
      </c>
      <c r="AK74" s="552">
        <f t="shared" si="163"/>
        <v>11</v>
      </c>
      <c r="AL74" s="155">
        <f t="shared" si="164"/>
        <v>11</v>
      </c>
      <c r="AM74" s="155">
        <f t="shared" si="165"/>
        <v>17</v>
      </c>
      <c r="AN74" s="155">
        <f t="shared" si="166"/>
        <v>28</v>
      </c>
      <c r="AO74" s="155">
        <f t="shared" si="167"/>
        <v>24</v>
      </c>
      <c r="AP74" s="155">
        <f t="shared" si="167"/>
        <v>20</v>
      </c>
      <c r="AQ74" s="155">
        <f t="shared" si="168"/>
        <v>11</v>
      </c>
      <c r="AR74" s="155">
        <f t="shared" si="169"/>
        <v>17</v>
      </c>
      <c r="AS74" s="156">
        <f t="shared" si="170"/>
        <v>30</v>
      </c>
      <c r="AT74" s="155">
        <v>30</v>
      </c>
      <c r="AU74" s="155">
        <v>15</v>
      </c>
      <c r="AV74" s="155">
        <v>46</v>
      </c>
      <c r="AW74" s="155">
        <v>22</v>
      </c>
      <c r="AX74" s="155">
        <v>85</v>
      </c>
      <c r="AY74" s="155">
        <v>61</v>
      </c>
      <c r="AZ74" s="155">
        <v>11</v>
      </c>
      <c r="BA74" s="155">
        <v>39</v>
      </c>
      <c r="BB74" s="155">
        <v>12</v>
      </c>
      <c r="BC74" s="155">
        <v>16</v>
      </c>
      <c r="BD74" s="155">
        <v>8</v>
      </c>
      <c r="BE74" s="155">
        <v>9</v>
      </c>
      <c r="BF74" s="552">
        <v>35</v>
      </c>
      <c r="BG74" s="155">
        <v>6</v>
      </c>
      <c r="BH74" s="155">
        <v>14</v>
      </c>
      <c r="BI74" s="155">
        <v>30</v>
      </c>
      <c r="BJ74" s="155">
        <v>18</v>
      </c>
      <c r="BK74" s="155">
        <v>19</v>
      </c>
      <c r="BL74" s="155">
        <v>11</v>
      </c>
      <c r="BM74" s="155">
        <v>9</v>
      </c>
      <c r="BN74" s="155">
        <v>35</v>
      </c>
      <c r="BO74" s="155">
        <v>8</v>
      </c>
      <c r="BP74" s="155">
        <v>15</v>
      </c>
      <c r="BQ74" s="155">
        <v>15</v>
      </c>
      <c r="BR74" s="552">
        <v>8</v>
      </c>
      <c r="BS74" s="155">
        <v>7</v>
      </c>
      <c r="BT74" s="155">
        <v>38</v>
      </c>
      <c r="BU74" s="155">
        <v>22</v>
      </c>
      <c r="BV74" s="155">
        <v>62</v>
      </c>
      <c r="BW74" s="155">
        <v>10</v>
      </c>
      <c r="BX74" s="155">
        <v>7</v>
      </c>
      <c r="BY74" s="155">
        <v>4</v>
      </c>
      <c r="BZ74" s="155">
        <v>81</v>
      </c>
      <c r="CA74" s="155">
        <v>19</v>
      </c>
      <c r="CB74" s="552">
        <v>11</v>
      </c>
      <c r="CC74" s="155">
        <v>24</v>
      </c>
      <c r="CD74" s="155">
        <v>20</v>
      </c>
      <c r="CE74" s="155">
        <v>11</v>
      </c>
      <c r="CF74" s="155">
        <v>12</v>
      </c>
      <c r="CG74" s="155">
        <v>18</v>
      </c>
      <c r="CH74" s="155">
        <v>17</v>
      </c>
      <c r="CI74" s="155">
        <v>17</v>
      </c>
      <c r="CJ74" s="155">
        <v>28</v>
      </c>
      <c r="CK74" s="156">
        <v>11</v>
      </c>
      <c r="CL74" s="320">
        <v>996</v>
      </c>
    </row>
    <row r="75" spans="1:90">
      <c r="A75" s="80">
        <f>ROWS($A$3:A73)</f>
        <v>71</v>
      </c>
      <c r="B75" s="92" t="s">
        <v>86</v>
      </c>
      <c r="C75" s="203"/>
      <c r="D75" s="259" t="s">
        <v>13</v>
      </c>
      <c r="E75" s="451"/>
      <c r="F75" s="154">
        <v>2546</v>
      </c>
      <c r="G75" s="155">
        <v>683</v>
      </c>
      <c r="H75" s="155">
        <v>3738</v>
      </c>
      <c r="I75" s="156">
        <v>995</v>
      </c>
      <c r="J75" s="141"/>
      <c r="K75" s="154">
        <f t="shared" si="139"/>
        <v>16</v>
      </c>
      <c r="L75" s="155">
        <f t="shared" si="140"/>
        <v>376</v>
      </c>
      <c r="M75" s="155">
        <f t="shared" si="141"/>
        <v>175</v>
      </c>
      <c r="N75" s="155">
        <f t="shared" si="142"/>
        <v>26</v>
      </c>
      <c r="O75" s="155">
        <f t="shared" si="143"/>
        <v>3</v>
      </c>
      <c r="P75" s="155">
        <f t="shared" si="144"/>
        <v>1038</v>
      </c>
      <c r="Q75" s="155">
        <f>'2010'!AU75</f>
        <v>31</v>
      </c>
      <c r="R75" s="155">
        <f t="shared" si="145"/>
        <v>537</v>
      </c>
      <c r="S75" s="155">
        <f t="shared" si="146"/>
        <v>67</v>
      </c>
      <c r="T75" s="155">
        <f t="shared" si="147"/>
        <v>285</v>
      </c>
      <c r="U75" s="552">
        <f t="shared" si="147"/>
        <v>6</v>
      </c>
      <c r="V75" s="155">
        <f t="shared" si="148"/>
        <v>261</v>
      </c>
      <c r="W75" s="155">
        <f t="shared" si="149"/>
        <v>3</v>
      </c>
      <c r="X75" s="155">
        <f t="shared" si="150"/>
        <v>130</v>
      </c>
      <c r="Y75" s="155">
        <f t="shared" si="151"/>
        <v>167</v>
      </c>
      <c r="Z75" s="155">
        <f t="shared" si="152"/>
        <v>57</v>
      </c>
      <c r="AA75" s="155">
        <f t="shared" si="153"/>
        <v>60</v>
      </c>
      <c r="AB75" s="552">
        <f t="shared" si="154"/>
        <v>5</v>
      </c>
      <c r="AC75" s="155">
        <f t="shared" si="155"/>
        <v>2</v>
      </c>
      <c r="AD75" s="155">
        <f t="shared" si="156"/>
        <v>496</v>
      </c>
      <c r="AE75" s="155">
        <f t="shared" si="157"/>
        <v>1328</v>
      </c>
      <c r="AF75" s="155">
        <f t="shared" si="158"/>
        <v>196</v>
      </c>
      <c r="AG75" s="155">
        <f t="shared" si="159"/>
        <v>1581</v>
      </c>
      <c r="AH75" s="155">
        <f t="shared" si="160"/>
        <v>99</v>
      </c>
      <c r="AI75" s="155">
        <f t="shared" si="161"/>
        <v>5</v>
      </c>
      <c r="AJ75" s="155" t="str">
        <f t="shared" si="162"/>
        <v>–</v>
      </c>
      <c r="AK75" s="552">
        <f t="shared" si="163"/>
        <v>31</v>
      </c>
      <c r="AL75" s="155">
        <f t="shared" si="164"/>
        <v>2</v>
      </c>
      <c r="AM75" s="155">
        <f t="shared" si="165"/>
        <v>6</v>
      </c>
      <c r="AN75" s="155">
        <f t="shared" si="166"/>
        <v>130</v>
      </c>
      <c r="AO75" s="155">
        <f t="shared" si="167"/>
        <v>21</v>
      </c>
      <c r="AP75" s="155">
        <f t="shared" si="167"/>
        <v>12</v>
      </c>
      <c r="AQ75" s="155">
        <f t="shared" si="168"/>
        <v>12</v>
      </c>
      <c r="AR75" s="155">
        <f t="shared" si="169"/>
        <v>801</v>
      </c>
      <c r="AS75" s="156">
        <f t="shared" si="170"/>
        <v>11</v>
      </c>
      <c r="AT75" s="155">
        <v>101</v>
      </c>
      <c r="AU75" s="155">
        <v>17</v>
      </c>
      <c r="AV75" s="281">
        <v>67</v>
      </c>
      <c r="AW75" s="281">
        <v>26</v>
      </c>
      <c r="AX75" s="281">
        <v>436</v>
      </c>
      <c r="AY75" s="281">
        <v>376</v>
      </c>
      <c r="AZ75" s="281">
        <v>89</v>
      </c>
      <c r="BA75" s="281">
        <v>949</v>
      </c>
      <c r="BB75" s="281">
        <v>285</v>
      </c>
      <c r="BC75" s="281">
        <v>6</v>
      </c>
      <c r="BD75" s="281">
        <v>175</v>
      </c>
      <c r="BE75" s="281">
        <v>3</v>
      </c>
      <c r="BF75" s="552">
        <v>16</v>
      </c>
      <c r="BG75" s="281">
        <v>73</v>
      </c>
      <c r="BH75" s="281">
        <v>4</v>
      </c>
      <c r="BI75" s="281">
        <v>126</v>
      </c>
      <c r="BJ75" s="281">
        <v>188</v>
      </c>
      <c r="BK75" s="281">
        <v>8</v>
      </c>
      <c r="BL75" s="281" t="s">
        <v>41</v>
      </c>
      <c r="BM75" s="281">
        <v>57</v>
      </c>
      <c r="BN75" s="281">
        <v>159</v>
      </c>
      <c r="BO75" s="281">
        <v>1</v>
      </c>
      <c r="BP75" s="281">
        <v>5</v>
      </c>
      <c r="BQ75" s="281">
        <v>59</v>
      </c>
      <c r="BR75" s="552">
        <v>3</v>
      </c>
      <c r="BS75" s="281">
        <v>116</v>
      </c>
      <c r="BT75" s="281">
        <v>1212</v>
      </c>
      <c r="BU75" s="281">
        <v>496</v>
      </c>
      <c r="BV75" s="281">
        <v>1581</v>
      </c>
      <c r="BW75" s="281">
        <v>5</v>
      </c>
      <c r="BX75" s="281">
        <v>2</v>
      </c>
      <c r="BY75" s="281" t="s">
        <v>41</v>
      </c>
      <c r="BZ75" s="281">
        <v>99</v>
      </c>
      <c r="CA75" s="281">
        <v>196</v>
      </c>
      <c r="CB75" s="552">
        <v>31</v>
      </c>
      <c r="CC75" s="281">
        <v>21</v>
      </c>
      <c r="CD75" s="281">
        <v>12</v>
      </c>
      <c r="CE75" s="281">
        <v>2</v>
      </c>
      <c r="CF75" s="281">
        <v>1</v>
      </c>
      <c r="CG75" s="281">
        <v>10</v>
      </c>
      <c r="CH75" s="281">
        <v>6</v>
      </c>
      <c r="CI75" s="281">
        <v>801</v>
      </c>
      <c r="CJ75" s="281">
        <v>130</v>
      </c>
      <c r="CK75" s="156">
        <v>12</v>
      </c>
      <c r="CL75" s="320">
        <v>7962</v>
      </c>
    </row>
    <row r="76" spans="1:90">
      <c r="A76" s="80">
        <f>ROWS($A$3:A74)</f>
        <v>72</v>
      </c>
      <c r="B76" s="92" t="s">
        <v>87</v>
      </c>
      <c r="C76" s="203"/>
      <c r="D76" s="259" t="s">
        <v>13</v>
      </c>
      <c r="E76" s="451"/>
      <c r="F76" s="154">
        <v>3759</v>
      </c>
      <c r="G76" s="155">
        <v>1200</v>
      </c>
      <c r="H76" s="155">
        <v>4664</v>
      </c>
      <c r="I76" s="156">
        <v>4651</v>
      </c>
      <c r="J76" s="141"/>
      <c r="K76" s="154">
        <f t="shared" si="139"/>
        <v>975</v>
      </c>
      <c r="L76" s="155">
        <f t="shared" si="140"/>
        <v>384</v>
      </c>
      <c r="M76" s="155">
        <f t="shared" si="141"/>
        <v>173</v>
      </c>
      <c r="N76" s="155">
        <f t="shared" si="142"/>
        <v>445</v>
      </c>
      <c r="O76" s="155">
        <f t="shared" si="143"/>
        <v>199</v>
      </c>
      <c r="P76" s="155">
        <f t="shared" si="144"/>
        <v>134</v>
      </c>
      <c r="Q76" s="155">
        <f>'2010'!AU76</f>
        <v>122</v>
      </c>
      <c r="R76" s="155">
        <f t="shared" si="145"/>
        <v>118</v>
      </c>
      <c r="S76" s="155">
        <f t="shared" si="146"/>
        <v>201</v>
      </c>
      <c r="T76" s="155">
        <f t="shared" si="147"/>
        <v>219</v>
      </c>
      <c r="U76" s="552">
        <f t="shared" si="147"/>
        <v>800</v>
      </c>
      <c r="V76" s="155">
        <f t="shared" si="148"/>
        <v>105</v>
      </c>
      <c r="W76" s="155">
        <f t="shared" si="149"/>
        <v>230</v>
      </c>
      <c r="X76" s="155">
        <f t="shared" si="150"/>
        <v>132</v>
      </c>
      <c r="Y76" s="155">
        <f t="shared" si="151"/>
        <v>163</v>
      </c>
      <c r="Z76" s="155">
        <f t="shared" si="152"/>
        <v>217</v>
      </c>
      <c r="AA76" s="155">
        <f t="shared" si="153"/>
        <v>122</v>
      </c>
      <c r="AB76" s="552">
        <f t="shared" si="154"/>
        <v>231</v>
      </c>
      <c r="AC76" s="155">
        <f t="shared" si="155"/>
        <v>594</v>
      </c>
      <c r="AD76" s="155">
        <f t="shared" si="156"/>
        <v>466</v>
      </c>
      <c r="AE76" s="155">
        <f t="shared" si="157"/>
        <v>822</v>
      </c>
      <c r="AF76" s="155">
        <f t="shared" si="158"/>
        <v>490</v>
      </c>
      <c r="AG76" s="155">
        <f t="shared" si="159"/>
        <v>768</v>
      </c>
      <c r="AH76" s="155">
        <f t="shared" si="160"/>
        <v>284</v>
      </c>
      <c r="AI76" s="155">
        <f t="shared" si="161"/>
        <v>352</v>
      </c>
      <c r="AJ76" s="155">
        <f t="shared" si="162"/>
        <v>200</v>
      </c>
      <c r="AK76" s="552">
        <f t="shared" si="163"/>
        <v>688</v>
      </c>
      <c r="AL76" s="155">
        <f t="shared" si="164"/>
        <v>309</v>
      </c>
      <c r="AM76" s="155">
        <f t="shared" si="165"/>
        <v>867</v>
      </c>
      <c r="AN76" s="155">
        <f t="shared" si="166"/>
        <v>1721</v>
      </c>
      <c r="AO76" s="155">
        <f t="shared" si="167"/>
        <v>391</v>
      </c>
      <c r="AP76" s="155">
        <f t="shared" si="167"/>
        <v>85</v>
      </c>
      <c r="AQ76" s="155">
        <f t="shared" si="168"/>
        <v>427</v>
      </c>
      <c r="AR76" s="155">
        <f t="shared" si="169"/>
        <v>278</v>
      </c>
      <c r="AS76" s="156">
        <f t="shared" si="170"/>
        <v>573</v>
      </c>
      <c r="AT76" s="155">
        <v>10</v>
      </c>
      <c r="AU76" s="155">
        <v>111</v>
      </c>
      <c r="AV76" s="155">
        <v>201</v>
      </c>
      <c r="AW76" s="155">
        <v>445</v>
      </c>
      <c r="AX76" s="155">
        <v>108</v>
      </c>
      <c r="AY76" s="155">
        <v>384</v>
      </c>
      <c r="AZ76" s="155">
        <v>2</v>
      </c>
      <c r="BA76" s="155">
        <v>132</v>
      </c>
      <c r="BB76" s="155">
        <v>219</v>
      </c>
      <c r="BC76" s="155">
        <v>800</v>
      </c>
      <c r="BD76" s="155">
        <v>173</v>
      </c>
      <c r="BE76" s="155">
        <v>199</v>
      </c>
      <c r="BF76" s="552">
        <v>975</v>
      </c>
      <c r="BG76" s="155">
        <v>16</v>
      </c>
      <c r="BH76" s="155">
        <v>6</v>
      </c>
      <c r="BI76" s="155">
        <v>126</v>
      </c>
      <c r="BJ76" s="155">
        <v>89</v>
      </c>
      <c r="BK76" s="155">
        <v>6</v>
      </c>
      <c r="BL76" s="155">
        <v>6</v>
      </c>
      <c r="BM76" s="155">
        <v>217</v>
      </c>
      <c r="BN76" s="155">
        <v>151</v>
      </c>
      <c r="BO76" s="155">
        <v>7</v>
      </c>
      <c r="BP76" s="155">
        <v>231</v>
      </c>
      <c r="BQ76" s="155">
        <v>115</v>
      </c>
      <c r="BR76" s="552">
        <v>230</v>
      </c>
      <c r="BS76" s="155">
        <v>18</v>
      </c>
      <c r="BT76" s="155">
        <v>804</v>
      </c>
      <c r="BU76" s="155">
        <v>466</v>
      </c>
      <c r="BV76" s="155">
        <v>768</v>
      </c>
      <c r="BW76" s="155">
        <v>352</v>
      </c>
      <c r="BX76" s="155">
        <v>594</v>
      </c>
      <c r="BY76" s="155">
        <v>200</v>
      </c>
      <c r="BZ76" s="155">
        <v>284</v>
      </c>
      <c r="CA76" s="155">
        <v>490</v>
      </c>
      <c r="CB76" s="552">
        <v>688</v>
      </c>
      <c r="CC76" s="155">
        <v>391</v>
      </c>
      <c r="CD76" s="155">
        <v>85</v>
      </c>
      <c r="CE76" s="155">
        <v>309</v>
      </c>
      <c r="CF76" s="155">
        <v>19</v>
      </c>
      <c r="CG76" s="155">
        <v>554</v>
      </c>
      <c r="CH76" s="155">
        <v>867</v>
      </c>
      <c r="CI76" s="155">
        <v>278</v>
      </c>
      <c r="CJ76" s="155">
        <v>1721</v>
      </c>
      <c r="CK76" s="156">
        <v>427</v>
      </c>
      <c r="CL76" s="320">
        <v>14274</v>
      </c>
    </row>
    <row r="77" spans="1:90">
      <c r="A77" s="80">
        <f>ROWS($A$3:A75)</f>
        <v>73</v>
      </c>
      <c r="B77" s="92" t="s">
        <v>88</v>
      </c>
      <c r="C77" s="203"/>
      <c r="D77" s="259" t="s">
        <v>13</v>
      </c>
      <c r="E77" s="451"/>
      <c r="F77" s="154">
        <v>839</v>
      </c>
      <c r="G77" s="281">
        <v>61</v>
      </c>
      <c r="H77" s="281">
        <v>94</v>
      </c>
      <c r="I77" s="156">
        <v>471</v>
      </c>
      <c r="J77" s="141"/>
      <c r="K77" s="154">
        <f t="shared" si="139"/>
        <v>103</v>
      </c>
      <c r="L77" s="155">
        <f t="shared" si="140"/>
        <v>14</v>
      </c>
      <c r="M77" s="155">
        <f t="shared" si="141"/>
        <v>88</v>
      </c>
      <c r="N77" s="155">
        <f t="shared" si="142"/>
        <v>20</v>
      </c>
      <c r="O77" s="155">
        <f t="shared" si="143"/>
        <v>34</v>
      </c>
      <c r="P77" s="155">
        <f t="shared" si="144"/>
        <v>20</v>
      </c>
      <c r="Q77" s="155">
        <f>'2010'!AU77</f>
        <v>14</v>
      </c>
      <c r="R77" s="155">
        <f t="shared" si="145"/>
        <v>26</v>
      </c>
      <c r="S77" s="155">
        <f t="shared" si="146"/>
        <v>7</v>
      </c>
      <c r="T77" s="155">
        <f t="shared" si="147"/>
        <v>114</v>
      </c>
      <c r="U77" s="552">
        <f t="shared" si="147"/>
        <v>399</v>
      </c>
      <c r="V77" s="155">
        <f t="shared" si="148"/>
        <v>5</v>
      </c>
      <c r="W77" s="155">
        <f t="shared" si="149"/>
        <v>8</v>
      </c>
      <c r="X77" s="155">
        <f t="shared" si="150"/>
        <v>2</v>
      </c>
      <c r="Y77" s="155">
        <f t="shared" si="151"/>
        <v>18</v>
      </c>
      <c r="Z77" s="155">
        <f t="shared" si="152"/>
        <v>22</v>
      </c>
      <c r="AA77" s="155">
        <f t="shared" si="153"/>
        <v>4</v>
      </c>
      <c r="AB77" s="552">
        <f t="shared" si="154"/>
        <v>2</v>
      </c>
      <c r="AC77" s="155">
        <f t="shared" si="155"/>
        <v>11</v>
      </c>
      <c r="AD77" s="155">
        <f t="shared" si="156"/>
        <v>7</v>
      </c>
      <c r="AE77" s="155">
        <f t="shared" si="157"/>
        <v>6</v>
      </c>
      <c r="AF77" s="155">
        <f t="shared" si="158"/>
        <v>3</v>
      </c>
      <c r="AG77" s="155">
        <f t="shared" si="159"/>
        <v>22</v>
      </c>
      <c r="AH77" s="155">
        <f t="shared" si="160"/>
        <v>10</v>
      </c>
      <c r="AI77" s="155">
        <f t="shared" si="161"/>
        <v>17</v>
      </c>
      <c r="AJ77" s="155">
        <f t="shared" si="162"/>
        <v>6</v>
      </c>
      <c r="AK77" s="552">
        <f t="shared" si="163"/>
        <v>12</v>
      </c>
      <c r="AL77" s="155">
        <f t="shared" si="164"/>
        <v>5</v>
      </c>
      <c r="AM77" s="155">
        <f t="shared" si="165"/>
        <v>113</v>
      </c>
      <c r="AN77" s="155">
        <f t="shared" si="166"/>
        <v>43</v>
      </c>
      <c r="AO77" s="155">
        <f t="shared" si="167"/>
        <v>16</v>
      </c>
      <c r="AP77" s="155">
        <f t="shared" si="167"/>
        <v>10</v>
      </c>
      <c r="AQ77" s="155">
        <f t="shared" si="168"/>
        <v>66</v>
      </c>
      <c r="AR77" s="155">
        <f t="shared" si="169"/>
        <v>12</v>
      </c>
      <c r="AS77" s="156">
        <f t="shared" si="170"/>
        <v>206</v>
      </c>
      <c r="AT77" s="155" t="s">
        <v>41</v>
      </c>
      <c r="AU77" s="281">
        <v>14</v>
      </c>
      <c r="AV77" s="281">
        <v>7</v>
      </c>
      <c r="AW77" s="281">
        <v>20</v>
      </c>
      <c r="AX77" s="281">
        <v>26</v>
      </c>
      <c r="AY77" s="281">
        <v>14</v>
      </c>
      <c r="AZ77" s="281">
        <v>1</v>
      </c>
      <c r="BA77" s="281">
        <v>19</v>
      </c>
      <c r="BB77" s="281">
        <v>114</v>
      </c>
      <c r="BC77" s="281">
        <v>399</v>
      </c>
      <c r="BD77" s="281">
        <v>88</v>
      </c>
      <c r="BE77" s="281">
        <v>34</v>
      </c>
      <c r="BF77" s="552">
        <v>103</v>
      </c>
      <c r="BG77" s="281" t="s">
        <v>41</v>
      </c>
      <c r="BH77" s="281" t="s">
        <v>41</v>
      </c>
      <c r="BI77" s="281">
        <v>2</v>
      </c>
      <c r="BJ77" s="281">
        <v>5</v>
      </c>
      <c r="BK77" s="281">
        <v>1</v>
      </c>
      <c r="BL77" s="281" t="s">
        <v>41</v>
      </c>
      <c r="BM77" s="281">
        <v>22</v>
      </c>
      <c r="BN77" s="281">
        <v>17</v>
      </c>
      <c r="BO77" s="281" t="s">
        <v>41</v>
      </c>
      <c r="BP77" s="281">
        <v>2</v>
      </c>
      <c r="BQ77" s="281">
        <v>4</v>
      </c>
      <c r="BR77" s="552">
        <v>8</v>
      </c>
      <c r="BS77" s="281">
        <v>1</v>
      </c>
      <c r="BT77" s="281">
        <v>5</v>
      </c>
      <c r="BU77" s="281">
        <v>7</v>
      </c>
      <c r="BV77" s="281">
        <v>22</v>
      </c>
      <c r="BW77" s="281">
        <v>17</v>
      </c>
      <c r="BX77" s="281">
        <v>11</v>
      </c>
      <c r="BY77" s="281">
        <v>6</v>
      </c>
      <c r="BZ77" s="281">
        <v>10</v>
      </c>
      <c r="CA77" s="281">
        <v>3</v>
      </c>
      <c r="CB77" s="552">
        <v>12</v>
      </c>
      <c r="CC77" s="281">
        <v>16</v>
      </c>
      <c r="CD77" s="281">
        <v>10</v>
      </c>
      <c r="CE77" s="281">
        <v>5</v>
      </c>
      <c r="CF77" s="281">
        <v>10</v>
      </c>
      <c r="CG77" s="281">
        <v>196</v>
      </c>
      <c r="CH77" s="281">
        <v>113</v>
      </c>
      <c r="CI77" s="281">
        <v>12</v>
      </c>
      <c r="CJ77" s="281">
        <v>43</v>
      </c>
      <c r="CK77" s="156">
        <v>66</v>
      </c>
      <c r="CL77" s="320">
        <v>1465</v>
      </c>
    </row>
    <row r="78" spans="1:90">
      <c r="A78" s="80">
        <f>ROWS($A$3:A76)</f>
        <v>74</v>
      </c>
      <c r="B78" s="92" t="s">
        <v>89</v>
      </c>
      <c r="C78" s="203"/>
      <c r="D78" s="259" t="s">
        <v>13</v>
      </c>
      <c r="E78" s="451"/>
      <c r="F78" s="154">
        <v>2113</v>
      </c>
      <c r="G78" s="155">
        <v>739</v>
      </c>
      <c r="H78" s="155">
        <v>1336</v>
      </c>
      <c r="I78" s="156">
        <v>1443</v>
      </c>
      <c r="J78" s="141"/>
      <c r="K78" s="154">
        <f t="shared" si="139"/>
        <v>207</v>
      </c>
      <c r="L78" s="155">
        <f t="shared" si="140"/>
        <v>144</v>
      </c>
      <c r="M78" s="155">
        <f t="shared" si="141"/>
        <v>243</v>
      </c>
      <c r="N78" s="155">
        <f t="shared" si="142"/>
        <v>85</v>
      </c>
      <c r="O78" s="155">
        <f t="shared" si="143"/>
        <v>118</v>
      </c>
      <c r="P78" s="155">
        <f t="shared" si="144"/>
        <v>280</v>
      </c>
      <c r="Q78" s="155">
        <f>'2010'!AU78</f>
        <v>161</v>
      </c>
      <c r="R78" s="155">
        <f t="shared" si="145"/>
        <v>258</v>
      </c>
      <c r="S78" s="155">
        <f t="shared" si="146"/>
        <v>148</v>
      </c>
      <c r="T78" s="155">
        <f t="shared" si="147"/>
        <v>224</v>
      </c>
      <c r="U78" s="552">
        <f t="shared" si="147"/>
        <v>266</v>
      </c>
      <c r="V78" s="155">
        <f t="shared" si="148"/>
        <v>61</v>
      </c>
      <c r="W78" s="155">
        <f t="shared" si="149"/>
        <v>63</v>
      </c>
      <c r="X78" s="155">
        <f t="shared" si="150"/>
        <v>108</v>
      </c>
      <c r="Y78" s="155">
        <f t="shared" si="151"/>
        <v>150</v>
      </c>
      <c r="Z78" s="155">
        <f t="shared" si="152"/>
        <v>166</v>
      </c>
      <c r="AA78" s="155">
        <f t="shared" si="153"/>
        <v>108</v>
      </c>
      <c r="AB78" s="552">
        <f t="shared" si="154"/>
        <v>83</v>
      </c>
      <c r="AC78" s="155">
        <f t="shared" si="155"/>
        <v>124</v>
      </c>
      <c r="AD78" s="155">
        <f t="shared" si="156"/>
        <v>116</v>
      </c>
      <c r="AE78" s="155">
        <f t="shared" si="157"/>
        <v>206</v>
      </c>
      <c r="AF78" s="155">
        <f t="shared" si="158"/>
        <v>121</v>
      </c>
      <c r="AG78" s="155">
        <f t="shared" si="159"/>
        <v>366</v>
      </c>
      <c r="AH78" s="155">
        <f t="shared" si="160"/>
        <v>122</v>
      </c>
      <c r="AI78" s="155">
        <f t="shared" si="161"/>
        <v>130</v>
      </c>
      <c r="AJ78" s="155">
        <f t="shared" si="162"/>
        <v>45</v>
      </c>
      <c r="AK78" s="552">
        <f t="shared" si="163"/>
        <v>106</v>
      </c>
      <c r="AL78" s="155">
        <f t="shared" si="164"/>
        <v>60</v>
      </c>
      <c r="AM78" s="155">
        <f t="shared" si="165"/>
        <v>230</v>
      </c>
      <c r="AN78" s="155">
        <f t="shared" si="166"/>
        <v>132</v>
      </c>
      <c r="AO78" s="155">
        <f t="shared" si="167"/>
        <v>170</v>
      </c>
      <c r="AP78" s="155">
        <f t="shared" si="167"/>
        <v>69</v>
      </c>
      <c r="AQ78" s="155">
        <f t="shared" si="168"/>
        <v>216</v>
      </c>
      <c r="AR78" s="155">
        <f t="shared" si="169"/>
        <v>207</v>
      </c>
      <c r="AS78" s="156">
        <f t="shared" si="170"/>
        <v>359</v>
      </c>
      <c r="AT78" s="155">
        <v>18</v>
      </c>
      <c r="AU78" s="155">
        <v>140</v>
      </c>
      <c r="AV78" s="155">
        <v>148</v>
      </c>
      <c r="AW78" s="155">
        <v>85</v>
      </c>
      <c r="AX78" s="155">
        <v>240</v>
      </c>
      <c r="AY78" s="155">
        <v>144</v>
      </c>
      <c r="AZ78" s="155">
        <v>11</v>
      </c>
      <c r="BA78" s="155">
        <v>269</v>
      </c>
      <c r="BB78" s="155">
        <v>224</v>
      </c>
      <c r="BC78" s="155">
        <v>266</v>
      </c>
      <c r="BD78" s="155">
        <v>243</v>
      </c>
      <c r="BE78" s="155">
        <v>118</v>
      </c>
      <c r="BF78" s="552">
        <v>207</v>
      </c>
      <c r="BG78" s="155">
        <v>3</v>
      </c>
      <c r="BH78" s="155">
        <v>12</v>
      </c>
      <c r="BI78" s="155">
        <v>96</v>
      </c>
      <c r="BJ78" s="155">
        <v>58</v>
      </c>
      <c r="BK78" s="155">
        <v>12</v>
      </c>
      <c r="BL78" s="155">
        <v>8</v>
      </c>
      <c r="BM78" s="155">
        <v>166</v>
      </c>
      <c r="BN78" s="155">
        <v>130</v>
      </c>
      <c r="BO78" s="155">
        <v>5</v>
      </c>
      <c r="BP78" s="155">
        <v>83</v>
      </c>
      <c r="BQ78" s="155">
        <v>103</v>
      </c>
      <c r="BR78" s="552">
        <v>63</v>
      </c>
      <c r="BS78" s="155">
        <v>18</v>
      </c>
      <c r="BT78" s="155">
        <v>188</v>
      </c>
      <c r="BU78" s="155">
        <v>116</v>
      </c>
      <c r="BV78" s="155">
        <v>366</v>
      </c>
      <c r="BW78" s="155">
        <v>130</v>
      </c>
      <c r="BX78" s="155">
        <v>124</v>
      </c>
      <c r="BY78" s="155">
        <v>45</v>
      </c>
      <c r="BZ78" s="155">
        <v>122</v>
      </c>
      <c r="CA78" s="155">
        <v>121</v>
      </c>
      <c r="CB78" s="552">
        <v>106</v>
      </c>
      <c r="CC78" s="155">
        <v>170</v>
      </c>
      <c r="CD78" s="155">
        <v>69</v>
      </c>
      <c r="CE78" s="155">
        <v>60</v>
      </c>
      <c r="CF78" s="155">
        <v>22</v>
      </c>
      <c r="CG78" s="155">
        <v>337</v>
      </c>
      <c r="CH78" s="155">
        <v>230</v>
      </c>
      <c r="CI78" s="155">
        <v>207</v>
      </c>
      <c r="CJ78" s="155">
        <v>132</v>
      </c>
      <c r="CK78" s="156">
        <v>216</v>
      </c>
      <c r="CL78" s="320">
        <v>5631</v>
      </c>
    </row>
    <row r="79" spans="1:90">
      <c r="A79" s="80">
        <f>ROWS($A$3:A77)</f>
        <v>75</v>
      </c>
      <c r="B79" s="59" t="s">
        <v>79</v>
      </c>
      <c r="C79" s="500"/>
      <c r="D79" s="260"/>
      <c r="E79" s="451"/>
      <c r="F79" s="154"/>
      <c r="G79" s="155"/>
      <c r="H79" s="155"/>
      <c r="I79" s="156"/>
      <c r="J79" s="14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281"/>
      <c r="CD79" s="281"/>
      <c r="CE79" s="281"/>
      <c r="CF79" s="281"/>
      <c r="CG79" s="281"/>
      <c r="CH79" s="281"/>
      <c r="CI79" s="281"/>
      <c r="CJ79" s="281"/>
      <c r="CK79" s="156"/>
      <c r="CL79" s="320" t="s">
        <v>57</v>
      </c>
    </row>
    <row r="80" spans="1:90">
      <c r="A80" s="80">
        <f>ROWS($A$3:A78)</f>
        <v>76</v>
      </c>
      <c r="B80" s="92" t="s">
        <v>90</v>
      </c>
      <c r="C80" s="205">
        <v>2017</v>
      </c>
      <c r="D80" s="259" t="s">
        <v>13</v>
      </c>
      <c r="E80" s="447">
        <v>43320</v>
      </c>
      <c r="F80" s="154">
        <f>SUM(AT80:BF80)</f>
        <v>14254</v>
      </c>
      <c r="G80" s="155">
        <f>SUM(BG80:BR80)</f>
        <v>4874</v>
      </c>
      <c r="H80" s="155">
        <f>SUM(BS80:CB80)</f>
        <v>12735</v>
      </c>
      <c r="I80" s="156">
        <f>SUM(CC80:CK80)</f>
        <v>12239</v>
      </c>
      <c r="J80" s="281"/>
      <c r="K80" s="154">
        <f>BF80</f>
        <v>2116</v>
      </c>
      <c r="L80" s="155">
        <f>AY80</f>
        <v>1038</v>
      </c>
      <c r="M80" s="155">
        <f>BD80</f>
        <v>1614</v>
      </c>
      <c r="N80" s="155">
        <f>AW80</f>
        <v>795</v>
      </c>
      <c r="O80" s="155">
        <f>BE80</f>
        <v>592</v>
      </c>
      <c r="P80" s="155">
        <f>AZ80+BA80</f>
        <v>1891</v>
      </c>
      <c r="Q80" s="155">
        <f>AU80</f>
        <v>635</v>
      </c>
      <c r="R80" s="155">
        <f>AT80+AX80</f>
        <v>1218</v>
      </c>
      <c r="S80" s="155">
        <f>AV80</f>
        <v>599</v>
      </c>
      <c r="T80" s="155">
        <f t="shared" ref="T80:U83" si="171">BB80</f>
        <v>1391</v>
      </c>
      <c r="U80" s="552">
        <f t="shared" si="171"/>
        <v>2365</v>
      </c>
      <c r="V80" s="155">
        <f>BG80+BJ80</f>
        <v>560</v>
      </c>
      <c r="W80" s="155">
        <f>BR80</f>
        <v>634</v>
      </c>
      <c r="X80" s="155">
        <f>BH80+BI80</f>
        <v>774</v>
      </c>
      <c r="Y80" s="155">
        <f>BK80+BL80+BN80</f>
        <v>916</v>
      </c>
      <c r="Z80" s="155">
        <f>BM80</f>
        <v>990</v>
      </c>
      <c r="AA80" s="155">
        <f>BO80+BQ80</f>
        <v>458</v>
      </c>
      <c r="AB80" s="552">
        <f>BP80</f>
        <v>542</v>
      </c>
      <c r="AC80" s="155">
        <f>BX80</f>
        <v>1197</v>
      </c>
      <c r="AD80" s="155">
        <f>BU80</f>
        <v>1170</v>
      </c>
      <c r="AE80" s="155">
        <f>BS80+BT80</f>
        <v>2327</v>
      </c>
      <c r="AF80" s="155">
        <f>CA80</f>
        <v>1023</v>
      </c>
      <c r="AG80" s="155">
        <f>BV80</f>
        <v>3272</v>
      </c>
      <c r="AH80" s="155">
        <f>BZ80</f>
        <v>935</v>
      </c>
      <c r="AI80" s="155">
        <f>BW80</f>
        <v>947</v>
      </c>
      <c r="AJ80" s="155">
        <f>BY80</f>
        <v>491</v>
      </c>
      <c r="AK80" s="552">
        <f>CB80</f>
        <v>1373</v>
      </c>
      <c r="AL80" s="155">
        <f>CE80</f>
        <v>838</v>
      </c>
      <c r="AM80" s="155">
        <f>CH80</f>
        <v>1949</v>
      </c>
      <c r="AN80" s="155">
        <f>CJ80</f>
        <v>2834</v>
      </c>
      <c r="AO80" s="155">
        <f t="shared" ref="AO80:AP83" si="172">CC80</f>
        <v>1164</v>
      </c>
      <c r="AP80" s="155">
        <f t="shared" si="172"/>
        <v>423</v>
      </c>
      <c r="AQ80" s="155">
        <f>CK80</f>
        <v>1443</v>
      </c>
      <c r="AR80" s="155">
        <f>CI80</f>
        <v>1467</v>
      </c>
      <c r="AS80" s="156">
        <f>CF80+CG80</f>
        <v>2121</v>
      </c>
      <c r="AT80" s="281">
        <v>134</v>
      </c>
      <c r="AU80" s="281">
        <v>635</v>
      </c>
      <c r="AV80" s="281">
        <v>599</v>
      </c>
      <c r="AW80" s="281">
        <v>795</v>
      </c>
      <c r="AX80" s="281">
        <v>1084</v>
      </c>
      <c r="AY80" s="281">
        <v>1038</v>
      </c>
      <c r="AZ80" s="281">
        <v>159</v>
      </c>
      <c r="BA80" s="281">
        <v>1732</v>
      </c>
      <c r="BB80" s="281">
        <v>1391</v>
      </c>
      <c r="BC80" s="281">
        <v>2365</v>
      </c>
      <c r="BD80" s="281">
        <v>1614</v>
      </c>
      <c r="BE80" s="281">
        <v>592</v>
      </c>
      <c r="BF80" s="299">
        <v>2116</v>
      </c>
      <c r="BG80" s="281">
        <v>79</v>
      </c>
      <c r="BH80" s="281">
        <v>49</v>
      </c>
      <c r="BI80" s="281">
        <v>725</v>
      </c>
      <c r="BJ80" s="281">
        <v>481</v>
      </c>
      <c r="BK80" s="281">
        <v>61</v>
      </c>
      <c r="BL80" s="281">
        <v>47</v>
      </c>
      <c r="BM80" s="281">
        <v>990</v>
      </c>
      <c r="BN80" s="281">
        <v>808</v>
      </c>
      <c r="BO80" s="281">
        <v>17</v>
      </c>
      <c r="BP80" s="281">
        <v>542</v>
      </c>
      <c r="BQ80" s="281">
        <v>441</v>
      </c>
      <c r="BR80" s="299">
        <v>634</v>
      </c>
      <c r="BS80" s="281">
        <v>142</v>
      </c>
      <c r="BT80" s="281">
        <v>2185</v>
      </c>
      <c r="BU80" s="281">
        <v>1170</v>
      </c>
      <c r="BV80" s="281">
        <v>3272</v>
      </c>
      <c r="BW80" s="281">
        <v>947</v>
      </c>
      <c r="BX80" s="281">
        <v>1197</v>
      </c>
      <c r="BY80" s="281">
        <v>491</v>
      </c>
      <c r="BZ80" s="281">
        <v>935</v>
      </c>
      <c r="CA80" s="281">
        <v>1023</v>
      </c>
      <c r="CB80" s="299">
        <v>1373</v>
      </c>
      <c r="CC80" s="281">
        <v>1164</v>
      </c>
      <c r="CD80" s="281">
        <v>423</v>
      </c>
      <c r="CE80" s="281">
        <v>838</v>
      </c>
      <c r="CF80" s="155">
        <v>117</v>
      </c>
      <c r="CG80" s="281">
        <v>2004</v>
      </c>
      <c r="CH80" s="281">
        <v>1949</v>
      </c>
      <c r="CI80" s="281">
        <v>1467</v>
      </c>
      <c r="CJ80" s="281">
        <v>2834</v>
      </c>
      <c r="CK80" s="300">
        <v>1443</v>
      </c>
      <c r="CL80" s="301">
        <v>44102</v>
      </c>
    </row>
    <row r="81" spans="1:90">
      <c r="A81" s="80">
        <f>ROWS($A$3:A79)</f>
        <v>77</v>
      </c>
      <c r="B81" s="55" t="s">
        <v>365</v>
      </c>
      <c r="C81" s="203">
        <v>2016</v>
      </c>
      <c r="D81" s="254" t="s">
        <v>13</v>
      </c>
      <c r="E81" s="256">
        <v>43320</v>
      </c>
      <c r="F81" s="154">
        <f>SUM(AT81:BF81)</f>
        <v>1045235</v>
      </c>
      <c r="G81" s="155">
        <f>SUM(BG81:BR81)</f>
        <v>678426</v>
      </c>
      <c r="H81" s="155">
        <f>SUM(BS81:CB81)</f>
        <v>682812</v>
      </c>
      <c r="I81" s="156">
        <f>SUM(CC81:CK81)</f>
        <v>600120</v>
      </c>
      <c r="J81" s="281"/>
      <c r="K81" s="154">
        <f>BF81</f>
        <v>80872</v>
      </c>
      <c r="L81" s="155">
        <f>AY81</f>
        <v>124590</v>
      </c>
      <c r="M81" s="155">
        <f>BD81</f>
        <v>101080</v>
      </c>
      <c r="N81" s="155">
        <f>AW81</f>
        <v>54014</v>
      </c>
      <c r="O81" s="155">
        <f>BE81</f>
        <v>30441</v>
      </c>
      <c r="P81" s="155">
        <f>AZ81+BA81</f>
        <v>155433</v>
      </c>
      <c r="Q81" s="155">
        <f>AU81</f>
        <v>103587</v>
      </c>
      <c r="R81" s="155">
        <f>AT81+AX81</f>
        <v>148943</v>
      </c>
      <c r="S81" s="155">
        <f>AV81</f>
        <v>107587</v>
      </c>
      <c r="T81" s="155">
        <f t="shared" si="171"/>
        <v>52874</v>
      </c>
      <c r="U81" s="552">
        <f t="shared" si="171"/>
        <v>85814</v>
      </c>
      <c r="V81" s="155">
        <f>BG81+BJ81</f>
        <v>93275</v>
      </c>
      <c r="W81" s="155">
        <f>BR81</f>
        <v>51692</v>
      </c>
      <c r="X81" s="155">
        <f>BH81+BI81</f>
        <v>175313</v>
      </c>
      <c r="Y81" s="155">
        <f>BK81+BL81+BN81</f>
        <v>104028</v>
      </c>
      <c r="Z81" s="155">
        <f>BM81</f>
        <v>81419</v>
      </c>
      <c r="AA81" s="155">
        <f>BO81+BQ81</f>
        <v>113879</v>
      </c>
      <c r="AB81" s="552">
        <f>BP81</f>
        <v>58820</v>
      </c>
      <c r="AC81" s="155">
        <f>BX81</f>
        <v>38509</v>
      </c>
      <c r="AD81" s="155">
        <f>BU81</f>
        <v>57404</v>
      </c>
      <c r="AE81" s="155">
        <f>BS81+BT81</f>
        <v>105911</v>
      </c>
      <c r="AF81" s="155">
        <f>CA81</f>
        <v>73928</v>
      </c>
      <c r="AG81" s="155">
        <f>BV81</f>
        <v>142334</v>
      </c>
      <c r="AH81" s="155">
        <f>BZ81</f>
        <v>61058</v>
      </c>
      <c r="AI81" s="155">
        <f>BW81</f>
        <v>61734</v>
      </c>
      <c r="AJ81" s="155">
        <f>BY81</f>
        <v>77487</v>
      </c>
      <c r="AK81" s="552">
        <f>CB81</f>
        <v>64447</v>
      </c>
      <c r="AL81" s="155">
        <f>CE81</f>
        <v>104324</v>
      </c>
      <c r="AM81" s="155">
        <f>CH81</f>
        <v>76275</v>
      </c>
      <c r="AN81" s="155">
        <f>CJ81</f>
        <v>34054</v>
      </c>
      <c r="AO81" s="155">
        <f t="shared" si="172"/>
        <v>81311</v>
      </c>
      <c r="AP81" s="155">
        <f t="shared" si="172"/>
        <v>94645</v>
      </c>
      <c r="AQ81" s="155">
        <f>CK81</f>
        <v>71648</v>
      </c>
      <c r="AR81" s="155">
        <f>CI81</f>
        <v>61932</v>
      </c>
      <c r="AS81" s="156">
        <f>CF81+CG81</f>
        <v>75931</v>
      </c>
      <c r="AT81" s="155">
        <v>12832</v>
      </c>
      <c r="AU81" s="155">
        <v>103587</v>
      </c>
      <c r="AV81" s="155">
        <v>107587</v>
      </c>
      <c r="AW81" s="155">
        <v>54014</v>
      </c>
      <c r="AX81" s="155">
        <v>136111</v>
      </c>
      <c r="AY81" s="155">
        <v>124590</v>
      </c>
      <c r="AZ81" s="155">
        <v>15935</v>
      </c>
      <c r="BA81" s="155">
        <v>139498</v>
      </c>
      <c r="BB81" s="155">
        <v>52874</v>
      </c>
      <c r="BC81" s="155">
        <v>85814</v>
      </c>
      <c r="BD81" s="155">
        <v>101080</v>
      </c>
      <c r="BE81" s="155">
        <v>30441</v>
      </c>
      <c r="BF81" s="552">
        <v>80872</v>
      </c>
      <c r="BG81" s="155">
        <v>11978</v>
      </c>
      <c r="BH81" s="155">
        <v>10540</v>
      </c>
      <c r="BI81" s="155">
        <v>164773</v>
      </c>
      <c r="BJ81" s="155">
        <v>81297</v>
      </c>
      <c r="BK81" s="155">
        <v>3732</v>
      </c>
      <c r="BL81" s="155">
        <v>5325</v>
      </c>
      <c r="BM81" s="155">
        <v>81419</v>
      </c>
      <c r="BN81" s="155">
        <v>94971</v>
      </c>
      <c r="BO81" s="155">
        <v>4793</v>
      </c>
      <c r="BP81" s="155">
        <v>58820</v>
      </c>
      <c r="BQ81" s="155">
        <v>109086</v>
      </c>
      <c r="BR81" s="552">
        <v>51692</v>
      </c>
      <c r="BS81" s="155">
        <v>9292</v>
      </c>
      <c r="BT81" s="155">
        <v>96619</v>
      </c>
      <c r="BU81" s="155">
        <v>57404</v>
      </c>
      <c r="BV81" s="155">
        <v>142334</v>
      </c>
      <c r="BW81" s="155">
        <v>61734</v>
      </c>
      <c r="BX81" s="155">
        <v>38509</v>
      </c>
      <c r="BY81" s="155">
        <v>77487</v>
      </c>
      <c r="BZ81" s="155">
        <v>61058</v>
      </c>
      <c r="CA81" s="155">
        <v>73928</v>
      </c>
      <c r="CB81" s="552">
        <v>64447</v>
      </c>
      <c r="CC81" s="155">
        <v>81311</v>
      </c>
      <c r="CD81" s="155">
        <v>94645</v>
      </c>
      <c r="CE81" s="155">
        <v>104324</v>
      </c>
      <c r="CF81" s="155">
        <v>5789</v>
      </c>
      <c r="CG81" s="155">
        <v>70142</v>
      </c>
      <c r="CH81" s="155">
        <v>76275</v>
      </c>
      <c r="CI81" s="155">
        <v>61932</v>
      </c>
      <c r="CJ81" s="155">
        <v>34054</v>
      </c>
      <c r="CK81" s="156">
        <v>71648</v>
      </c>
      <c r="CL81" s="553">
        <f>SUM(AT81:CK81)</f>
        <v>3006593</v>
      </c>
    </row>
    <row r="82" spans="1:90">
      <c r="A82" s="80">
        <f>ROWS($A$3:A80)</f>
        <v>78</v>
      </c>
      <c r="B82" s="54" t="s">
        <v>367</v>
      </c>
      <c r="C82" s="252">
        <v>2016</v>
      </c>
      <c r="D82" s="254" t="s">
        <v>13</v>
      </c>
      <c r="E82" s="256">
        <v>43320</v>
      </c>
      <c r="F82" s="530">
        <f t="shared" ref="F82:AQ82" si="173">F81/F80</f>
        <v>73.329240914830919</v>
      </c>
      <c r="G82" s="531">
        <f t="shared" si="173"/>
        <v>139.19286007386131</v>
      </c>
      <c r="H82" s="531">
        <f t="shared" si="173"/>
        <v>53.616961130742048</v>
      </c>
      <c r="I82" s="532">
        <f t="shared" si="173"/>
        <v>49.033417762889123</v>
      </c>
      <c r="J82" s="281"/>
      <c r="K82" s="530">
        <f t="shared" si="173"/>
        <v>38.219281663516071</v>
      </c>
      <c r="L82" s="531">
        <f t="shared" si="173"/>
        <v>120.02890173410404</v>
      </c>
      <c r="M82" s="531">
        <f t="shared" si="173"/>
        <v>62.627013630731106</v>
      </c>
      <c r="N82" s="531">
        <f t="shared" si="173"/>
        <v>67.942138364779879</v>
      </c>
      <c r="O82" s="531">
        <f t="shared" si="173"/>
        <v>51.420608108108105</v>
      </c>
      <c r="P82" s="531">
        <f>P81/P80</f>
        <v>82.196192490745631</v>
      </c>
      <c r="Q82" s="531">
        <f t="shared" si="173"/>
        <v>163.12913385826772</v>
      </c>
      <c r="R82" s="531">
        <f t="shared" si="173"/>
        <v>122.28489326765188</v>
      </c>
      <c r="S82" s="531">
        <f t="shared" si="173"/>
        <v>179.61101836393991</v>
      </c>
      <c r="T82" s="531">
        <f t="shared" si="173"/>
        <v>38.011502516175412</v>
      </c>
      <c r="U82" s="555">
        <f t="shared" si="173"/>
        <v>36.284989429175475</v>
      </c>
      <c r="V82" s="531">
        <f t="shared" si="173"/>
        <v>166.5625</v>
      </c>
      <c r="W82" s="531">
        <f t="shared" si="173"/>
        <v>81.533123028391174</v>
      </c>
      <c r="X82" s="531">
        <f t="shared" si="173"/>
        <v>226.50258397932816</v>
      </c>
      <c r="Y82" s="531">
        <f t="shared" si="173"/>
        <v>113.56768558951966</v>
      </c>
      <c r="Z82" s="531">
        <f t="shared" si="173"/>
        <v>82.24141414141414</v>
      </c>
      <c r="AA82" s="531">
        <f t="shared" si="173"/>
        <v>248.64410480349346</v>
      </c>
      <c r="AB82" s="555">
        <f t="shared" si="173"/>
        <v>108.52398523985239</v>
      </c>
      <c r="AC82" s="531">
        <f t="shared" si="173"/>
        <v>32.171261487050963</v>
      </c>
      <c r="AD82" s="531">
        <f t="shared" si="173"/>
        <v>49.063247863247867</v>
      </c>
      <c r="AE82" s="531">
        <f t="shared" si="173"/>
        <v>45.513966480446925</v>
      </c>
      <c r="AF82" s="531">
        <f t="shared" si="173"/>
        <v>72.265884652981427</v>
      </c>
      <c r="AG82" s="531">
        <f t="shared" si="173"/>
        <v>43.500611246943762</v>
      </c>
      <c r="AH82" s="531">
        <f t="shared" si="173"/>
        <v>65.302673796791439</v>
      </c>
      <c r="AI82" s="531">
        <f t="shared" si="173"/>
        <v>65.189017951425555</v>
      </c>
      <c r="AJ82" s="531">
        <f t="shared" si="173"/>
        <v>157.81466395112017</v>
      </c>
      <c r="AK82" s="555">
        <f t="shared" si="173"/>
        <v>46.938820101966499</v>
      </c>
      <c r="AL82" s="531">
        <f t="shared" si="173"/>
        <v>124.49164677804296</v>
      </c>
      <c r="AM82" s="531">
        <f t="shared" si="173"/>
        <v>39.135454079014877</v>
      </c>
      <c r="AN82" s="531">
        <f t="shared" si="173"/>
        <v>12.016231474947071</v>
      </c>
      <c r="AO82" s="531">
        <f t="shared" si="173"/>
        <v>69.854810996563572</v>
      </c>
      <c r="AP82" s="531">
        <f t="shared" si="173"/>
        <v>223.74704491725768</v>
      </c>
      <c r="AQ82" s="531">
        <f t="shared" si="173"/>
        <v>49.652113652113655</v>
      </c>
      <c r="AR82" s="531">
        <f>AR81/AR80</f>
        <v>42.216768916155416</v>
      </c>
      <c r="AS82" s="532">
        <f>AS81/AS80</f>
        <v>35.799622819424798</v>
      </c>
      <c r="AT82" s="531">
        <f>IF(OR(AT80&lt;0.1,AT81&lt;0.1),0,AT81/AT80)</f>
        <v>95.761194029850742</v>
      </c>
      <c r="AU82" s="531">
        <f>IF(OR(AU80&lt;0.1,AU81&lt;0.1),0,AU81/AU80)</f>
        <v>163.12913385826772</v>
      </c>
      <c r="AV82" s="531">
        <f t="shared" ref="AV82:CK82" si="174">IF(OR(AV80&lt;0.1,AV81&lt;0.1),0,AV81/AV80)</f>
        <v>179.61101836393991</v>
      </c>
      <c r="AW82" s="531">
        <f t="shared" si="174"/>
        <v>67.942138364779879</v>
      </c>
      <c r="AX82" s="531">
        <f>IF(OR(AX80&lt;0.1,AX81&lt;0.1),0,AX81/AX80)</f>
        <v>125.56365313653137</v>
      </c>
      <c r="AY82" s="531">
        <f t="shared" si="174"/>
        <v>120.02890173410404</v>
      </c>
      <c r="AZ82" s="531">
        <f t="shared" si="174"/>
        <v>100.22012578616352</v>
      </c>
      <c r="BA82" s="531">
        <f t="shared" si="174"/>
        <v>80.54157043879907</v>
      </c>
      <c r="BB82" s="531">
        <f t="shared" si="174"/>
        <v>38.011502516175412</v>
      </c>
      <c r="BC82" s="531">
        <f t="shared" si="174"/>
        <v>36.284989429175475</v>
      </c>
      <c r="BD82" s="531">
        <f t="shared" si="174"/>
        <v>62.627013630731106</v>
      </c>
      <c r="BE82" s="531">
        <f t="shared" si="174"/>
        <v>51.420608108108105</v>
      </c>
      <c r="BF82" s="555">
        <f t="shared" si="174"/>
        <v>38.219281663516071</v>
      </c>
      <c r="BG82" s="531">
        <f t="shared" si="174"/>
        <v>151.62025316455697</v>
      </c>
      <c r="BH82" s="531">
        <f>IF(OR(BH80&lt;0.1,BH81&lt;0.1),0,BH81/BH80)</f>
        <v>215.10204081632654</v>
      </c>
      <c r="BI82" s="531">
        <f>IF(OR(BI80&lt;0.1,BI81&lt;0.1),0,BI81/BI80)</f>
        <v>227.27310344827586</v>
      </c>
      <c r="BJ82" s="531">
        <f>IF(OR(BJ80&lt;0.1,BJ81&lt;0.1),0,BJ81/BJ80)</f>
        <v>169.01663201663203</v>
      </c>
      <c r="BK82" s="531">
        <f t="shared" si="174"/>
        <v>61.180327868852459</v>
      </c>
      <c r="BL82" s="531">
        <f t="shared" si="174"/>
        <v>113.29787234042553</v>
      </c>
      <c r="BM82" s="531">
        <f>IF(OR(BM80&lt;0.1,BM81&lt;0.1),0,BM81/BM80)</f>
        <v>82.24141414141414</v>
      </c>
      <c r="BN82" s="531">
        <f t="shared" si="174"/>
        <v>117.53836633663366</v>
      </c>
      <c r="BO82" s="531">
        <f t="shared" si="174"/>
        <v>281.94117647058823</v>
      </c>
      <c r="BP82" s="531">
        <f t="shared" si="174"/>
        <v>108.52398523985239</v>
      </c>
      <c r="BQ82" s="531">
        <f>IF(OR(BQ80&lt;0.1,BQ81&lt;0.1),0,BQ81/BQ80)</f>
        <v>247.36054421768708</v>
      </c>
      <c r="BR82" s="555">
        <f t="shared" si="174"/>
        <v>81.533123028391174</v>
      </c>
      <c r="BS82" s="531">
        <f t="shared" si="174"/>
        <v>65.436619718309856</v>
      </c>
      <c r="BT82" s="531">
        <f t="shared" si="174"/>
        <v>44.219221967963385</v>
      </c>
      <c r="BU82" s="531">
        <f t="shared" si="174"/>
        <v>49.063247863247867</v>
      </c>
      <c r="BV82" s="531">
        <f t="shared" si="174"/>
        <v>43.500611246943762</v>
      </c>
      <c r="BW82" s="531">
        <f t="shared" si="174"/>
        <v>65.189017951425555</v>
      </c>
      <c r="BX82" s="531">
        <f t="shared" si="174"/>
        <v>32.171261487050963</v>
      </c>
      <c r="BY82" s="531">
        <f t="shared" si="174"/>
        <v>157.81466395112017</v>
      </c>
      <c r="BZ82" s="531">
        <f t="shared" si="174"/>
        <v>65.302673796791439</v>
      </c>
      <c r="CA82" s="531">
        <f t="shared" si="174"/>
        <v>72.265884652981427</v>
      </c>
      <c r="CB82" s="555">
        <f t="shared" si="174"/>
        <v>46.938820101966499</v>
      </c>
      <c r="CC82" s="531">
        <f t="shared" si="174"/>
        <v>69.854810996563572</v>
      </c>
      <c r="CD82" s="531">
        <f t="shared" si="174"/>
        <v>223.74704491725768</v>
      </c>
      <c r="CE82" s="531">
        <f t="shared" si="174"/>
        <v>124.49164677804296</v>
      </c>
      <c r="CF82" s="531">
        <f t="shared" si="174"/>
        <v>49.478632478632477</v>
      </c>
      <c r="CG82" s="531">
        <f t="shared" si="174"/>
        <v>35.000998003992017</v>
      </c>
      <c r="CH82" s="531">
        <f t="shared" si="174"/>
        <v>39.135454079014877</v>
      </c>
      <c r="CI82" s="531">
        <f t="shared" si="174"/>
        <v>42.216768916155416</v>
      </c>
      <c r="CJ82" s="531">
        <f t="shared" si="174"/>
        <v>12.016231474947071</v>
      </c>
      <c r="CK82" s="532">
        <f t="shared" si="174"/>
        <v>49.652113652113655</v>
      </c>
      <c r="CL82" s="556">
        <f>IF(OR(CL80&lt;0.1,CL81&lt;0.1),0,CL81/CL80)</f>
        <v>68.173620243979869</v>
      </c>
    </row>
    <row r="83" spans="1:90">
      <c r="A83" s="80">
        <f>ROWS($A$3:A81)</f>
        <v>79</v>
      </c>
      <c r="B83" s="55" t="s">
        <v>366</v>
      </c>
      <c r="C83" s="203">
        <v>2016</v>
      </c>
      <c r="D83" s="254" t="s">
        <v>13</v>
      </c>
      <c r="E83" s="256">
        <v>43320</v>
      </c>
      <c r="F83" s="154">
        <f>SUM(AT83:BF83)</f>
        <v>1226017</v>
      </c>
      <c r="G83" s="155">
        <f>SUM(BG83:BR83)</f>
        <v>773450</v>
      </c>
      <c r="H83" s="155">
        <f>SUM(BS83:CB83)</f>
        <v>860718</v>
      </c>
      <c r="I83" s="156">
        <f>SUM(CC83:CK83)</f>
        <v>746834</v>
      </c>
      <c r="J83" s="598"/>
      <c r="K83" s="154">
        <f>BF83</f>
        <v>104652</v>
      </c>
      <c r="L83" s="155">
        <f>AY83</f>
        <v>139862</v>
      </c>
      <c r="M83" s="155">
        <f>BD83</f>
        <v>120625</v>
      </c>
      <c r="N83" s="155">
        <f>AW83</f>
        <v>66435</v>
      </c>
      <c r="O83" s="155">
        <f>BE83</f>
        <v>37298</v>
      </c>
      <c r="P83" s="155">
        <f>AZ83+BA83</f>
        <v>176985</v>
      </c>
      <c r="Q83" s="155">
        <f>AU83</f>
        <v>115010</v>
      </c>
      <c r="R83" s="155">
        <f>AT83+AX83</f>
        <v>164531</v>
      </c>
      <c r="S83" s="155">
        <f>AV83</f>
        <v>118490</v>
      </c>
      <c r="T83" s="155">
        <f t="shared" si="171"/>
        <v>66865</v>
      </c>
      <c r="U83" s="552">
        <f t="shared" si="171"/>
        <v>115264</v>
      </c>
      <c r="V83" s="155">
        <f>BG83+BJ83</f>
        <v>102009</v>
      </c>
      <c r="W83" s="155">
        <f>BR83</f>
        <v>63237</v>
      </c>
      <c r="X83" s="155">
        <f>BH83+BI83</f>
        <v>193212</v>
      </c>
      <c r="Y83" s="155">
        <f>BK83+BL83+BN83</f>
        <v>118525</v>
      </c>
      <c r="Z83" s="155">
        <f>BM83</f>
        <v>99609</v>
      </c>
      <c r="AA83" s="155">
        <f>BO83+BQ83</f>
        <v>128421</v>
      </c>
      <c r="AB83" s="552">
        <f>BP83</f>
        <v>68437</v>
      </c>
      <c r="AC83" s="155">
        <f>BX83</f>
        <v>59219</v>
      </c>
      <c r="AD83" s="155">
        <f>BU83</f>
        <v>69623</v>
      </c>
      <c r="AE83" s="155">
        <f>BS83+BT83</f>
        <v>127560</v>
      </c>
      <c r="AF83" s="155">
        <f>CA83</f>
        <v>88768</v>
      </c>
      <c r="AG83" s="155">
        <f>BV83</f>
        <v>186825</v>
      </c>
      <c r="AH83" s="155">
        <f>BZ83</f>
        <v>79452</v>
      </c>
      <c r="AI83" s="155">
        <f>BW83</f>
        <v>76917</v>
      </c>
      <c r="AJ83" s="155">
        <f>BY83</f>
        <v>89439</v>
      </c>
      <c r="AK83" s="552">
        <f>CB83</f>
        <v>82915</v>
      </c>
      <c r="AL83" s="155">
        <f>CE83</f>
        <v>117764</v>
      </c>
      <c r="AM83" s="155">
        <f>CH83</f>
        <v>94507</v>
      </c>
      <c r="AN83" s="155">
        <f>CJ83</f>
        <v>50122</v>
      </c>
      <c r="AO83" s="155">
        <f t="shared" si="172"/>
        <v>97337</v>
      </c>
      <c r="AP83" s="155">
        <f t="shared" si="172"/>
        <v>103325</v>
      </c>
      <c r="AQ83" s="155">
        <f>CK83</f>
        <v>89425</v>
      </c>
      <c r="AR83" s="155">
        <f>CI83</f>
        <v>96897</v>
      </c>
      <c r="AS83" s="156">
        <f>CF83+CG83</f>
        <v>97457</v>
      </c>
      <c r="AT83" s="155">
        <v>13868</v>
      </c>
      <c r="AU83" s="155">
        <v>115010</v>
      </c>
      <c r="AV83" s="155">
        <v>118490</v>
      </c>
      <c r="AW83" s="155">
        <v>66435</v>
      </c>
      <c r="AX83" s="155">
        <v>150663</v>
      </c>
      <c r="AY83" s="155">
        <v>139862</v>
      </c>
      <c r="AZ83" s="155">
        <v>21376</v>
      </c>
      <c r="BA83" s="155">
        <v>155609</v>
      </c>
      <c r="BB83" s="155">
        <v>66865</v>
      </c>
      <c r="BC83" s="155">
        <v>115264</v>
      </c>
      <c r="BD83" s="155">
        <v>120625</v>
      </c>
      <c r="BE83" s="155">
        <v>37298</v>
      </c>
      <c r="BF83" s="552">
        <v>104652</v>
      </c>
      <c r="BG83" s="155">
        <v>13459</v>
      </c>
      <c r="BH83" s="155">
        <v>12068</v>
      </c>
      <c r="BI83" s="155">
        <v>181144</v>
      </c>
      <c r="BJ83" s="155">
        <v>88550</v>
      </c>
      <c r="BK83" s="155">
        <v>4621</v>
      </c>
      <c r="BL83" s="155">
        <v>6105</v>
      </c>
      <c r="BM83" s="155">
        <v>99609</v>
      </c>
      <c r="BN83" s="155">
        <v>107799</v>
      </c>
      <c r="BO83" s="155">
        <v>5287</v>
      </c>
      <c r="BP83" s="155">
        <v>68437</v>
      </c>
      <c r="BQ83" s="155">
        <v>123134</v>
      </c>
      <c r="BR83" s="552">
        <v>63237</v>
      </c>
      <c r="BS83" s="155">
        <v>10423</v>
      </c>
      <c r="BT83" s="155">
        <v>117137</v>
      </c>
      <c r="BU83" s="155">
        <v>69623</v>
      </c>
      <c r="BV83" s="155">
        <v>186825</v>
      </c>
      <c r="BW83" s="155">
        <v>76917</v>
      </c>
      <c r="BX83" s="155">
        <v>59219</v>
      </c>
      <c r="BY83" s="155">
        <v>89439</v>
      </c>
      <c r="BZ83" s="155">
        <v>79452</v>
      </c>
      <c r="CA83" s="155">
        <v>88768</v>
      </c>
      <c r="CB83" s="552">
        <v>82915</v>
      </c>
      <c r="CC83" s="155">
        <v>97337</v>
      </c>
      <c r="CD83" s="155">
        <v>103325</v>
      </c>
      <c r="CE83" s="155">
        <v>117764</v>
      </c>
      <c r="CF83" s="155">
        <v>7008</v>
      </c>
      <c r="CG83" s="155">
        <v>90449</v>
      </c>
      <c r="CH83" s="155">
        <v>94507</v>
      </c>
      <c r="CI83" s="155">
        <v>96897</v>
      </c>
      <c r="CJ83" s="155">
        <v>50122</v>
      </c>
      <c r="CK83" s="156">
        <v>89425</v>
      </c>
      <c r="CL83" s="320">
        <f>SUM(AT83:CK83)</f>
        <v>3607019</v>
      </c>
    </row>
    <row r="84" spans="1:90">
      <c r="A84" s="80">
        <f>ROWS($A$3:A82)</f>
        <v>80</v>
      </c>
      <c r="B84" s="54" t="s">
        <v>368</v>
      </c>
      <c r="C84" s="203">
        <v>2016</v>
      </c>
      <c r="D84" s="254" t="s">
        <v>13</v>
      </c>
      <c r="E84" s="256">
        <v>43320</v>
      </c>
      <c r="F84" s="530">
        <f>F83/F80</f>
        <v>86.012136944015708</v>
      </c>
      <c r="G84" s="531">
        <f>G83/G80</f>
        <v>158.68896183832581</v>
      </c>
      <c r="H84" s="531">
        <f>H83/H80</f>
        <v>67.586808009422853</v>
      </c>
      <c r="I84" s="532">
        <f>I83/I80</f>
        <v>61.02083503554212</v>
      </c>
      <c r="J84" s="598"/>
      <c r="K84" s="530">
        <f t="shared" ref="K84:BV84" si="175">K83/K80</f>
        <v>49.457466918714559</v>
      </c>
      <c r="L84" s="531">
        <f t="shared" si="175"/>
        <v>134.74181117533718</v>
      </c>
      <c r="M84" s="531">
        <f t="shared" si="175"/>
        <v>74.736679058240398</v>
      </c>
      <c r="N84" s="531">
        <f t="shared" si="175"/>
        <v>83.566037735849051</v>
      </c>
      <c r="O84" s="531">
        <f t="shared" si="175"/>
        <v>63.003378378378379</v>
      </c>
      <c r="P84" s="531">
        <f t="shared" si="175"/>
        <v>93.593336858804861</v>
      </c>
      <c r="Q84" s="531">
        <f t="shared" si="175"/>
        <v>181.11811023622047</v>
      </c>
      <c r="R84" s="531">
        <f t="shared" si="175"/>
        <v>135.08292282430213</v>
      </c>
      <c r="S84" s="531">
        <f t="shared" si="175"/>
        <v>197.81302170283806</v>
      </c>
      <c r="T84" s="531">
        <f t="shared" si="175"/>
        <v>48.069734004313446</v>
      </c>
      <c r="U84" s="555">
        <f t="shared" si="175"/>
        <v>48.737420718816068</v>
      </c>
      <c r="V84" s="531">
        <f t="shared" si="175"/>
        <v>182.15892857142856</v>
      </c>
      <c r="W84" s="531">
        <f t="shared" si="175"/>
        <v>99.742902208201897</v>
      </c>
      <c r="X84" s="531">
        <f t="shared" si="175"/>
        <v>249.62790697674419</v>
      </c>
      <c r="Y84" s="531">
        <f t="shared" si="175"/>
        <v>129.39410480349346</v>
      </c>
      <c r="Z84" s="531">
        <f t="shared" si="175"/>
        <v>100.61515151515151</v>
      </c>
      <c r="AA84" s="531">
        <f t="shared" si="175"/>
        <v>280.39519650655023</v>
      </c>
      <c r="AB84" s="555">
        <f t="shared" si="175"/>
        <v>126.26752767527675</v>
      </c>
      <c r="AC84" s="531">
        <f t="shared" si="175"/>
        <v>49.47284878863826</v>
      </c>
      <c r="AD84" s="531">
        <f t="shared" si="175"/>
        <v>59.506837606837607</v>
      </c>
      <c r="AE84" s="531">
        <f t="shared" si="175"/>
        <v>54.817361409540183</v>
      </c>
      <c r="AF84" s="531">
        <f t="shared" si="175"/>
        <v>86.772238514173992</v>
      </c>
      <c r="AG84" s="531">
        <f t="shared" si="175"/>
        <v>57.098105134474331</v>
      </c>
      <c r="AH84" s="531">
        <f t="shared" si="175"/>
        <v>84.975401069518711</v>
      </c>
      <c r="AI84" s="531">
        <f t="shared" si="175"/>
        <v>81.221752903907074</v>
      </c>
      <c r="AJ84" s="531">
        <f t="shared" si="175"/>
        <v>182.15682281059063</v>
      </c>
      <c r="AK84" s="555">
        <f t="shared" si="175"/>
        <v>60.389657683903863</v>
      </c>
      <c r="AL84" s="531">
        <f t="shared" si="175"/>
        <v>140.52983293556085</v>
      </c>
      <c r="AM84" s="531">
        <f t="shared" si="175"/>
        <v>48.489994869163674</v>
      </c>
      <c r="AN84" s="531">
        <f t="shared" si="175"/>
        <v>17.685956245589274</v>
      </c>
      <c r="AO84" s="531">
        <f t="shared" si="175"/>
        <v>83.62285223367698</v>
      </c>
      <c r="AP84" s="531">
        <f t="shared" si="175"/>
        <v>244.26713947990544</v>
      </c>
      <c r="AQ84" s="531">
        <f t="shared" si="175"/>
        <v>61.971586971586973</v>
      </c>
      <c r="AR84" s="531">
        <f t="shared" si="175"/>
        <v>66.051124744376281</v>
      </c>
      <c r="AS84" s="532">
        <f t="shared" si="175"/>
        <v>45.948609146628947</v>
      </c>
      <c r="AT84" s="531">
        <f t="shared" si="175"/>
        <v>103.49253731343283</v>
      </c>
      <c r="AU84" s="531">
        <f t="shared" si="175"/>
        <v>181.11811023622047</v>
      </c>
      <c r="AV84" s="531">
        <f t="shared" si="175"/>
        <v>197.81302170283806</v>
      </c>
      <c r="AW84" s="531">
        <f t="shared" si="175"/>
        <v>83.566037735849051</v>
      </c>
      <c r="AX84" s="531">
        <f t="shared" si="175"/>
        <v>138.98800738007381</v>
      </c>
      <c r="AY84" s="531">
        <f t="shared" si="175"/>
        <v>134.74181117533718</v>
      </c>
      <c r="AZ84" s="531">
        <f t="shared" si="175"/>
        <v>134.44025157232704</v>
      </c>
      <c r="BA84" s="531">
        <f t="shared" si="175"/>
        <v>89.843533487297918</v>
      </c>
      <c r="BB84" s="531">
        <f t="shared" si="175"/>
        <v>48.069734004313446</v>
      </c>
      <c r="BC84" s="531">
        <f t="shared" si="175"/>
        <v>48.737420718816068</v>
      </c>
      <c r="BD84" s="531">
        <f t="shared" si="175"/>
        <v>74.736679058240398</v>
      </c>
      <c r="BE84" s="531">
        <f t="shared" si="175"/>
        <v>63.003378378378379</v>
      </c>
      <c r="BF84" s="555">
        <f t="shared" si="175"/>
        <v>49.457466918714559</v>
      </c>
      <c r="BG84" s="531">
        <f t="shared" si="175"/>
        <v>170.36708860759492</v>
      </c>
      <c r="BH84" s="531">
        <f t="shared" si="175"/>
        <v>246.28571428571428</v>
      </c>
      <c r="BI84" s="531">
        <f t="shared" si="175"/>
        <v>249.85379310344828</v>
      </c>
      <c r="BJ84" s="531">
        <f t="shared" si="175"/>
        <v>184.0956340956341</v>
      </c>
      <c r="BK84" s="531">
        <f t="shared" si="175"/>
        <v>75.754098360655732</v>
      </c>
      <c r="BL84" s="531">
        <f t="shared" si="175"/>
        <v>129.89361702127658</v>
      </c>
      <c r="BM84" s="531">
        <f t="shared" si="175"/>
        <v>100.61515151515151</v>
      </c>
      <c r="BN84" s="531">
        <f t="shared" si="175"/>
        <v>133.41460396039605</v>
      </c>
      <c r="BO84" s="531">
        <f t="shared" si="175"/>
        <v>311</v>
      </c>
      <c r="BP84" s="531">
        <f t="shared" si="175"/>
        <v>126.26752767527675</v>
      </c>
      <c r="BQ84" s="531">
        <f t="shared" si="175"/>
        <v>279.21541950113379</v>
      </c>
      <c r="BR84" s="555">
        <f t="shared" si="175"/>
        <v>99.742902208201897</v>
      </c>
      <c r="BS84" s="531">
        <f t="shared" si="175"/>
        <v>73.401408450704224</v>
      </c>
      <c r="BT84" s="531">
        <f t="shared" si="175"/>
        <v>53.609610983981696</v>
      </c>
      <c r="BU84" s="531">
        <f t="shared" si="175"/>
        <v>59.506837606837607</v>
      </c>
      <c r="BV84" s="531">
        <f t="shared" si="175"/>
        <v>57.098105134474331</v>
      </c>
      <c r="BW84" s="531">
        <f t="shared" ref="BW84:CL84" si="176">BW83/BW80</f>
        <v>81.221752903907074</v>
      </c>
      <c r="BX84" s="531">
        <f t="shared" si="176"/>
        <v>49.47284878863826</v>
      </c>
      <c r="BY84" s="531">
        <f t="shared" si="176"/>
        <v>182.15682281059063</v>
      </c>
      <c r="BZ84" s="531">
        <f t="shared" si="176"/>
        <v>84.975401069518711</v>
      </c>
      <c r="CA84" s="531">
        <f t="shared" si="176"/>
        <v>86.772238514173992</v>
      </c>
      <c r="CB84" s="555">
        <f t="shared" si="176"/>
        <v>60.389657683903863</v>
      </c>
      <c r="CC84" s="531">
        <f t="shared" si="176"/>
        <v>83.62285223367698</v>
      </c>
      <c r="CD84" s="531">
        <f t="shared" si="176"/>
        <v>244.26713947990544</v>
      </c>
      <c r="CE84" s="531">
        <f t="shared" si="176"/>
        <v>140.52983293556085</v>
      </c>
      <c r="CF84" s="531">
        <f t="shared" si="176"/>
        <v>59.897435897435898</v>
      </c>
      <c r="CG84" s="531">
        <f t="shared" si="176"/>
        <v>45.134231536926144</v>
      </c>
      <c r="CH84" s="531">
        <f t="shared" si="176"/>
        <v>48.489994869163674</v>
      </c>
      <c r="CI84" s="531">
        <f t="shared" si="176"/>
        <v>66.051124744376281</v>
      </c>
      <c r="CJ84" s="531">
        <f t="shared" si="176"/>
        <v>17.685956245589274</v>
      </c>
      <c r="CK84" s="532">
        <f t="shared" si="176"/>
        <v>61.971586971586973</v>
      </c>
      <c r="CL84" s="556">
        <f t="shared" si="176"/>
        <v>81.788104847852708</v>
      </c>
    </row>
    <row r="85" spans="1:90">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c r="A86" s="80">
        <f>ROWS($A$3:A84)</f>
        <v>82</v>
      </c>
      <c r="B86" s="59" t="s">
        <v>189</v>
      </c>
      <c r="C86" s="202">
        <v>2017</v>
      </c>
      <c r="D86" s="260"/>
      <c r="E86" s="451"/>
      <c r="F86" s="154"/>
      <c r="G86" s="155"/>
      <c r="H86" s="155"/>
      <c r="I86" s="156"/>
      <c r="J86" s="14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c r="A87" s="80">
        <f>ROWS($A$3:A85)</f>
        <v>83</v>
      </c>
      <c r="B87" s="54" t="s">
        <v>371</v>
      </c>
      <c r="C87" s="266"/>
      <c r="D87" s="259" t="s">
        <v>188</v>
      </c>
      <c r="E87" s="447">
        <v>43556</v>
      </c>
      <c r="F87" s="550">
        <v>29491</v>
      </c>
      <c r="G87" s="550">
        <v>20208</v>
      </c>
      <c r="H87" s="550">
        <v>17936</v>
      </c>
      <c r="I87" s="551">
        <v>32722</v>
      </c>
      <c r="J87" s="599"/>
      <c r="K87" s="154">
        <f>BF87</f>
        <v>33885</v>
      </c>
      <c r="L87" s="155">
        <f>AY87</f>
        <v>21762</v>
      </c>
      <c r="M87" s="155">
        <f>BD87</f>
        <v>16357</v>
      </c>
      <c r="N87" s="155">
        <f>AW87</f>
        <v>26407</v>
      </c>
      <c r="O87" s="155">
        <f>BE87</f>
        <v>30421</v>
      </c>
      <c r="P87" s="542">
        <f>BA87</f>
        <v>30971</v>
      </c>
      <c r="Q87" s="155">
        <f>'2008'!AU87</f>
        <v>31866</v>
      </c>
      <c r="R87" s="542">
        <f>AX87</f>
        <v>40139</v>
      </c>
      <c r="S87" s="155">
        <f>AV87</f>
        <v>33414</v>
      </c>
      <c r="T87" s="155">
        <f>BB87</f>
        <v>33682</v>
      </c>
      <c r="U87" s="552">
        <f>BC87</f>
        <v>30258</v>
      </c>
      <c r="V87" s="542">
        <f>BJ87</f>
        <v>18695</v>
      </c>
      <c r="W87" s="155">
        <f>BR87</f>
        <v>23396</v>
      </c>
      <c r="X87" s="542">
        <f>BI87</f>
        <v>25625</v>
      </c>
      <c r="Y87" s="542">
        <f>BN87</f>
        <v>23536</v>
      </c>
      <c r="Z87" s="155">
        <f>BM87</f>
        <v>13783</v>
      </c>
      <c r="AA87" s="542">
        <f>BQ87</f>
        <v>20123</v>
      </c>
      <c r="AB87" s="552">
        <f>BP87</f>
        <v>19010</v>
      </c>
      <c r="AC87" s="155">
        <f>BX87</f>
        <v>19161</v>
      </c>
      <c r="AD87" s="155">
        <f>BU87</f>
        <v>30212</v>
      </c>
      <c r="AE87" s="542">
        <f>BT87</f>
        <v>25869</v>
      </c>
      <c r="AF87" s="155">
        <f>CA87</f>
        <v>19334</v>
      </c>
      <c r="AG87" s="155">
        <f>BV87</f>
        <v>19526</v>
      </c>
      <c r="AH87" s="155">
        <f>BZ87</f>
        <v>18763</v>
      </c>
      <c r="AI87" s="155">
        <f>BW87</f>
        <v>13715</v>
      </c>
      <c r="AJ87" s="155">
        <f>BY87</f>
        <v>12754</v>
      </c>
      <c r="AK87" s="552">
        <f>CB87</f>
        <v>18237</v>
      </c>
      <c r="AL87" s="155">
        <f>CE87</f>
        <v>17936</v>
      </c>
      <c r="AM87" s="155">
        <f>CH87</f>
        <v>37638</v>
      </c>
      <c r="AN87" s="155">
        <f>CJ87</f>
        <v>34006</v>
      </c>
      <c r="AO87" s="155">
        <f>CC87</f>
        <v>18374</v>
      </c>
      <c r="AP87" s="155">
        <f>CD87</f>
        <v>20425</v>
      </c>
      <c r="AQ87" s="155">
        <f>CK87</f>
        <v>23594</v>
      </c>
      <c r="AR87" s="155">
        <f>CI87</f>
        <v>34322</v>
      </c>
      <c r="AS87" s="532">
        <f>(CG100*CG87)/(CG100)</f>
        <v>37864</v>
      </c>
      <c r="AT87" s="155" t="s">
        <v>233</v>
      </c>
      <c r="AU87" s="550">
        <v>42890</v>
      </c>
      <c r="AV87" s="550">
        <v>33414</v>
      </c>
      <c r="AW87" s="550">
        <v>26407</v>
      </c>
      <c r="AX87" s="550">
        <v>40139</v>
      </c>
      <c r="AY87" s="550">
        <v>21762</v>
      </c>
      <c r="AZ87" s="550" t="s">
        <v>233</v>
      </c>
      <c r="BA87" s="550">
        <v>30971</v>
      </c>
      <c r="BB87" s="550">
        <v>33682</v>
      </c>
      <c r="BC87" s="550">
        <v>30258</v>
      </c>
      <c r="BD87" s="550">
        <v>16357</v>
      </c>
      <c r="BE87" s="550">
        <v>30421</v>
      </c>
      <c r="BF87" s="572">
        <v>33885</v>
      </c>
      <c r="BG87" s="550" t="s">
        <v>233</v>
      </c>
      <c r="BH87" s="550" t="s">
        <v>233</v>
      </c>
      <c r="BI87" s="550">
        <v>25625</v>
      </c>
      <c r="BJ87" s="550">
        <v>18695</v>
      </c>
      <c r="BK87" s="550" t="s">
        <v>233</v>
      </c>
      <c r="BL87" s="550" t="s">
        <v>233</v>
      </c>
      <c r="BM87" s="550">
        <v>13783</v>
      </c>
      <c r="BN87" s="550">
        <v>23536</v>
      </c>
      <c r="BO87" s="550" t="s">
        <v>233</v>
      </c>
      <c r="BP87" s="550">
        <v>19010</v>
      </c>
      <c r="BQ87" s="550">
        <v>20123</v>
      </c>
      <c r="BR87" s="572">
        <v>23396</v>
      </c>
      <c r="BS87" s="550" t="s">
        <v>233</v>
      </c>
      <c r="BT87" s="550">
        <v>25869</v>
      </c>
      <c r="BU87" s="550">
        <v>30212</v>
      </c>
      <c r="BV87" s="550">
        <v>19526</v>
      </c>
      <c r="BW87" s="550">
        <v>13715</v>
      </c>
      <c r="BX87" s="550">
        <v>19161</v>
      </c>
      <c r="BY87" s="550">
        <v>12754</v>
      </c>
      <c r="BZ87" s="550">
        <v>18763</v>
      </c>
      <c r="CA87" s="550">
        <v>19334</v>
      </c>
      <c r="CB87" s="572">
        <v>18237</v>
      </c>
      <c r="CC87" s="550">
        <v>18374</v>
      </c>
      <c r="CD87" s="550">
        <v>20425</v>
      </c>
      <c r="CE87" s="550">
        <v>17936</v>
      </c>
      <c r="CF87" s="550" t="s">
        <v>233</v>
      </c>
      <c r="CG87" s="550">
        <v>37864</v>
      </c>
      <c r="CH87" s="550">
        <v>37638</v>
      </c>
      <c r="CI87" s="550">
        <v>34322</v>
      </c>
      <c r="CJ87" s="550">
        <v>34006</v>
      </c>
      <c r="CK87" s="550">
        <v>23594</v>
      </c>
      <c r="CL87" s="320">
        <v>26638</v>
      </c>
    </row>
    <row r="88" spans="1:90">
      <c r="A88" s="80">
        <f>ROWS($A$3:A86)</f>
        <v>84</v>
      </c>
      <c r="B88" s="59" t="s">
        <v>190</v>
      </c>
      <c r="C88" s="387">
        <v>2017</v>
      </c>
      <c r="D88" s="259"/>
      <c r="E88" s="451"/>
      <c r="F88" s="154"/>
      <c r="G88" s="155"/>
      <c r="H88" s="155"/>
      <c r="I88" s="156"/>
      <c r="J88" s="281"/>
      <c r="K88" s="154"/>
      <c r="L88" s="155"/>
      <c r="M88" s="155"/>
      <c r="N88" s="155"/>
      <c r="O88" s="155"/>
      <c r="P88" s="155"/>
      <c r="Q88" s="155"/>
      <c r="R88" s="155"/>
      <c r="S88" s="155"/>
      <c r="T88" s="155"/>
      <c r="U88" s="552"/>
      <c r="V88" s="155"/>
      <c r="W88" s="155"/>
      <c r="X88" s="155"/>
      <c r="Y88" s="155"/>
      <c r="Z88" s="155"/>
      <c r="AA88" s="155"/>
      <c r="AB88" s="552"/>
      <c r="AC88" s="155"/>
      <c r="AD88" s="155"/>
      <c r="AE88" s="155"/>
      <c r="AF88" s="155"/>
      <c r="AG88" s="155"/>
      <c r="AH88" s="155"/>
      <c r="AI88" s="155"/>
      <c r="AJ88" s="155"/>
      <c r="AK88" s="552"/>
      <c r="AL88" s="155"/>
      <c r="AM88" s="155"/>
      <c r="AN88" s="155"/>
      <c r="AO88" s="155"/>
      <c r="AP88" s="155"/>
      <c r="AQ88" s="155"/>
      <c r="AR88" s="155"/>
      <c r="AS88" s="156"/>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c r="A89" s="80">
        <f>ROWS($A$3:A87)</f>
        <v>85</v>
      </c>
      <c r="B89" s="388" t="s">
        <v>284</v>
      </c>
      <c r="C89" s="205"/>
      <c r="D89" s="259" t="s">
        <v>192</v>
      </c>
      <c r="E89" s="447">
        <v>43320</v>
      </c>
      <c r="F89" s="381">
        <v>77.099999999999994</v>
      </c>
      <c r="G89" s="382">
        <v>74.400000000000006</v>
      </c>
      <c r="H89" s="382">
        <v>75.2</v>
      </c>
      <c r="I89" s="383">
        <v>82.4</v>
      </c>
      <c r="J89" s="382"/>
      <c r="K89" s="381">
        <f>BF89</f>
        <v>84.4</v>
      </c>
      <c r="L89" s="384">
        <f>AY89</f>
        <v>74</v>
      </c>
      <c r="M89" s="384">
        <f>BD89</f>
        <v>72.900000000000006</v>
      </c>
      <c r="N89" s="384">
        <f>AW89</f>
        <v>82.2</v>
      </c>
      <c r="O89" s="384">
        <f>BE89</f>
        <v>59</v>
      </c>
      <c r="P89" s="384">
        <f>'2017'!BA89</f>
        <v>79.599999999999994</v>
      </c>
      <c r="Q89" s="384">
        <f>'2017'!AU89</f>
        <v>81.8</v>
      </c>
      <c r="R89" s="384">
        <f>AX89</f>
        <v>68.599999999999994</v>
      </c>
      <c r="S89" s="384">
        <f>AV89</f>
        <v>74.3</v>
      </c>
      <c r="T89" s="384">
        <f t="shared" ref="T89:U93" si="177">BB89</f>
        <v>78.599999999999994</v>
      </c>
      <c r="U89" s="385">
        <f t="shared" si="177"/>
        <v>85.3</v>
      </c>
      <c r="V89" s="384" t="str">
        <f>BJ89</f>
        <v>*</v>
      </c>
      <c r="W89" s="384">
        <f>BR89</f>
        <v>80.400000000000006</v>
      </c>
      <c r="X89" s="384">
        <f>BI89</f>
        <v>65.900000000000006</v>
      </c>
      <c r="Y89" s="384">
        <f>BN89</f>
        <v>78</v>
      </c>
      <c r="Z89" s="384">
        <f>BM89</f>
        <v>74.7</v>
      </c>
      <c r="AA89" s="384">
        <f>BQ89</f>
        <v>77.8</v>
      </c>
      <c r="AB89" s="385">
        <f>BP89</f>
        <v>80.8</v>
      </c>
      <c r="AC89" s="384">
        <f>BX89</f>
        <v>77.099999999999994</v>
      </c>
      <c r="AD89" s="384">
        <f>BU89</f>
        <v>82.6</v>
      </c>
      <c r="AE89" s="384">
        <f>BT89</f>
        <v>80</v>
      </c>
      <c r="AF89" s="384" t="str">
        <f>CA89</f>
        <v>*</v>
      </c>
      <c r="AG89" s="384">
        <f>BV89</f>
        <v>80.400000000000006</v>
      </c>
      <c r="AH89" s="384">
        <f>BZ89</f>
        <v>61.2</v>
      </c>
      <c r="AI89" s="384">
        <f>BW89</f>
        <v>74.3</v>
      </c>
      <c r="AJ89" s="384">
        <f>BY89</f>
        <v>71.3</v>
      </c>
      <c r="AK89" s="385">
        <f>CB89</f>
        <v>77.599999999999994</v>
      </c>
      <c r="AL89" s="384">
        <f>CE89</f>
        <v>67.2</v>
      </c>
      <c r="AM89" s="384">
        <f>CH89</f>
        <v>88.7</v>
      </c>
      <c r="AN89" s="384">
        <f>CJ89</f>
        <v>84.6</v>
      </c>
      <c r="AO89" s="384">
        <f t="shared" ref="AO89:AP93" si="178">CC89</f>
        <v>66.400000000000006</v>
      </c>
      <c r="AP89" s="384">
        <f t="shared" si="178"/>
        <v>80.8</v>
      </c>
      <c r="AQ89" s="384">
        <f>CK89</f>
        <v>89.2</v>
      </c>
      <c r="AR89" s="384">
        <f>CI89</f>
        <v>86.8</v>
      </c>
      <c r="AS89" s="383">
        <f>CG89</f>
        <v>80.900000000000006</v>
      </c>
      <c r="AT89" s="384">
        <v>71.599999999999994</v>
      </c>
      <c r="AU89" s="382">
        <v>81.8</v>
      </c>
      <c r="AV89" s="382">
        <v>74.3</v>
      </c>
      <c r="AW89" s="382">
        <v>82.2</v>
      </c>
      <c r="AX89" s="382">
        <v>68.599999999999994</v>
      </c>
      <c r="AY89" s="382">
        <v>74</v>
      </c>
      <c r="AZ89" s="384" t="s">
        <v>233</v>
      </c>
      <c r="BA89" s="382">
        <v>79.599999999999994</v>
      </c>
      <c r="BB89" s="382">
        <v>78.599999999999994</v>
      </c>
      <c r="BC89" s="382">
        <v>85.3</v>
      </c>
      <c r="BD89" s="382">
        <v>72.900000000000006</v>
      </c>
      <c r="BE89" s="382">
        <v>59</v>
      </c>
      <c r="BF89" s="385">
        <v>84.4</v>
      </c>
      <c r="BG89" s="384" t="s">
        <v>233</v>
      </c>
      <c r="BH89" s="384" t="s">
        <v>233</v>
      </c>
      <c r="BI89" s="382">
        <v>65.900000000000006</v>
      </c>
      <c r="BJ89" s="382" t="s">
        <v>233</v>
      </c>
      <c r="BK89" s="384" t="s">
        <v>233</v>
      </c>
      <c r="BL89" s="382" t="s">
        <v>233</v>
      </c>
      <c r="BM89" s="382">
        <v>74.7</v>
      </c>
      <c r="BN89" s="382">
        <v>78</v>
      </c>
      <c r="BO89" s="384" t="s">
        <v>233</v>
      </c>
      <c r="BP89" s="382">
        <v>80.8</v>
      </c>
      <c r="BQ89" s="382">
        <v>77.8</v>
      </c>
      <c r="BR89" s="385">
        <v>80.400000000000006</v>
      </c>
      <c r="BS89" s="384" t="s">
        <v>233</v>
      </c>
      <c r="BT89" s="382">
        <v>80</v>
      </c>
      <c r="BU89" s="382">
        <v>82.6</v>
      </c>
      <c r="BV89" s="382">
        <v>80.400000000000006</v>
      </c>
      <c r="BW89" s="382">
        <v>74.3</v>
      </c>
      <c r="BX89" s="382">
        <v>77.099999999999994</v>
      </c>
      <c r="BY89" s="382">
        <v>71.3</v>
      </c>
      <c r="BZ89" s="382">
        <v>61.2</v>
      </c>
      <c r="CA89" s="382" t="s">
        <v>233</v>
      </c>
      <c r="CB89" s="385">
        <v>77.599999999999994</v>
      </c>
      <c r="CC89" s="382">
        <v>66.400000000000006</v>
      </c>
      <c r="CD89" s="382">
        <v>80.8</v>
      </c>
      <c r="CE89" s="382">
        <v>67.2</v>
      </c>
      <c r="CF89" s="384" t="s">
        <v>233</v>
      </c>
      <c r="CG89" s="382">
        <v>80.900000000000006</v>
      </c>
      <c r="CH89" s="382">
        <v>88.7</v>
      </c>
      <c r="CI89" s="384">
        <v>86.8</v>
      </c>
      <c r="CJ89" s="382">
        <v>84.6</v>
      </c>
      <c r="CK89" s="383">
        <v>89.2</v>
      </c>
      <c r="CL89" s="319">
        <v>77.8</v>
      </c>
    </row>
    <row r="90" spans="1:90">
      <c r="A90" s="80">
        <f>ROWS($A$3:A88)</f>
        <v>86</v>
      </c>
      <c r="B90" s="92" t="s">
        <v>193</v>
      </c>
      <c r="C90" s="203"/>
      <c r="D90" s="259" t="s">
        <v>192</v>
      </c>
      <c r="E90" s="447">
        <v>43320</v>
      </c>
      <c r="F90" s="381">
        <v>888</v>
      </c>
      <c r="G90" s="382">
        <v>847.8</v>
      </c>
      <c r="H90" s="384" t="s">
        <v>233</v>
      </c>
      <c r="I90" s="383">
        <v>905.8</v>
      </c>
      <c r="J90" s="382"/>
      <c r="K90" s="381" t="str">
        <f>BF90</f>
        <v>*</v>
      </c>
      <c r="L90" s="384" t="str">
        <f>AY90</f>
        <v>*</v>
      </c>
      <c r="M90" s="384">
        <f>BD90</f>
        <v>868.8</v>
      </c>
      <c r="N90" s="384" t="str">
        <f>AW90</f>
        <v>*</v>
      </c>
      <c r="O90" s="384" t="str">
        <f>BE90</f>
        <v>*</v>
      </c>
      <c r="P90" s="384">
        <f>'2017'!BA90</f>
        <v>918.5</v>
      </c>
      <c r="Q90" s="384">
        <f>'2017'!AU90</f>
        <v>898.8</v>
      </c>
      <c r="R90" s="384">
        <f>AX90</f>
        <v>866.4</v>
      </c>
      <c r="S90" s="384" t="str">
        <f>AV90</f>
        <v>*</v>
      </c>
      <c r="T90" s="384">
        <f t="shared" si="177"/>
        <v>915.5</v>
      </c>
      <c r="U90" s="385" t="str">
        <f t="shared" si="177"/>
        <v>*</v>
      </c>
      <c r="V90" s="384" t="str">
        <f>BJ90</f>
        <v>*</v>
      </c>
      <c r="W90" s="384" t="str">
        <f>BR90</f>
        <v>*</v>
      </c>
      <c r="X90" s="384">
        <f>BI90</f>
        <v>773.5</v>
      </c>
      <c r="Y90" s="384">
        <f>BN90</f>
        <v>854.5</v>
      </c>
      <c r="Z90" s="384">
        <f>BM90</f>
        <v>944.4</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8"/>
        <v>*</v>
      </c>
      <c r="AP90" s="384" t="str">
        <f t="shared" si="178"/>
        <v>*</v>
      </c>
      <c r="AQ90" s="384" t="str">
        <f>CK90</f>
        <v>*</v>
      </c>
      <c r="AR90" s="384" t="str">
        <f>CI90</f>
        <v>*</v>
      </c>
      <c r="AS90" s="383" t="str">
        <f>CG90</f>
        <v>*</v>
      </c>
      <c r="AT90" s="384">
        <v>840.9</v>
      </c>
      <c r="AU90" s="382">
        <v>898.8</v>
      </c>
      <c r="AV90" s="384" t="s">
        <v>233</v>
      </c>
      <c r="AW90" s="382" t="s">
        <v>233</v>
      </c>
      <c r="AX90" s="382">
        <v>866.4</v>
      </c>
      <c r="AY90" s="384" t="s">
        <v>233</v>
      </c>
      <c r="AZ90" s="384" t="s">
        <v>233</v>
      </c>
      <c r="BA90" s="382">
        <v>918.5</v>
      </c>
      <c r="BB90" s="382">
        <v>915.5</v>
      </c>
      <c r="BC90" s="382" t="s">
        <v>233</v>
      </c>
      <c r="BD90" s="382">
        <v>868.8</v>
      </c>
      <c r="BE90" s="384" t="s">
        <v>233</v>
      </c>
      <c r="BF90" s="385" t="s">
        <v>233</v>
      </c>
      <c r="BG90" s="384" t="s">
        <v>233</v>
      </c>
      <c r="BH90" s="384" t="s">
        <v>233</v>
      </c>
      <c r="BI90" s="382">
        <v>773.5</v>
      </c>
      <c r="BJ90" s="382" t="s">
        <v>233</v>
      </c>
      <c r="BK90" s="382" t="s">
        <v>233</v>
      </c>
      <c r="BL90" s="382" t="s">
        <v>233</v>
      </c>
      <c r="BM90" s="382">
        <v>944.4</v>
      </c>
      <c r="BN90" s="382">
        <v>854.5</v>
      </c>
      <c r="BO90" s="384" t="s">
        <v>233</v>
      </c>
      <c r="BP90" s="384" t="s">
        <v>233</v>
      </c>
      <c r="BQ90" s="384" t="s">
        <v>233</v>
      </c>
      <c r="BR90" s="385" t="s">
        <v>233</v>
      </c>
      <c r="BS90" s="384" t="s">
        <v>233</v>
      </c>
      <c r="BT90" s="382" t="s">
        <v>233</v>
      </c>
      <c r="BU90" s="382" t="s">
        <v>233</v>
      </c>
      <c r="BV90" s="382" t="s">
        <v>233</v>
      </c>
      <c r="BW90" s="382" t="s">
        <v>233</v>
      </c>
      <c r="BX90" s="382" t="s">
        <v>233</v>
      </c>
      <c r="BY90" s="382" t="s">
        <v>233</v>
      </c>
      <c r="BZ90" s="382" t="s">
        <v>233</v>
      </c>
      <c r="CA90" s="382" t="s">
        <v>233</v>
      </c>
      <c r="CB90" s="385" t="s">
        <v>233</v>
      </c>
      <c r="CC90" s="382" t="s">
        <v>233</v>
      </c>
      <c r="CD90" s="382" t="s">
        <v>233</v>
      </c>
      <c r="CE90" s="382" t="s">
        <v>233</v>
      </c>
      <c r="CF90" s="384" t="s">
        <v>233</v>
      </c>
      <c r="CG90" s="384" t="s">
        <v>233</v>
      </c>
      <c r="CH90" s="384" t="s">
        <v>233</v>
      </c>
      <c r="CI90" s="384" t="s">
        <v>233</v>
      </c>
      <c r="CJ90" s="382" t="s">
        <v>233</v>
      </c>
      <c r="CK90" s="383" t="s">
        <v>233</v>
      </c>
      <c r="CL90" s="386">
        <v>879.7</v>
      </c>
    </row>
    <row r="91" spans="1:90">
      <c r="A91" s="80">
        <f>ROWS($A$3:A89)</f>
        <v>87</v>
      </c>
      <c r="B91" s="92" t="s">
        <v>194</v>
      </c>
      <c r="C91" s="203"/>
      <c r="D91" s="259" t="s">
        <v>192</v>
      </c>
      <c r="E91" s="447">
        <v>43320</v>
      </c>
      <c r="F91" s="381">
        <v>38.1</v>
      </c>
      <c r="G91" s="384">
        <v>38.4</v>
      </c>
      <c r="H91" s="384">
        <v>35.5</v>
      </c>
      <c r="I91" s="383">
        <v>40.1</v>
      </c>
      <c r="J91" s="382"/>
      <c r="K91" s="381">
        <f>BF91</f>
        <v>40</v>
      </c>
      <c r="L91" s="384" t="str">
        <f>AY91</f>
        <v>*</v>
      </c>
      <c r="M91" s="384">
        <f>BD91</f>
        <v>38.700000000000003</v>
      </c>
      <c r="N91" s="384" t="str">
        <f>AW91</f>
        <v>*</v>
      </c>
      <c r="O91" s="384" t="str">
        <f>BE91</f>
        <v>*</v>
      </c>
      <c r="P91" s="384">
        <f>'2017'!BA91</f>
        <v>37.5</v>
      </c>
      <c r="Q91" s="384">
        <f>'2017'!AU91</f>
        <v>36.5</v>
      </c>
      <c r="R91" s="384" t="str">
        <f>AX91</f>
        <v>*</v>
      </c>
      <c r="S91" s="384" t="str">
        <f>AV91</f>
        <v>*</v>
      </c>
      <c r="T91" s="384">
        <f t="shared" si="177"/>
        <v>40.799999999999997</v>
      </c>
      <c r="U91" s="385">
        <f t="shared" si="177"/>
        <v>38.700000000000003</v>
      </c>
      <c r="V91" s="384" t="str">
        <f>BJ91</f>
        <v>*</v>
      </c>
      <c r="W91" s="384">
        <f>BR91</f>
        <v>42.4</v>
      </c>
      <c r="X91" s="384">
        <f>BI91</f>
        <v>38.5</v>
      </c>
      <c r="Y91" s="384">
        <f>BN91</f>
        <v>38.1</v>
      </c>
      <c r="Z91" s="384">
        <f>BM91</f>
        <v>35.299999999999997</v>
      </c>
      <c r="AA91" s="384">
        <f>BQ91</f>
        <v>42.8</v>
      </c>
      <c r="AB91" s="385" t="str">
        <f>BP91</f>
        <v>*</v>
      </c>
      <c r="AC91" s="384" t="str">
        <f>BX91</f>
        <v>*</v>
      </c>
      <c r="AD91" s="384" t="str">
        <f>BU91</f>
        <v>*</v>
      </c>
      <c r="AE91" s="384">
        <f>BT91</f>
        <v>28.1</v>
      </c>
      <c r="AF91" s="384" t="str">
        <f>CA91</f>
        <v>*</v>
      </c>
      <c r="AG91" s="384" t="str">
        <f>BV91</f>
        <v>*</v>
      </c>
      <c r="AH91" s="384" t="str">
        <f>BZ91</f>
        <v>*</v>
      </c>
      <c r="AI91" s="384">
        <f>BW91</f>
        <v>33.1</v>
      </c>
      <c r="AJ91" s="384" t="str">
        <f>BY91</f>
        <v>*</v>
      </c>
      <c r="AK91" s="385" t="str">
        <f>CB91</f>
        <v>*</v>
      </c>
      <c r="AL91" s="384">
        <f>CE91</f>
        <v>34.5</v>
      </c>
      <c r="AM91" s="384">
        <f>CH91</f>
        <v>40.4</v>
      </c>
      <c r="AN91" s="384" t="str">
        <f>CJ91</f>
        <v>*</v>
      </c>
      <c r="AO91" s="384">
        <f t="shared" si="178"/>
        <v>34.799999999999997</v>
      </c>
      <c r="AP91" s="384" t="str">
        <f t="shared" si="178"/>
        <v>*</v>
      </c>
      <c r="AQ91" s="384">
        <f>CK91</f>
        <v>42.5</v>
      </c>
      <c r="AR91" s="384" t="str">
        <f>CI91</f>
        <v>*</v>
      </c>
      <c r="AS91" s="383">
        <f>CG91</f>
        <v>39.4</v>
      </c>
      <c r="AT91" s="384" t="s">
        <v>233</v>
      </c>
      <c r="AU91" s="384">
        <v>36.5</v>
      </c>
      <c r="AV91" s="384" t="s">
        <v>233</v>
      </c>
      <c r="AW91" s="382" t="s">
        <v>233</v>
      </c>
      <c r="AX91" s="382" t="s">
        <v>233</v>
      </c>
      <c r="AY91" s="382" t="s">
        <v>233</v>
      </c>
      <c r="AZ91" s="384" t="s">
        <v>233</v>
      </c>
      <c r="BA91" s="382">
        <v>37.5</v>
      </c>
      <c r="BB91" s="382">
        <v>40.799999999999997</v>
      </c>
      <c r="BC91" s="382">
        <v>38.700000000000003</v>
      </c>
      <c r="BD91" s="382">
        <v>38.700000000000003</v>
      </c>
      <c r="BE91" s="382" t="s">
        <v>233</v>
      </c>
      <c r="BF91" s="385">
        <v>40</v>
      </c>
      <c r="BG91" s="384" t="s">
        <v>233</v>
      </c>
      <c r="BH91" s="384" t="s">
        <v>233</v>
      </c>
      <c r="BI91" s="382">
        <v>38.5</v>
      </c>
      <c r="BJ91" s="382" t="s">
        <v>233</v>
      </c>
      <c r="BK91" s="382" t="s">
        <v>233</v>
      </c>
      <c r="BL91" s="382" t="s">
        <v>233</v>
      </c>
      <c r="BM91" s="384">
        <v>35.299999999999997</v>
      </c>
      <c r="BN91" s="384">
        <v>38.1</v>
      </c>
      <c r="BO91" s="384" t="s">
        <v>233</v>
      </c>
      <c r="BP91" s="382" t="s">
        <v>233</v>
      </c>
      <c r="BQ91" s="384">
        <v>42.8</v>
      </c>
      <c r="BR91" s="385">
        <v>42.4</v>
      </c>
      <c r="BS91" s="384" t="s">
        <v>233</v>
      </c>
      <c r="BT91" s="382">
        <v>28.1</v>
      </c>
      <c r="BU91" s="382" t="s">
        <v>233</v>
      </c>
      <c r="BV91" s="382" t="s">
        <v>233</v>
      </c>
      <c r="BW91" s="382">
        <v>33.1</v>
      </c>
      <c r="BX91" s="382" t="s">
        <v>233</v>
      </c>
      <c r="BY91" s="382" t="s">
        <v>233</v>
      </c>
      <c r="BZ91" s="382" t="s">
        <v>233</v>
      </c>
      <c r="CA91" s="382" t="s">
        <v>233</v>
      </c>
      <c r="CB91" s="385" t="s">
        <v>233</v>
      </c>
      <c r="CC91" s="382">
        <v>34.799999999999997</v>
      </c>
      <c r="CD91" s="382" t="s">
        <v>233</v>
      </c>
      <c r="CE91" s="382">
        <v>34.5</v>
      </c>
      <c r="CF91" s="384" t="s">
        <v>233</v>
      </c>
      <c r="CG91" s="382">
        <v>39.4</v>
      </c>
      <c r="CH91" s="382">
        <v>40.4</v>
      </c>
      <c r="CI91" s="384" t="s">
        <v>233</v>
      </c>
      <c r="CJ91" s="382" t="s">
        <v>233</v>
      </c>
      <c r="CK91" s="383">
        <v>42.5</v>
      </c>
      <c r="CL91" s="386">
        <v>38.4</v>
      </c>
    </row>
    <row r="92" spans="1:90">
      <c r="A92" s="80">
        <f>ROWS($A$3:A90)</f>
        <v>88</v>
      </c>
      <c r="B92" s="92" t="s">
        <v>195</v>
      </c>
      <c r="C92" s="203"/>
      <c r="D92" s="259" t="s">
        <v>192</v>
      </c>
      <c r="E92" s="447">
        <v>43320</v>
      </c>
      <c r="F92" s="381">
        <v>504.1</v>
      </c>
      <c r="G92" s="382">
        <v>481.7</v>
      </c>
      <c r="H92" s="382">
        <v>469.1</v>
      </c>
      <c r="I92" s="383">
        <v>477.8</v>
      </c>
      <c r="J92" s="382"/>
      <c r="K92" s="381">
        <f>BF92</f>
        <v>504</v>
      </c>
      <c r="L92" s="384">
        <f>AY92</f>
        <v>494.2</v>
      </c>
      <c r="M92" s="384">
        <f>BD92</f>
        <v>523.79999999999995</v>
      </c>
      <c r="N92" s="384">
        <f>AW92</f>
        <v>544.20000000000005</v>
      </c>
      <c r="O92" s="384">
        <f>BE92</f>
        <v>510.9</v>
      </c>
      <c r="P92" s="384">
        <f>'2017'!BA92</f>
        <v>516.20000000000005</v>
      </c>
      <c r="Q92" s="384" t="str">
        <f>'2017'!AU92</f>
        <v>*</v>
      </c>
      <c r="R92" s="384">
        <f>AX92</f>
        <v>505.9</v>
      </c>
      <c r="S92" s="384">
        <f>AV92</f>
        <v>539.20000000000005</v>
      </c>
      <c r="T92" s="384">
        <f t="shared" si="177"/>
        <v>480.2</v>
      </c>
      <c r="U92" s="385">
        <f t="shared" si="177"/>
        <v>471.8</v>
      </c>
      <c r="V92" s="384" t="str">
        <f>BJ92</f>
        <v>*</v>
      </c>
      <c r="W92" s="384">
        <f>BR92</f>
        <v>352.8</v>
      </c>
      <c r="X92" s="384" t="str">
        <f>BI92</f>
        <v>*</v>
      </c>
      <c r="Y92" s="384">
        <f>BN92</f>
        <v>577.70000000000005</v>
      </c>
      <c r="Z92" s="384">
        <f>BM92</f>
        <v>496.5</v>
      </c>
      <c r="AA92" s="384">
        <f>BQ92</f>
        <v>433.2</v>
      </c>
      <c r="AB92" s="385" t="str">
        <f>BP92</f>
        <v>*</v>
      </c>
      <c r="AC92" s="384" t="str">
        <f>BX92</f>
        <v>*</v>
      </c>
      <c r="AD92" s="384" t="str">
        <f>BU92</f>
        <v>*</v>
      </c>
      <c r="AE92" s="384">
        <f>BT92</f>
        <v>335.8</v>
      </c>
      <c r="AF92" s="384" t="str">
        <f>CA92</f>
        <v>*</v>
      </c>
      <c r="AG92" s="384">
        <f>BV92</f>
        <v>342.4</v>
      </c>
      <c r="AH92" s="384">
        <f>BZ92</f>
        <v>544.6</v>
      </c>
      <c r="AI92" s="384">
        <f>BW92</f>
        <v>506.5</v>
      </c>
      <c r="AJ92" s="384">
        <f>BY92</f>
        <v>542.20000000000005</v>
      </c>
      <c r="AK92" s="385">
        <f>CB92</f>
        <v>441.9</v>
      </c>
      <c r="AL92" s="384">
        <f>CE92</f>
        <v>433.1</v>
      </c>
      <c r="AM92" s="384">
        <f>CH92</f>
        <v>515.9</v>
      </c>
      <c r="AN92" s="384">
        <f>CJ92</f>
        <v>492.2</v>
      </c>
      <c r="AO92" s="384">
        <f t="shared" si="178"/>
        <v>350</v>
      </c>
      <c r="AP92" s="384" t="str">
        <f t="shared" si="178"/>
        <v>*</v>
      </c>
      <c r="AQ92" s="384">
        <f>CK92</f>
        <v>468.5</v>
      </c>
      <c r="AR92" s="384">
        <f>CI92</f>
        <v>463.2</v>
      </c>
      <c r="AS92" s="383">
        <f>CG92</f>
        <v>475.4</v>
      </c>
      <c r="AT92" s="384" t="s">
        <v>233</v>
      </c>
      <c r="AU92" s="384" t="s">
        <v>233</v>
      </c>
      <c r="AV92" s="382">
        <v>539.20000000000005</v>
      </c>
      <c r="AW92" s="382">
        <v>544.20000000000005</v>
      </c>
      <c r="AX92" s="382">
        <v>505.9</v>
      </c>
      <c r="AY92" s="382">
        <v>494.2</v>
      </c>
      <c r="AZ92" s="384" t="s">
        <v>233</v>
      </c>
      <c r="BA92" s="382">
        <v>516.20000000000005</v>
      </c>
      <c r="BB92" s="382">
        <v>480.2</v>
      </c>
      <c r="BC92" s="382">
        <v>471.8</v>
      </c>
      <c r="BD92" s="382">
        <v>523.79999999999995</v>
      </c>
      <c r="BE92" s="382">
        <v>510.9</v>
      </c>
      <c r="BF92" s="385">
        <v>504</v>
      </c>
      <c r="BG92" s="384" t="s">
        <v>233</v>
      </c>
      <c r="BH92" s="384" t="s">
        <v>233</v>
      </c>
      <c r="BI92" s="382" t="s">
        <v>233</v>
      </c>
      <c r="BJ92" s="382" t="s">
        <v>233</v>
      </c>
      <c r="BK92" s="382" t="s">
        <v>233</v>
      </c>
      <c r="BL92" s="382" t="s">
        <v>233</v>
      </c>
      <c r="BM92" s="382">
        <v>496.5</v>
      </c>
      <c r="BN92" s="382">
        <v>577.70000000000005</v>
      </c>
      <c r="BO92" s="384" t="s">
        <v>233</v>
      </c>
      <c r="BP92" s="382" t="s">
        <v>233</v>
      </c>
      <c r="BQ92" s="382">
        <v>433.2</v>
      </c>
      <c r="BR92" s="385">
        <v>352.8</v>
      </c>
      <c r="BS92" s="384" t="s">
        <v>233</v>
      </c>
      <c r="BT92" s="382">
        <v>335.8</v>
      </c>
      <c r="BU92" s="382" t="s">
        <v>233</v>
      </c>
      <c r="BV92" s="382">
        <v>342.4</v>
      </c>
      <c r="BW92" s="382">
        <v>506.5</v>
      </c>
      <c r="BX92" s="382" t="s">
        <v>233</v>
      </c>
      <c r="BY92" s="382">
        <v>542.20000000000005</v>
      </c>
      <c r="BZ92" s="382">
        <v>544.6</v>
      </c>
      <c r="CA92" s="382" t="s">
        <v>233</v>
      </c>
      <c r="CB92" s="385">
        <v>441.9</v>
      </c>
      <c r="CC92" s="382">
        <v>350</v>
      </c>
      <c r="CD92" s="382" t="s">
        <v>233</v>
      </c>
      <c r="CE92" s="382">
        <v>433.1</v>
      </c>
      <c r="CF92" s="384" t="s">
        <v>233</v>
      </c>
      <c r="CG92" s="382">
        <v>475.4</v>
      </c>
      <c r="CH92" s="382">
        <v>515.9</v>
      </c>
      <c r="CI92" s="384">
        <v>463.2</v>
      </c>
      <c r="CJ92" s="382">
        <v>492.2</v>
      </c>
      <c r="CK92" s="383">
        <v>468.5</v>
      </c>
      <c r="CL92" s="386">
        <v>485.6</v>
      </c>
    </row>
    <row r="93" spans="1:90">
      <c r="A93" s="80">
        <f>ROWS($A$3:A91)</f>
        <v>89</v>
      </c>
      <c r="B93" s="54" t="s">
        <v>94</v>
      </c>
      <c r="C93" s="252"/>
      <c r="D93" s="259" t="s">
        <v>3</v>
      </c>
      <c r="E93" s="447"/>
      <c r="F93" s="547">
        <v>0.37</v>
      </c>
      <c r="G93" s="548">
        <v>0.37</v>
      </c>
      <c r="H93" s="548">
        <v>0.69</v>
      </c>
      <c r="I93" s="549">
        <v>0.54</v>
      </c>
      <c r="J93" s="598"/>
      <c r="K93" s="547">
        <f>BF93</f>
        <v>0.99</v>
      </c>
      <c r="L93" s="548">
        <f>AY93</f>
        <v>0.69</v>
      </c>
      <c r="M93" s="548">
        <f>BD93</f>
        <v>0.7</v>
      </c>
      <c r="N93" s="548">
        <f>AW93</f>
        <v>0.74</v>
      </c>
      <c r="O93" s="548">
        <f>BE93</f>
        <v>0.6</v>
      </c>
      <c r="P93" s="573">
        <f>(AZ35*AZ93+BA35*BA93)/P35</f>
        <v>0.12077826775993937</v>
      </c>
      <c r="Q93" s="548">
        <f>'2017'!AU93</f>
        <v>0.48</v>
      </c>
      <c r="R93" s="573">
        <f>(AT35*AT93+AX35*AX93)/R35</f>
        <v>1.7194842406876788E-2</v>
      </c>
      <c r="S93" s="548">
        <f>AV93</f>
        <v>0.56999999999999995</v>
      </c>
      <c r="T93" s="548">
        <f t="shared" si="177"/>
        <v>0.56999999999999995</v>
      </c>
      <c r="U93" s="570">
        <f t="shared" si="177"/>
        <v>0.97</v>
      </c>
      <c r="V93" s="573">
        <f>(BG35*BG93+BJ35*BJ93)/V35</f>
        <v>0.32284768211920528</v>
      </c>
      <c r="W93" s="548">
        <f>BR93</f>
        <v>0.82</v>
      </c>
      <c r="X93" s="573">
        <f>(BH35*BH93+BI35*BI93)/X35</f>
        <v>6.556923151916938E-2</v>
      </c>
      <c r="Y93" s="573">
        <f>(BK35*BK93+BL35*BL93+BN35*BN93)/Y35</f>
        <v>0.10734998736009928</v>
      </c>
      <c r="Z93" s="548">
        <f>BM93</f>
        <v>0.7</v>
      </c>
      <c r="AA93" s="573">
        <f>(BO35*BO93+BQ35*BQ93)/AA35</f>
        <v>0.46104600884224839</v>
      </c>
      <c r="AB93" s="570">
        <f>BP93</f>
        <v>0.78</v>
      </c>
      <c r="AC93" s="548">
        <f>BX93</f>
        <v>0.65</v>
      </c>
      <c r="AD93" s="548">
        <f>BU93</f>
        <v>0.36</v>
      </c>
      <c r="AE93" s="573">
        <f>(BS35*BS93+BT35*BT93)/AE35</f>
        <v>0.1160786022890927</v>
      </c>
      <c r="AF93" s="548">
        <f>CA93</f>
        <v>0.28999999999999998</v>
      </c>
      <c r="AG93" s="548">
        <f>BV93</f>
        <v>0.34</v>
      </c>
      <c r="AH93" s="548">
        <f>BZ93</f>
        <v>0.65</v>
      </c>
      <c r="AI93" s="548">
        <f>BW93</f>
        <v>0.96</v>
      </c>
      <c r="AJ93" s="548">
        <f>BY93</f>
        <v>0.63</v>
      </c>
      <c r="AK93" s="570">
        <f>CB93</f>
        <v>0.71</v>
      </c>
      <c r="AL93" s="548">
        <f>CE93</f>
        <v>0.61</v>
      </c>
      <c r="AM93" s="548">
        <f>CH93</f>
        <v>0.2</v>
      </c>
      <c r="AN93" s="548">
        <f>CJ93</f>
        <v>0.57999999999999996</v>
      </c>
      <c r="AO93" s="548">
        <f t="shared" si="178"/>
        <v>1</v>
      </c>
      <c r="AP93" s="548">
        <f t="shared" si="178"/>
        <v>0.61</v>
      </c>
      <c r="AQ93" s="548">
        <f>CK93</f>
        <v>0.72</v>
      </c>
      <c r="AR93" s="548">
        <f>CI93</f>
        <v>0.24</v>
      </c>
      <c r="AS93" s="574">
        <f>(CF35*CF93+CG35*CG93)/AS35</f>
        <v>0.45061070341412895</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c r="A94" s="80">
        <f>ROWS($A$3:A92)</f>
        <v>90</v>
      </c>
      <c r="B94" s="59" t="s">
        <v>247</v>
      </c>
      <c r="C94" s="203"/>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c r="A95" s="80">
        <f>ROWS($A$3:A93)</f>
        <v>91</v>
      </c>
      <c r="B95" s="236" t="s">
        <v>95</v>
      </c>
      <c r="C95" s="393">
        <v>2010</v>
      </c>
      <c r="D95" s="259" t="s">
        <v>10</v>
      </c>
      <c r="E95" s="447">
        <v>40441</v>
      </c>
      <c r="F95" s="154">
        <f>SUM(AT95:BF95)</f>
        <v>617300</v>
      </c>
      <c r="G95" s="155">
        <f>SUM(BG95:BR95)</f>
        <v>141500</v>
      </c>
      <c r="H95" s="155">
        <f>SUM(BS95:CB95)</f>
        <v>370400</v>
      </c>
      <c r="I95" s="156">
        <f>SUM(CC95:CK95)</f>
        <v>1004800</v>
      </c>
      <c r="J95" s="281"/>
      <c r="K95" s="154">
        <f>BF95</f>
        <v>165800</v>
      </c>
      <c r="L95" s="155">
        <f>AY95</f>
        <v>42000</v>
      </c>
      <c r="M95" s="155">
        <f>BD95</f>
        <v>41900</v>
      </c>
      <c r="N95" s="155">
        <f>AW95</f>
        <v>57600</v>
      </c>
      <c r="O95" s="155">
        <f>BE95</f>
        <v>44000</v>
      </c>
      <c r="P95" s="155">
        <f>'2017'!BA95</f>
        <v>27400</v>
      </c>
      <c r="Q95" s="155">
        <f>'2017'!AU95</f>
        <v>17100</v>
      </c>
      <c r="R95" s="155">
        <f>AX95</f>
        <v>28800</v>
      </c>
      <c r="S95" s="155">
        <f>AV95</f>
        <v>12300</v>
      </c>
      <c r="T95" s="155">
        <f t="shared" ref="T95:U98" si="179">BB95</f>
        <v>43200</v>
      </c>
      <c r="U95" s="552">
        <f t="shared" si="179"/>
        <v>135100</v>
      </c>
      <c r="V95" s="155">
        <f>BJ95</f>
        <v>1900</v>
      </c>
      <c r="W95" s="155">
        <f>BR95</f>
        <v>23000</v>
      </c>
      <c r="X95" s="155">
        <f>BI95</f>
        <v>6400</v>
      </c>
      <c r="Y95" s="155">
        <f>BN95</f>
        <v>22700</v>
      </c>
      <c r="Z95" s="155">
        <f>BM95</f>
        <v>47900</v>
      </c>
      <c r="AA95" s="155">
        <f>BQ95</f>
        <v>18600</v>
      </c>
      <c r="AB95" s="552">
        <f>BP95</f>
        <v>21000</v>
      </c>
      <c r="AC95" s="155">
        <f>BX95</f>
        <v>64900</v>
      </c>
      <c r="AD95" s="155">
        <f>BU95</f>
        <v>18300</v>
      </c>
      <c r="AE95" s="155">
        <f>BT95</f>
        <v>56300</v>
      </c>
      <c r="AF95" s="155">
        <f>CA95</f>
        <v>17900</v>
      </c>
      <c r="AG95" s="155">
        <f>BV95</f>
        <v>38800</v>
      </c>
      <c r="AH95" s="155">
        <f>BZ95</f>
        <v>56400</v>
      </c>
      <c r="AI95" s="155">
        <f>BW95</f>
        <v>26900</v>
      </c>
      <c r="AJ95" s="155">
        <f>BY95</f>
        <v>32900</v>
      </c>
      <c r="AK95" s="552">
        <f>CB95</f>
        <v>58000</v>
      </c>
      <c r="AL95" s="155">
        <f>CE95</f>
        <v>21200</v>
      </c>
      <c r="AM95" s="155">
        <f>CH95</f>
        <v>217100</v>
      </c>
      <c r="AN95" s="155">
        <f>CJ95</f>
        <v>443900</v>
      </c>
      <c r="AO95" s="155">
        <f t="shared" ref="AO95:AP98" si="180">CC95</f>
        <v>49800</v>
      </c>
      <c r="AP95" s="155">
        <f t="shared" si="180"/>
        <v>9200</v>
      </c>
      <c r="AQ95" s="155">
        <f>CK95</f>
        <v>78000</v>
      </c>
      <c r="AR95" s="155">
        <f>CI95</f>
        <v>62000</v>
      </c>
      <c r="AS95" s="156">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c r="A96" s="80">
        <f>ROWS($A$3:A94)</f>
        <v>92</v>
      </c>
      <c r="B96" s="92" t="s">
        <v>96</v>
      </c>
      <c r="C96" s="396">
        <v>2010</v>
      </c>
      <c r="D96" s="259" t="s">
        <v>10</v>
      </c>
      <c r="E96" s="447">
        <v>40441</v>
      </c>
      <c r="F96" s="154">
        <f>SUM(AT96:BF96)</f>
        <v>617399</v>
      </c>
      <c r="G96" s="155">
        <f>SUM(BG96:BR96)</f>
        <v>142781</v>
      </c>
      <c r="H96" s="155">
        <f>SUM(BS96:CB96)</f>
        <v>370424</v>
      </c>
      <c r="I96" s="156">
        <f>SUM(CC96:CK96)</f>
        <v>1004630</v>
      </c>
      <c r="J96" s="281"/>
      <c r="K96" s="154">
        <f>BF96</f>
        <v>165837</v>
      </c>
      <c r="L96" s="155">
        <f>AY96</f>
        <v>41990</v>
      </c>
      <c r="M96" s="155">
        <f>BD96</f>
        <v>41892</v>
      </c>
      <c r="N96" s="155">
        <f>AW96</f>
        <v>57563</v>
      </c>
      <c r="O96" s="155">
        <f>BE96</f>
        <v>44020</v>
      </c>
      <c r="P96" s="155">
        <f>'2017'!BA96</f>
        <v>26046</v>
      </c>
      <c r="Q96" s="155">
        <f>'2017'!AU96</f>
        <v>17142</v>
      </c>
      <c r="R96" s="155">
        <f>AX96</f>
        <v>28784</v>
      </c>
      <c r="S96" s="155">
        <f>AV96</f>
        <v>12315</v>
      </c>
      <c r="T96" s="155">
        <f>BB96</f>
        <v>43221</v>
      </c>
      <c r="U96" s="552">
        <f>BC96</f>
        <v>135140</v>
      </c>
      <c r="V96" s="155">
        <f>BJ96</f>
        <v>1905</v>
      </c>
      <c r="W96" s="155">
        <f>BR96</f>
        <v>23030</v>
      </c>
      <c r="X96" s="155">
        <f>BI96</f>
        <v>6427</v>
      </c>
      <c r="Y96" s="155">
        <f>BN96</f>
        <v>22732</v>
      </c>
      <c r="Z96" s="155">
        <f>BM96</f>
        <v>47945</v>
      </c>
      <c r="AA96" s="155">
        <f>BQ96</f>
        <v>18389</v>
      </c>
      <c r="AB96" s="552">
        <f>BP96</f>
        <v>21039</v>
      </c>
      <c r="AC96" s="155">
        <f>BX96</f>
        <v>64945</v>
      </c>
      <c r="AD96" s="155">
        <f>BU96</f>
        <v>18303</v>
      </c>
      <c r="AE96" s="155">
        <f>BT96</f>
        <v>56256</v>
      </c>
      <c r="AF96" s="155">
        <f>CA96</f>
        <v>17921</v>
      </c>
      <c r="AG96" s="155">
        <f>BV96</f>
        <v>38783</v>
      </c>
      <c r="AH96" s="155">
        <f>BZ96</f>
        <v>56430</v>
      </c>
      <c r="AI96" s="155">
        <f>BW96</f>
        <v>26870</v>
      </c>
      <c r="AJ96" s="155">
        <f>BY96</f>
        <v>32882</v>
      </c>
      <c r="AK96" s="552">
        <f>CB96</f>
        <v>58034</v>
      </c>
      <c r="AL96" s="155">
        <f>CE96</f>
        <v>21184</v>
      </c>
      <c r="AM96" s="155">
        <f>CH96</f>
        <v>217098</v>
      </c>
      <c r="AN96" s="155">
        <f>CJ96</f>
        <v>443864</v>
      </c>
      <c r="AO96" s="155">
        <f>CC96</f>
        <v>49804</v>
      </c>
      <c r="AP96" s="155">
        <f>CD96</f>
        <v>9156</v>
      </c>
      <c r="AQ96" s="155">
        <f>CK96</f>
        <v>78000</v>
      </c>
      <c r="AR96" s="155">
        <f>CI96</f>
        <v>61951</v>
      </c>
      <c r="AS96" s="156">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1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'2017'!AZ97+'2017'!BA97</f>
        <v>6750</v>
      </c>
      <c r="Q97" s="113">
        <f>'2017'!AU97</f>
        <v>3596</v>
      </c>
      <c r="R97" s="113">
        <f>AT97+AX97</f>
        <v>6359</v>
      </c>
      <c r="S97" s="113">
        <f>AV97</f>
        <v>3597</v>
      </c>
      <c r="T97" s="113">
        <f t="shared" si="179"/>
        <v>9048</v>
      </c>
      <c r="U97" s="112">
        <f t="shared" si="179"/>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80"/>
        <v>10463</v>
      </c>
      <c r="AP97" s="113">
        <f t="shared" si="180"/>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'2017'!AZ98+'2017'!BA98</f>
        <v>34324</v>
      </c>
      <c r="Q98" s="113">
        <f>'2017'!AU98</f>
        <v>18437</v>
      </c>
      <c r="R98" s="113">
        <f>AT98+AX98</f>
        <v>31700</v>
      </c>
      <c r="S98" s="113">
        <f>AV98</f>
        <v>14642</v>
      </c>
      <c r="T98" s="113">
        <f t="shared" si="179"/>
        <v>45007</v>
      </c>
      <c r="U98" s="112">
        <f t="shared" si="179"/>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80"/>
        <v>51966</v>
      </c>
      <c r="AP98" s="113">
        <f t="shared" si="180"/>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c r="A100" s="80">
        <f>ROWS($A$3:A98)</f>
        <v>96</v>
      </c>
      <c r="B100" s="55" t="s">
        <v>255</v>
      </c>
      <c r="C100" s="203">
        <v>2017</v>
      </c>
      <c r="D100" s="259" t="s">
        <v>13</v>
      </c>
      <c r="E100" s="447">
        <v>43556</v>
      </c>
      <c r="F100" s="154">
        <f>SUM(AT100:BF100)</f>
        <v>2013</v>
      </c>
      <c r="G100" s="155">
        <f>SUM(BG100:BR100)</f>
        <v>891</v>
      </c>
      <c r="H100" s="155">
        <f>SUM(BS100:CB100)</f>
        <v>914</v>
      </c>
      <c r="I100" s="156">
        <f>SUM(CC100:CK100)</f>
        <v>630</v>
      </c>
      <c r="J100" s="281"/>
      <c r="K100" s="157">
        <f>BF100</f>
        <v>57</v>
      </c>
      <c r="L100" s="113">
        <f>AY100</f>
        <v>242</v>
      </c>
      <c r="M100" s="113">
        <f>BD100</f>
        <v>151</v>
      </c>
      <c r="N100" s="113">
        <f>AW100</f>
        <v>61</v>
      </c>
      <c r="O100" s="113">
        <f>BE100</f>
        <v>66</v>
      </c>
      <c r="P100" s="113">
        <f>'2009'!AZ101+'2009'!BA101</f>
        <v>658</v>
      </c>
      <c r="Q100" s="113">
        <f>'2009'!AU101</f>
        <v>260</v>
      </c>
      <c r="R100" s="113">
        <f>AX100</f>
        <v>233</v>
      </c>
      <c r="S100" s="113">
        <f>AV100</f>
        <v>314</v>
      </c>
      <c r="T100" s="113">
        <f>BB100</f>
        <v>97</v>
      </c>
      <c r="U100" s="112">
        <f>BC100</f>
        <v>129</v>
      </c>
      <c r="V100" s="113">
        <f>BJ100</f>
        <v>74</v>
      </c>
      <c r="W100" s="113">
        <f>BR100</f>
        <v>58</v>
      </c>
      <c r="X100" s="113">
        <f>BI100</f>
        <v>223</v>
      </c>
      <c r="Y100" s="113">
        <f>BN100</f>
        <v>195</v>
      </c>
      <c r="Z100" s="113">
        <f>BM100</f>
        <v>100</v>
      </c>
      <c r="AA100" s="113">
        <f>BQ100</f>
        <v>194</v>
      </c>
      <c r="AB100" s="112">
        <f>BP100</f>
        <v>47</v>
      </c>
      <c r="AC100" s="113">
        <f>BX100</f>
        <v>52</v>
      </c>
      <c r="AD100" s="113">
        <f>BU100</f>
        <v>156</v>
      </c>
      <c r="AE100" s="113">
        <f>BT100</f>
        <v>135</v>
      </c>
      <c r="AF100" s="113">
        <f>CA100</f>
        <v>97</v>
      </c>
      <c r="AG100" s="113">
        <f>BV100</f>
        <v>94</v>
      </c>
      <c r="AH100" s="113">
        <f>BZ100</f>
        <v>97</v>
      </c>
      <c r="AI100" s="113">
        <f>BW100</f>
        <v>81</v>
      </c>
      <c r="AJ100" s="113">
        <f>BY100</f>
        <v>82</v>
      </c>
      <c r="AK100" s="112">
        <f>CB100</f>
        <v>120</v>
      </c>
      <c r="AL100" s="113">
        <f>CE100</f>
        <v>58</v>
      </c>
      <c r="AM100" s="113">
        <f>CH100</f>
        <v>167</v>
      </c>
      <c r="AN100" s="113">
        <f>CJ100</f>
        <v>45</v>
      </c>
      <c r="AO100" s="113">
        <f>CC100</f>
        <v>46</v>
      </c>
      <c r="AP100" s="113">
        <f>CD100</f>
        <v>51</v>
      </c>
      <c r="AQ100" s="113">
        <f>CK100</f>
        <v>110</v>
      </c>
      <c r="AR100" s="113">
        <f>CI100</f>
        <v>34</v>
      </c>
      <c r="AS100" s="158">
        <f>CG100</f>
        <v>119</v>
      </c>
      <c r="AT100" s="113" t="s">
        <v>233</v>
      </c>
      <c r="AU100" s="113">
        <v>184</v>
      </c>
      <c r="AV100" s="113">
        <v>314</v>
      </c>
      <c r="AW100" s="113">
        <v>61</v>
      </c>
      <c r="AX100" s="113">
        <v>233</v>
      </c>
      <c r="AY100" s="113">
        <v>242</v>
      </c>
      <c r="AZ100" s="113" t="s">
        <v>233</v>
      </c>
      <c r="BA100" s="113">
        <v>479</v>
      </c>
      <c r="BB100" s="113">
        <v>97</v>
      </c>
      <c r="BC100" s="113">
        <v>129</v>
      </c>
      <c r="BD100" s="113">
        <v>151</v>
      </c>
      <c r="BE100" s="113">
        <v>66</v>
      </c>
      <c r="BF100" s="112">
        <v>57</v>
      </c>
      <c r="BG100" s="159" t="s">
        <v>233</v>
      </c>
      <c r="BH100" s="113" t="s">
        <v>233</v>
      </c>
      <c r="BI100" s="113">
        <v>223</v>
      </c>
      <c r="BJ100" s="113">
        <v>74</v>
      </c>
      <c r="BK100" s="113" t="s">
        <v>233</v>
      </c>
      <c r="BL100" s="113" t="s">
        <v>233</v>
      </c>
      <c r="BM100" s="113">
        <v>100</v>
      </c>
      <c r="BN100" s="113">
        <v>195</v>
      </c>
      <c r="BO100" s="159" t="s">
        <v>233</v>
      </c>
      <c r="BP100" s="113">
        <v>47</v>
      </c>
      <c r="BQ100" s="113">
        <v>194</v>
      </c>
      <c r="BR100" s="112">
        <v>58</v>
      </c>
      <c r="BS100" s="159" t="s">
        <v>233</v>
      </c>
      <c r="BT100" s="113">
        <v>135</v>
      </c>
      <c r="BU100" s="113">
        <v>156</v>
      </c>
      <c r="BV100" s="113">
        <v>94</v>
      </c>
      <c r="BW100" s="113">
        <v>81</v>
      </c>
      <c r="BX100" s="113">
        <v>52</v>
      </c>
      <c r="BY100" s="113">
        <v>82</v>
      </c>
      <c r="BZ100" s="113">
        <v>97</v>
      </c>
      <c r="CA100" s="113">
        <v>97</v>
      </c>
      <c r="CB100" s="112">
        <v>120</v>
      </c>
      <c r="CC100" s="113">
        <v>46</v>
      </c>
      <c r="CD100" s="113">
        <v>51</v>
      </c>
      <c r="CE100" s="113">
        <v>58</v>
      </c>
      <c r="CF100" s="113" t="s">
        <v>233</v>
      </c>
      <c r="CG100" s="113">
        <v>119</v>
      </c>
      <c r="CH100" s="113">
        <v>167</v>
      </c>
      <c r="CI100" s="113">
        <v>34</v>
      </c>
      <c r="CJ100" s="113">
        <v>45</v>
      </c>
      <c r="CK100" s="158">
        <v>110</v>
      </c>
      <c r="CL100" s="123">
        <v>4448</v>
      </c>
    </row>
    <row r="101" spans="1:102">
      <c r="A101" s="80">
        <f>ROWS($A$3:A99)</f>
        <v>97</v>
      </c>
      <c r="B101" s="602"/>
      <c r="C101" s="590"/>
      <c r="D101" s="603"/>
      <c r="E101" s="522"/>
      <c r="F101" s="485"/>
      <c r="G101" s="479"/>
      <c r="H101" s="479"/>
      <c r="I101" s="481"/>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605"/>
      <c r="AU101" s="605"/>
      <c r="AV101" s="605"/>
      <c r="AW101" s="605"/>
      <c r="AX101" s="605"/>
      <c r="AY101" s="605"/>
      <c r="AZ101" s="605"/>
      <c r="BA101" s="605"/>
      <c r="BB101" s="605"/>
      <c r="BC101" s="605"/>
      <c r="BD101" s="605"/>
      <c r="BE101" s="605"/>
      <c r="BF101" s="606"/>
      <c r="BG101" s="607"/>
      <c r="BH101" s="605"/>
      <c r="BI101" s="605"/>
      <c r="BJ101" s="605"/>
      <c r="BK101" s="605"/>
      <c r="BL101" s="605"/>
      <c r="BM101" s="605"/>
      <c r="BN101" s="605"/>
      <c r="BO101" s="607"/>
      <c r="BP101" s="605"/>
      <c r="BQ101" s="605"/>
      <c r="BR101" s="606"/>
      <c r="BS101" s="607"/>
      <c r="BT101" s="605"/>
      <c r="BU101" s="605"/>
      <c r="BV101" s="605"/>
      <c r="BW101" s="605"/>
      <c r="BX101" s="605"/>
      <c r="BY101" s="605"/>
      <c r="BZ101" s="605"/>
      <c r="CA101" s="605"/>
      <c r="CB101" s="606"/>
      <c r="CC101" s="605"/>
      <c r="CD101" s="605"/>
      <c r="CE101" s="605"/>
      <c r="CF101" s="605"/>
      <c r="CG101" s="605"/>
      <c r="CH101" s="605"/>
      <c r="CI101" s="605"/>
      <c r="CJ101" s="605"/>
      <c r="CK101" s="608"/>
      <c r="CL101" s="609"/>
    </row>
    <row r="102" spans="1:102">
      <c r="A102" s="80">
        <f>ROWS($A$3:A100)</f>
        <v>98</v>
      </c>
      <c r="B102" s="602"/>
      <c r="C102" s="590"/>
      <c r="D102" s="603"/>
      <c r="E102" s="522"/>
      <c r="F102" s="485"/>
      <c r="G102" s="479"/>
      <c r="H102" s="479"/>
      <c r="I102" s="481"/>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605"/>
      <c r="AU102" s="605"/>
      <c r="AV102" s="605"/>
      <c r="AW102" s="605"/>
      <c r="AX102" s="605"/>
      <c r="AY102" s="605"/>
      <c r="AZ102" s="605"/>
      <c r="BA102" s="605"/>
      <c r="BB102" s="605"/>
      <c r="BC102" s="605"/>
      <c r="BD102" s="605"/>
      <c r="BE102" s="605"/>
      <c r="BF102" s="606"/>
      <c r="BG102" s="607"/>
      <c r="BH102" s="605"/>
      <c r="BI102" s="605"/>
      <c r="BJ102" s="605"/>
      <c r="BK102" s="605"/>
      <c r="BL102" s="605"/>
      <c r="BM102" s="605"/>
      <c r="BN102" s="605"/>
      <c r="BO102" s="607"/>
      <c r="BP102" s="605"/>
      <c r="BQ102" s="605"/>
      <c r="BR102" s="606"/>
      <c r="BS102" s="607"/>
      <c r="BT102" s="605"/>
      <c r="BU102" s="605"/>
      <c r="BV102" s="605"/>
      <c r="BW102" s="605"/>
      <c r="BX102" s="605"/>
      <c r="BY102" s="605"/>
      <c r="BZ102" s="605"/>
      <c r="CA102" s="605"/>
      <c r="CB102" s="606"/>
      <c r="CC102" s="605"/>
      <c r="CD102" s="605"/>
      <c r="CE102" s="605"/>
      <c r="CF102" s="605"/>
      <c r="CG102" s="605"/>
      <c r="CH102" s="605"/>
      <c r="CI102" s="605"/>
      <c r="CJ102" s="605"/>
      <c r="CK102" s="608"/>
      <c r="CL102" s="609"/>
    </row>
    <row r="103" spans="1:1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'2017'!AZ103+'2017'!BA103</f>
        <v>0</v>
      </c>
      <c r="Q103" s="113">
        <f>'2017'!AU103</f>
        <v>0</v>
      </c>
      <c r="R103" s="113">
        <f>AT103+AX103</f>
        <v>0</v>
      </c>
      <c r="S103" s="113">
        <f>AV103</f>
        <v>0</v>
      </c>
      <c r="T103" s="113">
        <f t="shared" ref="T103:U106" si="181">BB103</f>
        <v>0</v>
      </c>
      <c r="U103" s="112">
        <f t="shared" si="181"/>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2">CC103</f>
        <v>0</v>
      </c>
      <c r="AP103" s="113">
        <f t="shared" si="182"/>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'2017'!AZ104+'2017'!BA104</f>
        <v>0</v>
      </c>
      <c r="Q104" s="113">
        <f>'2017'!AU104</f>
        <v>0</v>
      </c>
      <c r="R104" s="113">
        <f>AT104+AX104</f>
        <v>0</v>
      </c>
      <c r="S104" s="113">
        <f>AV104</f>
        <v>0</v>
      </c>
      <c r="T104" s="113">
        <f t="shared" si="181"/>
        <v>0</v>
      </c>
      <c r="U104" s="112">
        <f t="shared" si="181"/>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2"/>
        <v>0</v>
      </c>
      <c r="AP104" s="113">
        <f t="shared" si="182"/>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1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'2017'!AZ105+'2017'!BA105</f>
        <v>0</v>
      </c>
      <c r="Q105" s="113">
        <f>'2017'!AU105</f>
        <v>0</v>
      </c>
      <c r="R105" s="113">
        <f>AT105+AX105</f>
        <v>0</v>
      </c>
      <c r="S105" s="113">
        <f>AV105</f>
        <v>0</v>
      </c>
      <c r="T105" s="113">
        <f t="shared" si="181"/>
        <v>0</v>
      </c>
      <c r="U105" s="112">
        <f t="shared" si="181"/>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2"/>
        <v>0</v>
      </c>
      <c r="AP105" s="113">
        <f t="shared" si="182"/>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'2017'!AZ106+'2017'!BA106</f>
        <v>0</v>
      </c>
      <c r="Q106" s="164">
        <f>'2017'!AU106</f>
        <v>0</v>
      </c>
      <c r="R106" s="164">
        <f>AT106+AX106</f>
        <v>0</v>
      </c>
      <c r="S106" s="164">
        <f>AV106</f>
        <v>0</v>
      </c>
      <c r="T106" s="164">
        <f t="shared" si="181"/>
        <v>0</v>
      </c>
      <c r="U106" s="114">
        <f t="shared" si="181"/>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2"/>
        <v>0</v>
      </c>
      <c r="AP106" s="164">
        <f t="shared" si="182"/>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c r="B107" s="57"/>
      <c r="C107" s="203"/>
      <c r="D107" s="48"/>
      <c r="E107" s="449"/>
      <c r="F107" s="155">
        <f t="shared" ref="F107:BQ107" si="183">SUM(F7:F92)</f>
        <v>16381957.673078377</v>
      </c>
      <c r="G107" s="155">
        <f t="shared" si="183"/>
        <v>9607228.9667364992</v>
      </c>
      <c r="H107" s="155">
        <f t="shared" si="183"/>
        <v>9950828.1479668375</v>
      </c>
      <c r="I107" s="155">
        <f t="shared" si="183"/>
        <v>10110752.144643104</v>
      </c>
      <c r="J107" s="155">
        <f t="shared" si="183"/>
        <v>0</v>
      </c>
      <c r="K107" s="155">
        <f>SUM(K7:K92)</f>
        <v>1687498.5394099161</v>
      </c>
      <c r="L107" s="155">
        <f t="shared" si="183"/>
        <v>1400828.5946961218</v>
      </c>
      <c r="M107" s="155">
        <f t="shared" si="183"/>
        <v>1215489.4191366537</v>
      </c>
      <c r="N107" s="155">
        <f t="shared" si="183"/>
        <v>997628.22492346715</v>
      </c>
      <c r="O107" s="155">
        <f t="shared" si="183"/>
        <v>731947.42089575576</v>
      </c>
      <c r="P107" s="155">
        <f t="shared" si="183"/>
        <v>1804829.8750123964</v>
      </c>
      <c r="Q107" s="155">
        <f t="shared" si="183"/>
        <v>1339546.7291620639</v>
      </c>
      <c r="R107" s="155">
        <f t="shared" si="183"/>
        <v>3330397.0442602411</v>
      </c>
      <c r="S107" s="155">
        <f t="shared" si="183"/>
        <v>1562739.4301271103</v>
      </c>
      <c r="T107" s="155">
        <f t="shared" si="183"/>
        <v>918242.12681291392</v>
      </c>
      <c r="U107" s="155">
        <f t="shared" si="183"/>
        <v>1771584.3646794246</v>
      </c>
      <c r="V107" s="155">
        <f t="shared" si="183"/>
        <v>1072077.2425262583</v>
      </c>
      <c r="W107" s="155">
        <f t="shared" si="183"/>
        <v>691544.68758935668</v>
      </c>
      <c r="X107" s="155">
        <f t="shared" si="183"/>
        <v>2397591.9357905486</v>
      </c>
      <c r="Y107" s="155">
        <f t="shared" si="183"/>
        <v>2815025.2508287523</v>
      </c>
      <c r="Z107" s="155">
        <f t="shared" si="183"/>
        <v>938137.11407297337</v>
      </c>
      <c r="AA107" s="155">
        <f t="shared" si="183"/>
        <v>1085195.6534359069</v>
      </c>
      <c r="AB107" s="155">
        <f t="shared" si="183"/>
        <v>760237.79818662035</v>
      </c>
      <c r="AC107" s="155">
        <f t="shared" si="183"/>
        <v>1055474.6623708196</v>
      </c>
      <c r="AD107" s="155">
        <f t="shared" si="183"/>
        <v>721077.13495354156</v>
      </c>
      <c r="AE107" s="155">
        <f t="shared" si="183"/>
        <v>1892076.2936568083</v>
      </c>
      <c r="AF107" s="155">
        <f t="shared" si="183"/>
        <v>924096.56411218026</v>
      </c>
      <c r="AG107" s="155">
        <f t="shared" si="183"/>
        <v>1890779.8619685948</v>
      </c>
      <c r="AH107" s="155">
        <f t="shared" si="183"/>
        <v>1085644.4160507077</v>
      </c>
      <c r="AI107" s="155">
        <f t="shared" si="183"/>
        <v>793015.88990544865</v>
      </c>
      <c r="AJ107" s="155">
        <f t="shared" si="183"/>
        <v>810434.99241544888</v>
      </c>
      <c r="AK107" s="155">
        <f t="shared" si="183"/>
        <v>996123.6193452744</v>
      </c>
      <c r="AL107" s="155">
        <f t="shared" si="183"/>
        <v>1030223.713824094</v>
      </c>
      <c r="AM107" s="155">
        <f t="shared" si="183"/>
        <v>1477526.696938396</v>
      </c>
      <c r="AN107" s="155">
        <f t="shared" si="183"/>
        <v>1674372.0553799076</v>
      </c>
      <c r="AO107" s="155">
        <f t="shared" si="183"/>
        <v>1326656.6263513386</v>
      </c>
      <c r="AP107" s="155">
        <f t="shared" si="183"/>
        <v>882749.1864323403</v>
      </c>
      <c r="AQ107" s="155">
        <f t="shared" si="183"/>
        <v>1097380.9778881266</v>
      </c>
      <c r="AR107" s="155">
        <f t="shared" si="183"/>
        <v>936663.64330891531</v>
      </c>
      <c r="AS107" s="155">
        <f t="shared" si="183"/>
        <v>1932576.9888248323</v>
      </c>
      <c r="AT107" s="155">
        <f t="shared" si="183"/>
        <v>1675458.7114690575</v>
      </c>
      <c r="AU107" s="155">
        <f t="shared" si="183"/>
        <v>1353474.5631791311</v>
      </c>
      <c r="AV107" s="155">
        <f t="shared" si="183"/>
        <v>1562739.4301271103</v>
      </c>
      <c r="AW107" s="155">
        <f t="shared" si="183"/>
        <v>997628.22492346715</v>
      </c>
      <c r="AX107" s="155">
        <f t="shared" si="183"/>
        <v>1660030.7275771797</v>
      </c>
      <c r="AY107" s="155">
        <f t="shared" si="183"/>
        <v>1400828.5946961218</v>
      </c>
      <c r="AZ107" s="155">
        <f t="shared" si="183"/>
        <v>365874.35966364044</v>
      </c>
      <c r="BA107" s="155">
        <f t="shared" si="183"/>
        <v>1442045.6845600507</v>
      </c>
      <c r="BB107" s="155">
        <f t="shared" si="183"/>
        <v>918242.12681291392</v>
      </c>
      <c r="BC107" s="155">
        <f t="shared" si="183"/>
        <v>1771584.3646794246</v>
      </c>
      <c r="BD107" s="155">
        <f t="shared" si="183"/>
        <v>1215489.4191366537</v>
      </c>
      <c r="BE107" s="155">
        <f t="shared" si="183"/>
        <v>731947.42089575576</v>
      </c>
      <c r="BF107" s="155">
        <f t="shared" si="183"/>
        <v>1687498.5394099161</v>
      </c>
      <c r="BG107" s="155">
        <f t="shared" si="183"/>
        <v>196273.11631952395</v>
      </c>
      <c r="BH107" s="155">
        <f t="shared" si="183"/>
        <v>818427.4468932664</v>
      </c>
      <c r="BI107" s="155">
        <f t="shared" si="183"/>
        <v>1584567.0301105939</v>
      </c>
      <c r="BJ107" s="155">
        <f t="shared" si="183"/>
        <v>878898.23236045789</v>
      </c>
      <c r="BK107" s="155">
        <f t="shared" si="183"/>
        <v>418681.62740194506</v>
      </c>
      <c r="BL107" s="155">
        <f t="shared" si="183"/>
        <v>806678.65788074431</v>
      </c>
      <c r="BM107" s="155">
        <f t="shared" si="183"/>
        <v>938137.11407297337</v>
      </c>
      <c r="BN107" s="155">
        <f t="shared" si="183"/>
        <v>1596790.4377098838</v>
      </c>
      <c r="BO107" s="155">
        <f t="shared" si="183"/>
        <v>301220.10729641607</v>
      </c>
      <c r="BP107" s="155">
        <f t="shared" si="183"/>
        <v>718951.79818662046</v>
      </c>
      <c r="BQ107" s="155">
        <f t="shared" si="183"/>
        <v>836963.19798819814</v>
      </c>
      <c r="BR107" s="155">
        <f t="shared" ref="BR107:CL107" si="184">SUM(BR7:BR92)</f>
        <v>691544.68758935668</v>
      </c>
      <c r="BS107" s="155">
        <f t="shared" si="184"/>
        <v>602621.06201939879</v>
      </c>
      <c r="BT107" s="155">
        <f t="shared" si="184"/>
        <v>1293892.7368202999</v>
      </c>
      <c r="BU107" s="155">
        <f t="shared" si="184"/>
        <v>721077.13495354156</v>
      </c>
      <c r="BV107" s="155">
        <f t="shared" si="184"/>
        <v>1890779.8619685948</v>
      </c>
      <c r="BW107" s="155">
        <f t="shared" si="184"/>
        <v>793015.88990544865</v>
      </c>
      <c r="BX107" s="155">
        <f t="shared" si="184"/>
        <v>1055474.6623708196</v>
      </c>
      <c r="BY107" s="155">
        <f t="shared" si="184"/>
        <v>810434.99241544888</v>
      </c>
      <c r="BZ107" s="155">
        <f t="shared" si="184"/>
        <v>1085644.4160507077</v>
      </c>
      <c r="CA107" s="155">
        <f t="shared" si="184"/>
        <v>924096.56411218026</v>
      </c>
      <c r="CB107" s="155">
        <f t="shared" si="184"/>
        <v>996123.6193452744</v>
      </c>
      <c r="CC107" s="155">
        <f t="shared" si="184"/>
        <v>1326656.6263513386</v>
      </c>
      <c r="CD107" s="155">
        <f t="shared" si="184"/>
        <v>882749.1864323403</v>
      </c>
      <c r="CE107" s="155">
        <f t="shared" si="184"/>
        <v>1030223.713824094</v>
      </c>
      <c r="CF107" s="155">
        <f t="shared" si="184"/>
        <v>420137.64327893336</v>
      </c>
      <c r="CG107" s="155">
        <f t="shared" si="184"/>
        <v>1515830.281793928</v>
      </c>
      <c r="CH107" s="155">
        <f t="shared" si="184"/>
        <v>1477526.696938396</v>
      </c>
      <c r="CI107" s="155">
        <f t="shared" si="184"/>
        <v>936663.64330891531</v>
      </c>
      <c r="CJ107" s="155">
        <f t="shared" si="184"/>
        <v>1674372.0553799076</v>
      </c>
      <c r="CK107" s="155">
        <f t="shared" si="184"/>
        <v>1097380.9778881266</v>
      </c>
      <c r="CL107" s="155">
        <f t="shared" si="184"/>
        <v>45949402.354271464</v>
      </c>
    </row>
    <row r="108" spans="1:102">
      <c r="B108" s="71" t="s">
        <v>209</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M110" s="507" t="s">
        <v>339</v>
      </c>
      <c r="CN110" s="126"/>
      <c r="CO110" s="126"/>
      <c r="CP110" s="126"/>
      <c r="CQ110" s="126"/>
      <c r="CR110" s="126"/>
      <c r="CS110" s="126"/>
      <c r="CT110" s="126"/>
      <c r="CU110" s="126"/>
      <c r="CV110" s="126"/>
      <c r="CW110" s="126"/>
      <c r="CX110" s="126"/>
    </row>
    <row r="111" spans="1:102" ht="1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M111" s="508">
        <v>88614.660000000033</v>
      </c>
      <c r="CN111" s="126"/>
      <c r="CO111" s="126"/>
      <c r="CP111" s="126"/>
      <c r="CQ111" s="126"/>
      <c r="CR111" s="126"/>
      <c r="CS111" s="126"/>
      <c r="CT111" s="126"/>
      <c r="CU111" s="126"/>
      <c r="CV111" s="126"/>
      <c r="CW111" s="126"/>
      <c r="CX111" s="126"/>
    </row>
    <row r="112" spans="1:102">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'2017'!AZ117+'2017'!BA117</f>
        <v>5400</v>
      </c>
      <c r="Q117" s="323">
        <f>'2017'!AU117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c r="A118" s="327"/>
      <c r="B118" s="331" t="s">
        <v>271</v>
      </c>
      <c r="C118" s="593">
        <v>2015</v>
      </c>
      <c r="D118" s="329" t="s">
        <v>285</v>
      </c>
      <c r="E118" s="459"/>
      <c r="F118" s="489">
        <v>538.54300000000001</v>
      </c>
      <c r="G118" s="592">
        <v>284.96699999999998</v>
      </c>
      <c r="H118" s="592">
        <v>462.73399999999998</v>
      </c>
      <c r="I118" s="489">
        <v>386.41800000000001</v>
      </c>
      <c r="J118" s="324"/>
      <c r="K118" s="323">
        <f>BF118</f>
        <v>63.302999999999997</v>
      </c>
      <c r="L118" s="324">
        <f>AY118</f>
        <v>40.700000000000003</v>
      </c>
      <c r="M118" s="324">
        <f>BD118</f>
        <v>46.728999999999999</v>
      </c>
      <c r="N118" s="324">
        <f>AW118</f>
        <v>24.513999999999999</v>
      </c>
      <c r="O118" s="324">
        <f>BE118</f>
        <v>23.31</v>
      </c>
      <c r="P118" s="423">
        <f>AZ118+BA118</f>
        <v>75.56</v>
      </c>
      <c r="Q118" s="323">
        <f>AU118</f>
        <v>20.469000000000001</v>
      </c>
      <c r="R118" s="423">
        <f>AT118+AX118</f>
        <v>67.084000000000003</v>
      </c>
      <c r="S118" s="324">
        <f>AV118</f>
        <v>25.663</v>
      </c>
      <c r="T118" s="324">
        <f>BB118</f>
        <v>58.972999999999999</v>
      </c>
      <c r="U118" s="323">
        <f>BC118</f>
        <v>92.238</v>
      </c>
      <c r="V118" s="423">
        <f>BG118+BJ118</f>
        <v>39.152000000000001</v>
      </c>
      <c r="W118" s="324">
        <f>BR118</f>
        <v>23.024000000000001</v>
      </c>
      <c r="X118" s="423">
        <f>BH118+BI118</f>
        <v>53.928999999999995</v>
      </c>
      <c r="Y118" s="423">
        <f>BK118+BL118+BN118</f>
        <v>64.858999999999995</v>
      </c>
      <c r="Z118" s="324">
        <f>BM118</f>
        <v>48.371000000000002</v>
      </c>
      <c r="AA118" s="423">
        <f>BO118+BQ118</f>
        <v>29.02</v>
      </c>
      <c r="AB118" s="323">
        <f>BP118</f>
        <v>26.611999999999998</v>
      </c>
      <c r="AC118" s="324">
        <f>BX118</f>
        <v>35.753</v>
      </c>
      <c r="AD118" s="324">
        <f>BU118</f>
        <v>37.515000000000001</v>
      </c>
      <c r="AE118" s="423">
        <f>BS118+BT118</f>
        <v>109.90700000000001</v>
      </c>
      <c r="AF118" s="324">
        <f>CA118</f>
        <v>36.46</v>
      </c>
      <c r="AG118" s="324">
        <f>BV118</f>
        <v>104.33799999999999</v>
      </c>
      <c r="AH118" s="324">
        <f>BZ118</f>
        <v>56.154000000000003</v>
      </c>
      <c r="AI118" s="324">
        <f>BW118</f>
        <v>28.632000000000001</v>
      </c>
      <c r="AJ118" s="324">
        <f>BY118</f>
        <v>19.510999999999999</v>
      </c>
      <c r="AK118" s="323">
        <f>CB118</f>
        <v>34.463999999999999</v>
      </c>
      <c r="AL118" s="324">
        <f>CE118</f>
        <v>23.974</v>
      </c>
      <c r="AM118" s="324">
        <f>CH118</f>
        <v>69.561999999999998</v>
      </c>
      <c r="AN118" s="324">
        <f>CJ118</f>
        <v>88.519000000000005</v>
      </c>
      <c r="AO118" s="324">
        <f>CC118</f>
        <v>29.577000000000002</v>
      </c>
      <c r="AP118" s="324">
        <f>CD118</f>
        <v>13.565</v>
      </c>
      <c r="AQ118" s="324">
        <f>CK118</f>
        <v>46.732999999999997</v>
      </c>
      <c r="AR118" s="324">
        <f>CI118</f>
        <v>49.366</v>
      </c>
      <c r="AS118" s="423">
        <f>CF118+CG118</f>
        <v>65.122</v>
      </c>
      <c r="AT118" s="592">
        <v>19.713000000000001</v>
      </c>
      <c r="AU118" s="592">
        <v>20.469000000000001</v>
      </c>
      <c r="AV118" s="592">
        <v>25.663</v>
      </c>
      <c r="AW118" s="592">
        <v>24.513999999999999</v>
      </c>
      <c r="AX118" s="592">
        <v>47.371000000000002</v>
      </c>
      <c r="AY118" s="592">
        <v>40.700000000000003</v>
      </c>
      <c r="AZ118" s="592">
        <v>11.385</v>
      </c>
      <c r="BA118" s="592">
        <v>64.174999999999997</v>
      </c>
      <c r="BB118" s="592">
        <v>58.972999999999999</v>
      </c>
      <c r="BC118" s="592">
        <v>92.238</v>
      </c>
      <c r="BD118" s="592">
        <v>46.728999999999999</v>
      </c>
      <c r="BE118" s="592">
        <v>23.31</v>
      </c>
      <c r="BF118" s="489">
        <v>63.302999999999997</v>
      </c>
      <c r="BG118" s="592">
        <v>10.122999999999999</v>
      </c>
      <c r="BH118" s="592">
        <v>9.9459999999999997</v>
      </c>
      <c r="BI118" s="592">
        <v>43.982999999999997</v>
      </c>
      <c r="BJ118" s="592">
        <v>29.029</v>
      </c>
      <c r="BK118" s="592">
        <v>9.0640000000000001</v>
      </c>
      <c r="BL118" s="592">
        <v>3.7789999999999999</v>
      </c>
      <c r="BM118" s="592">
        <v>48.371000000000002</v>
      </c>
      <c r="BN118" s="592">
        <v>52.015999999999998</v>
      </c>
      <c r="BO118" s="592">
        <v>8.4149999999999991</v>
      </c>
      <c r="BP118" s="592">
        <v>26.611999999999998</v>
      </c>
      <c r="BQ118" s="592">
        <v>20.605</v>
      </c>
      <c r="BR118" s="489">
        <v>23.024000000000001</v>
      </c>
      <c r="BS118" s="592">
        <v>17.939</v>
      </c>
      <c r="BT118" s="592">
        <v>91.968000000000004</v>
      </c>
      <c r="BU118" s="592">
        <v>37.515000000000001</v>
      </c>
      <c r="BV118" s="592">
        <v>104.33799999999999</v>
      </c>
      <c r="BW118" s="592">
        <v>28.632000000000001</v>
      </c>
      <c r="BX118" s="592">
        <v>35.753</v>
      </c>
      <c r="BY118" s="592">
        <v>19.510999999999999</v>
      </c>
      <c r="BZ118" s="592">
        <v>56.154000000000003</v>
      </c>
      <c r="CA118" s="592">
        <v>36.46</v>
      </c>
      <c r="CB118" s="489">
        <v>34.463999999999999</v>
      </c>
      <c r="CC118" s="592">
        <v>29.577000000000002</v>
      </c>
      <c r="CD118" s="592">
        <v>13.565</v>
      </c>
      <c r="CE118" s="592">
        <v>23.974</v>
      </c>
      <c r="CF118" s="592">
        <v>7.6950000000000003</v>
      </c>
      <c r="CG118" s="592">
        <v>57.427</v>
      </c>
      <c r="CH118" s="592">
        <v>69.561999999999998</v>
      </c>
      <c r="CI118" s="592">
        <v>49.366</v>
      </c>
      <c r="CJ118" s="592">
        <v>88.519000000000005</v>
      </c>
      <c r="CK118" s="489">
        <v>46.732999999999997</v>
      </c>
      <c r="CL118" s="489">
        <v>1672.6619999999994</v>
      </c>
    </row>
    <row r="119" spans="1:90" s="69" customFormat="1" ht="11.25">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2">
      <c r="B123" s="328" t="s">
        <v>235</v>
      </c>
      <c r="C123" s="585">
        <v>2017</v>
      </c>
      <c r="D123" s="69" t="s">
        <v>13</v>
      </c>
      <c r="E123" s="486">
        <v>43320</v>
      </c>
      <c r="F123" s="487">
        <v>1995</v>
      </c>
      <c r="G123" s="487">
        <v>424</v>
      </c>
      <c r="H123" s="487">
        <v>1802</v>
      </c>
      <c r="I123" s="487">
        <v>2833</v>
      </c>
      <c r="J123" s="488"/>
      <c r="K123" s="488">
        <f>BF123</f>
        <v>491</v>
      </c>
      <c r="L123" s="488">
        <f>AY123</f>
        <v>173</v>
      </c>
      <c r="M123" s="488">
        <f>BD123</f>
        <v>136</v>
      </c>
      <c r="N123" s="488">
        <f>AW123</f>
        <v>202</v>
      </c>
      <c r="O123" s="488">
        <f>BE123</f>
        <v>134</v>
      </c>
      <c r="P123" s="488">
        <f>'2017'!BA123</f>
        <v>74</v>
      </c>
      <c r="Q123" s="488">
        <f>'2017'!AU123</f>
        <v>51</v>
      </c>
      <c r="R123" s="488">
        <f>AX123</f>
        <v>84</v>
      </c>
      <c r="S123" s="488">
        <f>AV123</f>
        <v>63</v>
      </c>
      <c r="T123" s="488">
        <f>BB123</f>
        <v>149</v>
      </c>
      <c r="U123" s="488">
        <f>BC123</f>
        <v>425</v>
      </c>
      <c r="V123" s="488">
        <f>BJ123</f>
        <v>10</v>
      </c>
      <c r="W123" s="488">
        <f>BR123</f>
        <v>76</v>
      </c>
      <c r="X123" s="488">
        <f>BI123</f>
        <v>20</v>
      </c>
      <c r="Y123" s="488">
        <f>BN123</f>
        <v>50</v>
      </c>
      <c r="Z123" s="488">
        <f>BM123</f>
        <v>132</v>
      </c>
      <c r="AA123" s="488">
        <f>BQ123</f>
        <v>57</v>
      </c>
      <c r="AB123" s="488">
        <f>BP123</f>
        <v>71</v>
      </c>
      <c r="AC123" s="488">
        <f>BX123</f>
        <v>340</v>
      </c>
      <c r="AD123" s="488">
        <f>BU123</f>
        <v>125</v>
      </c>
      <c r="AE123" s="488">
        <f>BT123</f>
        <v>334</v>
      </c>
      <c r="AF123" s="488">
        <f>CA123</f>
        <v>99</v>
      </c>
      <c r="AG123" s="488">
        <f>BV123</f>
        <v>276</v>
      </c>
      <c r="AH123" s="488">
        <f>BZ123</f>
        <v>161</v>
      </c>
      <c r="AI123" s="488">
        <f>BW123</f>
        <v>144</v>
      </c>
      <c r="AJ123" s="488">
        <f>BY123</f>
        <v>91</v>
      </c>
      <c r="AK123" s="488">
        <f>CB123</f>
        <v>227</v>
      </c>
      <c r="AL123" s="488">
        <f>CE123</f>
        <v>53</v>
      </c>
      <c r="AM123" s="488">
        <f>CH123</f>
        <v>591</v>
      </c>
      <c r="AN123" s="488">
        <f>CJ123</f>
        <v>1221</v>
      </c>
      <c r="AO123" s="488">
        <f>CC123</f>
        <v>145</v>
      </c>
      <c r="AP123" s="488">
        <f>CD123</f>
        <v>23</v>
      </c>
      <c r="AQ123" s="488">
        <f>CK123</f>
        <v>234</v>
      </c>
      <c r="AR123" s="488">
        <f>CI123</f>
        <v>196</v>
      </c>
      <c r="AS123" s="488">
        <f>CG123</f>
        <v>356</v>
      </c>
      <c r="AT123" s="487">
        <v>12</v>
      </c>
      <c r="AU123" s="487">
        <v>51</v>
      </c>
      <c r="AV123" s="487">
        <v>63</v>
      </c>
      <c r="AW123" s="487">
        <v>202</v>
      </c>
      <c r="AX123" s="487">
        <v>84</v>
      </c>
      <c r="AY123" s="487">
        <v>173</v>
      </c>
      <c r="AZ123" s="487">
        <v>1</v>
      </c>
      <c r="BA123" s="487">
        <v>74</v>
      </c>
      <c r="BB123" s="487">
        <v>149</v>
      </c>
      <c r="BC123" s="487">
        <v>425</v>
      </c>
      <c r="BD123" s="487">
        <v>136</v>
      </c>
      <c r="BE123" s="487">
        <v>134</v>
      </c>
      <c r="BF123" s="487">
        <v>491</v>
      </c>
      <c r="BG123" s="487" t="s">
        <v>41</v>
      </c>
      <c r="BH123" s="487">
        <v>3</v>
      </c>
      <c r="BI123" s="487">
        <v>20</v>
      </c>
      <c r="BJ123" s="487">
        <v>10</v>
      </c>
      <c r="BK123" s="487">
        <v>4</v>
      </c>
      <c r="BL123" s="487" t="s">
        <v>41</v>
      </c>
      <c r="BM123" s="487">
        <v>132</v>
      </c>
      <c r="BN123" s="487">
        <v>50</v>
      </c>
      <c r="BO123" s="487">
        <v>1</v>
      </c>
      <c r="BP123" s="487">
        <v>71</v>
      </c>
      <c r="BQ123" s="487">
        <v>57</v>
      </c>
      <c r="BR123" s="487">
        <v>76</v>
      </c>
      <c r="BS123" s="487">
        <v>5</v>
      </c>
      <c r="BT123" s="487">
        <v>334</v>
      </c>
      <c r="BU123" s="487">
        <v>125</v>
      </c>
      <c r="BV123" s="487">
        <v>276</v>
      </c>
      <c r="BW123" s="487">
        <v>144</v>
      </c>
      <c r="BX123" s="487">
        <v>340</v>
      </c>
      <c r="BY123" s="487">
        <v>91</v>
      </c>
      <c r="BZ123" s="487">
        <v>161</v>
      </c>
      <c r="CA123" s="487">
        <v>99</v>
      </c>
      <c r="CB123" s="487">
        <v>227</v>
      </c>
      <c r="CC123" s="487">
        <v>145</v>
      </c>
      <c r="CD123" s="487">
        <v>23</v>
      </c>
      <c r="CE123" s="487">
        <v>53</v>
      </c>
      <c r="CF123" s="487">
        <v>14</v>
      </c>
      <c r="CG123" s="487">
        <v>356</v>
      </c>
      <c r="CH123" s="487">
        <v>591</v>
      </c>
      <c r="CI123" s="487">
        <v>196</v>
      </c>
      <c r="CJ123" s="487">
        <v>1221</v>
      </c>
      <c r="CK123" s="487">
        <v>234</v>
      </c>
      <c r="CL123" s="487">
        <v>7054</v>
      </c>
    </row>
    <row r="124" spans="1:90" s="69" customFormat="1" ht="11.25">
      <c r="B124" s="328" t="s">
        <v>236</v>
      </c>
      <c r="C124" s="322">
        <v>2010</v>
      </c>
      <c r="D124" s="69" t="s">
        <v>13</v>
      </c>
      <c r="E124" s="460">
        <v>42887</v>
      </c>
      <c r="F124" s="323">
        <v>1906</v>
      </c>
      <c r="G124" s="323">
        <v>421</v>
      </c>
      <c r="H124" s="323">
        <v>1152</v>
      </c>
      <c r="I124" s="323">
        <v>1392</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t="s">
        <v>41</v>
      </c>
      <c r="AU124" s="323">
        <v>57</v>
      </c>
      <c r="AV124" s="323">
        <v>43</v>
      </c>
      <c r="AW124" s="323">
        <v>70</v>
      </c>
      <c r="AX124" s="323">
        <v>76</v>
      </c>
      <c r="AY124" s="323">
        <v>96</v>
      </c>
      <c r="AZ124" s="323">
        <v>1</v>
      </c>
      <c r="BA124" s="323">
        <v>67</v>
      </c>
      <c r="BB124" s="323">
        <v>228</v>
      </c>
      <c r="BC124" s="323">
        <v>612</v>
      </c>
      <c r="BD124" s="323">
        <v>245</v>
      </c>
      <c r="BE124" s="323">
        <v>113</v>
      </c>
      <c r="BF124" s="323">
        <v>298</v>
      </c>
      <c r="BG124" s="323" t="s">
        <v>41</v>
      </c>
      <c r="BH124" s="323">
        <v>7</v>
      </c>
      <c r="BI124" s="323">
        <v>41</v>
      </c>
      <c r="BJ124" s="323">
        <v>27</v>
      </c>
      <c r="BK124" s="323">
        <v>5</v>
      </c>
      <c r="BL124" s="323">
        <v>1</v>
      </c>
      <c r="BM124" s="323">
        <v>114</v>
      </c>
      <c r="BN124" s="323">
        <v>73</v>
      </c>
      <c r="BO124" s="323">
        <v>2</v>
      </c>
      <c r="BP124" s="323">
        <v>55</v>
      </c>
      <c r="BQ124" s="323">
        <v>39</v>
      </c>
      <c r="BR124" s="323">
        <v>57</v>
      </c>
      <c r="BS124" s="323">
        <v>4</v>
      </c>
      <c r="BT124" s="323">
        <v>175</v>
      </c>
      <c r="BU124" s="323">
        <v>90</v>
      </c>
      <c r="BV124" s="323">
        <v>303</v>
      </c>
      <c r="BW124" s="323">
        <v>136</v>
      </c>
      <c r="BX124" s="323">
        <v>152</v>
      </c>
      <c r="BY124" s="323">
        <v>42</v>
      </c>
      <c r="BZ124" s="323">
        <v>60</v>
      </c>
      <c r="CA124" s="323">
        <v>65</v>
      </c>
      <c r="CB124" s="323">
        <v>125</v>
      </c>
      <c r="CC124" s="323">
        <v>110</v>
      </c>
      <c r="CD124" s="323">
        <v>37</v>
      </c>
      <c r="CE124" s="323">
        <v>54</v>
      </c>
      <c r="CF124" s="323">
        <v>22</v>
      </c>
      <c r="CG124" s="323">
        <v>441</v>
      </c>
      <c r="CH124" s="323">
        <v>300</v>
      </c>
      <c r="CI124" s="323">
        <v>70</v>
      </c>
      <c r="CJ124" s="323">
        <v>145</v>
      </c>
      <c r="CK124" s="323">
        <v>213</v>
      </c>
      <c r="CL124" s="323">
        <v>4871</v>
      </c>
    </row>
    <row r="125" spans="1:90" s="69" customFormat="1" ht="11.25">
      <c r="B125" s="328" t="s">
        <v>237</v>
      </c>
      <c r="C125" s="322">
        <v>2010</v>
      </c>
      <c r="D125" s="69" t="s">
        <v>13</v>
      </c>
      <c r="E125" s="460">
        <v>42887</v>
      </c>
      <c r="F125" s="323">
        <v>484450</v>
      </c>
      <c r="G125" s="323">
        <v>52226</v>
      </c>
      <c r="H125" s="323">
        <v>68285</v>
      </c>
      <c r="I125" s="323">
        <v>346813</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t="s">
        <v>41</v>
      </c>
      <c r="AU125" s="323">
        <v>9877</v>
      </c>
      <c r="AV125" s="323" t="s">
        <v>304</v>
      </c>
      <c r="AW125" s="323">
        <v>13131</v>
      </c>
      <c r="AX125" s="323">
        <v>21703</v>
      </c>
      <c r="AY125" s="323">
        <v>6704</v>
      </c>
      <c r="AZ125" s="323" t="s">
        <v>304</v>
      </c>
      <c r="BA125" s="323">
        <v>14031</v>
      </c>
      <c r="BB125" s="323">
        <v>70737</v>
      </c>
      <c r="BC125" s="323">
        <v>207846</v>
      </c>
      <c r="BD125" s="323">
        <v>55831</v>
      </c>
      <c r="BE125" s="323">
        <v>32010</v>
      </c>
      <c r="BF125" s="323">
        <v>47664</v>
      </c>
      <c r="BG125" s="323" t="s">
        <v>41</v>
      </c>
      <c r="BH125" s="323" t="s">
        <v>304</v>
      </c>
      <c r="BI125" s="323">
        <v>2226</v>
      </c>
      <c r="BJ125" s="323">
        <v>2539</v>
      </c>
      <c r="BK125" s="323">
        <v>411</v>
      </c>
      <c r="BL125" s="323" t="s">
        <v>304</v>
      </c>
      <c r="BM125" s="323">
        <v>22768</v>
      </c>
      <c r="BN125" s="323">
        <v>12430</v>
      </c>
      <c r="BO125" s="323" t="s">
        <v>304</v>
      </c>
      <c r="BP125" s="323">
        <v>2682</v>
      </c>
      <c r="BQ125" s="323">
        <v>4772</v>
      </c>
      <c r="BR125" s="323">
        <v>3187</v>
      </c>
      <c r="BS125" s="323" t="s">
        <v>304</v>
      </c>
      <c r="BT125" s="323">
        <v>5018</v>
      </c>
      <c r="BU125" s="323" t="s">
        <v>304</v>
      </c>
      <c r="BV125" s="323">
        <v>11124</v>
      </c>
      <c r="BW125" s="323">
        <v>20734</v>
      </c>
      <c r="BX125" s="323">
        <v>10615</v>
      </c>
      <c r="BY125" s="323">
        <v>2849</v>
      </c>
      <c r="BZ125" s="323">
        <v>7673</v>
      </c>
      <c r="CA125" s="323">
        <v>2012</v>
      </c>
      <c r="CB125" s="323">
        <v>5856</v>
      </c>
      <c r="CC125" s="323">
        <v>11102</v>
      </c>
      <c r="CD125" s="323">
        <v>8585</v>
      </c>
      <c r="CE125" s="323">
        <v>4426</v>
      </c>
      <c r="CF125" s="323">
        <v>11271</v>
      </c>
      <c r="CG125" s="323">
        <v>141280</v>
      </c>
      <c r="CH125" s="323">
        <v>89667</v>
      </c>
      <c r="CI125" s="323">
        <v>10421</v>
      </c>
      <c r="CJ125" s="323">
        <v>18652</v>
      </c>
      <c r="CK125" s="323">
        <v>51409</v>
      </c>
      <c r="CL125" s="323">
        <v>951774</v>
      </c>
    </row>
    <row r="126" spans="1:90" s="69" customFormat="1" ht="11.25">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'2017'!AZ126+'2017'!BA126</f>
        <v>6973</v>
      </c>
      <c r="Q126" s="323">
        <f>'2017'!AU126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c r="B127" s="328"/>
      <c r="C127" s="322"/>
      <c r="E127" s="460"/>
      <c r="F127" s="323">
        <f>F126/F35%</f>
        <v>62.775559276911842</v>
      </c>
      <c r="G127" s="323">
        <f>G126/G35%</f>
        <v>41.844807930364667</v>
      </c>
      <c r="H127" s="323">
        <f>H126/H35%</f>
        <v>49.642220776649602</v>
      </c>
      <c r="I127" s="323">
        <f>I126/I35%</f>
        <v>52.439617593683934</v>
      </c>
      <c r="J127" s="323"/>
      <c r="K127" s="323">
        <f t="shared" ref="K127:BV127" si="185">K126/K35%</f>
        <v>100.45389804510808</v>
      </c>
      <c r="L127" s="323">
        <f t="shared" si="185"/>
        <v>68.779004016690706</v>
      </c>
      <c r="M127" s="323">
        <f t="shared" si="185"/>
        <v>69.840342394718007</v>
      </c>
      <c r="N127" s="323">
        <f t="shared" si="185"/>
        <v>73.915516996159866</v>
      </c>
      <c r="O127" s="323">
        <f t="shared" si="185"/>
        <v>59.224624238064592</v>
      </c>
      <c r="P127" s="323">
        <f t="shared" si="185"/>
        <v>12.011644732308964</v>
      </c>
      <c r="Q127" s="323">
        <f t="shared" si="185"/>
        <v>47.500890947968642</v>
      </c>
      <c r="R127" s="323">
        <f t="shared" si="185"/>
        <v>1.4383954154727794</v>
      </c>
      <c r="S127" s="323">
        <f t="shared" si="185"/>
        <v>55.952380952380949</v>
      </c>
      <c r="T127" s="323">
        <f t="shared" si="185"/>
        <v>55.707729815000718</v>
      </c>
      <c r="U127" s="323">
        <f t="shared" si="185"/>
        <v>96.906904933972811</v>
      </c>
      <c r="V127" s="323">
        <f t="shared" si="185"/>
        <v>33.07579102281089</v>
      </c>
      <c r="W127" s="323">
        <f t="shared" si="185"/>
        <v>82.163758106184432</v>
      </c>
      <c r="X127" s="323">
        <f t="shared" si="185"/>
        <v>6.4076628726023053</v>
      </c>
      <c r="Y127" s="323">
        <f t="shared" si="185"/>
        <v>15.517201755797119</v>
      </c>
      <c r="Z127" s="323">
        <f t="shared" si="185"/>
        <v>70.513209839052536</v>
      </c>
      <c r="AA127" s="323">
        <f t="shared" si="185"/>
        <v>44.993441189331001</v>
      </c>
      <c r="AB127" s="323">
        <f t="shared" si="185"/>
        <v>74.923085528891875</v>
      </c>
      <c r="AC127" s="323">
        <f t="shared" si="185"/>
        <v>65.327392584486304</v>
      </c>
      <c r="AD127" s="323">
        <f t="shared" si="185"/>
        <v>35.866822850964134</v>
      </c>
      <c r="AE127" s="323">
        <f t="shared" si="185"/>
        <v>11.043735314181763</v>
      </c>
      <c r="AF127" s="323">
        <f t="shared" si="185"/>
        <v>28.974868296053199</v>
      </c>
      <c r="AG127" s="323">
        <f t="shared" si="185"/>
        <v>33.826102481699692</v>
      </c>
      <c r="AH127" s="323">
        <f t="shared" si="185"/>
        <v>65.998441807503298</v>
      </c>
      <c r="AI127" s="323">
        <f t="shared" si="185"/>
        <v>96.361096327833963</v>
      </c>
      <c r="AJ127" s="323">
        <f t="shared" si="185"/>
        <v>62.832150519887769</v>
      </c>
      <c r="AK127" s="323">
        <f t="shared" si="185"/>
        <v>71.603639615000262</v>
      </c>
      <c r="AL127" s="323">
        <f t="shared" si="185"/>
        <v>60.114740392654305</v>
      </c>
      <c r="AM127" s="323">
        <f t="shared" si="185"/>
        <v>19.834295756967112</v>
      </c>
      <c r="AN127" s="323">
        <f t="shared" si="185"/>
        <v>58.559773134050815</v>
      </c>
      <c r="AO127" s="323">
        <f t="shared" si="185"/>
        <v>99.029148496672022</v>
      </c>
      <c r="AP127" s="323">
        <f t="shared" si="185"/>
        <v>60.489111563073564</v>
      </c>
      <c r="AQ127" s="323">
        <f t="shared" si="185"/>
        <v>71.982546144998452</v>
      </c>
      <c r="AR127" s="323">
        <f t="shared" si="185"/>
        <v>23.396957948106174</v>
      </c>
      <c r="AS127" s="323">
        <f t="shared" si="185"/>
        <v>44.681764787611627</v>
      </c>
      <c r="AT127" s="323">
        <f t="shared" si="185"/>
        <v>11.111111111111111</v>
      </c>
      <c r="AU127" s="323">
        <f t="shared" si="185"/>
        <v>47.500890947968642</v>
      </c>
      <c r="AV127" s="323">
        <f t="shared" si="185"/>
        <v>55.952380952380949</v>
      </c>
      <c r="AW127" s="323">
        <f t="shared" si="185"/>
        <v>73.915516996159866</v>
      </c>
      <c r="AX127" s="323">
        <f t="shared" si="185"/>
        <v>0.6885053567569237</v>
      </c>
      <c r="AY127" s="323">
        <f t="shared" si="185"/>
        <v>68.779004016690706</v>
      </c>
      <c r="AZ127" s="323">
        <f t="shared" si="185"/>
        <v>0</v>
      </c>
      <c r="BA127" s="323">
        <f t="shared" si="185"/>
        <v>12.928764786591017</v>
      </c>
      <c r="BB127" s="323">
        <f t="shared" si="185"/>
        <v>55.707729815000718</v>
      </c>
      <c r="BC127" s="323">
        <f t="shared" si="185"/>
        <v>96.906904933972811</v>
      </c>
      <c r="BD127" s="323">
        <f t="shared" si="185"/>
        <v>69.840342394718007</v>
      </c>
      <c r="BE127" s="323">
        <f t="shared" si="185"/>
        <v>59.224624238064592</v>
      </c>
      <c r="BF127" s="323">
        <f t="shared" si="185"/>
        <v>100.45389804510808</v>
      </c>
      <c r="BG127" s="323">
        <f t="shared" si="185"/>
        <v>113.57323232323232</v>
      </c>
      <c r="BH127" s="323">
        <f t="shared" si="185"/>
        <v>0</v>
      </c>
      <c r="BI127" s="323">
        <f t="shared" si="185"/>
        <v>6.8406536219816818</v>
      </c>
      <c r="BJ127" s="323">
        <f t="shared" si="185"/>
        <v>24.415919587068728</v>
      </c>
      <c r="BK127" s="323">
        <f t="shared" si="185"/>
        <v>113.32236842105264</v>
      </c>
      <c r="BL127" s="323">
        <f t="shared" si="185"/>
        <v>0</v>
      </c>
      <c r="BM127" s="323">
        <f t="shared" si="185"/>
        <v>70.513209839052536</v>
      </c>
      <c r="BN127" s="323">
        <f t="shared" si="185"/>
        <v>12.082839015835352</v>
      </c>
      <c r="BO127" s="323">
        <f t="shared" si="185"/>
        <v>28.969072164948457</v>
      </c>
      <c r="BP127" s="323">
        <f t="shared" si="185"/>
        <v>74.923085528891875</v>
      </c>
      <c r="BQ127" s="323">
        <f t="shared" si="185"/>
        <v>45.785958292968949</v>
      </c>
      <c r="BR127" s="323">
        <f t="shared" si="185"/>
        <v>82.163758106184432</v>
      </c>
      <c r="BS127" s="323">
        <f t="shared" si="185"/>
        <v>6.088721368512612</v>
      </c>
      <c r="BT127" s="323">
        <f t="shared" si="185"/>
        <v>11.390223627922065</v>
      </c>
      <c r="BU127" s="323">
        <f t="shared" si="185"/>
        <v>35.866822850964134</v>
      </c>
      <c r="BV127" s="323">
        <f t="shared" si="185"/>
        <v>33.826102481699692</v>
      </c>
      <c r="BW127" s="323">
        <f t="shared" ref="BW127:CL127" si="186">BW126/BW35%</f>
        <v>96.361096327833963</v>
      </c>
      <c r="BX127" s="323">
        <f t="shared" si="186"/>
        <v>65.327392584486304</v>
      </c>
      <c r="BY127" s="323">
        <f t="shared" si="186"/>
        <v>62.832150519887769</v>
      </c>
      <c r="BZ127" s="323">
        <f t="shared" si="186"/>
        <v>65.998441807503298</v>
      </c>
      <c r="CA127" s="323">
        <f t="shared" si="186"/>
        <v>28.974868296053199</v>
      </c>
      <c r="CB127" s="323">
        <f t="shared" si="186"/>
        <v>71.603639615000262</v>
      </c>
      <c r="CC127" s="323">
        <f t="shared" si="186"/>
        <v>99.029148496672022</v>
      </c>
      <c r="CD127" s="323">
        <f t="shared" si="186"/>
        <v>60.489111563073564</v>
      </c>
      <c r="CE127" s="323">
        <f t="shared" si="186"/>
        <v>60.114740392654305</v>
      </c>
      <c r="CF127" s="323">
        <f t="shared" si="186"/>
        <v>30.068876452862678</v>
      </c>
      <c r="CG127" s="323">
        <f t="shared" si="186"/>
        <v>45.592754109359277</v>
      </c>
      <c r="CH127" s="323">
        <f t="shared" si="186"/>
        <v>19.834295756967112</v>
      </c>
      <c r="CI127" s="323">
        <f t="shared" si="186"/>
        <v>23.396957948106174</v>
      </c>
      <c r="CJ127" s="323">
        <f t="shared" si="186"/>
        <v>58.559773134050815</v>
      </c>
      <c r="CK127" s="323">
        <f t="shared" si="186"/>
        <v>71.982546144998452</v>
      </c>
      <c r="CL127" s="323">
        <f t="shared" si="186"/>
        <v>53.681690419356208</v>
      </c>
    </row>
    <row r="128" spans="1:90" s="69" customFormat="1" ht="11.25">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2:90">
      <c r="B130" s="58" t="s">
        <v>290</v>
      </c>
      <c r="D130" t="s">
        <v>7</v>
      </c>
      <c r="E130" s="457">
        <v>42024</v>
      </c>
      <c r="F130" s="126">
        <v>16888</v>
      </c>
      <c r="G130" s="126">
        <v>7358</v>
      </c>
      <c r="H130" s="126">
        <v>22942</v>
      </c>
      <c r="I130" s="126">
        <v>14975</v>
      </c>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row r="131" spans="2:90">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row>
    <row r="132" spans="2:90">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2:90">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24</vt:i4>
      </vt:variant>
    </vt:vector>
  </HeadingPairs>
  <TitlesOfParts>
    <vt:vector size="46" baseType="lpstr">
      <vt:lpstr>Deckblatt</vt:lpstr>
      <vt:lpstr>Strukturdaten</vt:lpstr>
      <vt:lpstr>Jahresvergleich</vt:lpstr>
      <vt:lpstr>Grafik</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2001</vt:lpstr>
      <vt:lpstr>2022</vt:lpstr>
      <vt:lpstr>Stand der Daten</vt:lpstr>
      <vt:lpstr>'2001'!Daten</vt:lpstr>
      <vt:lpstr>'2007'!Daten</vt:lpstr>
      <vt:lpstr>'2008'!Daten</vt:lpstr>
      <vt:lpstr>'2009'!Daten</vt:lpstr>
      <vt:lpstr>'Stand der Daten'!Daten</vt:lpstr>
      <vt:lpstr>Daten2022</vt:lpstr>
      <vt:lpstr>'2001'!Druckbereich</vt:lpstr>
      <vt:lpstr>'2007'!Druckbereich</vt:lpstr>
      <vt:lpstr>'2008'!Druckbereich</vt:lpstr>
      <vt:lpstr>'2009'!Druckbereich</vt:lpstr>
      <vt:lpstr>'2022'!Druckbereich</vt:lpstr>
      <vt:lpstr>Deckblatt!Druckbereich</vt:lpstr>
      <vt:lpstr>Grafik!Druckbereich</vt:lpstr>
      <vt:lpstr>Jahresvergleich!Druckbereich</vt:lpstr>
      <vt:lpstr>'Stand der Daten'!Druckbereich</vt:lpstr>
      <vt:lpstr>Strukturdaten!Druckbereich</vt:lpstr>
      <vt:lpstr>'2001'!Drucktitel</vt:lpstr>
      <vt:lpstr>'2007'!Drucktitel</vt:lpstr>
      <vt:lpstr>'2008'!Drucktitel</vt:lpstr>
      <vt:lpstr>'2009'!Drucktitel</vt:lpstr>
      <vt:lpstr>'2022'!Drucktitel</vt:lpstr>
      <vt:lpstr>Jahresvergleich!Drucktitel</vt:lpstr>
      <vt:lpstr>'Stand der Daten'!Drucktitel</vt:lpstr>
      <vt:lpstr>Strukturdaten!Drucktitel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Strukturdaten 2011 zur Landwirtschaft in BW</dc:title>
  <dc:creator>Müller, Richard</dc:creator>
  <dc:description>Stand: 10.01.2012</dc:description>
  <cp:lastModifiedBy>Stock, Martina (LEL-SG)</cp:lastModifiedBy>
  <cp:lastPrinted>2023-07-03T10:16:46Z</cp:lastPrinted>
  <dcterms:created xsi:type="dcterms:W3CDTF">2002-12-05T10:45:49Z</dcterms:created>
  <dcterms:modified xsi:type="dcterms:W3CDTF">2023-08-03T08:22:57Z</dcterms:modified>
</cp:coreProperties>
</file>